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kedrova\Documents\CS_R_Excel\2026 год\"/>
    </mc:Choice>
  </mc:AlternateContent>
  <bookViews>
    <workbookView xWindow="0" yWindow="0" windowWidth="14280" windowHeight="9750"/>
  </bookViews>
  <sheets>
    <sheet name="Смета по ФСНБ 421+557прРИМ" sheetId="7" r:id="rId1"/>
    <sheet name="Дефектная ведомость" sheetId="8" r:id="rId2"/>
    <sheet name="Source" sheetId="1" r:id="rId3"/>
    <sheet name="SourceObSm" sheetId="2" r:id="rId4"/>
    <sheet name="SmtRes" sheetId="3" r:id="rId5"/>
    <sheet name="EtalonRes" sheetId="4" r:id="rId6"/>
    <sheet name="SrcPoprs" sheetId="5" r:id="rId7"/>
    <sheet name="SrcKA" sheetId="6" r:id="rId8"/>
  </sheets>
  <definedNames>
    <definedName name="_xlnm.Print_Titles" localSheetId="1">'Дефектная ведомость'!$18:$18</definedName>
    <definedName name="_xlnm.Print_Titles" localSheetId="0">'Смета по ФСНБ 421+557прРИМ'!$59:$59</definedName>
    <definedName name="_xlnm.Print_Area" localSheetId="1">'Дефектная ведомость'!$A$1:$E$74</definedName>
    <definedName name="_xlnm.Print_Area" localSheetId="0">'Смета по ФСНБ 421+557прРИМ'!$A$1:$L$1150</definedName>
  </definedNames>
  <calcPr calcId="152511" iterate="1"/>
</workbook>
</file>

<file path=xl/calcChain.xml><?xml version="1.0" encoding="utf-8"?>
<calcChain xmlns="http://schemas.openxmlformats.org/spreadsheetml/2006/main">
  <c r="D69" i="8" l="1"/>
  <c r="C69" i="8"/>
  <c r="B69" i="8"/>
  <c r="D68" i="8"/>
  <c r="C68" i="8"/>
  <c r="B68" i="8"/>
  <c r="D67" i="8"/>
  <c r="C67" i="8"/>
  <c r="B67" i="8"/>
  <c r="D66" i="8"/>
  <c r="C66" i="8"/>
  <c r="B66" i="8"/>
  <c r="D65" i="8"/>
  <c r="C65" i="8"/>
  <c r="B65" i="8"/>
  <c r="D64" i="8"/>
  <c r="C64" i="8"/>
  <c r="B64" i="8"/>
  <c r="A63" i="8"/>
  <c r="D62" i="8"/>
  <c r="C62" i="8"/>
  <c r="B62" i="8"/>
  <c r="D61" i="8"/>
  <c r="C61" i="8"/>
  <c r="B61" i="8"/>
  <c r="D60" i="8"/>
  <c r="C60" i="8"/>
  <c r="B60" i="8"/>
  <c r="D59" i="8"/>
  <c r="C59" i="8"/>
  <c r="B59" i="8"/>
  <c r="D58" i="8"/>
  <c r="C58" i="8"/>
  <c r="B58" i="8"/>
  <c r="D57" i="8"/>
  <c r="C57" i="8"/>
  <c r="B57" i="8"/>
  <c r="D56" i="8"/>
  <c r="C56" i="8"/>
  <c r="B56" i="8"/>
  <c r="A55" i="8"/>
  <c r="D54" i="8"/>
  <c r="C54" i="8"/>
  <c r="B54" i="8"/>
  <c r="D53" i="8"/>
  <c r="C53" i="8"/>
  <c r="B53" i="8"/>
  <c r="A52" i="8"/>
  <c r="D51" i="8"/>
  <c r="C51" i="8"/>
  <c r="B51" i="8"/>
  <c r="D50" i="8"/>
  <c r="C50" i="8"/>
  <c r="B50" i="8"/>
  <c r="D49" i="8"/>
  <c r="C49" i="8"/>
  <c r="B49" i="8"/>
  <c r="D48" i="8"/>
  <c r="C48" i="8"/>
  <c r="B48" i="8"/>
  <c r="A47" i="8"/>
  <c r="D46" i="8"/>
  <c r="C46" i="8"/>
  <c r="B46" i="8"/>
  <c r="D45" i="8"/>
  <c r="C45" i="8"/>
  <c r="B45" i="8"/>
  <c r="D44" i="8"/>
  <c r="C44" i="8"/>
  <c r="B44" i="8"/>
  <c r="D43" i="8"/>
  <c r="C43" i="8"/>
  <c r="B43" i="8"/>
  <c r="D42" i="8"/>
  <c r="C42" i="8"/>
  <c r="B42" i="8"/>
  <c r="A41" i="8"/>
  <c r="D40" i="8"/>
  <c r="C40" i="8"/>
  <c r="B40" i="8"/>
  <c r="D39" i="8"/>
  <c r="C39" i="8"/>
  <c r="B39" i="8"/>
  <c r="D38" i="8"/>
  <c r="C38" i="8"/>
  <c r="B38" i="8"/>
  <c r="D37" i="8"/>
  <c r="C37" i="8"/>
  <c r="B37" i="8"/>
  <c r="D36" i="8"/>
  <c r="C36" i="8"/>
  <c r="B36" i="8"/>
  <c r="D35" i="8"/>
  <c r="C35" i="8"/>
  <c r="B35" i="8"/>
  <c r="D34" i="8"/>
  <c r="C34" i="8"/>
  <c r="B34" i="8"/>
  <c r="A33" i="8"/>
  <c r="A32" i="8"/>
  <c r="D31" i="8"/>
  <c r="C31" i="8"/>
  <c r="B31" i="8"/>
  <c r="D30" i="8"/>
  <c r="C30" i="8"/>
  <c r="B30" i="8"/>
  <c r="D29" i="8"/>
  <c r="C29" i="8"/>
  <c r="B29" i="8"/>
  <c r="D28" i="8"/>
  <c r="C28" i="8"/>
  <c r="B28" i="8"/>
  <c r="D27" i="8"/>
  <c r="C27" i="8"/>
  <c r="B27" i="8"/>
  <c r="D26" i="8"/>
  <c r="C26" i="8"/>
  <c r="B26" i="8"/>
  <c r="D25" i="8"/>
  <c r="C25" i="8"/>
  <c r="B25" i="8"/>
  <c r="D24" i="8"/>
  <c r="C24" i="8"/>
  <c r="B24" i="8"/>
  <c r="D23" i="8"/>
  <c r="C23" i="8"/>
  <c r="B23" i="8"/>
  <c r="D22" i="8"/>
  <c r="C22" i="8"/>
  <c r="B22" i="8"/>
  <c r="D21" i="8"/>
  <c r="C21" i="8"/>
  <c r="B21" i="8"/>
  <c r="A20" i="8"/>
  <c r="A19" i="8"/>
  <c r="A12" i="8"/>
  <c r="A11" i="8"/>
  <c r="A1" i="8"/>
  <c r="H1148" i="7"/>
  <c r="H1145" i="7"/>
  <c r="C1148" i="7"/>
  <c r="C1145" i="7"/>
  <c r="C51" i="7"/>
  <c r="L1142" i="7"/>
  <c r="C1142" i="7"/>
  <c r="L1141" i="7"/>
  <c r="C1141" i="7"/>
  <c r="L1140" i="7"/>
  <c r="C1140" i="7"/>
  <c r="L1136" i="7"/>
  <c r="L1132" i="7"/>
  <c r="L1131" i="7"/>
  <c r="L1124" i="7"/>
  <c r="L1120" i="7"/>
  <c r="L1108" i="7"/>
  <c r="L1107" i="7"/>
  <c r="L1106" i="7"/>
  <c r="L1105" i="7"/>
  <c r="L1104" i="7"/>
  <c r="L1103" i="7"/>
  <c r="L1101" i="7" s="1"/>
  <c r="L1100" i="7"/>
  <c r="L1095" i="7" s="1"/>
  <c r="L1099" i="7"/>
  <c r="L1097" i="7"/>
  <c r="L1094" i="7"/>
  <c r="L1089" i="7"/>
  <c r="L1088" i="7"/>
  <c r="L1087" i="7"/>
  <c r="L1082" i="7"/>
  <c r="L1081" i="7"/>
  <c r="L1079" i="7" s="1"/>
  <c r="L1077" i="7"/>
  <c r="L1076" i="7"/>
  <c r="L1075" i="7"/>
  <c r="L1074" i="7"/>
  <c r="L1073" i="7"/>
  <c r="L1072" i="7"/>
  <c r="L1070" i="7" s="1"/>
  <c r="L1069" i="7"/>
  <c r="L1064" i="7" s="1"/>
  <c r="L1068" i="7"/>
  <c r="L1066" i="7"/>
  <c r="L1063" i="7"/>
  <c r="L1053" i="7"/>
  <c r="L1049" i="7"/>
  <c r="L1032" i="7"/>
  <c r="L1031" i="7"/>
  <c r="L1028" i="7"/>
  <c r="L1027" i="7"/>
  <c r="L1025" i="7"/>
  <c r="L1024" i="7"/>
  <c r="L1017" i="7"/>
  <c r="L1013" i="7"/>
  <c r="AU1003" i="7"/>
  <c r="AS1003" i="7"/>
  <c r="AP1003" i="7"/>
  <c r="BA1003" i="7"/>
  <c r="AZ1003" i="7"/>
  <c r="AE1003" i="7"/>
  <c r="AD1003" i="7"/>
  <c r="L1002" i="7"/>
  <c r="K1003" i="7" s="1"/>
  <c r="J1002" i="7"/>
  <c r="E1002" i="7"/>
  <c r="I1003" i="7" s="1"/>
  <c r="G1002" i="7"/>
  <c r="D1002" i="7"/>
  <c r="C1002" i="7"/>
  <c r="AU1001" i="7"/>
  <c r="AS1001" i="7"/>
  <c r="AP1001" i="7"/>
  <c r="BA1001" i="7"/>
  <c r="AZ1001" i="7"/>
  <c r="AE1001" i="7"/>
  <c r="AD1001" i="7"/>
  <c r="L1000" i="7"/>
  <c r="K1001" i="7" s="1"/>
  <c r="J1000" i="7"/>
  <c r="E1000" i="7"/>
  <c r="G1000" i="7"/>
  <c r="D1000" i="7"/>
  <c r="C1000" i="7"/>
  <c r="AE999" i="7"/>
  <c r="AD999" i="7"/>
  <c r="G998" i="7"/>
  <c r="E998" i="7"/>
  <c r="G997" i="7"/>
  <c r="E997" i="7"/>
  <c r="AN995" i="7"/>
  <c r="BA995" i="7"/>
  <c r="AZ995" i="7"/>
  <c r="AE995" i="7"/>
  <c r="AD995" i="7"/>
  <c r="L995" i="7"/>
  <c r="AW995" i="7" s="1"/>
  <c r="I995" i="7"/>
  <c r="H995" i="7"/>
  <c r="E995" i="7"/>
  <c r="G995" i="7"/>
  <c r="D995" i="7"/>
  <c r="C995" i="7"/>
  <c r="B995" i="7"/>
  <c r="G993" i="7"/>
  <c r="E993" i="7"/>
  <c r="D993" i="7"/>
  <c r="C993" i="7"/>
  <c r="B993" i="7"/>
  <c r="L992" i="7"/>
  <c r="I992" i="7"/>
  <c r="H992" i="7"/>
  <c r="G992" i="7"/>
  <c r="L991" i="7"/>
  <c r="I991" i="7"/>
  <c r="H991" i="7"/>
  <c r="J991" i="7" s="1"/>
  <c r="G991" i="7"/>
  <c r="L990" i="7"/>
  <c r="I990" i="7"/>
  <c r="H990" i="7"/>
  <c r="J990" i="7" s="1"/>
  <c r="G990" i="7"/>
  <c r="L989" i="7"/>
  <c r="I989" i="7"/>
  <c r="J989" i="7" s="1"/>
  <c r="H989" i="7"/>
  <c r="G989" i="7"/>
  <c r="L988" i="7"/>
  <c r="I988" i="7"/>
  <c r="H988" i="7"/>
  <c r="G988" i="7"/>
  <c r="L987" i="7"/>
  <c r="I987" i="7"/>
  <c r="H987" i="7"/>
  <c r="J987" i="7" s="1"/>
  <c r="G987" i="7"/>
  <c r="L986" i="7"/>
  <c r="I986" i="7"/>
  <c r="H986" i="7"/>
  <c r="G986" i="7"/>
  <c r="L984" i="7"/>
  <c r="J984" i="7"/>
  <c r="E984" i="7"/>
  <c r="G984" i="7" s="1"/>
  <c r="L983" i="7"/>
  <c r="J983" i="7"/>
  <c r="G983" i="7"/>
  <c r="L982" i="7"/>
  <c r="J982" i="7"/>
  <c r="E982" i="7"/>
  <c r="L981" i="7"/>
  <c r="I981" i="7"/>
  <c r="H981" i="7"/>
  <c r="G981" i="7"/>
  <c r="L977" i="7"/>
  <c r="AR999" i="7" s="1"/>
  <c r="L978" i="7"/>
  <c r="J978" i="7"/>
  <c r="G978" i="7"/>
  <c r="C976" i="7"/>
  <c r="E975" i="7"/>
  <c r="G975" i="7"/>
  <c r="G982" i="7" s="1"/>
  <c r="D975" i="7"/>
  <c r="C975" i="7"/>
  <c r="AE974" i="7"/>
  <c r="AD974" i="7"/>
  <c r="G973" i="7"/>
  <c r="E973" i="7"/>
  <c r="G972" i="7"/>
  <c r="E972" i="7"/>
  <c r="BA970" i="7"/>
  <c r="AZ970" i="7"/>
  <c r="AE970" i="7"/>
  <c r="AD970" i="7"/>
  <c r="L970" i="7"/>
  <c r="AN970" i="7" s="1"/>
  <c r="H970" i="7"/>
  <c r="E970" i="7"/>
  <c r="G970" i="7"/>
  <c r="D970" i="7"/>
  <c r="C970" i="7"/>
  <c r="B970" i="7"/>
  <c r="L968" i="7"/>
  <c r="I968" i="7"/>
  <c r="H968" i="7"/>
  <c r="J968" i="7" s="1"/>
  <c r="G968" i="7"/>
  <c r="L967" i="7"/>
  <c r="I967" i="7"/>
  <c r="H967" i="7"/>
  <c r="J967" i="7" s="1"/>
  <c r="G967" i="7"/>
  <c r="L965" i="7"/>
  <c r="J965" i="7"/>
  <c r="E965" i="7"/>
  <c r="G965" i="7" s="1"/>
  <c r="L964" i="7"/>
  <c r="I964" i="7"/>
  <c r="H964" i="7"/>
  <c r="J964" i="7" s="1"/>
  <c r="G964" i="7"/>
  <c r="L963" i="7"/>
  <c r="J963" i="7"/>
  <c r="E963" i="7"/>
  <c r="G963" i="7" s="1"/>
  <c r="L962" i="7"/>
  <c r="J962" i="7"/>
  <c r="G962" i="7"/>
  <c r="L959" i="7"/>
  <c r="L958" i="7" s="1"/>
  <c r="AR974" i="7" s="1"/>
  <c r="J959" i="7"/>
  <c r="G959" i="7"/>
  <c r="C957" i="7"/>
  <c r="E956" i="7"/>
  <c r="G956" i="7"/>
  <c r="D956" i="7"/>
  <c r="C956" i="7"/>
  <c r="AE955" i="7"/>
  <c r="AD955" i="7"/>
  <c r="G954" i="7"/>
  <c r="E954" i="7"/>
  <c r="G953" i="7"/>
  <c r="E953" i="7"/>
  <c r="BA951" i="7"/>
  <c r="AZ951" i="7"/>
  <c r="AE951" i="7"/>
  <c r="AD951" i="7"/>
  <c r="L951" i="7"/>
  <c r="J951" i="7"/>
  <c r="I951" i="7"/>
  <c r="H951" i="7"/>
  <c r="E951" i="7"/>
  <c r="G951" i="7"/>
  <c r="D951" i="7"/>
  <c r="C951" i="7"/>
  <c r="B951" i="7"/>
  <c r="G949" i="7"/>
  <c r="E949" i="7"/>
  <c r="D949" i="7"/>
  <c r="C949" i="7"/>
  <c r="B949" i="7"/>
  <c r="L948" i="7"/>
  <c r="I948" i="7"/>
  <c r="H948" i="7"/>
  <c r="G948" i="7"/>
  <c r="L947" i="7"/>
  <c r="L946" i="7" s="1"/>
  <c r="AW955" i="7" s="1"/>
  <c r="I947" i="7"/>
  <c r="H947" i="7"/>
  <c r="G947" i="7"/>
  <c r="L940" i="7"/>
  <c r="AT955" i="7" s="1"/>
  <c r="L945" i="7"/>
  <c r="I945" i="7"/>
  <c r="J945" i="7" s="1"/>
  <c r="H945" i="7"/>
  <c r="G945" i="7"/>
  <c r="L944" i="7"/>
  <c r="I944" i="7"/>
  <c r="H944" i="7"/>
  <c r="G944" i="7"/>
  <c r="L943" i="7"/>
  <c r="J943" i="7"/>
  <c r="E943" i="7"/>
  <c r="G943" i="7" s="1"/>
  <c r="L942" i="7"/>
  <c r="J942" i="7"/>
  <c r="G942" i="7"/>
  <c r="L941" i="7"/>
  <c r="I941" i="7"/>
  <c r="H941" i="7"/>
  <c r="G941" i="7"/>
  <c r="L938" i="7"/>
  <c r="L937" i="7" s="1"/>
  <c r="J938" i="7"/>
  <c r="G938" i="7"/>
  <c r="C936" i="7"/>
  <c r="E935" i="7"/>
  <c r="G935" i="7"/>
  <c r="D935" i="7"/>
  <c r="C935" i="7"/>
  <c r="AE934" i="7"/>
  <c r="AD934" i="7"/>
  <c r="G933" i="7"/>
  <c r="E933" i="7"/>
  <c r="G932" i="7"/>
  <c r="E932" i="7"/>
  <c r="BA930" i="7"/>
  <c r="AZ930" i="7"/>
  <c r="AE930" i="7"/>
  <c r="AD930" i="7"/>
  <c r="L930" i="7"/>
  <c r="AW930" i="7" s="1"/>
  <c r="I930" i="7"/>
  <c r="H930" i="7"/>
  <c r="E930" i="7"/>
  <c r="G930" i="7"/>
  <c r="D930" i="7"/>
  <c r="C930" i="7"/>
  <c r="B930" i="7"/>
  <c r="G928" i="7"/>
  <c r="E928" i="7"/>
  <c r="D928" i="7"/>
  <c r="C928" i="7"/>
  <c r="B928" i="7"/>
  <c r="L927" i="7"/>
  <c r="I927" i="7"/>
  <c r="H927" i="7"/>
  <c r="J927" i="7" s="1"/>
  <c r="G927" i="7"/>
  <c r="L926" i="7"/>
  <c r="I926" i="7"/>
  <c r="J926" i="7" s="1"/>
  <c r="H926" i="7"/>
  <c r="G926" i="7"/>
  <c r="L925" i="7"/>
  <c r="I925" i="7"/>
  <c r="H925" i="7"/>
  <c r="J925" i="7" s="1"/>
  <c r="G925" i="7"/>
  <c r="L923" i="7"/>
  <c r="J923" i="7"/>
  <c r="E923" i="7"/>
  <c r="L922" i="7"/>
  <c r="I922" i="7"/>
  <c r="H922" i="7"/>
  <c r="J922" i="7" s="1"/>
  <c r="G922" i="7"/>
  <c r="L921" i="7"/>
  <c r="L919" i="7" s="1"/>
  <c r="J921" i="7"/>
  <c r="E921" i="7"/>
  <c r="L920" i="7"/>
  <c r="J920" i="7"/>
  <c r="I920" i="7"/>
  <c r="H920" i="7"/>
  <c r="G920" i="7"/>
  <c r="L917" i="7"/>
  <c r="L916" i="7" s="1"/>
  <c r="J917" i="7"/>
  <c r="G917" i="7"/>
  <c r="C915" i="7"/>
  <c r="E914" i="7"/>
  <c r="G914" i="7"/>
  <c r="G923" i="7" s="1"/>
  <c r="D914" i="7"/>
  <c r="C914" i="7"/>
  <c r="L908" i="7"/>
  <c r="L904" i="7"/>
  <c r="L903" i="7"/>
  <c r="L901" i="7"/>
  <c r="L898" i="7" s="1"/>
  <c r="L900" i="7"/>
  <c r="L893" i="7"/>
  <c r="L889" i="7"/>
  <c r="AU879" i="7"/>
  <c r="AS879" i="7"/>
  <c r="AP879" i="7"/>
  <c r="BA879" i="7"/>
  <c r="AZ879" i="7"/>
  <c r="AE879" i="7"/>
  <c r="AD879" i="7"/>
  <c r="L878" i="7"/>
  <c r="BB879" i="7" s="1"/>
  <c r="J878" i="7"/>
  <c r="E878" i="7"/>
  <c r="G878" i="7"/>
  <c r="D878" i="7"/>
  <c r="C878" i="7"/>
  <c r="AU877" i="7"/>
  <c r="AS877" i="7"/>
  <c r="AP877" i="7"/>
  <c r="AN877" i="7"/>
  <c r="BA877" i="7"/>
  <c r="AZ877" i="7"/>
  <c r="AE877" i="7"/>
  <c r="AD877" i="7"/>
  <c r="K877" i="7"/>
  <c r="C876" i="7"/>
  <c r="L875" i="7"/>
  <c r="BB877" i="7" s="1"/>
  <c r="J875" i="7"/>
  <c r="E875" i="7"/>
  <c r="I877" i="7" s="1"/>
  <c r="G875" i="7"/>
  <c r="D875" i="7"/>
  <c r="C875" i="7"/>
  <c r="AE874" i="7"/>
  <c r="AD874" i="7"/>
  <c r="G873" i="7"/>
  <c r="F873" i="7"/>
  <c r="E873" i="7"/>
  <c r="G872" i="7"/>
  <c r="F872" i="7"/>
  <c r="E872" i="7"/>
  <c r="AN870" i="7"/>
  <c r="BA870" i="7"/>
  <c r="AZ870" i="7"/>
  <c r="AE870" i="7"/>
  <c r="AD870" i="7"/>
  <c r="L870" i="7"/>
  <c r="AX870" i="7" s="1"/>
  <c r="J870" i="7"/>
  <c r="E870" i="7"/>
  <c r="G870" i="7"/>
  <c r="D870" i="7"/>
  <c r="B870" i="7"/>
  <c r="G868" i="7"/>
  <c r="E868" i="7"/>
  <c r="D868" i="7"/>
  <c r="C868" i="7"/>
  <c r="B868" i="7"/>
  <c r="L867" i="7"/>
  <c r="L866" i="7" s="1"/>
  <c r="AW874" i="7" s="1"/>
  <c r="I867" i="7"/>
  <c r="J867" i="7" s="1"/>
  <c r="H867" i="7"/>
  <c r="G867" i="7"/>
  <c r="L865" i="7"/>
  <c r="J865" i="7"/>
  <c r="F865" i="7"/>
  <c r="E865" i="7"/>
  <c r="L864" i="7"/>
  <c r="J864" i="7"/>
  <c r="G864" i="7"/>
  <c r="F864" i="7"/>
  <c r="L863" i="7"/>
  <c r="L861" i="7" s="1"/>
  <c r="AT874" i="7" s="1"/>
  <c r="J863" i="7"/>
  <c r="F863" i="7"/>
  <c r="G863" i="7" s="1"/>
  <c r="E863" i="7"/>
  <c r="L862" i="7"/>
  <c r="I862" i="7"/>
  <c r="H862" i="7"/>
  <c r="G862" i="7"/>
  <c r="F862" i="7"/>
  <c r="L859" i="7"/>
  <c r="L858" i="7" s="1"/>
  <c r="AR874" i="7" s="1"/>
  <c r="J859" i="7"/>
  <c r="G859" i="7"/>
  <c r="F859" i="7"/>
  <c r="C857" i="7"/>
  <c r="E855" i="7"/>
  <c r="G855" i="7"/>
  <c r="D855" i="7"/>
  <c r="C855" i="7"/>
  <c r="AE854" i="7"/>
  <c r="AD854" i="7"/>
  <c r="G853" i="7"/>
  <c r="F853" i="7"/>
  <c r="E853" i="7"/>
  <c r="G852" i="7"/>
  <c r="F852" i="7"/>
  <c r="E852" i="7"/>
  <c r="AN850" i="7"/>
  <c r="BA850" i="7"/>
  <c r="AZ850" i="7"/>
  <c r="AE850" i="7"/>
  <c r="AD850" i="7"/>
  <c r="L850" i="7"/>
  <c r="AX850" i="7" s="1"/>
  <c r="J850" i="7"/>
  <c r="E850" i="7"/>
  <c r="G850" i="7"/>
  <c r="D850" i="7"/>
  <c r="B850" i="7"/>
  <c r="G848" i="7"/>
  <c r="E848" i="7"/>
  <c r="D848" i="7"/>
  <c r="C848" i="7"/>
  <c r="B848" i="7"/>
  <c r="L847" i="7"/>
  <c r="I847" i="7"/>
  <c r="J847" i="7" s="1"/>
  <c r="H847" i="7"/>
  <c r="G847" i="7"/>
  <c r="L846" i="7"/>
  <c r="L845" i="7" s="1"/>
  <c r="AW854" i="7" s="1"/>
  <c r="J846" i="7"/>
  <c r="G846" i="7"/>
  <c r="L844" i="7"/>
  <c r="L842" i="7" s="1"/>
  <c r="L841" i="7" s="1"/>
  <c r="AO854" i="7" s="1"/>
  <c r="J844" i="7"/>
  <c r="F844" i="7"/>
  <c r="G844" i="7" s="1"/>
  <c r="E844" i="7"/>
  <c r="L843" i="7"/>
  <c r="J843" i="7"/>
  <c r="G843" i="7"/>
  <c r="F843" i="7"/>
  <c r="L840" i="7"/>
  <c r="L839" i="7" s="1"/>
  <c r="J840" i="7"/>
  <c r="G840" i="7"/>
  <c r="F840" i="7"/>
  <c r="C838" i="7"/>
  <c r="E836" i="7"/>
  <c r="G836" i="7"/>
  <c r="D836" i="7"/>
  <c r="C836" i="7"/>
  <c r="AE835" i="7"/>
  <c r="AD835" i="7"/>
  <c r="G834" i="7"/>
  <c r="F834" i="7"/>
  <c r="E834" i="7"/>
  <c r="G833" i="7"/>
  <c r="F833" i="7"/>
  <c r="E833" i="7"/>
  <c r="AN831" i="7"/>
  <c r="BA831" i="7"/>
  <c r="AZ831" i="7"/>
  <c r="AE831" i="7"/>
  <c r="AD831" i="7"/>
  <c r="L831" i="7"/>
  <c r="AW831" i="7" s="1"/>
  <c r="J831" i="7"/>
  <c r="E831" i="7"/>
  <c r="G831" i="7"/>
  <c r="D831" i="7"/>
  <c r="C831" i="7"/>
  <c r="B831" i="7"/>
  <c r="L829" i="7"/>
  <c r="L826" i="7" s="1"/>
  <c r="AW835" i="7" s="1"/>
  <c r="J829" i="7"/>
  <c r="G829" i="7"/>
  <c r="F829" i="7"/>
  <c r="L828" i="7"/>
  <c r="I828" i="7"/>
  <c r="H828" i="7"/>
  <c r="G828" i="7"/>
  <c r="L827" i="7"/>
  <c r="J827" i="7"/>
  <c r="G827" i="7"/>
  <c r="L825" i="7"/>
  <c r="L819" i="7" s="1"/>
  <c r="J825" i="7"/>
  <c r="F825" i="7"/>
  <c r="E825" i="7"/>
  <c r="L824" i="7"/>
  <c r="J824" i="7"/>
  <c r="G824" i="7"/>
  <c r="F824" i="7"/>
  <c r="L823" i="7"/>
  <c r="J823" i="7"/>
  <c r="F823" i="7"/>
  <c r="E823" i="7"/>
  <c r="G823" i="7" s="1"/>
  <c r="L822" i="7"/>
  <c r="J822" i="7"/>
  <c r="G822" i="7"/>
  <c r="F822" i="7"/>
  <c r="L821" i="7"/>
  <c r="J821" i="7"/>
  <c r="F821" i="7"/>
  <c r="G821" i="7" s="1"/>
  <c r="E821" i="7"/>
  <c r="L820" i="7"/>
  <c r="I820" i="7"/>
  <c r="H820" i="7"/>
  <c r="G820" i="7"/>
  <c r="F820" i="7"/>
  <c r="L817" i="7"/>
  <c r="L816" i="7" s="1"/>
  <c r="AR835" i="7" s="1"/>
  <c r="J817" i="7"/>
  <c r="G817" i="7"/>
  <c r="F817" i="7"/>
  <c r="C815" i="7"/>
  <c r="E813" i="7"/>
  <c r="G813" i="7"/>
  <c r="D813" i="7"/>
  <c r="C813" i="7"/>
  <c r="AW812" i="7"/>
  <c r="AT812" i="7"/>
  <c r="AO812" i="7"/>
  <c r="AE812" i="7"/>
  <c r="AD812" i="7"/>
  <c r="G811" i="7"/>
  <c r="E811" i="7"/>
  <c r="G810" i="7"/>
  <c r="E810" i="7"/>
  <c r="BA808" i="7"/>
  <c r="AZ808" i="7"/>
  <c r="AE808" i="7"/>
  <c r="AD808" i="7"/>
  <c r="L808" i="7"/>
  <c r="AW808" i="7" s="1"/>
  <c r="H808" i="7"/>
  <c r="E808" i="7"/>
  <c r="G808" i="7"/>
  <c r="D808" i="7"/>
  <c r="C808" i="7"/>
  <c r="B808" i="7"/>
  <c r="L806" i="7"/>
  <c r="L805" i="7" s="1"/>
  <c r="AR812" i="7" s="1"/>
  <c r="J806" i="7"/>
  <c r="G806" i="7"/>
  <c r="C804" i="7"/>
  <c r="E803" i="7"/>
  <c r="G803" i="7"/>
  <c r="D803" i="7"/>
  <c r="C803" i="7"/>
  <c r="AW802" i="7"/>
  <c r="AT802" i="7"/>
  <c r="AO802" i="7"/>
  <c r="AE802" i="7"/>
  <c r="AD802" i="7"/>
  <c r="G801" i="7"/>
  <c r="E801" i="7"/>
  <c r="G800" i="7"/>
  <c r="E800" i="7"/>
  <c r="BA798" i="7"/>
  <c r="AZ798" i="7"/>
  <c r="AE798" i="7"/>
  <c r="AD798" i="7"/>
  <c r="L798" i="7"/>
  <c r="AW798" i="7" s="1"/>
  <c r="H798" i="7"/>
  <c r="E798" i="7"/>
  <c r="G798" i="7"/>
  <c r="D798" i="7"/>
  <c r="C798" i="7"/>
  <c r="B798" i="7"/>
  <c r="L796" i="7"/>
  <c r="L795" i="7" s="1"/>
  <c r="AR802" i="7" s="1"/>
  <c r="J796" i="7"/>
  <c r="G796" i="7"/>
  <c r="C794" i="7"/>
  <c r="E793" i="7"/>
  <c r="G793" i="7"/>
  <c r="D793" i="7"/>
  <c r="C793" i="7"/>
  <c r="L787" i="7"/>
  <c r="L786" i="7"/>
  <c r="L783" i="7"/>
  <c r="L782" i="7"/>
  <c r="L780" i="7"/>
  <c r="L779" i="7"/>
  <c r="L772" i="7"/>
  <c r="L768" i="7"/>
  <c r="G757" i="7"/>
  <c r="G756" i="7"/>
  <c r="L755" i="7"/>
  <c r="L754" i="7"/>
  <c r="L751" i="7"/>
  <c r="L750" i="7"/>
  <c r="L748" i="7"/>
  <c r="L747" i="7"/>
  <c r="L745" i="7" s="1"/>
  <c r="L743" i="7"/>
  <c r="L742" i="7"/>
  <c r="L740" i="7"/>
  <c r="L739" i="7"/>
  <c r="L737" i="7" s="1"/>
  <c r="L731" i="7"/>
  <c r="L736" i="7"/>
  <c r="L735" i="7"/>
  <c r="L733" i="7"/>
  <c r="L730" i="7"/>
  <c r="BB726" i="7"/>
  <c r="AU726" i="7"/>
  <c r="AS726" i="7"/>
  <c r="AP726" i="7"/>
  <c r="BA726" i="7"/>
  <c r="AZ726" i="7"/>
  <c r="AE726" i="7"/>
  <c r="AD726" i="7"/>
  <c r="L725" i="7"/>
  <c r="AN726" i="7" s="1"/>
  <c r="J725" i="7"/>
  <c r="E725" i="7"/>
  <c r="G725" i="7"/>
  <c r="D725" i="7"/>
  <c r="C725" i="7"/>
  <c r="AU724" i="7"/>
  <c r="AS724" i="7"/>
  <c r="AP724" i="7"/>
  <c r="BA724" i="7"/>
  <c r="L744" i="7" s="1"/>
  <c r="AZ724" i="7"/>
  <c r="AE724" i="7"/>
  <c r="AD724" i="7"/>
  <c r="C723" i="7"/>
  <c r="L722" i="7"/>
  <c r="BB724" i="7" s="1"/>
  <c r="J722" i="7"/>
  <c r="E722" i="7"/>
  <c r="G722" i="7"/>
  <c r="D722" i="7"/>
  <c r="C722" i="7"/>
  <c r="L716" i="7"/>
  <c r="L715" i="7"/>
  <c r="L712" i="7"/>
  <c r="L711" i="7"/>
  <c r="L709" i="7"/>
  <c r="L708" i="7"/>
  <c r="L706" i="7" s="1"/>
  <c r="L702" i="7"/>
  <c r="L701" i="7"/>
  <c r="L697" i="7"/>
  <c r="AT687" i="7"/>
  <c r="AO687" i="7"/>
  <c r="AE687" i="7"/>
  <c r="AD687" i="7"/>
  <c r="G686" i="7"/>
  <c r="F686" i="7"/>
  <c r="E686" i="7"/>
  <c r="G685" i="7"/>
  <c r="F685" i="7"/>
  <c r="E685" i="7"/>
  <c r="AN683" i="7"/>
  <c r="BA683" i="7"/>
  <c r="AZ683" i="7"/>
  <c r="AE683" i="7"/>
  <c r="AD683" i="7"/>
  <c r="L683" i="7"/>
  <c r="AW683" i="7" s="1"/>
  <c r="I683" i="7"/>
  <c r="J683" i="7" s="1"/>
  <c r="H683" i="7"/>
  <c r="E683" i="7"/>
  <c r="G683" i="7"/>
  <c r="D683" i="7"/>
  <c r="C683" i="7"/>
  <c r="B683" i="7"/>
  <c r="G681" i="7"/>
  <c r="E681" i="7"/>
  <c r="D681" i="7"/>
  <c r="C681" i="7"/>
  <c r="B681" i="7"/>
  <c r="L680" i="7"/>
  <c r="I680" i="7"/>
  <c r="H680" i="7"/>
  <c r="J680" i="7" s="1"/>
  <c r="G680" i="7"/>
  <c r="L679" i="7"/>
  <c r="J679" i="7"/>
  <c r="G679" i="7"/>
  <c r="L677" i="7"/>
  <c r="L676" i="7" s="1"/>
  <c r="J677" i="7"/>
  <c r="G677" i="7"/>
  <c r="F677" i="7"/>
  <c r="C675" i="7"/>
  <c r="E673" i="7"/>
  <c r="G673" i="7"/>
  <c r="D673" i="7"/>
  <c r="C673" i="7"/>
  <c r="AE672" i="7"/>
  <c r="AD672" i="7"/>
  <c r="G671" i="7"/>
  <c r="F671" i="7"/>
  <c r="E671" i="7"/>
  <c r="G670" i="7"/>
  <c r="F670" i="7"/>
  <c r="E670" i="7"/>
  <c r="AW668" i="7"/>
  <c r="BA668" i="7"/>
  <c r="AZ668" i="7"/>
  <c r="AE668" i="7"/>
  <c r="AD668" i="7"/>
  <c r="L668" i="7"/>
  <c r="AN668" i="7" s="1"/>
  <c r="I668" i="7"/>
  <c r="J668" i="7" s="1"/>
  <c r="H668" i="7"/>
  <c r="E668" i="7"/>
  <c r="G668" i="7"/>
  <c r="D668" i="7"/>
  <c r="C668" i="7"/>
  <c r="B668" i="7"/>
  <c r="BA667" i="7"/>
  <c r="AZ667" i="7"/>
  <c r="AE667" i="7"/>
  <c r="AD667" i="7"/>
  <c r="L667" i="7"/>
  <c r="AW667" i="7" s="1"/>
  <c r="J667" i="7"/>
  <c r="E667" i="7"/>
  <c r="G667" i="7"/>
  <c r="D667" i="7"/>
  <c r="C667" i="7"/>
  <c r="B667" i="7"/>
  <c r="AN666" i="7"/>
  <c r="BA666" i="7"/>
  <c r="AZ666" i="7"/>
  <c r="AE666" i="7"/>
  <c r="AD666" i="7"/>
  <c r="L666" i="7"/>
  <c r="AW666" i="7" s="1"/>
  <c r="J666" i="7"/>
  <c r="E666" i="7"/>
  <c r="G666" i="7"/>
  <c r="D666" i="7"/>
  <c r="C666" i="7"/>
  <c r="B666" i="7"/>
  <c r="G664" i="7"/>
  <c r="E664" i="7"/>
  <c r="D664" i="7"/>
  <c r="C664" i="7"/>
  <c r="B664" i="7"/>
  <c r="G663" i="7"/>
  <c r="E663" i="7"/>
  <c r="D663" i="7"/>
  <c r="C663" i="7"/>
  <c r="B663" i="7"/>
  <c r="G662" i="7"/>
  <c r="E662" i="7"/>
  <c r="D662" i="7"/>
  <c r="C662" i="7"/>
  <c r="B662" i="7"/>
  <c r="L661" i="7"/>
  <c r="J661" i="7"/>
  <c r="G661" i="7"/>
  <c r="L660" i="7"/>
  <c r="I660" i="7"/>
  <c r="H660" i="7"/>
  <c r="J660" i="7" s="1"/>
  <c r="G660" i="7"/>
  <c r="L658" i="7"/>
  <c r="J658" i="7"/>
  <c r="F658" i="7"/>
  <c r="E658" i="7"/>
  <c r="L657" i="7"/>
  <c r="J657" i="7"/>
  <c r="G657" i="7"/>
  <c r="F657" i="7"/>
  <c r="L656" i="7"/>
  <c r="J656" i="7"/>
  <c r="G656" i="7"/>
  <c r="F656" i="7"/>
  <c r="E656" i="7"/>
  <c r="L655" i="7"/>
  <c r="I655" i="7"/>
  <c r="H655" i="7"/>
  <c r="J655" i="7" s="1"/>
  <c r="G655" i="7"/>
  <c r="F655" i="7"/>
  <c r="L652" i="7"/>
  <c r="L651" i="7" s="1"/>
  <c r="J652" i="7"/>
  <c r="G652" i="7"/>
  <c r="F652" i="7"/>
  <c r="C650" i="7"/>
  <c r="E648" i="7"/>
  <c r="G648" i="7"/>
  <c r="D648" i="7"/>
  <c r="C648" i="7"/>
  <c r="AW647" i="7"/>
  <c r="AE647" i="7"/>
  <c r="AD647" i="7"/>
  <c r="G646" i="7"/>
  <c r="E646" i="7"/>
  <c r="G645" i="7"/>
  <c r="E645" i="7"/>
  <c r="BA643" i="7"/>
  <c r="AZ643" i="7"/>
  <c r="AE643" i="7"/>
  <c r="AD643" i="7"/>
  <c r="L643" i="7"/>
  <c r="AW643" i="7" s="1"/>
  <c r="H643" i="7"/>
  <c r="E643" i="7"/>
  <c r="G643" i="7"/>
  <c r="D643" i="7"/>
  <c r="C643" i="7"/>
  <c r="B643" i="7"/>
  <c r="L641" i="7"/>
  <c r="L639" i="7" s="1"/>
  <c r="J641" i="7"/>
  <c r="E641" i="7"/>
  <c r="L640" i="7"/>
  <c r="J640" i="7"/>
  <c r="I640" i="7"/>
  <c r="H640" i="7"/>
  <c r="G640" i="7"/>
  <c r="L637" i="7"/>
  <c r="L636" i="7" s="1"/>
  <c r="J637" i="7"/>
  <c r="G637" i="7"/>
  <c r="C635" i="7"/>
  <c r="E634" i="7"/>
  <c r="G634" i="7"/>
  <c r="D634" i="7"/>
  <c r="C634" i="7"/>
  <c r="AE633" i="7"/>
  <c r="AD633" i="7"/>
  <c r="G632" i="7"/>
  <c r="E632" i="7"/>
  <c r="G631" i="7"/>
  <c r="E631" i="7"/>
  <c r="BA629" i="7"/>
  <c r="AZ629" i="7"/>
  <c r="AE629" i="7"/>
  <c r="AD629" i="7"/>
  <c r="L629" i="7"/>
  <c r="AW629" i="7" s="1"/>
  <c r="I629" i="7"/>
  <c r="H629" i="7"/>
  <c r="E629" i="7"/>
  <c r="G629" i="7"/>
  <c r="D629" i="7"/>
  <c r="C629" i="7"/>
  <c r="B629" i="7"/>
  <c r="G627" i="7"/>
  <c r="E627" i="7"/>
  <c r="D627" i="7"/>
  <c r="C627" i="7"/>
  <c r="B627" i="7"/>
  <c r="L626" i="7"/>
  <c r="I626" i="7"/>
  <c r="H626" i="7"/>
  <c r="G626" i="7"/>
  <c r="L625" i="7"/>
  <c r="J625" i="7"/>
  <c r="I625" i="7"/>
  <c r="H625" i="7"/>
  <c r="G625" i="7"/>
  <c r="L624" i="7"/>
  <c r="I624" i="7"/>
  <c r="H624" i="7"/>
  <c r="J624" i="7" s="1"/>
  <c r="G624" i="7"/>
  <c r="L623" i="7"/>
  <c r="I623" i="7"/>
  <c r="H623" i="7"/>
  <c r="J623" i="7" s="1"/>
  <c r="G623" i="7"/>
  <c r="L622" i="7"/>
  <c r="I622" i="7"/>
  <c r="J622" i="7" s="1"/>
  <c r="H622" i="7"/>
  <c r="G622" i="7"/>
  <c r="L621" i="7"/>
  <c r="I621" i="7"/>
  <c r="H621" i="7"/>
  <c r="G621" i="7"/>
  <c r="L620" i="7"/>
  <c r="I620" i="7"/>
  <c r="H620" i="7"/>
  <c r="J620" i="7" s="1"/>
  <c r="G620" i="7"/>
  <c r="L618" i="7"/>
  <c r="J618" i="7"/>
  <c r="E618" i="7"/>
  <c r="L617" i="7"/>
  <c r="J617" i="7"/>
  <c r="G617" i="7"/>
  <c r="L616" i="7"/>
  <c r="L614" i="7" s="1"/>
  <c r="J616" i="7"/>
  <c r="E616" i="7"/>
  <c r="L615" i="7"/>
  <c r="I615" i="7"/>
  <c r="H615" i="7"/>
  <c r="G615" i="7"/>
  <c r="L611" i="7"/>
  <c r="L612" i="7"/>
  <c r="J612" i="7"/>
  <c r="G612" i="7"/>
  <c r="C610" i="7"/>
  <c r="E609" i="7"/>
  <c r="G609" i="7"/>
  <c r="G618" i="7" s="1"/>
  <c r="D609" i="7"/>
  <c r="C609" i="7"/>
  <c r="L603" i="7"/>
  <c r="L602" i="7"/>
  <c r="L599" i="7"/>
  <c r="L598" i="7"/>
  <c r="L596" i="7"/>
  <c r="L595" i="7"/>
  <c r="L593" i="7" s="1"/>
  <c r="L589" i="7"/>
  <c r="L588" i="7"/>
  <c r="L584" i="7"/>
  <c r="AE574" i="7"/>
  <c r="AD574" i="7"/>
  <c r="G573" i="7"/>
  <c r="F573" i="7"/>
  <c r="E573" i="7"/>
  <c r="G572" i="7"/>
  <c r="F572" i="7"/>
  <c r="E572" i="7"/>
  <c r="AN570" i="7"/>
  <c r="BA570" i="7"/>
  <c r="AZ570" i="7"/>
  <c r="AE570" i="7"/>
  <c r="AD570" i="7"/>
  <c r="L570" i="7"/>
  <c r="AW570" i="7" s="1"/>
  <c r="J570" i="7"/>
  <c r="I570" i="7"/>
  <c r="H570" i="7"/>
  <c r="E570" i="7"/>
  <c r="G570" i="7"/>
  <c r="D570" i="7"/>
  <c r="C570" i="7"/>
  <c r="B570" i="7"/>
  <c r="BA569" i="7"/>
  <c r="AZ569" i="7"/>
  <c r="AE569" i="7"/>
  <c r="AD569" i="7"/>
  <c r="L569" i="7"/>
  <c r="AW569" i="7" s="1"/>
  <c r="J569" i="7"/>
  <c r="E569" i="7"/>
  <c r="G569" i="7"/>
  <c r="D569" i="7"/>
  <c r="C569" i="7"/>
  <c r="B569" i="7"/>
  <c r="BA568" i="7"/>
  <c r="AZ568" i="7"/>
  <c r="AE568" i="7"/>
  <c r="AD568" i="7"/>
  <c r="L568" i="7"/>
  <c r="AW568" i="7" s="1"/>
  <c r="J568" i="7"/>
  <c r="E568" i="7"/>
  <c r="G568" i="7"/>
  <c r="D568" i="7"/>
  <c r="C568" i="7"/>
  <c r="B568" i="7"/>
  <c r="G566" i="7"/>
  <c r="E566" i="7"/>
  <c r="D566" i="7"/>
  <c r="C566" i="7"/>
  <c r="B566" i="7"/>
  <c r="G565" i="7"/>
  <c r="E565" i="7"/>
  <c r="D565" i="7"/>
  <c r="C565" i="7"/>
  <c r="B565" i="7"/>
  <c r="G564" i="7"/>
  <c r="E564" i="7"/>
  <c r="D564" i="7"/>
  <c r="C564" i="7"/>
  <c r="B564" i="7"/>
  <c r="L563" i="7"/>
  <c r="J563" i="7"/>
  <c r="G563" i="7"/>
  <c r="L562" i="7"/>
  <c r="I562" i="7"/>
  <c r="H562" i="7"/>
  <c r="G562" i="7"/>
  <c r="L560" i="7"/>
  <c r="J560" i="7"/>
  <c r="F560" i="7"/>
  <c r="E560" i="7"/>
  <c r="L559" i="7"/>
  <c r="J559" i="7"/>
  <c r="G559" i="7"/>
  <c r="F559" i="7"/>
  <c r="L558" i="7"/>
  <c r="J558" i="7"/>
  <c r="F558" i="7"/>
  <c r="E558" i="7"/>
  <c r="G558" i="7" s="1"/>
  <c r="L557" i="7"/>
  <c r="I557" i="7"/>
  <c r="H557" i="7"/>
  <c r="G557" i="7"/>
  <c r="F557" i="7"/>
  <c r="L553" i="7"/>
  <c r="L554" i="7"/>
  <c r="J554" i="7"/>
  <c r="G554" i="7"/>
  <c r="F554" i="7"/>
  <c r="C552" i="7"/>
  <c r="E550" i="7"/>
  <c r="G550" i="7"/>
  <c r="G560" i="7" s="1"/>
  <c r="D550" i="7"/>
  <c r="C550" i="7"/>
  <c r="AE549" i="7"/>
  <c r="AD549" i="7"/>
  <c r="G548" i="7"/>
  <c r="F548" i="7"/>
  <c r="E548" i="7"/>
  <c r="G547" i="7"/>
  <c r="F547" i="7"/>
  <c r="E547" i="7"/>
  <c r="AN545" i="7"/>
  <c r="BA545" i="7"/>
  <c r="AZ545" i="7"/>
  <c r="AE545" i="7"/>
  <c r="AD545" i="7"/>
  <c r="L545" i="7"/>
  <c r="AW545" i="7" s="1"/>
  <c r="I545" i="7"/>
  <c r="J545" i="7" s="1"/>
  <c r="H545" i="7"/>
  <c r="E545" i="7"/>
  <c r="G545" i="7"/>
  <c r="D545" i="7"/>
  <c r="C545" i="7"/>
  <c r="B545" i="7"/>
  <c r="BA544" i="7"/>
  <c r="AZ544" i="7"/>
  <c r="AE544" i="7"/>
  <c r="AD544" i="7"/>
  <c r="L544" i="7"/>
  <c r="AW544" i="7" s="1"/>
  <c r="I544" i="7"/>
  <c r="J544" i="7" s="1"/>
  <c r="H544" i="7"/>
  <c r="E544" i="7"/>
  <c r="G544" i="7"/>
  <c r="D544" i="7"/>
  <c r="C544" i="7"/>
  <c r="B544" i="7"/>
  <c r="BA543" i="7"/>
  <c r="AZ543" i="7"/>
  <c r="AE543" i="7"/>
  <c r="AD543" i="7"/>
  <c r="L543" i="7"/>
  <c r="AW543" i="7" s="1"/>
  <c r="J543" i="7"/>
  <c r="E543" i="7"/>
  <c r="G543" i="7"/>
  <c r="D543" i="7"/>
  <c r="C543" i="7"/>
  <c r="B543" i="7"/>
  <c r="G541" i="7"/>
  <c r="E541" i="7"/>
  <c r="D541" i="7"/>
  <c r="C541" i="7"/>
  <c r="B541" i="7"/>
  <c r="G540" i="7"/>
  <c r="E540" i="7"/>
  <c r="D540" i="7"/>
  <c r="C540" i="7"/>
  <c r="B540" i="7"/>
  <c r="G539" i="7"/>
  <c r="E539" i="7"/>
  <c r="D539" i="7"/>
  <c r="C539" i="7"/>
  <c r="B539" i="7"/>
  <c r="G538" i="7"/>
  <c r="E538" i="7"/>
  <c r="D538" i="7"/>
  <c r="C538" i="7"/>
  <c r="B538" i="7"/>
  <c r="L537" i="7"/>
  <c r="J537" i="7"/>
  <c r="G537" i="7"/>
  <c r="L536" i="7"/>
  <c r="J536" i="7"/>
  <c r="G536" i="7"/>
  <c r="L535" i="7"/>
  <c r="I535" i="7"/>
  <c r="H535" i="7"/>
  <c r="J535" i="7" s="1"/>
  <c r="G535" i="7"/>
  <c r="L533" i="7"/>
  <c r="J533" i="7"/>
  <c r="F533" i="7"/>
  <c r="E533" i="7"/>
  <c r="G533" i="7" s="1"/>
  <c r="L532" i="7"/>
  <c r="J532" i="7"/>
  <c r="G532" i="7"/>
  <c r="F532" i="7"/>
  <c r="L531" i="7"/>
  <c r="J531" i="7"/>
  <c r="F531" i="7"/>
  <c r="E531" i="7"/>
  <c r="L530" i="7"/>
  <c r="I530" i="7"/>
  <c r="H530" i="7"/>
  <c r="G530" i="7"/>
  <c r="F530" i="7"/>
  <c r="L529" i="7"/>
  <c r="J529" i="7"/>
  <c r="F529" i="7"/>
  <c r="E529" i="7"/>
  <c r="G529" i="7" s="1"/>
  <c r="L528" i="7"/>
  <c r="J528" i="7"/>
  <c r="G528" i="7"/>
  <c r="F528" i="7"/>
  <c r="L527" i="7"/>
  <c r="J527" i="7"/>
  <c r="F527" i="7"/>
  <c r="E527" i="7"/>
  <c r="L526" i="7"/>
  <c r="I526" i="7"/>
  <c r="H526" i="7"/>
  <c r="J526" i="7" s="1"/>
  <c r="G526" i="7"/>
  <c r="F526" i="7"/>
  <c r="L522" i="7"/>
  <c r="L523" i="7"/>
  <c r="J523" i="7"/>
  <c r="G523" i="7"/>
  <c r="F523" i="7"/>
  <c r="C521" i="7"/>
  <c r="E519" i="7"/>
  <c r="G519" i="7"/>
  <c r="D519" i="7"/>
  <c r="C519" i="7"/>
  <c r="AW518" i="7"/>
  <c r="AE518" i="7"/>
  <c r="AD518" i="7"/>
  <c r="G517" i="7"/>
  <c r="E517" i="7"/>
  <c r="G516" i="7"/>
  <c r="E516" i="7"/>
  <c r="AN514" i="7"/>
  <c r="BA514" i="7"/>
  <c r="AZ514" i="7"/>
  <c r="AE514" i="7"/>
  <c r="AD514" i="7"/>
  <c r="L514" i="7"/>
  <c r="AW514" i="7" s="1"/>
  <c r="H514" i="7"/>
  <c r="E514" i="7"/>
  <c r="G514" i="7"/>
  <c r="D514" i="7"/>
  <c r="C514" i="7"/>
  <c r="B514" i="7"/>
  <c r="L512" i="7"/>
  <c r="L510" i="7" s="1"/>
  <c r="J512" i="7"/>
  <c r="E512" i="7"/>
  <c r="G512" i="7" s="1"/>
  <c r="L511" i="7"/>
  <c r="I511" i="7"/>
  <c r="H511" i="7"/>
  <c r="J511" i="7" s="1"/>
  <c r="G511" i="7"/>
  <c r="L508" i="7"/>
  <c r="L507" i="7" s="1"/>
  <c r="J508" i="7"/>
  <c r="G508" i="7"/>
  <c r="C506" i="7"/>
  <c r="E505" i="7"/>
  <c r="G505" i="7"/>
  <c r="D505" i="7"/>
  <c r="C505" i="7"/>
  <c r="AW504" i="7"/>
  <c r="AE504" i="7"/>
  <c r="AD504" i="7"/>
  <c r="G503" i="7"/>
  <c r="E503" i="7"/>
  <c r="G502" i="7"/>
  <c r="E502" i="7"/>
  <c r="BA500" i="7"/>
  <c r="AZ500" i="7"/>
  <c r="AE500" i="7"/>
  <c r="AD500" i="7"/>
  <c r="L500" i="7"/>
  <c r="AW500" i="7" s="1"/>
  <c r="H500" i="7"/>
  <c r="E500" i="7"/>
  <c r="G500" i="7"/>
  <c r="D500" i="7"/>
  <c r="C500" i="7"/>
  <c r="B500" i="7"/>
  <c r="L498" i="7"/>
  <c r="L496" i="7" s="1"/>
  <c r="AT504" i="7" s="1"/>
  <c r="J498" i="7"/>
  <c r="E498" i="7"/>
  <c r="L497" i="7"/>
  <c r="I497" i="7"/>
  <c r="H497" i="7"/>
  <c r="J497" i="7" s="1"/>
  <c r="G497" i="7"/>
  <c r="L494" i="7"/>
  <c r="L493" i="7" s="1"/>
  <c r="J494" i="7"/>
  <c r="G494" i="7"/>
  <c r="C492" i="7"/>
  <c r="E491" i="7"/>
  <c r="G491" i="7"/>
  <c r="G498" i="7" s="1"/>
  <c r="D491" i="7"/>
  <c r="C491" i="7"/>
  <c r="AE490" i="7"/>
  <c r="AD490" i="7"/>
  <c r="G489" i="7"/>
  <c r="E489" i="7"/>
  <c r="G488" i="7"/>
  <c r="E488" i="7"/>
  <c r="AN486" i="7"/>
  <c r="BA486" i="7"/>
  <c r="AZ486" i="7"/>
  <c r="AE486" i="7"/>
  <c r="AD486" i="7"/>
  <c r="L486" i="7"/>
  <c r="AW486" i="7" s="1"/>
  <c r="I486" i="7"/>
  <c r="H486" i="7"/>
  <c r="J486" i="7" s="1"/>
  <c r="E486" i="7"/>
  <c r="G486" i="7"/>
  <c r="D486" i="7"/>
  <c r="C486" i="7"/>
  <c r="B486" i="7"/>
  <c r="G484" i="7"/>
  <c r="E484" i="7"/>
  <c r="D484" i="7"/>
  <c r="C484" i="7"/>
  <c r="B484" i="7"/>
  <c r="L483" i="7"/>
  <c r="I483" i="7"/>
  <c r="H483" i="7"/>
  <c r="G483" i="7"/>
  <c r="L482" i="7"/>
  <c r="I482" i="7"/>
  <c r="H482" i="7"/>
  <c r="J482" i="7" s="1"/>
  <c r="G482" i="7"/>
  <c r="L481" i="7"/>
  <c r="I481" i="7"/>
  <c r="H481" i="7"/>
  <c r="G481" i="7"/>
  <c r="L480" i="7"/>
  <c r="I480" i="7"/>
  <c r="H480" i="7"/>
  <c r="G480" i="7"/>
  <c r="L479" i="7"/>
  <c r="I479" i="7"/>
  <c r="H479" i="7"/>
  <c r="J479" i="7" s="1"/>
  <c r="G479" i="7"/>
  <c r="L478" i="7"/>
  <c r="I478" i="7"/>
  <c r="H478" i="7"/>
  <c r="G478" i="7"/>
  <c r="L477" i="7"/>
  <c r="J477" i="7"/>
  <c r="I477" i="7"/>
  <c r="H477" i="7"/>
  <c r="G477" i="7"/>
  <c r="L475" i="7"/>
  <c r="J475" i="7"/>
  <c r="E475" i="7"/>
  <c r="L474" i="7"/>
  <c r="J474" i="7"/>
  <c r="G474" i="7"/>
  <c r="L473" i="7"/>
  <c r="L471" i="7" s="1"/>
  <c r="J473" i="7"/>
  <c r="E473" i="7"/>
  <c r="L472" i="7"/>
  <c r="I472" i="7"/>
  <c r="H472" i="7"/>
  <c r="J472" i="7" s="1"/>
  <c r="G472" i="7"/>
  <c r="L469" i="7"/>
  <c r="L468" i="7" s="1"/>
  <c r="J469" i="7"/>
  <c r="G469" i="7"/>
  <c r="C467" i="7"/>
  <c r="E466" i="7"/>
  <c r="G466" i="7"/>
  <c r="D466" i="7"/>
  <c r="C466" i="7"/>
  <c r="L460" i="7"/>
  <c r="L459" i="7"/>
  <c r="L456" i="7"/>
  <c r="L455" i="7"/>
  <c r="L453" i="7"/>
  <c r="L452" i="7"/>
  <c r="L446" i="7"/>
  <c r="L445" i="7"/>
  <c r="L441" i="7"/>
  <c r="AT431" i="7"/>
  <c r="AO431" i="7"/>
  <c r="AE431" i="7"/>
  <c r="AD431" i="7"/>
  <c r="G430" i="7"/>
  <c r="E430" i="7"/>
  <c r="G429" i="7"/>
  <c r="E429" i="7"/>
  <c r="BA427" i="7"/>
  <c r="AZ427" i="7"/>
  <c r="AE427" i="7"/>
  <c r="AD427" i="7"/>
  <c r="L427" i="7"/>
  <c r="AN427" i="7" s="1"/>
  <c r="I427" i="7"/>
  <c r="H427" i="7"/>
  <c r="E427" i="7"/>
  <c r="G427" i="7"/>
  <c r="D427" i="7"/>
  <c r="C427" i="7"/>
  <c r="B427" i="7"/>
  <c r="G425" i="7"/>
  <c r="E425" i="7"/>
  <c r="D425" i="7"/>
  <c r="C425" i="7"/>
  <c r="B425" i="7"/>
  <c r="L424" i="7"/>
  <c r="I424" i="7"/>
  <c r="H424" i="7"/>
  <c r="J424" i="7" s="1"/>
  <c r="G424" i="7"/>
  <c r="L423" i="7"/>
  <c r="L422" i="7" s="1"/>
  <c r="AW431" i="7" s="1"/>
  <c r="J423" i="7"/>
  <c r="G423" i="7"/>
  <c r="L421" i="7"/>
  <c r="L420" i="7" s="1"/>
  <c r="H421" i="7"/>
  <c r="G421" i="7"/>
  <c r="C419" i="7"/>
  <c r="E418" i="7"/>
  <c r="G418" i="7"/>
  <c r="D418" i="7"/>
  <c r="C418" i="7"/>
  <c r="AE417" i="7"/>
  <c r="AD417" i="7"/>
  <c r="G416" i="7"/>
  <c r="E416" i="7"/>
  <c r="G415" i="7"/>
  <c r="E415" i="7"/>
  <c r="BA413" i="7"/>
  <c r="AZ413" i="7"/>
  <c r="AE413" i="7"/>
  <c r="AD413" i="7"/>
  <c r="L413" i="7"/>
  <c r="AW413" i="7" s="1"/>
  <c r="J413" i="7"/>
  <c r="I413" i="7"/>
  <c r="H413" i="7"/>
  <c r="E413" i="7"/>
  <c r="G413" i="7"/>
  <c r="D413" i="7"/>
  <c r="C413" i="7"/>
  <c r="B413" i="7"/>
  <c r="BA412" i="7"/>
  <c r="AZ412" i="7"/>
  <c r="AE412" i="7"/>
  <c r="AD412" i="7"/>
  <c r="L412" i="7"/>
  <c r="AW412" i="7" s="1"/>
  <c r="I412" i="7"/>
  <c r="H412" i="7"/>
  <c r="J412" i="7" s="1"/>
  <c r="E412" i="7"/>
  <c r="G412" i="7"/>
  <c r="D412" i="7"/>
  <c r="C412" i="7"/>
  <c r="B412" i="7"/>
  <c r="AN411" i="7"/>
  <c r="BA411" i="7"/>
  <c r="AZ411" i="7"/>
  <c r="AE411" i="7"/>
  <c r="AD411" i="7"/>
  <c r="L411" i="7"/>
  <c r="AW411" i="7" s="1"/>
  <c r="I411" i="7"/>
  <c r="J411" i="7" s="1"/>
  <c r="H411" i="7"/>
  <c r="E411" i="7"/>
  <c r="G411" i="7"/>
  <c r="D411" i="7"/>
  <c r="C411" i="7"/>
  <c r="B411" i="7"/>
  <c r="BA410" i="7"/>
  <c r="AZ410" i="7"/>
  <c r="AE410" i="7"/>
  <c r="AD410" i="7"/>
  <c r="L410" i="7"/>
  <c r="AW410" i="7" s="1"/>
  <c r="J410" i="7"/>
  <c r="E410" i="7"/>
  <c r="G410" i="7"/>
  <c r="D410" i="7"/>
  <c r="C410" i="7"/>
  <c r="B410" i="7"/>
  <c r="G408" i="7"/>
  <c r="E408" i="7"/>
  <c r="D408" i="7"/>
  <c r="C408" i="7"/>
  <c r="B408" i="7"/>
  <c r="G407" i="7"/>
  <c r="E407" i="7"/>
  <c r="D407" i="7"/>
  <c r="C407" i="7"/>
  <c r="B407" i="7"/>
  <c r="G406" i="7"/>
  <c r="E406" i="7"/>
  <c r="D406" i="7"/>
  <c r="C406" i="7"/>
  <c r="B406" i="7"/>
  <c r="G405" i="7"/>
  <c r="E405" i="7"/>
  <c r="D405" i="7"/>
  <c r="C405" i="7"/>
  <c r="B405" i="7"/>
  <c r="L404" i="7"/>
  <c r="J404" i="7"/>
  <c r="G404" i="7"/>
  <c r="L403" i="7"/>
  <c r="J403" i="7"/>
  <c r="G403" i="7"/>
  <c r="L402" i="7"/>
  <c r="L401" i="7" s="1"/>
  <c r="AW417" i="7" s="1"/>
  <c r="I402" i="7"/>
  <c r="J402" i="7" s="1"/>
  <c r="H402" i="7"/>
  <c r="G402" i="7"/>
  <c r="L400" i="7"/>
  <c r="J400" i="7"/>
  <c r="E400" i="7"/>
  <c r="L399" i="7"/>
  <c r="J399" i="7"/>
  <c r="G399" i="7"/>
  <c r="L398" i="7"/>
  <c r="J398" i="7"/>
  <c r="E398" i="7"/>
  <c r="L397" i="7"/>
  <c r="J397" i="7"/>
  <c r="I397" i="7"/>
  <c r="H397" i="7"/>
  <c r="G397" i="7"/>
  <c r="L396" i="7"/>
  <c r="J396" i="7"/>
  <c r="E396" i="7"/>
  <c r="L395" i="7"/>
  <c r="J395" i="7"/>
  <c r="G395" i="7"/>
  <c r="L394" i="7"/>
  <c r="J394" i="7"/>
  <c r="E394" i="7"/>
  <c r="L393" i="7"/>
  <c r="I393" i="7"/>
  <c r="H393" i="7"/>
  <c r="J393" i="7" s="1"/>
  <c r="G393" i="7"/>
  <c r="L390" i="7"/>
  <c r="L389" i="7" s="1"/>
  <c r="J390" i="7"/>
  <c r="G390" i="7"/>
  <c r="C388" i="7"/>
  <c r="E387" i="7"/>
  <c r="G387" i="7"/>
  <c r="G398" i="7" s="1"/>
  <c r="D387" i="7"/>
  <c r="C387" i="7"/>
  <c r="AE386" i="7"/>
  <c r="AD386" i="7"/>
  <c r="G385" i="7"/>
  <c r="E385" i="7"/>
  <c r="G384" i="7"/>
  <c r="E384" i="7"/>
  <c r="L381" i="7"/>
  <c r="I381" i="7"/>
  <c r="H381" i="7"/>
  <c r="J381" i="7" s="1"/>
  <c r="G381" i="7"/>
  <c r="L380" i="7"/>
  <c r="I380" i="7"/>
  <c r="H380" i="7"/>
  <c r="J380" i="7" s="1"/>
  <c r="G380" i="7"/>
  <c r="L379" i="7"/>
  <c r="I379" i="7"/>
  <c r="H379" i="7"/>
  <c r="G379" i="7"/>
  <c r="L378" i="7"/>
  <c r="I378" i="7"/>
  <c r="J378" i="7" s="1"/>
  <c r="H378" i="7"/>
  <c r="G378" i="7"/>
  <c r="L377" i="7"/>
  <c r="J377" i="7"/>
  <c r="G377" i="7"/>
  <c r="L376" i="7"/>
  <c r="L375" i="7" s="1"/>
  <c r="AW386" i="7" s="1"/>
  <c r="I376" i="7"/>
  <c r="H376" i="7"/>
  <c r="G376" i="7"/>
  <c r="L368" i="7"/>
  <c r="L374" i="7"/>
  <c r="I374" i="7"/>
  <c r="H374" i="7"/>
  <c r="G374" i="7"/>
  <c r="L373" i="7"/>
  <c r="J373" i="7"/>
  <c r="E373" i="7"/>
  <c r="L372" i="7"/>
  <c r="J372" i="7"/>
  <c r="G372" i="7"/>
  <c r="L371" i="7"/>
  <c r="I371" i="7"/>
  <c r="H371" i="7"/>
  <c r="J371" i="7" s="1"/>
  <c r="G371" i="7"/>
  <c r="L370" i="7"/>
  <c r="J370" i="7"/>
  <c r="E370" i="7"/>
  <c r="L369" i="7"/>
  <c r="I369" i="7"/>
  <c r="H369" i="7"/>
  <c r="J369" i="7" s="1"/>
  <c r="G369" i="7"/>
  <c r="L366" i="7"/>
  <c r="L365" i="7" s="1"/>
  <c r="H366" i="7"/>
  <c r="G366" i="7"/>
  <c r="C364" i="7"/>
  <c r="E363" i="7"/>
  <c r="G363" i="7"/>
  <c r="D363" i="7"/>
  <c r="C363" i="7"/>
  <c r="AE362" i="7"/>
  <c r="AD362" i="7"/>
  <c r="G361" i="7"/>
  <c r="E361" i="7"/>
  <c r="G360" i="7"/>
  <c r="E360" i="7"/>
  <c r="BA358" i="7"/>
  <c r="AZ358" i="7"/>
  <c r="AE358" i="7"/>
  <c r="AD358" i="7"/>
  <c r="L358" i="7"/>
  <c r="AW358" i="7" s="1"/>
  <c r="I358" i="7"/>
  <c r="H358" i="7"/>
  <c r="J358" i="7" s="1"/>
  <c r="E358" i="7"/>
  <c r="G358" i="7"/>
  <c r="D358" i="7"/>
  <c r="C358" i="7"/>
  <c r="B358" i="7"/>
  <c r="G356" i="7"/>
  <c r="E356" i="7"/>
  <c r="D356" i="7"/>
  <c r="C356" i="7"/>
  <c r="B356" i="7"/>
  <c r="L355" i="7"/>
  <c r="J355" i="7"/>
  <c r="G355" i="7"/>
  <c r="L354" i="7"/>
  <c r="I354" i="7"/>
  <c r="H354" i="7"/>
  <c r="G354" i="7"/>
  <c r="L353" i="7"/>
  <c r="L352" i="7" s="1"/>
  <c r="AW362" i="7" s="1"/>
  <c r="I353" i="7"/>
  <c r="H353" i="7"/>
  <c r="G353" i="7"/>
  <c r="L351" i="7"/>
  <c r="J351" i="7"/>
  <c r="G351" i="7"/>
  <c r="L350" i="7"/>
  <c r="J350" i="7"/>
  <c r="E350" i="7"/>
  <c r="L349" i="7"/>
  <c r="J349" i="7"/>
  <c r="G349" i="7"/>
  <c r="L348" i="7"/>
  <c r="L346" i="7" s="1"/>
  <c r="J348" i="7"/>
  <c r="E348" i="7"/>
  <c r="L347" i="7"/>
  <c r="J347" i="7"/>
  <c r="G347" i="7"/>
  <c r="L343" i="7"/>
  <c r="AR362" i="7" s="1"/>
  <c r="L344" i="7"/>
  <c r="H344" i="7"/>
  <c r="G344" i="7"/>
  <c r="E342" i="7"/>
  <c r="G342" i="7"/>
  <c r="G350" i="7" s="1"/>
  <c r="D342" i="7"/>
  <c r="C342" i="7"/>
  <c r="AE341" i="7"/>
  <c r="AD341" i="7"/>
  <c r="G340" i="7"/>
  <c r="E340" i="7"/>
  <c r="G339" i="7"/>
  <c r="E339" i="7"/>
  <c r="AN337" i="7"/>
  <c r="BA337" i="7"/>
  <c r="AZ337" i="7"/>
  <c r="AE337" i="7"/>
  <c r="AD337" i="7"/>
  <c r="L337" i="7"/>
  <c r="AW337" i="7" s="1"/>
  <c r="I337" i="7"/>
  <c r="H337" i="7"/>
  <c r="J337" i="7" s="1"/>
  <c r="E337" i="7"/>
  <c r="G337" i="7"/>
  <c r="D337" i="7"/>
  <c r="C337" i="7"/>
  <c r="B337" i="7"/>
  <c r="BA336" i="7"/>
  <c r="AZ336" i="7"/>
  <c r="AE336" i="7"/>
  <c r="AD336" i="7"/>
  <c r="L336" i="7"/>
  <c r="AW336" i="7" s="1"/>
  <c r="I336" i="7"/>
  <c r="H336" i="7"/>
  <c r="E336" i="7"/>
  <c r="G336" i="7"/>
  <c r="D336" i="7"/>
  <c r="C336" i="7"/>
  <c r="B336" i="7"/>
  <c r="AN335" i="7"/>
  <c r="BA335" i="7"/>
  <c r="AZ335" i="7"/>
  <c r="AE335" i="7"/>
  <c r="AD335" i="7"/>
  <c r="L335" i="7"/>
  <c r="AW335" i="7" s="1"/>
  <c r="J335" i="7"/>
  <c r="E335" i="7"/>
  <c r="G335" i="7"/>
  <c r="D335" i="7"/>
  <c r="C335" i="7"/>
  <c r="B335" i="7"/>
  <c r="G333" i="7"/>
  <c r="E333" i="7"/>
  <c r="D333" i="7"/>
  <c r="C333" i="7"/>
  <c r="B333" i="7"/>
  <c r="G332" i="7"/>
  <c r="E332" i="7"/>
  <c r="D332" i="7"/>
  <c r="C332" i="7"/>
  <c r="B332" i="7"/>
  <c r="G331" i="7"/>
  <c r="E331" i="7"/>
  <c r="D331" i="7"/>
  <c r="C331" i="7"/>
  <c r="B331" i="7"/>
  <c r="L330" i="7"/>
  <c r="I330" i="7"/>
  <c r="H330" i="7"/>
  <c r="J330" i="7" s="1"/>
  <c r="G330" i="7"/>
  <c r="L329" i="7"/>
  <c r="I329" i="7"/>
  <c r="H329" i="7"/>
  <c r="G329" i="7"/>
  <c r="L328" i="7"/>
  <c r="I328" i="7"/>
  <c r="H328" i="7"/>
  <c r="J328" i="7" s="1"/>
  <c r="G328" i="7"/>
  <c r="L327" i="7"/>
  <c r="I327" i="7"/>
  <c r="H327" i="7"/>
  <c r="G327" i="7"/>
  <c r="L326" i="7"/>
  <c r="I326" i="7"/>
  <c r="H326" i="7"/>
  <c r="G326" i="7"/>
  <c r="L324" i="7"/>
  <c r="J324" i="7"/>
  <c r="E324" i="7"/>
  <c r="L323" i="7"/>
  <c r="J323" i="7"/>
  <c r="G323" i="7"/>
  <c r="L322" i="7"/>
  <c r="I322" i="7"/>
  <c r="H322" i="7"/>
  <c r="J322" i="7" s="1"/>
  <c r="G322" i="7"/>
  <c r="L321" i="7"/>
  <c r="I321" i="7"/>
  <c r="H321" i="7"/>
  <c r="J321" i="7" s="1"/>
  <c r="G321" i="7"/>
  <c r="L320" i="7"/>
  <c r="J320" i="7"/>
  <c r="E320" i="7"/>
  <c r="G320" i="7" s="1"/>
  <c r="L319" i="7"/>
  <c r="J319" i="7"/>
  <c r="G319" i="7"/>
  <c r="L316" i="7"/>
  <c r="L315" i="7" s="1"/>
  <c r="AR341" i="7" s="1"/>
  <c r="J316" i="7"/>
  <c r="G316" i="7"/>
  <c r="E314" i="7"/>
  <c r="G314" i="7"/>
  <c r="D314" i="7"/>
  <c r="C314" i="7"/>
  <c r="AE313" i="7"/>
  <c r="AD313" i="7"/>
  <c r="G312" i="7"/>
  <c r="E312" i="7"/>
  <c r="G311" i="7"/>
  <c r="E311" i="7"/>
  <c r="L308" i="7"/>
  <c r="I308" i="7"/>
  <c r="H308" i="7"/>
  <c r="G308" i="7"/>
  <c r="L307" i="7"/>
  <c r="I307" i="7"/>
  <c r="H307" i="7"/>
  <c r="J307" i="7" s="1"/>
  <c r="G307" i="7"/>
  <c r="L302" i="7"/>
  <c r="AT313" i="7" s="1"/>
  <c r="L305" i="7"/>
  <c r="I305" i="7"/>
  <c r="H305" i="7"/>
  <c r="J305" i="7" s="1"/>
  <c r="G305" i="7"/>
  <c r="L304" i="7"/>
  <c r="I304" i="7"/>
  <c r="H304" i="7"/>
  <c r="G304" i="7"/>
  <c r="L303" i="7"/>
  <c r="I303" i="7"/>
  <c r="H303" i="7"/>
  <c r="J303" i="7" s="1"/>
  <c r="G303" i="7"/>
  <c r="L300" i="7"/>
  <c r="L299" i="7" s="1"/>
  <c r="H300" i="7"/>
  <c r="G300" i="7"/>
  <c r="C298" i="7"/>
  <c r="E297" i="7"/>
  <c r="G297" i="7"/>
  <c r="D297" i="7"/>
  <c r="C297" i="7"/>
  <c r="AW296" i="7"/>
  <c r="AE296" i="7"/>
  <c r="AD296" i="7"/>
  <c r="G295" i="7"/>
  <c r="E295" i="7"/>
  <c r="G294" i="7"/>
  <c r="E294" i="7"/>
  <c r="AW292" i="7"/>
  <c r="BA292" i="7"/>
  <c r="AZ292" i="7"/>
  <c r="AE292" i="7"/>
  <c r="AD292" i="7"/>
  <c r="L292" i="7"/>
  <c r="AN292" i="7" s="1"/>
  <c r="H292" i="7"/>
  <c r="E292" i="7"/>
  <c r="G292" i="7"/>
  <c r="D292" i="7"/>
  <c r="C292" i="7"/>
  <c r="B292" i="7"/>
  <c r="L290" i="7"/>
  <c r="L288" i="7" s="1"/>
  <c r="J290" i="7"/>
  <c r="E290" i="7"/>
  <c r="L289" i="7"/>
  <c r="I289" i="7"/>
  <c r="H289" i="7"/>
  <c r="J289" i="7" s="1"/>
  <c r="G289" i="7"/>
  <c r="L286" i="7"/>
  <c r="L285" i="7" s="1"/>
  <c r="H286" i="7"/>
  <c r="G286" i="7"/>
  <c r="C284" i="7"/>
  <c r="E283" i="7"/>
  <c r="G283" i="7"/>
  <c r="D283" i="7"/>
  <c r="C283" i="7"/>
  <c r="L277" i="7"/>
  <c r="L276" i="7"/>
  <c r="L274" i="7"/>
  <c r="L273" i="7"/>
  <c r="L271" i="7" s="1"/>
  <c r="L266" i="7"/>
  <c r="L262" i="7"/>
  <c r="AU252" i="7"/>
  <c r="AS252" i="7"/>
  <c r="AP252" i="7"/>
  <c r="BA252" i="7"/>
  <c r="AZ252" i="7"/>
  <c r="AE252" i="7"/>
  <c r="AD252" i="7"/>
  <c r="L251" i="7"/>
  <c r="K252" i="7" s="1"/>
  <c r="J251" i="7"/>
  <c r="E251" i="7"/>
  <c r="I252" i="7" s="1"/>
  <c r="G251" i="7"/>
  <c r="D251" i="7"/>
  <c r="C251" i="7"/>
  <c r="AU250" i="7"/>
  <c r="AS250" i="7"/>
  <c r="AP250" i="7"/>
  <c r="BA250" i="7"/>
  <c r="AZ250" i="7"/>
  <c r="AE250" i="7"/>
  <c r="AD250" i="7"/>
  <c r="L249" i="7"/>
  <c r="AN250" i="7" s="1"/>
  <c r="J249" i="7"/>
  <c r="E249" i="7"/>
  <c r="G249" i="7"/>
  <c r="D249" i="7"/>
  <c r="C249" i="7"/>
  <c r="AE248" i="7"/>
  <c r="AD248" i="7"/>
  <c r="G247" i="7"/>
  <c r="E247" i="7"/>
  <c r="G246" i="7"/>
  <c r="E246" i="7"/>
  <c r="AN244" i="7"/>
  <c r="BA244" i="7"/>
  <c r="AZ244" i="7"/>
  <c r="AE244" i="7"/>
  <c r="AD244" i="7"/>
  <c r="L244" i="7"/>
  <c r="AW244" i="7" s="1"/>
  <c r="I244" i="7"/>
  <c r="H244" i="7"/>
  <c r="E244" i="7"/>
  <c r="G244" i="7"/>
  <c r="D244" i="7"/>
  <c r="C244" i="7"/>
  <c r="B244" i="7"/>
  <c r="G242" i="7"/>
  <c r="E242" i="7"/>
  <c r="D242" i="7"/>
  <c r="C242" i="7"/>
  <c r="B242" i="7"/>
  <c r="L239" i="7"/>
  <c r="AW248" i="7" s="1"/>
  <c r="L241" i="7"/>
  <c r="I241" i="7"/>
  <c r="H241" i="7"/>
  <c r="J241" i="7" s="1"/>
  <c r="G241" i="7"/>
  <c r="L240" i="7"/>
  <c r="I240" i="7"/>
  <c r="H240" i="7"/>
  <c r="G240" i="7"/>
  <c r="L238" i="7"/>
  <c r="I238" i="7"/>
  <c r="H238" i="7"/>
  <c r="G238" i="7"/>
  <c r="L237" i="7"/>
  <c r="I237" i="7"/>
  <c r="H237" i="7"/>
  <c r="J237" i="7" s="1"/>
  <c r="G237" i="7"/>
  <c r="L236" i="7"/>
  <c r="L233" i="7" s="1"/>
  <c r="J236" i="7"/>
  <c r="E236" i="7"/>
  <c r="L235" i="7"/>
  <c r="J235" i="7"/>
  <c r="G235" i="7"/>
  <c r="L234" i="7"/>
  <c r="I234" i="7"/>
  <c r="H234" i="7"/>
  <c r="G234" i="7"/>
  <c r="L231" i="7"/>
  <c r="L230" i="7" s="1"/>
  <c r="J231" i="7"/>
  <c r="G231" i="7"/>
  <c r="C229" i="7"/>
  <c r="E228" i="7"/>
  <c r="G228" i="7"/>
  <c r="D228" i="7"/>
  <c r="C228" i="7"/>
  <c r="AE227" i="7"/>
  <c r="AD227" i="7"/>
  <c r="G226" i="7"/>
  <c r="E226" i="7"/>
  <c r="G225" i="7"/>
  <c r="E225" i="7"/>
  <c r="BA223" i="7"/>
  <c r="AZ223" i="7"/>
  <c r="AE223" i="7"/>
  <c r="AD223" i="7"/>
  <c r="L223" i="7"/>
  <c r="AW223" i="7" s="1"/>
  <c r="H223" i="7"/>
  <c r="E223" i="7"/>
  <c r="G223" i="7"/>
  <c r="D223" i="7"/>
  <c r="C223" i="7"/>
  <c r="B223" i="7"/>
  <c r="L221" i="7"/>
  <c r="L219" i="7" s="1"/>
  <c r="AW227" i="7" s="1"/>
  <c r="I221" i="7"/>
  <c r="H221" i="7"/>
  <c r="G221" i="7"/>
  <c r="L220" i="7"/>
  <c r="I220" i="7"/>
  <c r="H220" i="7"/>
  <c r="J220" i="7" s="1"/>
  <c r="G220" i="7"/>
  <c r="L218" i="7"/>
  <c r="L215" i="7" s="1"/>
  <c r="J218" i="7"/>
  <c r="E218" i="7"/>
  <c r="L217" i="7"/>
  <c r="J217" i="7"/>
  <c r="G217" i="7"/>
  <c r="L216" i="7"/>
  <c r="I216" i="7"/>
  <c r="H216" i="7"/>
  <c r="J216" i="7" s="1"/>
  <c r="G216" i="7"/>
  <c r="L213" i="7"/>
  <c r="L212" i="7" s="1"/>
  <c r="H213" i="7"/>
  <c r="G213" i="7"/>
  <c r="C211" i="7"/>
  <c r="E210" i="7"/>
  <c r="G210" i="7"/>
  <c r="G218" i="7" s="1"/>
  <c r="D210" i="7"/>
  <c r="C210" i="7"/>
  <c r="AT209" i="7"/>
  <c r="AO209" i="7"/>
  <c r="AE209" i="7"/>
  <c r="AD209" i="7"/>
  <c r="G208" i="7"/>
  <c r="E208" i="7"/>
  <c r="G207" i="7"/>
  <c r="E207" i="7"/>
  <c r="BA205" i="7"/>
  <c r="AZ205" i="7"/>
  <c r="AE205" i="7"/>
  <c r="AD205" i="7"/>
  <c r="L205" i="7"/>
  <c r="AN205" i="7" s="1"/>
  <c r="I205" i="7"/>
  <c r="H205" i="7"/>
  <c r="J205" i="7" s="1"/>
  <c r="E205" i="7"/>
  <c r="G205" i="7"/>
  <c r="D205" i="7"/>
  <c r="C205" i="7"/>
  <c r="B205" i="7"/>
  <c r="G203" i="7"/>
  <c r="E203" i="7"/>
  <c r="D203" i="7"/>
  <c r="C203" i="7"/>
  <c r="B203" i="7"/>
  <c r="L202" i="7"/>
  <c r="I202" i="7"/>
  <c r="J202" i="7" s="1"/>
  <c r="H202" i="7"/>
  <c r="G202" i="7"/>
  <c r="L201" i="7"/>
  <c r="L200" i="7" s="1"/>
  <c r="AW209" i="7" s="1"/>
  <c r="J201" i="7"/>
  <c r="G201" i="7"/>
  <c r="L198" i="7"/>
  <c r="L199" i="7"/>
  <c r="J199" i="7"/>
  <c r="G199" i="7"/>
  <c r="C197" i="7"/>
  <c r="E196" i="7"/>
  <c r="G196" i="7"/>
  <c r="D196" i="7"/>
  <c r="C196" i="7"/>
  <c r="AE195" i="7"/>
  <c r="AD195" i="7"/>
  <c r="G194" i="7"/>
  <c r="E194" i="7"/>
  <c r="G193" i="7"/>
  <c r="E193" i="7"/>
  <c r="BA191" i="7"/>
  <c r="AZ191" i="7"/>
  <c r="AE191" i="7"/>
  <c r="AD191" i="7"/>
  <c r="L191" i="7"/>
  <c r="AW191" i="7" s="1"/>
  <c r="I191" i="7"/>
  <c r="J191" i="7" s="1"/>
  <c r="H191" i="7"/>
  <c r="E191" i="7"/>
  <c r="G191" i="7"/>
  <c r="D191" i="7"/>
  <c r="C191" i="7"/>
  <c r="B191" i="7"/>
  <c r="BA190" i="7"/>
  <c r="AZ190" i="7"/>
  <c r="AE190" i="7"/>
  <c r="AD190" i="7"/>
  <c r="L190" i="7"/>
  <c r="AW190" i="7" s="1"/>
  <c r="I190" i="7"/>
  <c r="H190" i="7"/>
  <c r="E190" i="7"/>
  <c r="G190" i="7"/>
  <c r="D190" i="7"/>
  <c r="C190" i="7"/>
  <c r="B190" i="7"/>
  <c r="BA189" i="7"/>
  <c r="AZ189" i="7"/>
  <c r="AE189" i="7"/>
  <c r="AD189" i="7"/>
  <c r="L189" i="7"/>
  <c r="AW189" i="7" s="1"/>
  <c r="I189" i="7"/>
  <c r="J189" i="7" s="1"/>
  <c r="H189" i="7"/>
  <c r="E189" i="7"/>
  <c r="G189" i="7"/>
  <c r="D189" i="7"/>
  <c r="C189" i="7"/>
  <c r="B189" i="7"/>
  <c r="BA188" i="7"/>
  <c r="AZ188" i="7"/>
  <c r="AE188" i="7"/>
  <c r="AD188" i="7"/>
  <c r="L188" i="7"/>
  <c r="AW188" i="7" s="1"/>
  <c r="J188" i="7"/>
  <c r="E188" i="7"/>
  <c r="G188" i="7"/>
  <c r="D188" i="7"/>
  <c r="C188" i="7"/>
  <c r="B188" i="7"/>
  <c r="G186" i="7"/>
  <c r="E186" i="7"/>
  <c r="D186" i="7"/>
  <c r="C186" i="7"/>
  <c r="B186" i="7"/>
  <c r="G185" i="7"/>
  <c r="E185" i="7"/>
  <c r="D185" i="7"/>
  <c r="C185" i="7"/>
  <c r="B185" i="7"/>
  <c r="G184" i="7"/>
  <c r="E184" i="7"/>
  <c r="D184" i="7"/>
  <c r="C184" i="7"/>
  <c r="B184" i="7"/>
  <c r="G183" i="7"/>
  <c r="E183" i="7"/>
  <c r="D183" i="7"/>
  <c r="C183" i="7"/>
  <c r="B183" i="7"/>
  <c r="L182" i="7"/>
  <c r="J182" i="7"/>
  <c r="G182" i="7"/>
  <c r="L181" i="7"/>
  <c r="J181" i="7"/>
  <c r="G181" i="7"/>
  <c r="L180" i="7"/>
  <c r="L179" i="7" s="1"/>
  <c r="AW195" i="7" s="1"/>
  <c r="I180" i="7"/>
  <c r="H180" i="7"/>
  <c r="J180" i="7" s="1"/>
  <c r="G180" i="7"/>
  <c r="L178" i="7"/>
  <c r="J178" i="7"/>
  <c r="E178" i="7"/>
  <c r="L177" i="7"/>
  <c r="J177" i="7"/>
  <c r="G177" i="7"/>
  <c r="L176" i="7"/>
  <c r="J176" i="7"/>
  <c r="E176" i="7"/>
  <c r="L175" i="7"/>
  <c r="I175" i="7"/>
  <c r="H175" i="7"/>
  <c r="G175" i="7"/>
  <c r="L174" i="7"/>
  <c r="J174" i="7"/>
  <c r="E174" i="7"/>
  <c r="L173" i="7"/>
  <c r="J173" i="7"/>
  <c r="G173" i="7"/>
  <c r="L172" i="7"/>
  <c r="J172" i="7"/>
  <c r="E172" i="7"/>
  <c r="G172" i="7" s="1"/>
  <c r="L171" i="7"/>
  <c r="I171" i="7"/>
  <c r="H171" i="7"/>
  <c r="J171" i="7" s="1"/>
  <c r="G171" i="7"/>
  <c r="L167" i="7"/>
  <c r="L168" i="7"/>
  <c r="H168" i="7"/>
  <c r="G168" i="7"/>
  <c r="C166" i="7"/>
  <c r="E165" i="7"/>
  <c r="G165" i="7"/>
  <c r="G178" i="7" s="1"/>
  <c r="D165" i="7"/>
  <c r="C165" i="7"/>
  <c r="AE164" i="7"/>
  <c r="AD164" i="7"/>
  <c r="G163" i="7"/>
  <c r="E163" i="7"/>
  <c r="G162" i="7"/>
  <c r="E162" i="7"/>
  <c r="L159" i="7"/>
  <c r="I159" i="7"/>
  <c r="H159" i="7"/>
  <c r="G159" i="7"/>
  <c r="L158" i="7"/>
  <c r="I158" i="7"/>
  <c r="H158" i="7"/>
  <c r="J158" i="7" s="1"/>
  <c r="G158" i="7"/>
  <c r="L157" i="7"/>
  <c r="J157" i="7"/>
  <c r="I157" i="7"/>
  <c r="H157" i="7"/>
  <c r="G157" i="7"/>
  <c r="L156" i="7"/>
  <c r="I156" i="7"/>
  <c r="H156" i="7"/>
  <c r="G156" i="7"/>
  <c r="L155" i="7"/>
  <c r="J155" i="7"/>
  <c r="G155" i="7"/>
  <c r="L154" i="7"/>
  <c r="L153" i="7" s="1"/>
  <c r="AW164" i="7" s="1"/>
  <c r="I154" i="7"/>
  <c r="H154" i="7"/>
  <c r="G154" i="7"/>
  <c r="L152" i="7"/>
  <c r="I152" i="7"/>
  <c r="J152" i="7" s="1"/>
  <c r="H152" i="7"/>
  <c r="G152" i="7"/>
  <c r="L151" i="7"/>
  <c r="J151" i="7"/>
  <c r="E151" i="7"/>
  <c r="G151" i="7" s="1"/>
  <c r="L150" i="7"/>
  <c r="J150" i="7"/>
  <c r="G150" i="7"/>
  <c r="L149" i="7"/>
  <c r="I149" i="7"/>
  <c r="J149" i="7" s="1"/>
  <c r="H149" i="7"/>
  <c r="G149" i="7"/>
  <c r="L148" i="7"/>
  <c r="L146" i="7" s="1"/>
  <c r="J148" i="7"/>
  <c r="E148" i="7"/>
  <c r="G148" i="7" s="1"/>
  <c r="L147" i="7"/>
  <c r="I147" i="7"/>
  <c r="H147" i="7"/>
  <c r="J147" i="7" s="1"/>
  <c r="G147" i="7"/>
  <c r="L143" i="7"/>
  <c r="L144" i="7"/>
  <c r="J144" i="7"/>
  <c r="G144" i="7"/>
  <c r="C142" i="7"/>
  <c r="E141" i="7"/>
  <c r="G141" i="7"/>
  <c r="D141" i="7"/>
  <c r="C141" i="7"/>
  <c r="AE140" i="7"/>
  <c r="AD140" i="7"/>
  <c r="G139" i="7"/>
  <c r="E139" i="7"/>
  <c r="G138" i="7"/>
  <c r="E138" i="7"/>
  <c r="AN136" i="7"/>
  <c r="BA136" i="7"/>
  <c r="AZ136" i="7"/>
  <c r="AE136" i="7"/>
  <c r="AD136" i="7"/>
  <c r="L136" i="7"/>
  <c r="AW136" i="7" s="1"/>
  <c r="I136" i="7"/>
  <c r="H136" i="7"/>
  <c r="J136" i="7" s="1"/>
  <c r="E136" i="7"/>
  <c r="G136" i="7"/>
  <c r="D136" i="7"/>
  <c r="C136" i="7"/>
  <c r="B136" i="7"/>
  <c r="G134" i="7"/>
  <c r="E134" i="7"/>
  <c r="D134" i="7"/>
  <c r="C134" i="7"/>
  <c r="B134" i="7"/>
  <c r="L133" i="7"/>
  <c r="J133" i="7"/>
  <c r="G133" i="7"/>
  <c r="L132" i="7"/>
  <c r="I132" i="7"/>
  <c r="H132" i="7"/>
  <c r="J132" i="7" s="1"/>
  <c r="G132" i="7"/>
  <c r="L131" i="7"/>
  <c r="J131" i="7"/>
  <c r="I131" i="7"/>
  <c r="H131" i="7"/>
  <c r="G131" i="7"/>
  <c r="L129" i="7"/>
  <c r="J129" i="7"/>
  <c r="G129" i="7"/>
  <c r="L128" i="7"/>
  <c r="J128" i="7"/>
  <c r="E128" i="7"/>
  <c r="L127" i="7"/>
  <c r="J127" i="7"/>
  <c r="G127" i="7"/>
  <c r="L126" i="7"/>
  <c r="J126" i="7"/>
  <c r="E126" i="7"/>
  <c r="L125" i="7"/>
  <c r="J125" i="7"/>
  <c r="G125" i="7"/>
  <c r="L121" i="7"/>
  <c r="L122" i="7"/>
  <c r="J122" i="7"/>
  <c r="G122" i="7"/>
  <c r="E120" i="7"/>
  <c r="G120" i="7"/>
  <c r="G126" i="7" s="1"/>
  <c r="D120" i="7"/>
  <c r="C120" i="7"/>
  <c r="AE119" i="7"/>
  <c r="AD119" i="7"/>
  <c r="G118" i="7"/>
  <c r="E118" i="7"/>
  <c r="G117" i="7"/>
  <c r="E117" i="7"/>
  <c r="BA115" i="7"/>
  <c r="AZ115" i="7"/>
  <c r="AE115" i="7"/>
  <c r="AD115" i="7"/>
  <c r="L115" i="7"/>
  <c r="AW115" i="7" s="1"/>
  <c r="I115" i="7"/>
  <c r="H115" i="7"/>
  <c r="J115" i="7" s="1"/>
  <c r="E115" i="7"/>
  <c r="G115" i="7"/>
  <c r="D115" i="7"/>
  <c r="C115" i="7"/>
  <c r="B115" i="7"/>
  <c r="BA114" i="7"/>
  <c r="AZ114" i="7"/>
  <c r="AE114" i="7"/>
  <c r="AD114" i="7"/>
  <c r="L114" i="7"/>
  <c r="AN114" i="7" s="1"/>
  <c r="I114" i="7"/>
  <c r="H114" i="7"/>
  <c r="J114" i="7" s="1"/>
  <c r="E114" i="7"/>
  <c r="G114" i="7"/>
  <c r="D114" i="7"/>
  <c r="C114" i="7"/>
  <c r="B114" i="7"/>
  <c r="BA113" i="7"/>
  <c r="AZ113" i="7"/>
  <c r="AE113" i="7"/>
  <c r="AD113" i="7"/>
  <c r="L113" i="7"/>
  <c r="AW113" i="7" s="1"/>
  <c r="J113" i="7"/>
  <c r="E113" i="7"/>
  <c r="G113" i="7"/>
  <c r="D113" i="7"/>
  <c r="C113" i="7"/>
  <c r="B113" i="7"/>
  <c r="G111" i="7"/>
  <c r="E111" i="7"/>
  <c r="D111" i="7"/>
  <c r="C111" i="7"/>
  <c r="B111" i="7"/>
  <c r="G110" i="7"/>
  <c r="E110" i="7"/>
  <c r="D110" i="7"/>
  <c r="C110" i="7"/>
  <c r="B110" i="7"/>
  <c r="G109" i="7"/>
  <c r="E109" i="7"/>
  <c r="D109" i="7"/>
  <c r="C109" i="7"/>
  <c r="B109" i="7"/>
  <c r="L108" i="7"/>
  <c r="I108" i="7"/>
  <c r="H108" i="7"/>
  <c r="G108" i="7"/>
  <c r="L107" i="7"/>
  <c r="I107" i="7"/>
  <c r="H107" i="7"/>
  <c r="J107" i="7" s="1"/>
  <c r="G107" i="7"/>
  <c r="L106" i="7"/>
  <c r="I106" i="7"/>
  <c r="H106" i="7"/>
  <c r="G106" i="7"/>
  <c r="L105" i="7"/>
  <c r="L103" i="7" s="1"/>
  <c r="AW119" i="7" s="1"/>
  <c r="I105" i="7"/>
  <c r="H105" i="7"/>
  <c r="G105" i="7"/>
  <c r="L104" i="7"/>
  <c r="I104" i="7"/>
  <c r="J104" i="7" s="1"/>
  <c r="H104" i="7"/>
  <c r="G104" i="7"/>
  <c r="L102" i="7"/>
  <c r="J102" i="7"/>
  <c r="E102" i="7"/>
  <c r="G102" i="7" s="1"/>
  <c r="L101" i="7"/>
  <c r="J101" i="7"/>
  <c r="G101" i="7"/>
  <c r="L100" i="7"/>
  <c r="I100" i="7"/>
  <c r="J100" i="7" s="1"/>
  <c r="H100" i="7"/>
  <c r="G100" i="7"/>
  <c r="L99" i="7"/>
  <c r="I99" i="7"/>
  <c r="J99" i="7" s="1"/>
  <c r="H99" i="7"/>
  <c r="G99" i="7"/>
  <c r="L98" i="7"/>
  <c r="J98" i="7"/>
  <c r="E98" i="7"/>
  <c r="L97" i="7"/>
  <c r="J97" i="7"/>
  <c r="G97" i="7"/>
  <c r="L94" i="7"/>
  <c r="L93" i="7" s="1"/>
  <c r="H94" i="7"/>
  <c r="G94" i="7"/>
  <c r="E92" i="7"/>
  <c r="G92" i="7"/>
  <c r="D92" i="7"/>
  <c r="C92" i="7"/>
  <c r="AE91" i="7"/>
  <c r="AD91" i="7"/>
  <c r="G90" i="7"/>
  <c r="E90" i="7"/>
  <c r="G89" i="7"/>
  <c r="E89" i="7"/>
  <c r="L86" i="7"/>
  <c r="I86" i="7"/>
  <c r="H86" i="7"/>
  <c r="G86" i="7"/>
  <c r="L85" i="7"/>
  <c r="I85" i="7"/>
  <c r="H85" i="7"/>
  <c r="J85" i="7" s="1"/>
  <c r="G85" i="7"/>
  <c r="L80" i="7"/>
  <c r="AT91" i="7" s="1"/>
  <c r="L83" i="7"/>
  <c r="I83" i="7"/>
  <c r="H83" i="7"/>
  <c r="G83" i="7"/>
  <c r="L82" i="7"/>
  <c r="I82" i="7"/>
  <c r="H82" i="7"/>
  <c r="G82" i="7"/>
  <c r="L81" i="7"/>
  <c r="I81" i="7"/>
  <c r="H81" i="7"/>
  <c r="G81" i="7"/>
  <c r="L77" i="7"/>
  <c r="AR91" i="7" s="1"/>
  <c r="L88" i="7" s="1"/>
  <c r="L78" i="7"/>
  <c r="J78" i="7"/>
  <c r="G78" i="7"/>
  <c r="E76" i="7"/>
  <c r="G76" i="7"/>
  <c r="D76" i="7"/>
  <c r="C76" i="7"/>
  <c r="AW75" i="7"/>
  <c r="AE75" i="7"/>
  <c r="AD75" i="7"/>
  <c r="G74" i="7"/>
  <c r="E74" i="7"/>
  <c r="G73" i="7"/>
  <c r="E73" i="7"/>
  <c r="AW71" i="7"/>
  <c r="BA71" i="7"/>
  <c r="AZ71" i="7"/>
  <c r="AE71" i="7"/>
  <c r="AD71" i="7"/>
  <c r="L71" i="7"/>
  <c r="AN71" i="7" s="1"/>
  <c r="H71" i="7"/>
  <c r="E71" i="7"/>
  <c r="G71" i="7"/>
  <c r="D71" i="7"/>
  <c r="C71" i="7"/>
  <c r="B71" i="7"/>
  <c r="L67" i="7"/>
  <c r="AT75" i="7" s="1"/>
  <c r="L66" i="7"/>
  <c r="AO75" i="7" s="1"/>
  <c r="L69" i="7"/>
  <c r="J69" i="7"/>
  <c r="E69" i="7"/>
  <c r="L68" i="7"/>
  <c r="I68" i="7"/>
  <c r="J68" i="7" s="1"/>
  <c r="H68" i="7"/>
  <c r="G68" i="7"/>
  <c r="L65" i="7"/>
  <c r="L64" i="7" s="1"/>
  <c r="H65" i="7"/>
  <c r="G65" i="7"/>
  <c r="C63" i="7"/>
  <c r="E62" i="7"/>
  <c r="G62" i="7"/>
  <c r="D62" i="7"/>
  <c r="C62" i="7"/>
  <c r="F24" i="7"/>
  <c r="F22" i="7"/>
  <c r="CO14" i="7"/>
  <c r="F14" i="7"/>
  <c r="CO12" i="7"/>
  <c r="F12" i="7"/>
  <c r="H6" i="7"/>
  <c r="B6" i="7"/>
  <c r="A1" i="7"/>
  <c r="L426" i="7" l="1"/>
  <c r="AR431" i="7"/>
  <c r="L428" i="7" s="1"/>
  <c r="L96" i="7"/>
  <c r="AT119" i="7" s="1"/>
  <c r="J108" i="7"/>
  <c r="L124" i="7"/>
  <c r="AT140" i="7" s="1"/>
  <c r="J156" i="7"/>
  <c r="J175" i="7"/>
  <c r="AN190" i="7"/>
  <c r="J234" i="7"/>
  <c r="G236" i="7"/>
  <c r="J240" i="7"/>
  <c r="J244" i="7"/>
  <c r="G290" i="7"/>
  <c r="J304" i="7"/>
  <c r="L318" i="7"/>
  <c r="L317" i="7" s="1"/>
  <c r="AO341" i="7" s="1"/>
  <c r="J329" i="7"/>
  <c r="J353" i="7"/>
  <c r="J374" i="7"/>
  <c r="G396" i="7"/>
  <c r="AN410" i="7"/>
  <c r="AN413" i="7"/>
  <c r="J480" i="7"/>
  <c r="J483" i="7"/>
  <c r="G527" i="7"/>
  <c r="G531" i="7"/>
  <c r="AN544" i="7"/>
  <c r="J615" i="7"/>
  <c r="J621" i="7"/>
  <c r="J629" i="7"/>
  <c r="AN629" i="7"/>
  <c r="AN643" i="7"/>
  <c r="L678" i="7"/>
  <c r="AW687" i="7" s="1"/>
  <c r="K726" i="7"/>
  <c r="I726" i="7" s="1"/>
  <c r="L777" i="7"/>
  <c r="L809" i="7"/>
  <c r="J862" i="7"/>
  <c r="G865" i="7"/>
  <c r="J930" i="7"/>
  <c r="L939" i="7"/>
  <c r="L950" i="7" s="1"/>
  <c r="J947" i="7"/>
  <c r="J981" i="7"/>
  <c r="L980" i="7"/>
  <c r="AT999" i="7" s="1"/>
  <c r="L996" i="7" s="1"/>
  <c r="J988" i="7"/>
  <c r="J992" i="7"/>
  <c r="BB1003" i="7"/>
  <c r="L1018" i="7" s="1"/>
  <c r="G324" i="7"/>
  <c r="J81" i="7"/>
  <c r="L79" i="7"/>
  <c r="AO91" i="7" s="1"/>
  <c r="J86" i="7"/>
  <c r="L130" i="7"/>
  <c r="AW140" i="7" s="1"/>
  <c r="J159" i="7"/>
  <c r="G174" i="7"/>
  <c r="J308" i="7"/>
  <c r="L325" i="7"/>
  <c r="AW341" i="7" s="1"/>
  <c r="G400" i="7"/>
  <c r="AN724" i="7"/>
  <c r="J828" i="7"/>
  <c r="L924" i="7"/>
  <c r="AW934" i="7" s="1"/>
  <c r="J995" i="7"/>
  <c r="G176" i="7"/>
  <c r="J238" i="7"/>
  <c r="L301" i="7"/>
  <c r="AO313" i="7" s="1"/>
  <c r="L495" i="7"/>
  <c r="AO504" i="7" s="1"/>
  <c r="L525" i="7"/>
  <c r="L534" i="7"/>
  <c r="AW549" i="7" s="1"/>
  <c r="J562" i="7"/>
  <c r="G616" i="7"/>
  <c r="G641" i="7"/>
  <c r="L654" i="7"/>
  <c r="AT672" i="7" s="1"/>
  <c r="G658" i="7"/>
  <c r="K724" i="7"/>
  <c r="J820" i="7"/>
  <c r="L871" i="7"/>
  <c r="AN879" i="7"/>
  <c r="J944" i="7"/>
  <c r="L961" i="7"/>
  <c r="AT974" i="7" s="1"/>
  <c r="L971" i="7" s="1"/>
  <c r="L966" i="7"/>
  <c r="AW974" i="7" s="1"/>
  <c r="J986" i="7"/>
  <c r="L1022" i="7"/>
  <c r="G69" i="7"/>
  <c r="G98" i="7"/>
  <c r="J106" i="7"/>
  <c r="L145" i="7"/>
  <c r="AT164" i="7"/>
  <c r="L170" i="7"/>
  <c r="BB250" i="7"/>
  <c r="J327" i="7"/>
  <c r="J336" i="7"/>
  <c r="L392" i="7"/>
  <c r="L391" i="7" s="1"/>
  <c r="AO417" i="7" s="1"/>
  <c r="AN412" i="7"/>
  <c r="J478" i="7"/>
  <c r="J530" i="7"/>
  <c r="J557" i="7"/>
  <c r="L556" i="7"/>
  <c r="J626" i="7"/>
  <c r="L659" i="7"/>
  <c r="AW672" i="7" s="1"/>
  <c r="L860" i="7"/>
  <c r="AO874" i="7" s="1"/>
  <c r="K879" i="7"/>
  <c r="I879" i="7" s="1"/>
  <c r="BB1001" i="7"/>
  <c r="J83" i="7"/>
  <c r="J105" i="7"/>
  <c r="J154" i="7"/>
  <c r="AN188" i="7"/>
  <c r="J190" i="7"/>
  <c r="J221" i="7"/>
  <c r="L306" i="7"/>
  <c r="AW313" i="7" s="1"/>
  <c r="J326" i="7"/>
  <c r="G348" i="7"/>
  <c r="J354" i="7"/>
  <c r="J376" i="7"/>
  <c r="J379" i="7"/>
  <c r="G394" i="7"/>
  <c r="J427" i="7"/>
  <c r="L450" i="7"/>
  <c r="AN543" i="7"/>
  <c r="L561" i="7"/>
  <c r="AW574" i="7" s="1"/>
  <c r="AN568" i="7"/>
  <c r="AN569" i="7"/>
  <c r="I724" i="7"/>
  <c r="G825" i="7"/>
  <c r="J941" i="7"/>
  <c r="J948" i="7"/>
  <c r="L1061" i="7"/>
  <c r="L1129" i="7"/>
  <c r="L1059" i="7"/>
  <c r="L70" i="7"/>
  <c r="AR75" i="7"/>
  <c r="AR227" i="7"/>
  <c r="L224" i="7" s="1"/>
  <c r="J82" i="7"/>
  <c r="AT296" i="7"/>
  <c r="L287" i="7"/>
  <c r="AO296" i="7" s="1"/>
  <c r="AR417" i="7"/>
  <c r="AR574" i="7"/>
  <c r="L818" i="7"/>
  <c r="AT835" i="7"/>
  <c r="L888" i="7" s="1"/>
  <c r="AW114" i="7"/>
  <c r="G128" i="7"/>
  <c r="L123" i="7"/>
  <c r="AO140" i="7" s="1"/>
  <c r="AW205" i="7"/>
  <c r="L1052" i="7" s="1"/>
  <c r="L1050" i="7" s="1"/>
  <c r="L367" i="7"/>
  <c r="AO386" i="7" s="1"/>
  <c r="AT386" i="7"/>
  <c r="AR490" i="7"/>
  <c r="AN951" i="7"/>
  <c r="AW951" i="7"/>
  <c r="L204" i="7"/>
  <c r="AR209" i="7"/>
  <c r="L206" i="7" s="1"/>
  <c r="AR140" i="7"/>
  <c r="L137" i="7" s="1"/>
  <c r="AT195" i="7"/>
  <c r="L169" i="7"/>
  <c r="AO195" i="7" s="1"/>
  <c r="AT227" i="7"/>
  <c r="L214" i="7"/>
  <c r="AO227" i="7" s="1"/>
  <c r="G373" i="7"/>
  <c r="G370" i="7"/>
  <c r="AR386" i="7"/>
  <c r="AR934" i="7"/>
  <c r="G921" i="7"/>
  <c r="AR119" i="7"/>
  <c r="AO164" i="7"/>
  <c r="L309" i="7"/>
  <c r="AR313" i="7"/>
  <c r="L310" i="7" s="1"/>
  <c r="L345" i="7"/>
  <c r="AT362" i="7"/>
  <c r="L359" i="7" s="1"/>
  <c r="L382" i="7"/>
  <c r="AT490" i="7"/>
  <c r="L470" i="7"/>
  <c r="AO490" i="7" s="1"/>
  <c r="AR518" i="7"/>
  <c r="L653" i="7"/>
  <c r="AO672" i="7" s="1"/>
  <c r="AR248" i="7"/>
  <c r="L84" i="7"/>
  <c r="AW91" i="7" s="1"/>
  <c r="AT248" i="7"/>
  <c r="L232" i="7"/>
  <c r="AO248" i="7" s="1"/>
  <c r="AR296" i="7"/>
  <c r="L291" i="7"/>
  <c r="AR164" i="7"/>
  <c r="K250" i="7"/>
  <c r="I250" i="7" s="1"/>
  <c r="J481" i="7"/>
  <c r="AT633" i="7"/>
  <c r="L613" i="7"/>
  <c r="AO633" i="7" s="1"/>
  <c r="L619" i="7"/>
  <c r="AW633" i="7" s="1"/>
  <c r="L700" i="7" s="1"/>
  <c r="L698" i="7" s="1"/>
  <c r="AT854" i="7"/>
  <c r="AR955" i="7"/>
  <c r="L952" i="7" s="1"/>
  <c r="L1092" i="7"/>
  <c r="AN189" i="7"/>
  <c r="AN191" i="7"/>
  <c r="AN223" i="7"/>
  <c r="BB252" i="7"/>
  <c r="AN336" i="7"/>
  <c r="AW427" i="7"/>
  <c r="L476" i="7"/>
  <c r="AW490" i="7" s="1"/>
  <c r="L587" i="7" s="1"/>
  <c r="L585" i="7" s="1"/>
  <c r="L524" i="7"/>
  <c r="AT549" i="7"/>
  <c r="AT647" i="7"/>
  <c r="L638" i="7"/>
  <c r="AO647" i="7" s="1"/>
  <c r="L741" i="7"/>
  <c r="L728" i="7" s="1"/>
  <c r="L752" i="7" s="1"/>
  <c r="L773" i="7"/>
  <c r="L797" i="7"/>
  <c r="L1135" i="7"/>
  <c r="L907" i="7"/>
  <c r="L894" i="7"/>
  <c r="I1001" i="7"/>
  <c r="AN113" i="7"/>
  <c r="AN115" i="7"/>
  <c r="AN358" i="7"/>
  <c r="AR504" i="7"/>
  <c r="L501" i="7" s="1"/>
  <c r="L499" i="7"/>
  <c r="AN500" i="7"/>
  <c r="AT518" i="7"/>
  <c r="L509" i="7"/>
  <c r="AO518" i="7" s="1"/>
  <c r="AR854" i="7"/>
  <c r="L851" i="7" s="1"/>
  <c r="L849" i="7"/>
  <c r="L918" i="7"/>
  <c r="AO934" i="7" s="1"/>
  <c r="AT934" i="7"/>
  <c r="AW970" i="7"/>
  <c r="AR195" i="7"/>
  <c r="L192" i="7" s="1"/>
  <c r="AN252" i="7"/>
  <c r="AT574" i="7"/>
  <c r="L555" i="7"/>
  <c r="AO574" i="7" s="1"/>
  <c r="AR647" i="7"/>
  <c r="AR687" i="7"/>
  <c r="L684" i="7" s="1"/>
  <c r="L682" i="7"/>
  <c r="L869" i="7"/>
  <c r="L960" i="7"/>
  <c r="L979" i="7"/>
  <c r="L160" i="7"/>
  <c r="G473" i="7"/>
  <c r="G475" i="7"/>
  <c r="AR549" i="7"/>
  <c r="AR672" i="7"/>
  <c r="L799" i="7"/>
  <c r="L895" i="7"/>
  <c r="L807" i="7"/>
  <c r="L985" i="7"/>
  <c r="AW999" i="7" s="1"/>
  <c r="AW850" i="7"/>
  <c r="AN667" i="7"/>
  <c r="L830" i="7"/>
  <c r="AW870" i="7"/>
  <c r="AN1003" i="7"/>
  <c r="AR633" i="7"/>
  <c r="AN1001" i="7"/>
  <c r="AN798" i="7"/>
  <c r="AN808" i="7"/>
  <c r="AN930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1" i="3"/>
  <c r="Y1" i="3"/>
  <c r="CY1" i="3"/>
  <c r="CZ1" i="3"/>
  <c r="DA1" i="3"/>
  <c r="DB1" i="3"/>
  <c r="DC1" i="3"/>
  <c r="A2" i="3"/>
  <c r="Y2" i="3"/>
  <c r="CY2" i="3"/>
  <c r="CZ2" i="3"/>
  <c r="DB2" i="3" s="1"/>
  <c r="DA2" i="3"/>
  <c r="DC2" i="3"/>
  <c r="A3" i="3"/>
  <c r="Y3" i="3"/>
  <c r="CY3" i="3"/>
  <c r="CZ3" i="3"/>
  <c r="DA3" i="3"/>
  <c r="DB3" i="3"/>
  <c r="DC3" i="3"/>
  <c r="A4" i="3"/>
  <c r="Y4" i="3"/>
  <c r="CY4" i="3"/>
  <c r="CZ4" i="3"/>
  <c r="DA4" i="3"/>
  <c r="DB4" i="3"/>
  <c r="DC4" i="3"/>
  <c r="A5" i="3"/>
  <c r="Y5" i="3"/>
  <c r="CU5" i="3"/>
  <c r="CY5" i="3"/>
  <c r="CZ5" i="3"/>
  <c r="DA5" i="3"/>
  <c r="DB5" i="3"/>
  <c r="DC5" i="3"/>
  <c r="A6" i="3"/>
  <c r="Y6" i="3"/>
  <c r="CX6" i="3" s="1"/>
  <c r="CW6" i="3"/>
  <c r="CY6" i="3"/>
  <c r="CZ6" i="3"/>
  <c r="DA6" i="3"/>
  <c r="DB6" i="3"/>
  <c r="DC6" i="3"/>
  <c r="DG6" i="3"/>
  <c r="A7" i="3"/>
  <c r="Y7" i="3"/>
  <c r="CW7" i="3"/>
  <c r="CX7" i="3"/>
  <c r="DG7" i="3" s="1"/>
  <c r="DJ7" i="3" s="1"/>
  <c r="CY7" i="3"/>
  <c r="CZ7" i="3"/>
  <c r="DB7" i="3" s="1"/>
  <c r="DA7" i="3"/>
  <c r="DC7" i="3"/>
  <c r="DF7" i="3"/>
  <c r="DH7" i="3"/>
  <c r="DI7" i="3"/>
  <c r="A8" i="3"/>
  <c r="Y8" i="3"/>
  <c r="CW8" i="3" s="1"/>
  <c r="CX8" i="3"/>
  <c r="DG8" i="3" s="1"/>
  <c r="CY8" i="3"/>
  <c r="CZ8" i="3"/>
  <c r="DA8" i="3"/>
  <c r="DB8" i="3"/>
  <c r="DC8" i="3"/>
  <c r="DF8" i="3"/>
  <c r="DI8" i="3"/>
  <c r="A9" i="3"/>
  <c r="Y9" i="3"/>
  <c r="CX9" i="3" s="1"/>
  <c r="CY9" i="3"/>
  <c r="CZ9" i="3"/>
  <c r="DB9" i="3" s="1"/>
  <c r="DA9" i="3"/>
  <c r="DC9" i="3"/>
  <c r="DH9" i="3"/>
  <c r="A10" i="3"/>
  <c r="Y10" i="3"/>
  <c r="CX10" i="3" s="1"/>
  <c r="CY10" i="3"/>
  <c r="CZ10" i="3"/>
  <c r="DA10" i="3"/>
  <c r="DB10" i="3"/>
  <c r="DC10" i="3"/>
  <c r="DG10" i="3"/>
  <c r="A11" i="3"/>
  <c r="Y11" i="3"/>
  <c r="CX11" i="3" s="1"/>
  <c r="CU11" i="3"/>
  <c r="CV11" i="3"/>
  <c r="CY11" i="3"/>
  <c r="CZ11" i="3"/>
  <c r="DA11" i="3"/>
  <c r="DB11" i="3"/>
  <c r="DC11" i="3"/>
  <c r="A12" i="3"/>
  <c r="Y12" i="3"/>
  <c r="CX12" i="3"/>
  <c r="DG12" i="3" s="1"/>
  <c r="CY12" i="3"/>
  <c r="CZ12" i="3"/>
  <c r="DA12" i="3"/>
  <c r="DB12" i="3"/>
  <c r="DC12" i="3"/>
  <c r="DF12" i="3"/>
  <c r="DI12" i="3"/>
  <c r="DJ12" i="3" s="1"/>
  <c r="A13" i="3"/>
  <c r="Y13" i="3"/>
  <c r="CW13" i="3" s="1"/>
  <c r="CY13" i="3"/>
  <c r="CZ13" i="3"/>
  <c r="DA13" i="3"/>
  <c r="DB13" i="3"/>
  <c r="DC13" i="3"/>
  <c r="A14" i="3"/>
  <c r="Y14" i="3"/>
  <c r="CW14" i="3"/>
  <c r="CX14" i="3"/>
  <c r="DI14" i="3" s="1"/>
  <c r="CY14" i="3"/>
  <c r="CZ14" i="3"/>
  <c r="DB14" i="3" s="1"/>
  <c r="DA14" i="3"/>
  <c r="DC14" i="3"/>
  <c r="DF14" i="3"/>
  <c r="DH14" i="3"/>
  <c r="A15" i="3"/>
  <c r="Y15" i="3"/>
  <c r="CW15" i="3" s="1"/>
  <c r="CX15" i="3"/>
  <c r="DG15" i="3" s="1"/>
  <c r="CY15" i="3"/>
  <c r="CZ15" i="3"/>
  <c r="DA15" i="3"/>
  <c r="DB15" i="3"/>
  <c r="DC15" i="3"/>
  <c r="DF15" i="3"/>
  <c r="DI15" i="3"/>
  <c r="A16" i="3"/>
  <c r="Y16" i="3"/>
  <c r="CW16" i="3" s="1"/>
  <c r="CY16" i="3"/>
  <c r="CZ16" i="3"/>
  <c r="DA16" i="3"/>
  <c r="DB16" i="3"/>
  <c r="DC16" i="3"/>
  <c r="A17" i="3"/>
  <c r="Y17" i="3"/>
  <c r="CX17" i="3"/>
  <c r="CY17" i="3"/>
  <c r="CZ17" i="3"/>
  <c r="DA17" i="3"/>
  <c r="DB17" i="3"/>
  <c r="DC17" i="3"/>
  <c r="DF17" i="3"/>
  <c r="DJ17" i="3" s="1"/>
  <c r="A18" i="3"/>
  <c r="Y18" i="3"/>
  <c r="CX18" i="3" s="1"/>
  <c r="CY18" i="3"/>
  <c r="CZ18" i="3"/>
  <c r="DB18" i="3" s="1"/>
  <c r="DA18" i="3"/>
  <c r="DC18" i="3"/>
  <c r="A19" i="3"/>
  <c r="Y19" i="3"/>
  <c r="CX19" i="3" s="1"/>
  <c r="CY19" i="3"/>
  <c r="CZ19" i="3"/>
  <c r="DA19" i="3"/>
  <c r="DB19" i="3"/>
  <c r="DC19" i="3"/>
  <c r="A20" i="3"/>
  <c r="Y20" i="3"/>
  <c r="CX20" i="3"/>
  <c r="DG20" i="3" s="1"/>
  <c r="CY20" i="3"/>
  <c r="CZ20" i="3"/>
  <c r="DA20" i="3"/>
  <c r="DB20" i="3"/>
  <c r="DC20" i="3"/>
  <c r="DF20" i="3"/>
  <c r="DJ20" i="3" s="1"/>
  <c r="DI20" i="3"/>
  <c r="A21" i="3"/>
  <c r="Y21" i="3"/>
  <c r="CX21" i="3" s="1"/>
  <c r="DH21" i="3" s="1"/>
  <c r="CY21" i="3"/>
  <c r="CZ21" i="3"/>
  <c r="DB21" i="3" s="1"/>
  <c r="DA21" i="3"/>
  <c r="DC21" i="3"/>
  <c r="A22" i="3"/>
  <c r="Y22" i="3"/>
  <c r="CX22" i="3" s="1"/>
  <c r="CY22" i="3"/>
  <c r="CZ22" i="3"/>
  <c r="DA22" i="3"/>
  <c r="DB22" i="3"/>
  <c r="DC22" i="3"/>
  <c r="DG22" i="3"/>
  <c r="A23" i="3"/>
  <c r="Y23" i="3"/>
  <c r="CX23" i="3"/>
  <c r="CY23" i="3"/>
  <c r="CZ23" i="3"/>
  <c r="DA23" i="3"/>
  <c r="DB23" i="3"/>
  <c r="DC23" i="3"/>
  <c r="DF23" i="3"/>
  <c r="DJ23" i="3" s="1"/>
  <c r="A24" i="3"/>
  <c r="Y24" i="3"/>
  <c r="CX24" i="3" s="1"/>
  <c r="CY24" i="3"/>
  <c r="CZ24" i="3"/>
  <c r="DB24" i="3" s="1"/>
  <c r="DA24" i="3"/>
  <c r="DC24" i="3"/>
  <c r="A25" i="3"/>
  <c r="Y25" i="3"/>
  <c r="CX25" i="3" s="1"/>
  <c r="CU25" i="3"/>
  <c r="CV25" i="3"/>
  <c r="CY25" i="3"/>
  <c r="CZ25" i="3"/>
  <c r="DB25" i="3" s="1"/>
  <c r="DA25" i="3"/>
  <c r="DC25" i="3"/>
  <c r="A26" i="3"/>
  <c r="Y26" i="3"/>
  <c r="CX26" i="3" s="1"/>
  <c r="CY26" i="3"/>
  <c r="CZ26" i="3"/>
  <c r="DA26" i="3"/>
  <c r="DB26" i="3"/>
  <c r="DC26" i="3"/>
  <c r="DG26" i="3"/>
  <c r="A27" i="3"/>
  <c r="Y27" i="3"/>
  <c r="CW27" i="3"/>
  <c r="CX27" i="3"/>
  <c r="DI27" i="3" s="1"/>
  <c r="CY27" i="3"/>
  <c r="CZ27" i="3"/>
  <c r="DB27" i="3" s="1"/>
  <c r="DA27" i="3"/>
  <c r="DC27" i="3"/>
  <c r="DF27" i="3"/>
  <c r="DH27" i="3"/>
  <c r="A28" i="3"/>
  <c r="Y28" i="3"/>
  <c r="CW28" i="3" s="1"/>
  <c r="CX28" i="3"/>
  <c r="DG28" i="3" s="1"/>
  <c r="CY28" i="3"/>
  <c r="CZ28" i="3"/>
  <c r="DA28" i="3"/>
  <c r="DB28" i="3"/>
  <c r="DC28" i="3"/>
  <c r="DF28" i="3"/>
  <c r="DI28" i="3"/>
  <c r="A29" i="3"/>
  <c r="Y29" i="3"/>
  <c r="CW29" i="3" s="1"/>
  <c r="CY29" i="3"/>
  <c r="CZ29" i="3"/>
  <c r="DA29" i="3"/>
  <c r="DB29" i="3"/>
  <c r="DC29" i="3"/>
  <c r="A30" i="3"/>
  <c r="Y30" i="3"/>
  <c r="CX30" i="3"/>
  <c r="CY30" i="3"/>
  <c r="CZ30" i="3"/>
  <c r="DA30" i="3"/>
  <c r="DB30" i="3"/>
  <c r="DC30" i="3"/>
  <c r="DF30" i="3"/>
  <c r="DJ30" i="3" s="1"/>
  <c r="A31" i="3"/>
  <c r="Y31" i="3"/>
  <c r="CX31" i="3" s="1"/>
  <c r="CY31" i="3"/>
  <c r="CZ31" i="3"/>
  <c r="DB31" i="3" s="1"/>
  <c r="DA31" i="3"/>
  <c r="DC31" i="3"/>
  <c r="A32" i="3"/>
  <c r="Y32" i="3"/>
  <c r="CX32" i="3" s="1"/>
  <c r="CY32" i="3"/>
  <c r="CZ32" i="3"/>
  <c r="DA32" i="3"/>
  <c r="DB32" i="3"/>
  <c r="DC32" i="3"/>
  <c r="DG32" i="3"/>
  <c r="A33" i="3"/>
  <c r="Y33" i="3"/>
  <c r="CX33" i="3"/>
  <c r="CY33" i="3"/>
  <c r="CZ33" i="3"/>
  <c r="DA33" i="3"/>
  <c r="DB33" i="3"/>
  <c r="DC33" i="3"/>
  <c r="DF33" i="3"/>
  <c r="DJ33" i="3" s="1"/>
  <c r="DI33" i="3"/>
  <c r="A34" i="3"/>
  <c r="Y34" i="3"/>
  <c r="CY34" i="3"/>
  <c r="CZ34" i="3"/>
  <c r="DA34" i="3"/>
  <c r="DB34" i="3"/>
  <c r="DC34" i="3"/>
  <c r="A35" i="3"/>
  <c r="Y35" i="3"/>
  <c r="CY35" i="3"/>
  <c r="CZ35" i="3"/>
  <c r="DB35" i="3" s="1"/>
  <c r="DA35" i="3"/>
  <c r="DC35" i="3"/>
  <c r="A36" i="3"/>
  <c r="Y36" i="3"/>
  <c r="CY36" i="3"/>
  <c r="CZ36" i="3"/>
  <c r="DA36" i="3"/>
  <c r="DB36" i="3"/>
  <c r="DC36" i="3"/>
  <c r="A37" i="3"/>
  <c r="Y37" i="3"/>
  <c r="CY37" i="3"/>
  <c r="CZ37" i="3"/>
  <c r="DA37" i="3"/>
  <c r="DB37" i="3"/>
  <c r="DC37" i="3"/>
  <c r="A38" i="3"/>
  <c r="Y38" i="3"/>
  <c r="CY38" i="3"/>
  <c r="CZ38" i="3"/>
  <c r="DB38" i="3" s="1"/>
  <c r="DA38" i="3"/>
  <c r="DC38" i="3"/>
  <c r="A39" i="3"/>
  <c r="Y39" i="3"/>
  <c r="CY39" i="3"/>
  <c r="CZ39" i="3"/>
  <c r="DA39" i="3"/>
  <c r="DB39" i="3"/>
  <c r="DC39" i="3"/>
  <c r="A40" i="3"/>
  <c r="Y40" i="3"/>
  <c r="CY40" i="3"/>
  <c r="CZ40" i="3"/>
  <c r="DB40" i="3" s="1"/>
  <c r="DA40" i="3"/>
  <c r="DC40" i="3"/>
  <c r="A41" i="3"/>
  <c r="Y41" i="3"/>
  <c r="CY41" i="3"/>
  <c r="CZ41" i="3"/>
  <c r="DA41" i="3"/>
  <c r="DB41" i="3"/>
  <c r="DC41" i="3"/>
  <c r="A42" i="3"/>
  <c r="Y42" i="3"/>
  <c r="CY42" i="3"/>
  <c r="CZ42" i="3"/>
  <c r="DA42" i="3"/>
  <c r="DB42" i="3"/>
  <c r="DC42" i="3"/>
  <c r="A43" i="3"/>
  <c r="Y43" i="3"/>
  <c r="CY43" i="3"/>
  <c r="CZ43" i="3"/>
  <c r="DB43" i="3" s="1"/>
  <c r="DA43" i="3"/>
  <c r="DC43" i="3"/>
  <c r="A44" i="3"/>
  <c r="Y44" i="3"/>
  <c r="CY44" i="3"/>
  <c r="CZ44" i="3"/>
  <c r="DA44" i="3"/>
  <c r="DB44" i="3"/>
  <c r="DC44" i="3"/>
  <c r="A45" i="3"/>
  <c r="Y45" i="3"/>
  <c r="CY45" i="3"/>
  <c r="CZ45" i="3"/>
  <c r="DA45" i="3"/>
  <c r="DB45" i="3"/>
  <c r="DC45" i="3"/>
  <c r="A46" i="3"/>
  <c r="Y46" i="3"/>
  <c r="CY46" i="3"/>
  <c r="CZ46" i="3"/>
  <c r="DA46" i="3"/>
  <c r="DB46" i="3"/>
  <c r="DC46" i="3"/>
  <c r="A47" i="3"/>
  <c r="Y47" i="3"/>
  <c r="CY47" i="3"/>
  <c r="CZ47" i="3"/>
  <c r="DB47" i="3" s="1"/>
  <c r="DA47" i="3"/>
  <c r="DC47" i="3"/>
  <c r="A48" i="3"/>
  <c r="Y48" i="3"/>
  <c r="CY48" i="3"/>
  <c r="CZ48" i="3"/>
  <c r="DA48" i="3"/>
  <c r="DB48" i="3"/>
  <c r="DC48" i="3"/>
  <c r="A49" i="3"/>
  <c r="Y49" i="3"/>
  <c r="CY49" i="3"/>
  <c r="CZ49" i="3"/>
  <c r="DA49" i="3"/>
  <c r="DB49" i="3"/>
  <c r="DC49" i="3"/>
  <c r="A50" i="3"/>
  <c r="Y50" i="3"/>
  <c r="CY50" i="3"/>
  <c r="CZ50" i="3"/>
  <c r="DB50" i="3" s="1"/>
  <c r="DA50" i="3"/>
  <c r="DC50" i="3"/>
  <c r="A51" i="3"/>
  <c r="Y51" i="3"/>
  <c r="CY51" i="3"/>
  <c r="CZ51" i="3"/>
  <c r="DA51" i="3"/>
  <c r="DB51" i="3"/>
  <c r="DC51" i="3"/>
  <c r="A52" i="3"/>
  <c r="Y52" i="3"/>
  <c r="CY52" i="3"/>
  <c r="CZ52" i="3"/>
  <c r="DB52" i="3" s="1"/>
  <c r="DA52" i="3"/>
  <c r="DC52" i="3"/>
  <c r="A53" i="3"/>
  <c r="Y53" i="3"/>
  <c r="CY53" i="3"/>
  <c r="CZ53" i="3"/>
  <c r="DA53" i="3"/>
  <c r="DB53" i="3"/>
  <c r="DC53" i="3"/>
  <c r="A54" i="3"/>
  <c r="Y54" i="3"/>
  <c r="CY54" i="3"/>
  <c r="CZ54" i="3"/>
  <c r="DA54" i="3"/>
  <c r="DB54" i="3"/>
  <c r="DC54" i="3"/>
  <c r="A55" i="3"/>
  <c r="Y55" i="3"/>
  <c r="CY55" i="3"/>
  <c r="CZ55" i="3"/>
  <c r="DB55" i="3" s="1"/>
  <c r="DA55" i="3"/>
  <c r="DC55" i="3"/>
  <c r="A56" i="3"/>
  <c r="Y56" i="3"/>
  <c r="CY56" i="3"/>
  <c r="CZ56" i="3"/>
  <c r="DA56" i="3"/>
  <c r="DB56" i="3"/>
  <c r="DC56" i="3"/>
  <c r="A57" i="3"/>
  <c r="Y57" i="3"/>
  <c r="CY57" i="3"/>
  <c r="CZ57" i="3"/>
  <c r="DA57" i="3"/>
  <c r="DB57" i="3"/>
  <c r="DC57" i="3"/>
  <c r="A58" i="3"/>
  <c r="Y58" i="3"/>
  <c r="CY58" i="3"/>
  <c r="CZ58" i="3"/>
  <c r="DB58" i="3" s="1"/>
  <c r="DA58" i="3"/>
  <c r="DC58" i="3"/>
  <c r="A59" i="3"/>
  <c r="Y59" i="3"/>
  <c r="CY59" i="3"/>
  <c r="CZ59" i="3"/>
  <c r="DB59" i="3" s="1"/>
  <c r="DA59" i="3"/>
  <c r="DC59" i="3"/>
  <c r="A60" i="3"/>
  <c r="Y60" i="3"/>
  <c r="CY60" i="3"/>
  <c r="CZ60" i="3"/>
  <c r="DB60" i="3" s="1"/>
  <c r="DA60" i="3"/>
  <c r="DC60" i="3"/>
  <c r="A61" i="3"/>
  <c r="Y61" i="3"/>
  <c r="CY61" i="3"/>
  <c r="CZ61" i="3"/>
  <c r="DA61" i="3"/>
  <c r="DB61" i="3"/>
  <c r="DC61" i="3"/>
  <c r="A62" i="3"/>
  <c r="Y62" i="3"/>
  <c r="CY62" i="3"/>
  <c r="CZ62" i="3"/>
  <c r="DB62" i="3" s="1"/>
  <c r="DA62" i="3"/>
  <c r="DC62" i="3"/>
  <c r="A63" i="3"/>
  <c r="Y63" i="3"/>
  <c r="CY63" i="3"/>
  <c r="CZ63" i="3"/>
  <c r="DB63" i="3" s="1"/>
  <c r="DA63" i="3"/>
  <c r="DC63" i="3"/>
  <c r="A64" i="3"/>
  <c r="Y64" i="3"/>
  <c r="CY64" i="3"/>
  <c r="CZ64" i="3"/>
  <c r="DB64" i="3" s="1"/>
  <c r="DA64" i="3"/>
  <c r="DC64" i="3"/>
  <c r="A65" i="3"/>
  <c r="Y65" i="3"/>
  <c r="CY65" i="3"/>
  <c r="CZ65" i="3"/>
  <c r="DB65" i="3" s="1"/>
  <c r="DA65" i="3"/>
  <c r="DC65" i="3"/>
  <c r="A66" i="3"/>
  <c r="Y66" i="3"/>
  <c r="CY66" i="3"/>
  <c r="CZ66" i="3"/>
  <c r="DA66" i="3"/>
  <c r="DB66" i="3"/>
  <c r="DC66" i="3"/>
  <c r="A67" i="3"/>
  <c r="Y67" i="3"/>
  <c r="CY67" i="3"/>
  <c r="CZ67" i="3"/>
  <c r="DB67" i="3" s="1"/>
  <c r="DA67" i="3"/>
  <c r="DC67" i="3"/>
  <c r="A68" i="3"/>
  <c r="Y68" i="3"/>
  <c r="CY68" i="3"/>
  <c r="CZ68" i="3"/>
  <c r="DB68" i="3" s="1"/>
  <c r="DA68" i="3"/>
  <c r="DC68" i="3"/>
  <c r="A69" i="3"/>
  <c r="Y69" i="3"/>
  <c r="CY69" i="3"/>
  <c r="CZ69" i="3"/>
  <c r="DB69" i="3" s="1"/>
  <c r="DA69" i="3"/>
  <c r="DC69" i="3"/>
  <c r="A70" i="3"/>
  <c r="Y70" i="3"/>
  <c r="CY70" i="3"/>
  <c r="CZ70" i="3"/>
  <c r="DA70" i="3"/>
  <c r="DB70" i="3"/>
  <c r="DC70" i="3"/>
  <c r="A71" i="3"/>
  <c r="Y71" i="3"/>
  <c r="CY71" i="3"/>
  <c r="CZ71" i="3"/>
  <c r="DA71" i="3"/>
  <c r="DB71" i="3"/>
  <c r="DC71" i="3"/>
  <c r="A72" i="3"/>
  <c r="Y72" i="3"/>
  <c r="CY72" i="3"/>
  <c r="CZ72" i="3"/>
  <c r="DA72" i="3"/>
  <c r="DB72" i="3"/>
  <c r="DC72" i="3"/>
  <c r="A73" i="3"/>
  <c r="Y73" i="3"/>
  <c r="CY73" i="3"/>
  <c r="CZ73" i="3"/>
  <c r="DA73" i="3"/>
  <c r="DB73" i="3"/>
  <c r="DC73" i="3"/>
  <c r="A74" i="3"/>
  <c r="Y74" i="3"/>
  <c r="CY74" i="3"/>
  <c r="CZ74" i="3"/>
  <c r="DB74" i="3" s="1"/>
  <c r="DA74" i="3"/>
  <c r="DC74" i="3"/>
  <c r="A75" i="3"/>
  <c r="Y75" i="3"/>
  <c r="CY75" i="3"/>
  <c r="CZ75" i="3"/>
  <c r="DB75" i="3" s="1"/>
  <c r="DA75" i="3"/>
  <c r="DC75" i="3"/>
  <c r="A76" i="3"/>
  <c r="Y76" i="3"/>
  <c r="CY76" i="3"/>
  <c r="CZ76" i="3"/>
  <c r="DB76" i="3" s="1"/>
  <c r="DA76" i="3"/>
  <c r="DC76" i="3"/>
  <c r="A77" i="3"/>
  <c r="Y77" i="3"/>
  <c r="CY77" i="3"/>
  <c r="CZ77" i="3"/>
  <c r="DB77" i="3" s="1"/>
  <c r="DA77" i="3"/>
  <c r="DC77" i="3"/>
  <c r="A78" i="3"/>
  <c r="Y78" i="3"/>
  <c r="CY78" i="3"/>
  <c r="CZ78" i="3"/>
  <c r="DA78" i="3"/>
  <c r="DB78" i="3"/>
  <c r="DC78" i="3"/>
  <c r="A79" i="3"/>
  <c r="Y79" i="3"/>
  <c r="CY79" i="3"/>
  <c r="CZ79" i="3"/>
  <c r="DB79" i="3" s="1"/>
  <c r="DA79" i="3"/>
  <c r="DC79" i="3"/>
  <c r="A80" i="3"/>
  <c r="Y80" i="3"/>
  <c r="CY80" i="3"/>
  <c r="CZ80" i="3"/>
  <c r="DB80" i="3" s="1"/>
  <c r="DA80" i="3"/>
  <c r="DC80" i="3"/>
  <c r="A81" i="3"/>
  <c r="Y81" i="3"/>
  <c r="CY81" i="3"/>
  <c r="CZ81" i="3"/>
  <c r="DA81" i="3"/>
  <c r="DB81" i="3"/>
  <c r="DC81" i="3"/>
  <c r="A82" i="3"/>
  <c r="Y82" i="3"/>
  <c r="CY82" i="3"/>
  <c r="CZ82" i="3"/>
  <c r="DA82" i="3"/>
  <c r="DB82" i="3"/>
  <c r="DC82" i="3"/>
  <c r="A83" i="3"/>
  <c r="Y83" i="3"/>
  <c r="CY83" i="3"/>
  <c r="CZ83" i="3"/>
  <c r="DB83" i="3" s="1"/>
  <c r="DA83" i="3"/>
  <c r="DC83" i="3"/>
  <c r="A84" i="3"/>
  <c r="Y84" i="3"/>
  <c r="CY84" i="3"/>
  <c r="CZ84" i="3"/>
  <c r="DA84" i="3"/>
  <c r="DB84" i="3"/>
  <c r="DC84" i="3"/>
  <c r="A85" i="3"/>
  <c r="Y85" i="3"/>
  <c r="CY85" i="3"/>
  <c r="CZ85" i="3"/>
  <c r="DA85" i="3"/>
  <c r="DB85" i="3"/>
  <c r="DC85" i="3"/>
  <c r="A86" i="3"/>
  <c r="Y86" i="3"/>
  <c r="CY86" i="3"/>
  <c r="CZ86" i="3"/>
  <c r="DB86" i="3" s="1"/>
  <c r="DA86" i="3"/>
  <c r="DC86" i="3"/>
  <c r="A87" i="3"/>
  <c r="Y87" i="3"/>
  <c r="CY87" i="3"/>
  <c r="CZ87" i="3"/>
  <c r="DA87" i="3"/>
  <c r="DB87" i="3"/>
  <c r="DC87" i="3"/>
  <c r="A88" i="3"/>
  <c r="Y88" i="3"/>
  <c r="CY88" i="3"/>
  <c r="CZ88" i="3"/>
  <c r="DA88" i="3"/>
  <c r="DB88" i="3"/>
  <c r="DC88" i="3"/>
  <c r="A89" i="3"/>
  <c r="Y89" i="3"/>
  <c r="CV89" i="3" s="1"/>
  <c r="CU89" i="3"/>
  <c r="CY89" i="3"/>
  <c r="CZ89" i="3"/>
  <c r="DB89" i="3" s="1"/>
  <c r="DA89" i="3"/>
  <c r="DC89" i="3"/>
  <c r="A90" i="3"/>
  <c r="Y90" i="3"/>
  <c r="CX90" i="3"/>
  <c r="DH90" i="3" s="1"/>
  <c r="CY90" i="3"/>
  <c r="CZ90" i="3"/>
  <c r="DB90" i="3" s="1"/>
  <c r="DA90" i="3"/>
  <c r="DC90" i="3"/>
  <c r="DG90" i="3"/>
  <c r="DI90" i="3"/>
  <c r="DJ90" i="3" s="1"/>
  <c r="A91" i="3"/>
  <c r="Y91" i="3"/>
  <c r="CY91" i="3"/>
  <c r="CZ91" i="3"/>
  <c r="DA91" i="3"/>
  <c r="DB91" i="3"/>
  <c r="DC91" i="3"/>
  <c r="A92" i="3"/>
  <c r="Y92" i="3"/>
  <c r="CX92" i="3" s="1"/>
  <c r="DF92" i="3" s="1"/>
  <c r="CW92" i="3"/>
  <c r="CY92" i="3"/>
  <c r="CZ92" i="3"/>
  <c r="DA92" i="3"/>
  <c r="DB92" i="3"/>
  <c r="DC92" i="3"/>
  <c r="DG92" i="3"/>
  <c r="DJ92" i="3" s="1"/>
  <c r="DH92" i="3"/>
  <c r="DI92" i="3"/>
  <c r="A93" i="3"/>
  <c r="Y93" i="3"/>
  <c r="CW93" i="3"/>
  <c r="CX93" i="3"/>
  <c r="DI93" i="3" s="1"/>
  <c r="CY93" i="3"/>
  <c r="CZ93" i="3"/>
  <c r="DB93" i="3" s="1"/>
  <c r="DA93" i="3"/>
  <c r="DC93" i="3"/>
  <c r="DF93" i="3"/>
  <c r="DG93" i="3"/>
  <c r="DH93" i="3"/>
  <c r="A94" i="3"/>
  <c r="Y94" i="3"/>
  <c r="CW94" i="3"/>
  <c r="CX94" i="3"/>
  <c r="DH94" i="3" s="1"/>
  <c r="CY94" i="3"/>
  <c r="CZ94" i="3"/>
  <c r="DA94" i="3"/>
  <c r="DB94" i="3"/>
  <c r="DC94" i="3"/>
  <c r="DF94" i="3"/>
  <c r="DG94" i="3"/>
  <c r="DJ94" i="3" s="1"/>
  <c r="A95" i="3"/>
  <c r="Y95" i="3"/>
  <c r="CX95" i="3" s="1"/>
  <c r="CY95" i="3"/>
  <c r="CZ95" i="3"/>
  <c r="DB95" i="3" s="1"/>
  <c r="DA95" i="3"/>
  <c r="DC95" i="3"/>
  <c r="A96" i="3"/>
  <c r="Y96" i="3"/>
  <c r="CX96" i="3" s="1"/>
  <c r="DF96" i="3" s="1"/>
  <c r="DJ96" i="3" s="1"/>
  <c r="CY96" i="3"/>
  <c r="CZ96" i="3"/>
  <c r="DA96" i="3"/>
  <c r="DB96" i="3"/>
  <c r="DC96" i="3"/>
  <c r="DG96" i="3"/>
  <c r="DI96" i="3"/>
  <c r="A97" i="3"/>
  <c r="Y97" i="3"/>
  <c r="CX97" i="3"/>
  <c r="CY97" i="3"/>
  <c r="CZ97" i="3"/>
  <c r="DA97" i="3"/>
  <c r="DB97" i="3"/>
  <c r="DC97" i="3"/>
  <c r="DF97" i="3"/>
  <c r="DJ97" i="3" s="1"/>
  <c r="DH97" i="3"/>
  <c r="A98" i="3"/>
  <c r="Y98" i="3"/>
  <c r="CX98" i="3" s="1"/>
  <c r="CY98" i="3"/>
  <c r="CZ98" i="3"/>
  <c r="DB98" i="3" s="1"/>
  <c r="DA98" i="3"/>
  <c r="DC98" i="3"/>
  <c r="DF98" i="3"/>
  <c r="DJ98" i="3" s="1"/>
  <c r="DH98" i="3"/>
  <c r="A99" i="3"/>
  <c r="Y99" i="3"/>
  <c r="CX99" i="3"/>
  <c r="DH99" i="3" s="1"/>
  <c r="CY99" i="3"/>
  <c r="CZ99" i="3"/>
  <c r="DB99" i="3" s="1"/>
  <c r="DA99" i="3"/>
  <c r="DC99" i="3"/>
  <c r="DF99" i="3"/>
  <c r="DJ99" i="3" s="1"/>
  <c r="A100" i="3"/>
  <c r="Y100" i="3"/>
  <c r="CX100" i="3"/>
  <c r="CY100" i="3"/>
  <c r="CZ100" i="3"/>
  <c r="DA100" i="3"/>
  <c r="DB100" i="3"/>
  <c r="DC100" i="3"/>
  <c r="DF100" i="3"/>
  <c r="DJ100" i="3" s="1"/>
  <c r="DI100" i="3"/>
  <c r="A101" i="3"/>
  <c r="Y101" i="3"/>
  <c r="CX101" i="3"/>
  <c r="DI101" i="3" s="1"/>
  <c r="CY101" i="3"/>
  <c r="CZ101" i="3"/>
  <c r="DA101" i="3"/>
  <c r="DB101" i="3"/>
  <c r="DC101" i="3"/>
  <c r="DF101" i="3"/>
  <c r="DJ101" i="3" s="1"/>
  <c r="A102" i="3"/>
  <c r="Y102" i="3"/>
  <c r="CX102" i="3" s="1"/>
  <c r="DF102" i="3" s="1"/>
  <c r="CY102" i="3"/>
  <c r="CZ102" i="3"/>
  <c r="DB102" i="3" s="1"/>
  <c r="DA102" i="3"/>
  <c r="DC102" i="3"/>
  <c r="DG102" i="3"/>
  <c r="DH102" i="3"/>
  <c r="DI102" i="3"/>
  <c r="DJ102" i="3"/>
  <c r="A103" i="3"/>
  <c r="Y103" i="3"/>
  <c r="CU103" i="3"/>
  <c r="CV103" i="3"/>
  <c r="CX103" i="3"/>
  <c r="DI103" i="3" s="1"/>
  <c r="CY103" i="3"/>
  <c r="CZ103" i="3"/>
  <c r="DA103" i="3"/>
  <c r="DB103" i="3"/>
  <c r="DC103" i="3"/>
  <c r="DF103" i="3"/>
  <c r="DG103" i="3"/>
  <c r="DJ103" i="3"/>
  <c r="A104" i="3"/>
  <c r="Y104" i="3"/>
  <c r="CX104" i="3"/>
  <c r="CY104" i="3"/>
  <c r="CZ104" i="3"/>
  <c r="DA104" i="3"/>
  <c r="DB104" i="3"/>
  <c r="DC104" i="3"/>
  <c r="DF104" i="3"/>
  <c r="DG104" i="3"/>
  <c r="A105" i="3"/>
  <c r="Y105" i="3"/>
  <c r="CX105" i="3" s="1"/>
  <c r="CW105" i="3"/>
  <c r="CY105" i="3"/>
  <c r="CZ105" i="3"/>
  <c r="DA105" i="3"/>
  <c r="DB105" i="3"/>
  <c r="DC105" i="3"/>
  <c r="DG105" i="3"/>
  <c r="DH105" i="3"/>
  <c r="DJ105" i="3"/>
  <c r="A106" i="3"/>
  <c r="Y106" i="3"/>
  <c r="CX106" i="3" s="1"/>
  <c r="CY106" i="3"/>
  <c r="CZ106" i="3"/>
  <c r="DA106" i="3"/>
  <c r="DB106" i="3"/>
  <c r="DC106" i="3"/>
  <c r="A107" i="3"/>
  <c r="Y107" i="3"/>
  <c r="CW107" i="3" s="1"/>
  <c r="CY107" i="3"/>
  <c r="CZ107" i="3"/>
  <c r="DB107" i="3" s="1"/>
  <c r="DA107" i="3"/>
  <c r="DC107" i="3"/>
  <c r="A108" i="3"/>
  <c r="Y108" i="3"/>
  <c r="CX108" i="3" s="1"/>
  <c r="DF108" i="3" s="1"/>
  <c r="DJ108" i="3" s="1"/>
  <c r="CY108" i="3"/>
  <c r="CZ108" i="3"/>
  <c r="DB108" i="3" s="1"/>
  <c r="DA108" i="3"/>
  <c r="DC108" i="3"/>
  <c r="DH108" i="3"/>
  <c r="A109" i="3"/>
  <c r="Y109" i="3"/>
  <c r="CX109" i="3"/>
  <c r="DI109" i="3" s="1"/>
  <c r="CY109" i="3"/>
  <c r="CZ109" i="3"/>
  <c r="DB109" i="3" s="1"/>
  <c r="DA109" i="3"/>
  <c r="DC109" i="3"/>
  <c r="DF109" i="3"/>
  <c r="DJ109" i="3" s="1"/>
  <c r="DH109" i="3"/>
  <c r="A110" i="3"/>
  <c r="Y110" i="3"/>
  <c r="CX110" i="3"/>
  <c r="DH110" i="3" s="1"/>
  <c r="CY110" i="3"/>
  <c r="CZ110" i="3"/>
  <c r="DA110" i="3"/>
  <c r="DB110" i="3"/>
  <c r="DC110" i="3"/>
  <c r="DF110" i="3"/>
  <c r="DJ110" i="3" s="1"/>
  <c r="DI110" i="3"/>
  <c r="A111" i="3"/>
  <c r="Y111" i="3"/>
  <c r="CX111" i="3"/>
  <c r="CY111" i="3"/>
  <c r="CZ111" i="3"/>
  <c r="DA111" i="3"/>
  <c r="DB111" i="3"/>
  <c r="DC111" i="3"/>
  <c r="DF111" i="3"/>
  <c r="DJ111" i="3" s="1"/>
  <c r="DH111" i="3"/>
  <c r="A112" i="3"/>
  <c r="Y112" i="3"/>
  <c r="CY112" i="3"/>
  <c r="CZ112" i="3"/>
  <c r="DB112" i="3" s="1"/>
  <c r="DA112" i="3"/>
  <c r="DC112" i="3"/>
  <c r="A113" i="3"/>
  <c r="Y113" i="3"/>
  <c r="CY113" i="3"/>
  <c r="CZ113" i="3"/>
  <c r="DA113" i="3"/>
  <c r="DB113" i="3"/>
  <c r="DC113" i="3"/>
  <c r="A114" i="3"/>
  <c r="Y114" i="3"/>
  <c r="CY114" i="3"/>
  <c r="CZ114" i="3"/>
  <c r="DB114" i="3" s="1"/>
  <c r="DA114" i="3"/>
  <c r="DC114" i="3"/>
  <c r="A115" i="3"/>
  <c r="Y115" i="3"/>
  <c r="CY115" i="3"/>
  <c r="CZ115" i="3"/>
  <c r="DA115" i="3"/>
  <c r="DB115" i="3"/>
  <c r="DC115" i="3"/>
  <c r="A116" i="3"/>
  <c r="Y116" i="3"/>
  <c r="CY116" i="3"/>
  <c r="CZ116" i="3"/>
  <c r="DA116" i="3"/>
  <c r="DB116" i="3"/>
  <c r="DC116" i="3"/>
  <c r="A117" i="3"/>
  <c r="Y117" i="3"/>
  <c r="CY117" i="3"/>
  <c r="CZ117" i="3"/>
  <c r="DB117" i="3" s="1"/>
  <c r="DA117" i="3"/>
  <c r="DC117" i="3"/>
  <c r="A118" i="3"/>
  <c r="Y118" i="3"/>
  <c r="CY118" i="3"/>
  <c r="CZ118" i="3"/>
  <c r="DA118" i="3"/>
  <c r="DB118" i="3"/>
  <c r="DC118" i="3"/>
  <c r="A119" i="3"/>
  <c r="Y119" i="3"/>
  <c r="CY119" i="3"/>
  <c r="CZ119" i="3"/>
  <c r="DB119" i="3" s="1"/>
  <c r="DA119" i="3"/>
  <c r="DC119" i="3"/>
  <c r="A120" i="3"/>
  <c r="Y120" i="3"/>
  <c r="CY120" i="3"/>
  <c r="CZ120" i="3"/>
  <c r="DB120" i="3" s="1"/>
  <c r="DA120" i="3"/>
  <c r="DC120" i="3"/>
  <c r="A121" i="3"/>
  <c r="Y121" i="3"/>
  <c r="CY121" i="3"/>
  <c r="CZ121" i="3"/>
  <c r="DB121" i="3" s="1"/>
  <c r="DA121" i="3"/>
  <c r="DC121" i="3"/>
  <c r="A122" i="3"/>
  <c r="Y122" i="3"/>
  <c r="CY122" i="3"/>
  <c r="CZ122" i="3"/>
  <c r="DA122" i="3"/>
  <c r="DB122" i="3"/>
  <c r="DC122" i="3"/>
  <c r="A123" i="3"/>
  <c r="Y123" i="3"/>
  <c r="CY123" i="3"/>
  <c r="CZ123" i="3"/>
  <c r="DB123" i="3" s="1"/>
  <c r="DA123" i="3"/>
  <c r="DC123" i="3"/>
  <c r="A124" i="3"/>
  <c r="Y124" i="3"/>
  <c r="CY124" i="3"/>
  <c r="CZ124" i="3"/>
  <c r="DB124" i="3" s="1"/>
  <c r="DA124" i="3"/>
  <c r="DC124" i="3"/>
  <c r="A125" i="3"/>
  <c r="Y125" i="3"/>
  <c r="CY125" i="3"/>
  <c r="CZ125" i="3"/>
  <c r="DB125" i="3" s="1"/>
  <c r="DA125" i="3"/>
  <c r="DC125" i="3"/>
  <c r="A126" i="3"/>
  <c r="Y126" i="3"/>
  <c r="CY126" i="3"/>
  <c r="CZ126" i="3"/>
  <c r="DB126" i="3" s="1"/>
  <c r="DA126" i="3"/>
  <c r="DC126" i="3"/>
  <c r="A127" i="3"/>
  <c r="Y127" i="3"/>
  <c r="CY127" i="3"/>
  <c r="CZ127" i="3"/>
  <c r="DA127" i="3"/>
  <c r="DB127" i="3"/>
  <c r="DC127" i="3"/>
  <c r="A128" i="3"/>
  <c r="Y128" i="3"/>
  <c r="CY128" i="3"/>
  <c r="CZ128" i="3"/>
  <c r="DA128" i="3"/>
  <c r="DB128" i="3"/>
  <c r="DC128" i="3"/>
  <c r="A129" i="3"/>
  <c r="Y129" i="3"/>
  <c r="CY129" i="3"/>
  <c r="CZ129" i="3"/>
  <c r="DB129" i="3" s="1"/>
  <c r="DA129" i="3"/>
  <c r="DC129" i="3"/>
  <c r="A130" i="3"/>
  <c r="Y130" i="3"/>
  <c r="CY130" i="3"/>
  <c r="CZ130" i="3"/>
  <c r="DA130" i="3"/>
  <c r="DB130" i="3"/>
  <c r="DC130" i="3"/>
  <c r="A131" i="3"/>
  <c r="Y131" i="3"/>
  <c r="CY131" i="3"/>
  <c r="CZ131" i="3"/>
  <c r="DA131" i="3"/>
  <c r="DB131" i="3"/>
  <c r="DC131" i="3"/>
  <c r="A132" i="3"/>
  <c r="Y132" i="3"/>
  <c r="CY132" i="3"/>
  <c r="CZ132" i="3"/>
  <c r="DB132" i="3" s="1"/>
  <c r="DA132" i="3"/>
  <c r="DC132" i="3"/>
  <c r="A133" i="3"/>
  <c r="Y133" i="3"/>
  <c r="CY133" i="3"/>
  <c r="CZ133" i="3"/>
  <c r="DA133" i="3"/>
  <c r="DB133" i="3"/>
  <c r="DC133" i="3"/>
  <c r="A134" i="3"/>
  <c r="Y134" i="3"/>
  <c r="CY134" i="3"/>
  <c r="CZ134" i="3"/>
  <c r="DA134" i="3"/>
  <c r="DB134" i="3"/>
  <c r="DC134" i="3"/>
  <c r="A135" i="3"/>
  <c r="Y135" i="3"/>
  <c r="CY135" i="3"/>
  <c r="CZ135" i="3"/>
  <c r="DB135" i="3" s="1"/>
  <c r="DA135" i="3"/>
  <c r="DC135" i="3"/>
  <c r="A136" i="3"/>
  <c r="Y136" i="3"/>
  <c r="CY136" i="3"/>
  <c r="CZ136" i="3"/>
  <c r="DA136" i="3"/>
  <c r="DB136" i="3"/>
  <c r="DC136" i="3"/>
  <c r="A137" i="3"/>
  <c r="Y137" i="3"/>
  <c r="CY137" i="3"/>
  <c r="CZ137" i="3"/>
  <c r="DA137" i="3"/>
  <c r="DB137" i="3"/>
  <c r="DC137" i="3"/>
  <c r="A138" i="3"/>
  <c r="Y138" i="3"/>
  <c r="CY138" i="3"/>
  <c r="CZ138" i="3"/>
  <c r="DA138" i="3"/>
  <c r="DB138" i="3"/>
  <c r="DC138" i="3"/>
  <c r="A139" i="3"/>
  <c r="Y139" i="3"/>
  <c r="CY139" i="3"/>
  <c r="CZ139" i="3"/>
  <c r="DB139" i="3" s="1"/>
  <c r="DA139" i="3"/>
  <c r="DC139" i="3"/>
  <c r="A140" i="3"/>
  <c r="Y140" i="3"/>
  <c r="CY140" i="3"/>
  <c r="CZ140" i="3"/>
  <c r="DA140" i="3"/>
  <c r="DB140" i="3"/>
  <c r="DC140" i="3"/>
  <c r="A141" i="3"/>
  <c r="Y141" i="3"/>
  <c r="CY141" i="3"/>
  <c r="CZ141" i="3"/>
  <c r="DA141" i="3"/>
  <c r="DB141" i="3"/>
  <c r="DC141" i="3"/>
  <c r="A142" i="3"/>
  <c r="Y142" i="3"/>
  <c r="CY142" i="3"/>
  <c r="CZ142" i="3"/>
  <c r="DA142" i="3"/>
  <c r="DB142" i="3"/>
  <c r="DC142" i="3"/>
  <c r="A143" i="3"/>
  <c r="Y143" i="3"/>
  <c r="CY143" i="3"/>
  <c r="CZ143" i="3"/>
  <c r="DA143" i="3"/>
  <c r="DB143" i="3"/>
  <c r="DC143" i="3"/>
  <c r="A144" i="3"/>
  <c r="Y144" i="3"/>
  <c r="CY144" i="3"/>
  <c r="CZ144" i="3"/>
  <c r="DB144" i="3" s="1"/>
  <c r="DA144" i="3"/>
  <c r="DC144" i="3"/>
  <c r="A145" i="3"/>
  <c r="Y145" i="3"/>
  <c r="CY145" i="3"/>
  <c r="CZ145" i="3"/>
  <c r="DA145" i="3"/>
  <c r="DB145" i="3"/>
  <c r="DC145" i="3"/>
  <c r="A146" i="3"/>
  <c r="Y146" i="3"/>
  <c r="CY146" i="3"/>
  <c r="CZ146" i="3"/>
  <c r="DA146" i="3"/>
  <c r="DB146" i="3"/>
  <c r="DC146" i="3"/>
  <c r="A147" i="3"/>
  <c r="Y147" i="3"/>
  <c r="CY147" i="3"/>
  <c r="CZ147" i="3"/>
  <c r="DB147" i="3" s="1"/>
  <c r="DA147" i="3"/>
  <c r="DC147" i="3"/>
  <c r="A148" i="3"/>
  <c r="Y148" i="3"/>
  <c r="CY148" i="3"/>
  <c r="CZ148" i="3"/>
  <c r="DA148" i="3"/>
  <c r="DB148" i="3"/>
  <c r="DC148" i="3"/>
  <c r="A149" i="3"/>
  <c r="Y149" i="3"/>
  <c r="CY149" i="3"/>
  <c r="CZ149" i="3"/>
  <c r="DA149" i="3"/>
  <c r="DB149" i="3"/>
  <c r="DC149" i="3"/>
  <c r="A150" i="3"/>
  <c r="Y150" i="3"/>
  <c r="CY150" i="3"/>
  <c r="CZ150" i="3"/>
  <c r="DB150" i="3" s="1"/>
  <c r="DA150" i="3"/>
  <c r="DC150" i="3"/>
  <c r="A151" i="3"/>
  <c r="Y151" i="3"/>
  <c r="CY151" i="3"/>
  <c r="CZ151" i="3"/>
  <c r="DB151" i="3" s="1"/>
  <c r="DA151" i="3"/>
  <c r="DC151" i="3"/>
  <c r="A152" i="3"/>
  <c r="Y152" i="3"/>
  <c r="CY152" i="3"/>
  <c r="CZ152" i="3"/>
  <c r="DA152" i="3"/>
  <c r="DB152" i="3"/>
  <c r="DC152" i="3"/>
  <c r="A153" i="3"/>
  <c r="Y153" i="3"/>
  <c r="CY153" i="3"/>
  <c r="CZ153" i="3"/>
  <c r="DA153" i="3"/>
  <c r="DB153" i="3"/>
  <c r="DC153" i="3"/>
  <c r="A154" i="3"/>
  <c r="Y154" i="3"/>
  <c r="CY154" i="3"/>
  <c r="CZ154" i="3"/>
  <c r="DB154" i="3" s="1"/>
  <c r="DA154" i="3"/>
  <c r="DC154" i="3"/>
  <c r="A155" i="3"/>
  <c r="Y155" i="3"/>
  <c r="CY155" i="3"/>
  <c r="CZ155" i="3"/>
  <c r="DA155" i="3"/>
  <c r="DB155" i="3"/>
  <c r="DC155" i="3"/>
  <c r="A156" i="3"/>
  <c r="Y156" i="3"/>
  <c r="CY156" i="3"/>
  <c r="CZ156" i="3"/>
  <c r="DB156" i="3" s="1"/>
  <c r="DA156" i="3"/>
  <c r="DC156" i="3"/>
  <c r="A157" i="3"/>
  <c r="Y157" i="3"/>
  <c r="CY157" i="3"/>
  <c r="CZ157" i="3"/>
  <c r="DB157" i="3" s="1"/>
  <c r="DA157" i="3"/>
  <c r="DC157" i="3"/>
  <c r="A158" i="3"/>
  <c r="Y158" i="3"/>
  <c r="CY158" i="3"/>
  <c r="CZ158" i="3"/>
  <c r="DA158" i="3"/>
  <c r="DB158" i="3"/>
  <c r="DC158" i="3"/>
  <c r="A159" i="3"/>
  <c r="Y159" i="3"/>
  <c r="CY159" i="3"/>
  <c r="CZ159" i="3"/>
  <c r="DB159" i="3" s="1"/>
  <c r="DA159" i="3"/>
  <c r="DC159" i="3"/>
  <c r="A160" i="3"/>
  <c r="Y160" i="3"/>
  <c r="CY160" i="3"/>
  <c r="CZ160" i="3"/>
  <c r="DA160" i="3"/>
  <c r="DB160" i="3"/>
  <c r="DC160" i="3"/>
  <c r="A161" i="3"/>
  <c r="Y161" i="3"/>
  <c r="CY161" i="3"/>
  <c r="CZ161" i="3"/>
  <c r="DB161" i="3" s="1"/>
  <c r="DA161" i="3"/>
  <c r="DC161" i="3"/>
  <c r="A162" i="3"/>
  <c r="Y162" i="3"/>
  <c r="CY162" i="3"/>
  <c r="CZ162" i="3"/>
  <c r="DA162" i="3"/>
  <c r="DB162" i="3"/>
  <c r="DC162" i="3"/>
  <c r="A163" i="3"/>
  <c r="Y163" i="3"/>
  <c r="CY163" i="3"/>
  <c r="CZ163" i="3"/>
  <c r="DA163" i="3"/>
  <c r="DB163" i="3"/>
  <c r="DC163" i="3"/>
  <c r="A164" i="3"/>
  <c r="Y164" i="3"/>
  <c r="CY164" i="3"/>
  <c r="CZ164" i="3"/>
  <c r="DB164" i="3" s="1"/>
  <c r="DA164" i="3"/>
  <c r="DC164" i="3"/>
  <c r="A165" i="3"/>
  <c r="Y165" i="3"/>
  <c r="CY165" i="3"/>
  <c r="CZ165" i="3"/>
  <c r="DA165" i="3"/>
  <c r="DB165" i="3"/>
  <c r="DC165" i="3"/>
  <c r="A166" i="3"/>
  <c r="Y166" i="3"/>
  <c r="CY166" i="3"/>
  <c r="CZ166" i="3"/>
  <c r="DB166" i="3" s="1"/>
  <c r="DA166" i="3"/>
  <c r="DC166" i="3"/>
  <c r="A167" i="3"/>
  <c r="Y167" i="3"/>
  <c r="CY167" i="3"/>
  <c r="CZ167" i="3"/>
  <c r="DA167" i="3"/>
  <c r="DB167" i="3"/>
  <c r="DC167" i="3"/>
  <c r="A168" i="3"/>
  <c r="Y168" i="3"/>
  <c r="CY168" i="3"/>
  <c r="CZ168" i="3"/>
  <c r="DA168" i="3"/>
  <c r="DB168" i="3"/>
  <c r="DC168" i="3"/>
  <c r="A169" i="3"/>
  <c r="Y169" i="3"/>
  <c r="CY169" i="3"/>
  <c r="CZ169" i="3"/>
  <c r="DA169" i="3"/>
  <c r="DB169" i="3"/>
  <c r="DC169" i="3"/>
  <c r="A170" i="3"/>
  <c r="Y170" i="3"/>
  <c r="CY170" i="3"/>
  <c r="CZ170" i="3"/>
  <c r="DA170" i="3"/>
  <c r="DB170" i="3"/>
  <c r="DC170" i="3"/>
  <c r="A171" i="3"/>
  <c r="Y171" i="3"/>
  <c r="CY171" i="3"/>
  <c r="CZ171" i="3"/>
  <c r="DB171" i="3" s="1"/>
  <c r="DA171" i="3"/>
  <c r="DC171" i="3"/>
  <c r="A172" i="3"/>
  <c r="Y172" i="3"/>
  <c r="CY172" i="3"/>
  <c r="CZ172" i="3"/>
  <c r="DB172" i="3" s="1"/>
  <c r="DA172" i="3"/>
  <c r="DC172" i="3"/>
  <c r="A173" i="3"/>
  <c r="Y173" i="3"/>
  <c r="CY173" i="3"/>
  <c r="CZ173" i="3"/>
  <c r="DA173" i="3"/>
  <c r="DB173" i="3"/>
  <c r="DC173" i="3"/>
  <c r="A174" i="3"/>
  <c r="Y174" i="3"/>
  <c r="CY174" i="3"/>
  <c r="CZ174" i="3"/>
  <c r="DA174" i="3"/>
  <c r="DB174" i="3"/>
  <c r="DC174" i="3"/>
  <c r="A175" i="3"/>
  <c r="Y175" i="3"/>
  <c r="CY175" i="3"/>
  <c r="CZ175" i="3"/>
  <c r="DB175" i="3" s="1"/>
  <c r="DA175" i="3"/>
  <c r="DC175" i="3"/>
  <c r="A176" i="3"/>
  <c r="Y176" i="3"/>
  <c r="CY176" i="3"/>
  <c r="CZ176" i="3"/>
  <c r="DA176" i="3"/>
  <c r="DB176" i="3"/>
  <c r="DC176" i="3"/>
  <c r="A177" i="3"/>
  <c r="Y177" i="3"/>
  <c r="CY177" i="3"/>
  <c r="CZ177" i="3"/>
  <c r="DA177" i="3"/>
  <c r="DB177" i="3"/>
  <c r="DC177" i="3"/>
  <c r="A178" i="3"/>
  <c r="Y178" i="3"/>
  <c r="CY178" i="3"/>
  <c r="CZ178" i="3"/>
  <c r="DA178" i="3"/>
  <c r="DB178" i="3"/>
  <c r="DC178" i="3"/>
  <c r="A179" i="3"/>
  <c r="Y179" i="3"/>
  <c r="CY179" i="3"/>
  <c r="CZ179" i="3"/>
  <c r="DB179" i="3" s="1"/>
  <c r="DA179" i="3"/>
  <c r="DC179" i="3"/>
  <c r="A180" i="3"/>
  <c r="Y180" i="3"/>
  <c r="CY180" i="3"/>
  <c r="CZ180" i="3"/>
  <c r="DB180" i="3" s="1"/>
  <c r="DA180" i="3"/>
  <c r="DC180" i="3"/>
  <c r="A181" i="3"/>
  <c r="Y181" i="3"/>
  <c r="CY181" i="3"/>
  <c r="CZ181" i="3"/>
  <c r="DA181" i="3"/>
  <c r="DB181" i="3"/>
  <c r="DC181" i="3"/>
  <c r="A182" i="3"/>
  <c r="Y182" i="3"/>
  <c r="CY182" i="3"/>
  <c r="CZ182" i="3"/>
  <c r="DA182" i="3"/>
  <c r="DB182" i="3"/>
  <c r="DC182" i="3"/>
  <c r="A183" i="3"/>
  <c r="Y183" i="3"/>
  <c r="CY183" i="3"/>
  <c r="CZ183" i="3"/>
  <c r="DB183" i="3" s="1"/>
  <c r="DA183" i="3"/>
  <c r="DC183" i="3"/>
  <c r="A184" i="3"/>
  <c r="Y184" i="3"/>
  <c r="CY184" i="3"/>
  <c r="CZ184" i="3"/>
  <c r="DB184" i="3" s="1"/>
  <c r="DA184" i="3"/>
  <c r="DC184" i="3"/>
  <c r="A185" i="3"/>
  <c r="Y185" i="3"/>
  <c r="CY185" i="3"/>
  <c r="CZ185" i="3"/>
  <c r="DA185" i="3"/>
  <c r="DB185" i="3"/>
  <c r="DC185" i="3"/>
  <c r="A186" i="3"/>
  <c r="Y186" i="3"/>
  <c r="CY186" i="3"/>
  <c r="CZ186" i="3"/>
  <c r="DA186" i="3"/>
  <c r="DB186" i="3"/>
  <c r="DC186" i="3"/>
  <c r="A187" i="3"/>
  <c r="Y187" i="3"/>
  <c r="CY187" i="3"/>
  <c r="CZ187" i="3"/>
  <c r="DB187" i="3" s="1"/>
  <c r="DA187" i="3"/>
  <c r="DC187" i="3"/>
  <c r="A188" i="3"/>
  <c r="Y188" i="3"/>
  <c r="CY188" i="3"/>
  <c r="CZ188" i="3"/>
  <c r="DB188" i="3" s="1"/>
  <c r="DA188" i="3"/>
  <c r="DC188" i="3"/>
  <c r="A189" i="3"/>
  <c r="Y189" i="3"/>
  <c r="CY189" i="3"/>
  <c r="CZ189" i="3"/>
  <c r="DA189" i="3"/>
  <c r="DB189" i="3"/>
  <c r="DC189" i="3"/>
  <c r="A190" i="3"/>
  <c r="Y190" i="3"/>
  <c r="CY190" i="3"/>
  <c r="CZ190" i="3"/>
  <c r="DA190" i="3"/>
  <c r="DB190" i="3"/>
  <c r="DC190" i="3"/>
  <c r="A191" i="3"/>
  <c r="Y191" i="3"/>
  <c r="CY191" i="3"/>
  <c r="CZ191" i="3"/>
  <c r="DA191" i="3"/>
  <c r="DB191" i="3"/>
  <c r="DC191" i="3"/>
  <c r="A192" i="3"/>
  <c r="Y192" i="3"/>
  <c r="CY192" i="3"/>
  <c r="CZ192" i="3"/>
  <c r="DA192" i="3"/>
  <c r="DB192" i="3"/>
  <c r="DC192" i="3"/>
  <c r="A193" i="3"/>
  <c r="Y193" i="3"/>
  <c r="CY193" i="3"/>
  <c r="CZ193" i="3"/>
  <c r="DB193" i="3" s="1"/>
  <c r="DA193" i="3"/>
  <c r="DC193" i="3"/>
  <c r="A194" i="3"/>
  <c r="Y194" i="3"/>
  <c r="CY194" i="3"/>
  <c r="CZ194" i="3"/>
  <c r="DB194" i="3" s="1"/>
  <c r="DA194" i="3"/>
  <c r="DC194" i="3"/>
  <c r="A195" i="3"/>
  <c r="Y195" i="3"/>
  <c r="CY195" i="3"/>
  <c r="CZ195" i="3"/>
  <c r="DA195" i="3"/>
  <c r="DB195" i="3"/>
  <c r="DC195" i="3"/>
  <c r="A196" i="3"/>
  <c r="Y196" i="3"/>
  <c r="CY196" i="3"/>
  <c r="CZ196" i="3"/>
  <c r="DA196" i="3"/>
  <c r="DB196" i="3"/>
  <c r="DC196" i="3"/>
  <c r="A197" i="3"/>
  <c r="Y197" i="3"/>
  <c r="CY197" i="3"/>
  <c r="CZ197" i="3"/>
  <c r="DB197" i="3" s="1"/>
  <c r="DA197" i="3"/>
  <c r="DC197" i="3"/>
  <c r="A198" i="3"/>
  <c r="Y198" i="3"/>
  <c r="CY198" i="3"/>
  <c r="CZ198" i="3"/>
  <c r="DA198" i="3"/>
  <c r="DB198" i="3"/>
  <c r="DC198" i="3"/>
  <c r="A199" i="3"/>
  <c r="Y199" i="3"/>
  <c r="CY199" i="3"/>
  <c r="CZ199" i="3"/>
  <c r="DA199" i="3"/>
  <c r="DB199" i="3"/>
  <c r="DC199" i="3"/>
  <c r="A200" i="3"/>
  <c r="Y200" i="3"/>
  <c r="CY200" i="3"/>
  <c r="CZ200" i="3"/>
  <c r="DB200" i="3" s="1"/>
  <c r="DA200" i="3"/>
  <c r="DC200" i="3"/>
  <c r="A201" i="3"/>
  <c r="Y201" i="3"/>
  <c r="CY201" i="3"/>
  <c r="CZ201" i="3"/>
  <c r="DA201" i="3"/>
  <c r="DB201" i="3"/>
  <c r="DC201" i="3"/>
  <c r="A202" i="3"/>
  <c r="Y202" i="3"/>
  <c r="CY202" i="3"/>
  <c r="CZ202" i="3"/>
  <c r="DA202" i="3"/>
  <c r="DB202" i="3"/>
  <c r="DC202" i="3"/>
  <c r="A203" i="3"/>
  <c r="Y203" i="3"/>
  <c r="CY203" i="3"/>
  <c r="CZ203" i="3"/>
  <c r="DA203" i="3"/>
  <c r="DB203" i="3"/>
  <c r="DC203" i="3"/>
  <c r="A204" i="3"/>
  <c r="Y204" i="3"/>
  <c r="CY204" i="3"/>
  <c r="CZ204" i="3"/>
  <c r="DB204" i="3" s="1"/>
  <c r="DA204" i="3"/>
  <c r="DC204" i="3"/>
  <c r="A205" i="3"/>
  <c r="Y205" i="3"/>
  <c r="CY205" i="3"/>
  <c r="CZ205" i="3"/>
  <c r="DB205" i="3" s="1"/>
  <c r="DA205" i="3"/>
  <c r="DC205" i="3"/>
  <c r="A206" i="3"/>
  <c r="Y206" i="3"/>
  <c r="CY206" i="3"/>
  <c r="CZ206" i="3"/>
  <c r="DA206" i="3"/>
  <c r="DB206" i="3"/>
  <c r="DC206" i="3"/>
  <c r="A207" i="3"/>
  <c r="Y207" i="3"/>
  <c r="CY207" i="3"/>
  <c r="CZ207" i="3"/>
  <c r="DA207" i="3"/>
  <c r="DB207" i="3"/>
  <c r="DC207" i="3"/>
  <c r="A208" i="3"/>
  <c r="Y208" i="3"/>
  <c r="CY208" i="3"/>
  <c r="CZ208" i="3"/>
  <c r="DB208" i="3" s="1"/>
  <c r="DA208" i="3"/>
  <c r="DC208" i="3"/>
  <c r="A209" i="3"/>
  <c r="Y209" i="3"/>
  <c r="CY209" i="3"/>
  <c r="CZ209" i="3"/>
  <c r="DB209" i="3" s="1"/>
  <c r="DA209" i="3"/>
  <c r="DC209" i="3"/>
  <c r="A210" i="3"/>
  <c r="Y210" i="3"/>
  <c r="CY210" i="3"/>
  <c r="CZ210" i="3"/>
  <c r="DA210" i="3"/>
  <c r="DB210" i="3"/>
  <c r="DC210" i="3"/>
  <c r="A211" i="3"/>
  <c r="Y211" i="3"/>
  <c r="CY211" i="3"/>
  <c r="CZ211" i="3"/>
  <c r="DA211" i="3"/>
  <c r="DB211" i="3"/>
  <c r="DC211" i="3"/>
  <c r="A212" i="3"/>
  <c r="Y212" i="3"/>
  <c r="CY212" i="3"/>
  <c r="CZ212" i="3"/>
  <c r="DB212" i="3" s="1"/>
  <c r="DA212" i="3"/>
  <c r="DC212" i="3"/>
  <c r="A213" i="3"/>
  <c r="Y213" i="3"/>
  <c r="CY213" i="3"/>
  <c r="CZ213" i="3"/>
  <c r="DB213" i="3" s="1"/>
  <c r="DA213" i="3"/>
  <c r="DC213" i="3"/>
  <c r="A214" i="3"/>
  <c r="Y214" i="3"/>
  <c r="CY214" i="3"/>
  <c r="CZ214" i="3"/>
  <c r="DB214" i="3" s="1"/>
  <c r="DA214" i="3"/>
  <c r="DC214" i="3"/>
  <c r="A215" i="3"/>
  <c r="Y215" i="3"/>
  <c r="CY215" i="3"/>
  <c r="CZ215" i="3"/>
  <c r="DB215" i="3" s="1"/>
  <c r="DA215" i="3"/>
  <c r="DC215" i="3"/>
  <c r="A216" i="3"/>
  <c r="Y216" i="3"/>
  <c r="CY216" i="3"/>
  <c r="CZ216" i="3"/>
  <c r="DA216" i="3"/>
  <c r="DB216" i="3"/>
  <c r="DC216" i="3"/>
  <c r="A217" i="3"/>
  <c r="Y217" i="3"/>
  <c r="CY217" i="3"/>
  <c r="CZ217" i="3"/>
  <c r="DA217" i="3"/>
  <c r="DB217" i="3"/>
  <c r="DC217" i="3"/>
  <c r="A218" i="3"/>
  <c r="Y218" i="3"/>
  <c r="CY218" i="3"/>
  <c r="CZ218" i="3"/>
  <c r="DA218" i="3"/>
  <c r="DB218" i="3"/>
  <c r="DC218" i="3"/>
  <c r="A219" i="3"/>
  <c r="Y219" i="3"/>
  <c r="CY219" i="3"/>
  <c r="CZ219" i="3"/>
  <c r="DB219" i="3" s="1"/>
  <c r="DA219" i="3"/>
  <c r="DC219" i="3"/>
  <c r="A220" i="3"/>
  <c r="Y220" i="3"/>
  <c r="CY220" i="3"/>
  <c r="CZ220" i="3"/>
  <c r="DA220" i="3"/>
  <c r="DB220" i="3"/>
  <c r="DC220" i="3"/>
  <c r="A221" i="3"/>
  <c r="Y221" i="3"/>
  <c r="CY221" i="3"/>
  <c r="CZ221" i="3"/>
  <c r="DB221" i="3" s="1"/>
  <c r="DA221" i="3"/>
  <c r="DC221" i="3"/>
  <c r="A222" i="3"/>
  <c r="Y222" i="3"/>
  <c r="CY222" i="3"/>
  <c r="CZ222" i="3"/>
  <c r="DB222" i="3" s="1"/>
  <c r="DA222" i="3"/>
  <c r="DC222" i="3"/>
  <c r="A223" i="3"/>
  <c r="Y223" i="3"/>
  <c r="CY223" i="3"/>
  <c r="CZ223" i="3"/>
  <c r="DB223" i="3" s="1"/>
  <c r="DA223" i="3"/>
  <c r="DC223" i="3"/>
  <c r="A224" i="3"/>
  <c r="Y224" i="3"/>
  <c r="CY224" i="3"/>
  <c r="CZ224" i="3"/>
  <c r="DA224" i="3"/>
  <c r="DB224" i="3"/>
  <c r="DC224" i="3"/>
  <c r="A225" i="3"/>
  <c r="Y225" i="3"/>
  <c r="CY225" i="3"/>
  <c r="CZ225" i="3"/>
  <c r="DB225" i="3" s="1"/>
  <c r="DA225" i="3"/>
  <c r="DC225" i="3"/>
  <c r="A226" i="3"/>
  <c r="Y226" i="3"/>
  <c r="CY226" i="3"/>
  <c r="CZ226" i="3"/>
  <c r="DB226" i="3" s="1"/>
  <c r="DA226" i="3"/>
  <c r="DC226" i="3"/>
  <c r="A227" i="3"/>
  <c r="Y227" i="3"/>
  <c r="CY227" i="3"/>
  <c r="CZ227" i="3"/>
  <c r="DA227" i="3"/>
  <c r="DB227" i="3"/>
  <c r="DC227" i="3"/>
  <c r="A228" i="3"/>
  <c r="Y228" i="3"/>
  <c r="CY228" i="3"/>
  <c r="CZ228" i="3"/>
  <c r="DA228" i="3"/>
  <c r="DB228" i="3"/>
  <c r="DC228" i="3"/>
  <c r="A229" i="3"/>
  <c r="Y229" i="3"/>
  <c r="CY229" i="3"/>
  <c r="CZ229" i="3"/>
  <c r="DA229" i="3"/>
  <c r="DB229" i="3"/>
  <c r="DC229" i="3"/>
  <c r="A230" i="3"/>
  <c r="Y230" i="3"/>
  <c r="CY230" i="3"/>
  <c r="CZ230" i="3"/>
  <c r="DB230" i="3" s="1"/>
  <c r="DA230" i="3"/>
  <c r="DC230" i="3"/>
  <c r="A231" i="3"/>
  <c r="Y231" i="3"/>
  <c r="CY231" i="3"/>
  <c r="CZ231" i="3"/>
  <c r="DA231" i="3"/>
  <c r="DB231" i="3"/>
  <c r="DC231" i="3"/>
  <c r="A232" i="3"/>
  <c r="Y232" i="3"/>
  <c r="CY232" i="3"/>
  <c r="CZ232" i="3"/>
  <c r="DA232" i="3"/>
  <c r="DB232" i="3"/>
  <c r="DC232" i="3"/>
  <c r="A233" i="3"/>
  <c r="Y233" i="3"/>
  <c r="CY233" i="3"/>
  <c r="CZ233" i="3"/>
  <c r="DB233" i="3" s="1"/>
  <c r="DA233" i="3"/>
  <c r="DC233" i="3"/>
  <c r="A234" i="3"/>
  <c r="Y234" i="3"/>
  <c r="CY234" i="3"/>
  <c r="CZ234" i="3"/>
  <c r="DB234" i="3" s="1"/>
  <c r="DA234" i="3"/>
  <c r="DC234" i="3"/>
  <c r="A235" i="3"/>
  <c r="Y235" i="3"/>
  <c r="CY235" i="3"/>
  <c r="CZ235" i="3"/>
  <c r="DA235" i="3"/>
  <c r="DB235" i="3"/>
  <c r="DC235" i="3"/>
  <c r="A236" i="3"/>
  <c r="Y236" i="3"/>
  <c r="CY236" i="3"/>
  <c r="CZ236" i="3"/>
  <c r="DA236" i="3"/>
  <c r="DB236" i="3"/>
  <c r="DC236" i="3"/>
  <c r="A237" i="3"/>
  <c r="Y237" i="3"/>
  <c r="CY237" i="3"/>
  <c r="CZ237" i="3"/>
  <c r="DB237" i="3" s="1"/>
  <c r="DA237" i="3"/>
  <c r="DC237" i="3"/>
  <c r="A238" i="3"/>
  <c r="Y238" i="3"/>
  <c r="CY238" i="3"/>
  <c r="CZ238" i="3"/>
  <c r="DB238" i="3" s="1"/>
  <c r="DA238" i="3"/>
  <c r="DC238" i="3"/>
  <c r="A239" i="3"/>
  <c r="Y239" i="3"/>
  <c r="CY239" i="3"/>
  <c r="CZ239" i="3"/>
  <c r="DA239" i="3"/>
  <c r="DB239" i="3"/>
  <c r="DC239" i="3"/>
  <c r="A240" i="3"/>
  <c r="Y240" i="3"/>
  <c r="CY240" i="3"/>
  <c r="CZ240" i="3"/>
  <c r="DB240" i="3" s="1"/>
  <c r="DA240" i="3"/>
  <c r="DC240" i="3"/>
  <c r="A241" i="3"/>
  <c r="Y241" i="3"/>
  <c r="CY241" i="3"/>
  <c r="CZ241" i="3"/>
  <c r="DB241" i="3" s="1"/>
  <c r="DA241" i="3"/>
  <c r="DC241" i="3"/>
  <c r="A242" i="3"/>
  <c r="Y242" i="3"/>
  <c r="CY242" i="3"/>
  <c r="CZ242" i="3"/>
  <c r="DB242" i="3" s="1"/>
  <c r="DA242" i="3"/>
  <c r="DC242" i="3"/>
  <c r="A243" i="3"/>
  <c r="Y243" i="3"/>
  <c r="CY243" i="3"/>
  <c r="CZ243" i="3"/>
  <c r="DA243" i="3"/>
  <c r="DB243" i="3"/>
  <c r="DC243" i="3"/>
  <c r="A244" i="3"/>
  <c r="Y244" i="3"/>
  <c r="CY244" i="3"/>
  <c r="CZ244" i="3"/>
  <c r="DA244" i="3"/>
  <c r="DB244" i="3"/>
  <c r="DC244" i="3"/>
  <c r="A245" i="3"/>
  <c r="Y245" i="3"/>
  <c r="CY245" i="3"/>
  <c r="CZ245" i="3"/>
  <c r="DB245" i="3" s="1"/>
  <c r="DA245" i="3"/>
  <c r="DC245" i="3"/>
  <c r="A246" i="3"/>
  <c r="Y246" i="3"/>
  <c r="CY246" i="3"/>
  <c r="CZ246" i="3"/>
  <c r="DB246" i="3" s="1"/>
  <c r="DA246" i="3"/>
  <c r="DC246" i="3"/>
  <c r="A247" i="3"/>
  <c r="Y247" i="3"/>
  <c r="CY247" i="3"/>
  <c r="CZ247" i="3"/>
  <c r="DA247" i="3"/>
  <c r="DB247" i="3"/>
  <c r="DC247" i="3"/>
  <c r="A248" i="3"/>
  <c r="Y248" i="3"/>
  <c r="CY248" i="3"/>
  <c r="CZ248" i="3"/>
  <c r="DB248" i="3" s="1"/>
  <c r="DA248" i="3"/>
  <c r="DC248" i="3"/>
  <c r="A249" i="3"/>
  <c r="Y249" i="3"/>
  <c r="CY249" i="3"/>
  <c r="CZ249" i="3"/>
  <c r="DB249" i="3" s="1"/>
  <c r="DA249" i="3"/>
  <c r="DC249" i="3"/>
  <c r="A250" i="3"/>
  <c r="Y250" i="3"/>
  <c r="CY250" i="3"/>
  <c r="CZ250" i="3"/>
  <c r="DA250" i="3"/>
  <c r="DB250" i="3"/>
  <c r="DC250" i="3"/>
  <c r="A251" i="3"/>
  <c r="Y251" i="3"/>
  <c r="CY251" i="3"/>
  <c r="CZ251" i="3"/>
  <c r="DA251" i="3"/>
  <c r="DB251" i="3"/>
  <c r="DC251" i="3"/>
  <c r="A252" i="3"/>
  <c r="Y252" i="3"/>
  <c r="CY252" i="3"/>
  <c r="CZ252" i="3"/>
  <c r="DB252" i="3" s="1"/>
  <c r="DA252" i="3"/>
  <c r="DC252" i="3"/>
  <c r="A253" i="3"/>
  <c r="Y253" i="3"/>
  <c r="CY253" i="3"/>
  <c r="CZ253" i="3"/>
  <c r="DB253" i="3" s="1"/>
  <c r="DA253" i="3"/>
  <c r="DC253" i="3"/>
  <c r="A254" i="3"/>
  <c r="Y254" i="3"/>
  <c r="CY254" i="3"/>
  <c r="CZ254" i="3"/>
  <c r="DA254" i="3"/>
  <c r="DB254" i="3"/>
  <c r="DC254" i="3"/>
  <c r="A255" i="3"/>
  <c r="Y255" i="3"/>
  <c r="CY255" i="3"/>
  <c r="CZ255" i="3"/>
  <c r="DA255" i="3"/>
  <c r="DB255" i="3"/>
  <c r="DC255" i="3"/>
  <c r="A256" i="3"/>
  <c r="Y256" i="3"/>
  <c r="CY256" i="3"/>
  <c r="CZ256" i="3"/>
  <c r="DB256" i="3" s="1"/>
  <c r="DA256" i="3"/>
  <c r="DC256" i="3"/>
  <c r="A257" i="3"/>
  <c r="Y257" i="3"/>
  <c r="CY257" i="3"/>
  <c r="CZ257" i="3"/>
  <c r="DA257" i="3"/>
  <c r="DB257" i="3"/>
  <c r="DC257" i="3"/>
  <c r="A258" i="3"/>
  <c r="Y258" i="3"/>
  <c r="CY258" i="3"/>
  <c r="CZ258" i="3"/>
  <c r="DA258" i="3"/>
  <c r="DB258" i="3"/>
  <c r="DC258" i="3"/>
  <c r="A259" i="3"/>
  <c r="Y259" i="3"/>
  <c r="CY259" i="3"/>
  <c r="CZ259" i="3"/>
  <c r="DA259" i="3"/>
  <c r="DB259" i="3"/>
  <c r="DC259" i="3"/>
  <c r="A260" i="3"/>
  <c r="Y260" i="3"/>
  <c r="CY260" i="3"/>
  <c r="CZ260" i="3"/>
  <c r="DB260" i="3" s="1"/>
  <c r="DA260" i="3"/>
  <c r="DC260" i="3"/>
  <c r="A261" i="3"/>
  <c r="Y261" i="3"/>
  <c r="CY261" i="3"/>
  <c r="CZ261" i="3"/>
  <c r="DA261" i="3"/>
  <c r="DB261" i="3"/>
  <c r="DC261" i="3"/>
  <c r="A262" i="3"/>
  <c r="Y262" i="3"/>
  <c r="CY262" i="3"/>
  <c r="CZ262" i="3"/>
  <c r="DA262" i="3"/>
  <c r="DB262" i="3"/>
  <c r="DC262" i="3"/>
  <c r="A263" i="3"/>
  <c r="Y263" i="3"/>
  <c r="CY263" i="3"/>
  <c r="CZ263" i="3"/>
  <c r="DB263" i="3" s="1"/>
  <c r="DA263" i="3"/>
  <c r="DC263" i="3"/>
  <c r="A264" i="3"/>
  <c r="Y264" i="3"/>
  <c r="CY264" i="3"/>
  <c r="CZ264" i="3"/>
  <c r="DA264" i="3"/>
  <c r="DB264" i="3"/>
  <c r="DC264" i="3"/>
  <c r="A265" i="3"/>
  <c r="Y265" i="3"/>
  <c r="CY265" i="3"/>
  <c r="CZ265" i="3"/>
  <c r="DA265" i="3"/>
  <c r="DB265" i="3"/>
  <c r="DC265" i="3"/>
  <c r="A266" i="3"/>
  <c r="Y266" i="3"/>
  <c r="CY266" i="3"/>
  <c r="CZ266" i="3"/>
  <c r="DA266" i="3"/>
  <c r="DB266" i="3"/>
  <c r="DC266" i="3"/>
  <c r="A267" i="3"/>
  <c r="Y267" i="3"/>
  <c r="CY267" i="3"/>
  <c r="CZ267" i="3"/>
  <c r="DA267" i="3"/>
  <c r="DB267" i="3"/>
  <c r="DC267" i="3"/>
  <c r="A268" i="3"/>
  <c r="Y268" i="3"/>
  <c r="CY268" i="3"/>
  <c r="CZ268" i="3"/>
  <c r="DB268" i="3" s="1"/>
  <c r="DA268" i="3"/>
  <c r="DC268" i="3"/>
  <c r="A269" i="3"/>
  <c r="Y269" i="3"/>
  <c r="CY269" i="3"/>
  <c r="CZ269" i="3"/>
  <c r="DB269" i="3" s="1"/>
  <c r="DA269" i="3"/>
  <c r="DC269" i="3"/>
  <c r="A270" i="3"/>
  <c r="Y270" i="3"/>
  <c r="CY270" i="3"/>
  <c r="CZ270" i="3"/>
  <c r="DA270" i="3"/>
  <c r="DB270" i="3"/>
  <c r="DC270" i="3"/>
  <c r="A271" i="3"/>
  <c r="Y271" i="3"/>
  <c r="CY271" i="3"/>
  <c r="CZ271" i="3"/>
  <c r="DA271" i="3"/>
  <c r="DB271" i="3"/>
  <c r="DC271" i="3"/>
  <c r="A272" i="3"/>
  <c r="Y272" i="3"/>
  <c r="CY272" i="3"/>
  <c r="CZ272" i="3"/>
  <c r="DA272" i="3"/>
  <c r="DB272" i="3"/>
  <c r="DC272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C28" i="1"/>
  <c r="D28" i="1"/>
  <c r="I28" i="1"/>
  <c r="K28" i="1"/>
  <c r="AC28" i="1"/>
  <c r="AE28" i="1"/>
  <c r="AD28" i="1" s="1"/>
  <c r="AF28" i="1"/>
  <c r="AG28" i="1"/>
  <c r="CU28" i="1" s="1"/>
  <c r="T28" i="1" s="1"/>
  <c r="AH28" i="1"/>
  <c r="AI28" i="1"/>
  <c r="AJ28" i="1"/>
  <c r="CQ28" i="1"/>
  <c r="CR28" i="1"/>
  <c r="CS28" i="1"/>
  <c r="CT28" i="1"/>
  <c r="CV28" i="1"/>
  <c r="CW28" i="1"/>
  <c r="CX28" i="1"/>
  <c r="W28" i="1" s="1"/>
  <c r="GL28" i="1"/>
  <c r="GO28" i="1"/>
  <c r="GP28" i="1"/>
  <c r="GV28" i="1"/>
  <c r="HC28" i="1"/>
  <c r="GX28" i="1" s="1"/>
  <c r="I29" i="1"/>
  <c r="U29" i="1"/>
  <c r="AC29" i="1"/>
  <c r="AB29" i="1" s="1"/>
  <c r="AE29" i="1"/>
  <c r="AD29" i="1" s="1"/>
  <c r="AF29" i="1"/>
  <c r="AG29" i="1"/>
  <c r="CU29" i="1" s="1"/>
  <c r="T29" i="1" s="1"/>
  <c r="AH29" i="1"/>
  <c r="AI29" i="1"/>
  <c r="CW29" i="1" s="1"/>
  <c r="V29" i="1" s="1"/>
  <c r="AJ29" i="1"/>
  <c r="CQ29" i="1"/>
  <c r="P29" i="1" s="1"/>
  <c r="CR29" i="1"/>
  <c r="Q29" i="1" s="1"/>
  <c r="CS29" i="1"/>
  <c r="R29" i="1" s="1"/>
  <c r="CT29" i="1"/>
  <c r="S29" i="1" s="1"/>
  <c r="CV29" i="1"/>
  <c r="CX29" i="1"/>
  <c r="W29" i="1" s="1"/>
  <c r="GL29" i="1"/>
  <c r="GO29" i="1"/>
  <c r="GP29" i="1"/>
  <c r="GV29" i="1"/>
  <c r="HC29" i="1" s="1"/>
  <c r="GX29" i="1" s="1"/>
  <c r="C30" i="1"/>
  <c r="D30" i="1"/>
  <c r="V30" i="1"/>
  <c r="G80" i="7" s="1"/>
  <c r="AC30" i="1"/>
  <c r="AD30" i="1"/>
  <c r="AE30" i="1"/>
  <c r="AF30" i="1"/>
  <c r="AG30" i="1"/>
  <c r="AH30" i="1"/>
  <c r="AI30" i="1"/>
  <c r="AJ30" i="1"/>
  <c r="CX30" i="1" s="1"/>
  <c r="W30" i="1" s="1"/>
  <c r="CQ30" i="1"/>
  <c r="CR30" i="1"/>
  <c r="CS30" i="1"/>
  <c r="CT30" i="1"/>
  <c r="CU30" i="1"/>
  <c r="T30" i="1" s="1"/>
  <c r="CV30" i="1"/>
  <c r="CW30" i="1"/>
  <c r="GL30" i="1"/>
  <c r="GO30" i="1"/>
  <c r="GP30" i="1"/>
  <c r="GV30" i="1"/>
  <c r="HC30" i="1" s="1"/>
  <c r="GX30" i="1" s="1"/>
  <c r="C31" i="1"/>
  <c r="D31" i="1"/>
  <c r="U31" i="1"/>
  <c r="G93" i="7" s="1"/>
  <c r="V31" i="1"/>
  <c r="G96" i="7" s="1"/>
  <c r="W31" i="1"/>
  <c r="AC31" i="1"/>
  <c r="AE31" i="1"/>
  <c r="AD31" i="1" s="1"/>
  <c r="AF31" i="1"/>
  <c r="AG31" i="1"/>
  <c r="CU31" i="1" s="1"/>
  <c r="T31" i="1" s="1"/>
  <c r="AH31" i="1"/>
  <c r="AI31" i="1"/>
  <c r="AJ31" i="1"/>
  <c r="CQ31" i="1"/>
  <c r="CR31" i="1"/>
  <c r="CS31" i="1"/>
  <c r="CT31" i="1"/>
  <c r="CV31" i="1"/>
  <c r="CW31" i="1"/>
  <c r="CX31" i="1"/>
  <c r="GL31" i="1"/>
  <c r="GO31" i="1"/>
  <c r="GP31" i="1"/>
  <c r="GV31" i="1"/>
  <c r="HC31" i="1"/>
  <c r="GX31" i="1" s="1"/>
  <c r="I32" i="1"/>
  <c r="S32" i="1"/>
  <c r="CZ32" i="1" s="1"/>
  <c r="Y32" i="1" s="1"/>
  <c r="AC32" i="1"/>
  <c r="AE32" i="1"/>
  <c r="AD32" i="1" s="1"/>
  <c r="AF32" i="1"/>
  <c r="AG32" i="1"/>
  <c r="CU32" i="1" s="1"/>
  <c r="T32" i="1" s="1"/>
  <c r="AH32" i="1"/>
  <c r="AI32" i="1"/>
  <c r="CW32" i="1" s="1"/>
  <c r="V32" i="1" s="1"/>
  <c r="AJ32" i="1"/>
  <c r="CQ32" i="1"/>
  <c r="P32" i="1" s="1"/>
  <c r="CR32" i="1"/>
  <c r="Q32" i="1" s="1"/>
  <c r="CS32" i="1"/>
  <c r="R32" i="1" s="1"/>
  <c r="CT32" i="1"/>
  <c r="CV32" i="1"/>
  <c r="U32" i="1" s="1"/>
  <c r="CX32" i="1"/>
  <c r="W32" i="1" s="1"/>
  <c r="GL32" i="1"/>
  <c r="GO32" i="1"/>
  <c r="GP32" i="1"/>
  <c r="GV32" i="1"/>
  <c r="HC32" i="1"/>
  <c r="GX32" i="1" s="1"/>
  <c r="I33" i="1"/>
  <c r="U33" i="1"/>
  <c r="AC33" i="1"/>
  <c r="AE33" i="1"/>
  <c r="AD33" i="1" s="1"/>
  <c r="AF33" i="1"/>
  <c r="AG33" i="1"/>
  <c r="CU33" i="1" s="1"/>
  <c r="T33" i="1" s="1"/>
  <c r="AH33" i="1"/>
  <c r="AI33" i="1"/>
  <c r="CW33" i="1" s="1"/>
  <c r="V33" i="1" s="1"/>
  <c r="AJ33" i="1"/>
  <c r="CQ33" i="1"/>
  <c r="P33" i="1" s="1"/>
  <c r="CR33" i="1"/>
  <c r="Q33" i="1" s="1"/>
  <c r="CS33" i="1"/>
  <c r="R33" i="1" s="1"/>
  <c r="CT33" i="1"/>
  <c r="S33" i="1" s="1"/>
  <c r="CV33" i="1"/>
  <c r="CX33" i="1"/>
  <c r="W33" i="1" s="1"/>
  <c r="GL33" i="1"/>
  <c r="GO33" i="1"/>
  <c r="GP33" i="1"/>
  <c r="GV33" i="1"/>
  <c r="HC33" i="1" s="1"/>
  <c r="GX33" i="1" s="1"/>
  <c r="I34" i="1"/>
  <c r="Q34" i="1"/>
  <c r="W34" i="1"/>
  <c r="AC34" i="1"/>
  <c r="AE34" i="1"/>
  <c r="AD34" i="1" s="1"/>
  <c r="AF34" i="1"/>
  <c r="AG34" i="1"/>
  <c r="CU34" i="1" s="1"/>
  <c r="T34" i="1" s="1"/>
  <c r="AH34" i="1"/>
  <c r="AI34" i="1"/>
  <c r="CW34" i="1" s="1"/>
  <c r="V34" i="1" s="1"/>
  <c r="AJ34" i="1"/>
  <c r="CQ34" i="1"/>
  <c r="P34" i="1" s="1"/>
  <c r="CP34" i="1" s="1"/>
  <c r="O34" i="1" s="1"/>
  <c r="CR34" i="1"/>
  <c r="CS34" i="1"/>
  <c r="R34" i="1" s="1"/>
  <c r="CT34" i="1"/>
  <c r="S34" i="1" s="1"/>
  <c r="CV34" i="1"/>
  <c r="U34" i="1" s="1"/>
  <c r="CX34" i="1"/>
  <c r="GL34" i="1"/>
  <c r="GO34" i="1"/>
  <c r="GP34" i="1"/>
  <c r="GV34" i="1"/>
  <c r="HC34" i="1"/>
  <c r="GX34" i="1" s="1"/>
  <c r="C35" i="1"/>
  <c r="D35" i="1"/>
  <c r="U35" i="1"/>
  <c r="G121" i="7" s="1"/>
  <c r="V35" i="1"/>
  <c r="G124" i="7" s="1"/>
  <c r="AC35" i="1"/>
  <c r="AE35" i="1"/>
  <c r="AD35" i="1" s="1"/>
  <c r="AF35" i="1"/>
  <c r="AG35" i="1"/>
  <c r="AH35" i="1"/>
  <c r="AI35" i="1"/>
  <c r="AJ35" i="1"/>
  <c r="CX35" i="1" s="1"/>
  <c r="W35" i="1" s="1"/>
  <c r="CQ35" i="1"/>
  <c r="CR35" i="1"/>
  <c r="CS35" i="1"/>
  <c r="CT35" i="1"/>
  <c r="CU35" i="1"/>
  <c r="T35" i="1" s="1"/>
  <c r="CV35" i="1"/>
  <c r="CW35" i="1"/>
  <c r="GL35" i="1"/>
  <c r="GO35" i="1"/>
  <c r="GP35" i="1"/>
  <c r="GV35" i="1"/>
  <c r="HC35" i="1" s="1"/>
  <c r="GX35" i="1" s="1"/>
  <c r="I36" i="1"/>
  <c r="T36" i="1"/>
  <c r="AB36" i="1"/>
  <c r="AC36" i="1"/>
  <c r="AD36" i="1"/>
  <c r="AE36" i="1"/>
  <c r="AF36" i="1"/>
  <c r="AG36" i="1"/>
  <c r="AH36" i="1"/>
  <c r="CV36" i="1" s="1"/>
  <c r="U36" i="1" s="1"/>
  <c r="AI36" i="1"/>
  <c r="AJ36" i="1"/>
  <c r="CX36" i="1" s="1"/>
  <c r="W36" i="1" s="1"/>
  <c r="CQ36" i="1"/>
  <c r="P36" i="1" s="1"/>
  <c r="CR36" i="1"/>
  <c r="Q36" i="1" s="1"/>
  <c r="CS36" i="1"/>
  <c r="R36" i="1" s="1"/>
  <c r="CT36" i="1"/>
  <c r="S36" i="1" s="1"/>
  <c r="CU36" i="1"/>
  <c r="CW36" i="1"/>
  <c r="V36" i="1" s="1"/>
  <c r="GL36" i="1"/>
  <c r="GO36" i="1"/>
  <c r="GP36" i="1"/>
  <c r="GV36" i="1"/>
  <c r="HC36" i="1" s="1"/>
  <c r="GX36" i="1" s="1"/>
  <c r="C37" i="1"/>
  <c r="D37" i="1"/>
  <c r="I37" i="1"/>
  <c r="K37" i="1"/>
  <c r="AC37" i="1"/>
  <c r="AE37" i="1"/>
  <c r="AD37" i="1" s="1"/>
  <c r="AF37" i="1"/>
  <c r="AG37" i="1"/>
  <c r="CU37" i="1" s="1"/>
  <c r="T37" i="1" s="1"/>
  <c r="AH37" i="1"/>
  <c r="AI37" i="1"/>
  <c r="AJ37" i="1"/>
  <c r="CQ37" i="1"/>
  <c r="CR37" i="1"/>
  <c r="CS37" i="1"/>
  <c r="CT37" i="1"/>
  <c r="CV37" i="1"/>
  <c r="CW37" i="1"/>
  <c r="CX37" i="1"/>
  <c r="W37" i="1" s="1"/>
  <c r="GL37" i="1"/>
  <c r="GO37" i="1"/>
  <c r="GP37" i="1"/>
  <c r="GV37" i="1"/>
  <c r="HC37" i="1"/>
  <c r="GX37" i="1" s="1"/>
  <c r="C38" i="1"/>
  <c r="D38" i="1"/>
  <c r="I38" i="1"/>
  <c r="K38" i="1"/>
  <c r="AC38" i="1"/>
  <c r="AE38" i="1"/>
  <c r="AD38" i="1" s="1"/>
  <c r="AF38" i="1"/>
  <c r="AG38" i="1"/>
  <c r="AH38" i="1"/>
  <c r="AI38" i="1"/>
  <c r="AJ38" i="1"/>
  <c r="CX38" i="1" s="1"/>
  <c r="W38" i="1" s="1"/>
  <c r="CQ38" i="1"/>
  <c r="CR38" i="1"/>
  <c r="CS38" i="1"/>
  <c r="CT38" i="1"/>
  <c r="CU38" i="1"/>
  <c r="T38" i="1" s="1"/>
  <c r="CV38" i="1"/>
  <c r="CW38" i="1"/>
  <c r="GL38" i="1"/>
  <c r="GO38" i="1"/>
  <c r="GP38" i="1"/>
  <c r="GV38" i="1"/>
  <c r="GX38" i="1"/>
  <c r="HC38" i="1"/>
  <c r="I39" i="1"/>
  <c r="T39" i="1"/>
  <c r="AB39" i="1"/>
  <c r="AC39" i="1"/>
  <c r="AD39" i="1"/>
  <c r="AE39" i="1"/>
  <c r="AF39" i="1"/>
  <c r="AG39" i="1"/>
  <c r="AH39" i="1"/>
  <c r="CV39" i="1" s="1"/>
  <c r="U39" i="1" s="1"/>
  <c r="AI39" i="1"/>
  <c r="AJ39" i="1"/>
  <c r="CX39" i="1" s="1"/>
  <c r="W39" i="1" s="1"/>
  <c r="CQ39" i="1"/>
  <c r="P39" i="1" s="1"/>
  <c r="CP39" i="1" s="1"/>
  <c r="O39" i="1" s="1"/>
  <c r="CR39" i="1"/>
  <c r="Q39" i="1" s="1"/>
  <c r="CS39" i="1"/>
  <c r="R39" i="1" s="1"/>
  <c r="CT39" i="1"/>
  <c r="S39" i="1" s="1"/>
  <c r="CU39" i="1"/>
  <c r="CW39" i="1"/>
  <c r="V39" i="1" s="1"/>
  <c r="GL39" i="1"/>
  <c r="GO39" i="1"/>
  <c r="GP39" i="1"/>
  <c r="GV39" i="1"/>
  <c r="HC39" i="1" s="1"/>
  <c r="GX39" i="1" s="1"/>
  <c r="I40" i="1"/>
  <c r="P40" i="1"/>
  <c r="V40" i="1"/>
  <c r="AC40" i="1"/>
  <c r="AD40" i="1"/>
  <c r="AB40" i="1" s="1"/>
  <c r="AE40" i="1"/>
  <c r="AF40" i="1"/>
  <c r="AG40" i="1"/>
  <c r="AH40" i="1"/>
  <c r="CV40" i="1" s="1"/>
  <c r="U40" i="1" s="1"/>
  <c r="AI40" i="1"/>
  <c r="AJ40" i="1"/>
  <c r="CX40" i="1" s="1"/>
  <c r="W40" i="1" s="1"/>
  <c r="CQ40" i="1"/>
  <c r="CR40" i="1"/>
  <c r="Q40" i="1" s="1"/>
  <c r="CS40" i="1"/>
  <c r="R40" i="1" s="1"/>
  <c r="CT40" i="1"/>
  <c r="S40" i="1" s="1"/>
  <c r="CU40" i="1"/>
  <c r="T40" i="1" s="1"/>
  <c r="CW40" i="1"/>
  <c r="GL40" i="1"/>
  <c r="GO40" i="1"/>
  <c r="GP40" i="1"/>
  <c r="GV40" i="1"/>
  <c r="HC40" i="1" s="1"/>
  <c r="GX40" i="1" s="1"/>
  <c r="I41" i="1"/>
  <c r="R41" i="1"/>
  <c r="AC41" i="1"/>
  <c r="AD41" i="1"/>
  <c r="AB41" i="1" s="1"/>
  <c r="AE41" i="1"/>
  <c r="AF41" i="1"/>
  <c r="AG41" i="1"/>
  <c r="AH41" i="1"/>
  <c r="CV41" i="1" s="1"/>
  <c r="U41" i="1" s="1"/>
  <c r="AI41" i="1"/>
  <c r="AJ41" i="1"/>
  <c r="CX41" i="1" s="1"/>
  <c r="W41" i="1" s="1"/>
  <c r="CQ41" i="1"/>
  <c r="P41" i="1" s="1"/>
  <c r="CR41" i="1"/>
  <c r="Q41" i="1" s="1"/>
  <c r="CS41" i="1"/>
  <c r="CT41" i="1"/>
  <c r="S41" i="1" s="1"/>
  <c r="CU41" i="1"/>
  <c r="T41" i="1" s="1"/>
  <c r="CW41" i="1"/>
  <c r="V41" i="1" s="1"/>
  <c r="GL41" i="1"/>
  <c r="GO41" i="1"/>
  <c r="GP41" i="1"/>
  <c r="GV41" i="1"/>
  <c r="HC41" i="1" s="1"/>
  <c r="GX41" i="1" s="1"/>
  <c r="I42" i="1"/>
  <c r="T42" i="1"/>
  <c r="AB42" i="1"/>
  <c r="AC42" i="1"/>
  <c r="AD42" i="1"/>
  <c r="AE42" i="1"/>
  <c r="AF42" i="1"/>
  <c r="AG42" i="1"/>
  <c r="AH42" i="1"/>
  <c r="CV42" i="1" s="1"/>
  <c r="U42" i="1" s="1"/>
  <c r="AI42" i="1"/>
  <c r="AJ42" i="1"/>
  <c r="CX42" i="1" s="1"/>
  <c r="W42" i="1" s="1"/>
  <c r="CQ42" i="1"/>
  <c r="P42" i="1" s="1"/>
  <c r="CR42" i="1"/>
  <c r="Q42" i="1" s="1"/>
  <c r="CS42" i="1"/>
  <c r="R42" i="1" s="1"/>
  <c r="CT42" i="1"/>
  <c r="S42" i="1" s="1"/>
  <c r="CU42" i="1"/>
  <c r="CW42" i="1"/>
  <c r="V42" i="1" s="1"/>
  <c r="GL42" i="1"/>
  <c r="GO42" i="1"/>
  <c r="GP42" i="1"/>
  <c r="GV42" i="1"/>
  <c r="HC42" i="1" s="1"/>
  <c r="GX42" i="1" s="1"/>
  <c r="C43" i="1"/>
  <c r="D43" i="1"/>
  <c r="I43" i="1"/>
  <c r="K43" i="1"/>
  <c r="V43" i="1"/>
  <c r="AC43" i="1"/>
  <c r="AE43" i="1"/>
  <c r="AD43" i="1" s="1"/>
  <c r="AF43" i="1"/>
  <c r="AG43" i="1"/>
  <c r="CU43" i="1" s="1"/>
  <c r="T43" i="1" s="1"/>
  <c r="AH43" i="1"/>
  <c r="AI43" i="1"/>
  <c r="AJ43" i="1"/>
  <c r="CQ43" i="1"/>
  <c r="CR43" i="1"/>
  <c r="CS43" i="1"/>
  <c r="CT43" i="1"/>
  <c r="CV43" i="1"/>
  <c r="CW43" i="1"/>
  <c r="CX43" i="1"/>
  <c r="W43" i="1" s="1"/>
  <c r="GL43" i="1"/>
  <c r="GO43" i="1"/>
  <c r="GP43" i="1"/>
  <c r="GV43" i="1"/>
  <c r="HC43" i="1"/>
  <c r="GX43" i="1" s="1"/>
  <c r="AC44" i="1"/>
  <c r="AB44" i="1" s="1"/>
  <c r="AE44" i="1"/>
  <c r="AD44" i="1" s="1"/>
  <c r="AF44" i="1"/>
  <c r="AG44" i="1"/>
  <c r="CU44" i="1" s="1"/>
  <c r="AH44" i="1"/>
  <c r="AI44" i="1"/>
  <c r="CW44" i="1" s="1"/>
  <c r="AJ44" i="1"/>
  <c r="CQ44" i="1"/>
  <c r="CR44" i="1"/>
  <c r="CS44" i="1"/>
  <c r="CT44" i="1"/>
  <c r="CV44" i="1"/>
  <c r="CX44" i="1"/>
  <c r="GL44" i="1"/>
  <c r="GO44" i="1"/>
  <c r="GP44" i="1"/>
  <c r="GV44" i="1"/>
  <c r="HC44" i="1" s="1"/>
  <c r="C45" i="1"/>
  <c r="D45" i="1"/>
  <c r="I45" i="1"/>
  <c r="K45" i="1"/>
  <c r="T45" i="1"/>
  <c r="AC45" i="1"/>
  <c r="AE45" i="1"/>
  <c r="AD45" i="1" s="1"/>
  <c r="AF45" i="1"/>
  <c r="AG45" i="1"/>
  <c r="AH45" i="1"/>
  <c r="AI45" i="1"/>
  <c r="AJ45" i="1"/>
  <c r="CX45" i="1" s="1"/>
  <c r="W45" i="1" s="1"/>
  <c r="CQ45" i="1"/>
  <c r="CR45" i="1"/>
  <c r="CS45" i="1"/>
  <c r="CT45" i="1"/>
  <c r="CU45" i="1"/>
  <c r="CV45" i="1"/>
  <c r="CW45" i="1"/>
  <c r="GL45" i="1"/>
  <c r="GO45" i="1"/>
  <c r="GP45" i="1"/>
  <c r="GV45" i="1"/>
  <c r="GX45" i="1"/>
  <c r="HC45" i="1"/>
  <c r="I46" i="1"/>
  <c r="P46" i="1"/>
  <c r="V46" i="1"/>
  <c r="AC46" i="1"/>
  <c r="AD46" i="1"/>
  <c r="AB46" i="1" s="1"/>
  <c r="AE46" i="1"/>
  <c r="AF46" i="1"/>
  <c r="AG46" i="1"/>
  <c r="AH46" i="1"/>
  <c r="CV46" i="1" s="1"/>
  <c r="U46" i="1" s="1"/>
  <c r="AI46" i="1"/>
  <c r="AJ46" i="1"/>
  <c r="CX46" i="1" s="1"/>
  <c r="W46" i="1" s="1"/>
  <c r="CQ46" i="1"/>
  <c r="CR46" i="1"/>
  <c r="Q46" i="1" s="1"/>
  <c r="CS46" i="1"/>
  <c r="R46" i="1" s="1"/>
  <c r="CT46" i="1"/>
  <c r="S46" i="1" s="1"/>
  <c r="CU46" i="1"/>
  <c r="T46" i="1" s="1"/>
  <c r="CW46" i="1"/>
  <c r="GL46" i="1"/>
  <c r="GO46" i="1"/>
  <c r="GP46" i="1"/>
  <c r="GV46" i="1"/>
  <c r="HC46" i="1" s="1"/>
  <c r="GX46" i="1" s="1"/>
  <c r="C47" i="1"/>
  <c r="D47" i="1"/>
  <c r="I47" i="1"/>
  <c r="K47" i="1"/>
  <c r="AC47" i="1"/>
  <c r="AE47" i="1"/>
  <c r="AD47" i="1" s="1"/>
  <c r="AF47" i="1"/>
  <c r="AG47" i="1"/>
  <c r="CU47" i="1" s="1"/>
  <c r="T47" i="1" s="1"/>
  <c r="AH47" i="1"/>
  <c r="AI47" i="1"/>
  <c r="AJ47" i="1"/>
  <c r="CQ47" i="1"/>
  <c r="CR47" i="1"/>
  <c r="CS47" i="1"/>
  <c r="CT47" i="1"/>
  <c r="CV47" i="1"/>
  <c r="CW47" i="1"/>
  <c r="CX47" i="1"/>
  <c r="W47" i="1" s="1"/>
  <c r="GL47" i="1"/>
  <c r="GO47" i="1"/>
  <c r="GP47" i="1"/>
  <c r="GV47" i="1"/>
  <c r="HC47" i="1" s="1"/>
  <c r="GX47" i="1" s="1"/>
  <c r="AC48" i="1"/>
  <c r="AE48" i="1"/>
  <c r="AD48" i="1" s="1"/>
  <c r="AF48" i="1"/>
  <c r="AG48" i="1"/>
  <c r="CU48" i="1" s="1"/>
  <c r="AH48" i="1"/>
  <c r="AI48" i="1"/>
  <c r="CW48" i="1" s="1"/>
  <c r="AJ48" i="1"/>
  <c r="CQ48" i="1"/>
  <c r="CR48" i="1"/>
  <c r="CS48" i="1"/>
  <c r="CT48" i="1"/>
  <c r="CV48" i="1"/>
  <c r="CX48" i="1"/>
  <c r="GL48" i="1"/>
  <c r="GO48" i="1"/>
  <c r="GP48" i="1"/>
  <c r="GV48" i="1"/>
  <c r="HC48" i="1"/>
  <c r="O49" i="1"/>
  <c r="P49" i="1"/>
  <c r="Q49" i="1"/>
  <c r="R49" i="1"/>
  <c r="S49" i="1"/>
  <c r="T49" i="1"/>
  <c r="U49" i="1"/>
  <c r="V49" i="1"/>
  <c r="W49" i="1"/>
  <c r="X49" i="1"/>
  <c r="Y49" i="1"/>
  <c r="AB49" i="1"/>
  <c r="CP49" i="1" s="1"/>
  <c r="GM49" i="1" s="1"/>
  <c r="AC49" i="1"/>
  <c r="AD49" i="1"/>
  <c r="AE49" i="1"/>
  <c r="AF49" i="1"/>
  <c r="AG49" i="1"/>
  <c r="AH49" i="1"/>
  <c r="AI49" i="1"/>
  <c r="AJ49" i="1"/>
  <c r="GL49" i="1"/>
  <c r="GO49" i="1"/>
  <c r="GP49" i="1"/>
  <c r="GV49" i="1"/>
  <c r="GX49" i="1"/>
  <c r="O50" i="1"/>
  <c r="P50" i="1"/>
  <c r="Q50" i="1"/>
  <c r="R50" i="1"/>
  <c r="S50" i="1"/>
  <c r="T50" i="1"/>
  <c r="U50" i="1"/>
  <c r="V50" i="1"/>
  <c r="W50" i="1"/>
  <c r="X50" i="1"/>
  <c r="Y50" i="1"/>
  <c r="AB50" i="1"/>
  <c r="AC50" i="1"/>
  <c r="AD50" i="1"/>
  <c r="AE50" i="1"/>
  <c r="AF50" i="1"/>
  <c r="AG50" i="1"/>
  <c r="AH50" i="1"/>
  <c r="AI50" i="1"/>
  <c r="AJ50" i="1"/>
  <c r="CP50" i="1"/>
  <c r="GL50" i="1"/>
  <c r="GM50" i="1"/>
  <c r="GN50" i="1" s="1"/>
  <c r="GO50" i="1"/>
  <c r="GP50" i="1"/>
  <c r="GV50" i="1"/>
  <c r="GX50" i="1"/>
  <c r="HD50" i="1"/>
  <c r="B52" i="1"/>
  <c r="B26" i="1" s="1"/>
  <c r="C52" i="1"/>
  <c r="C26" i="1" s="1"/>
  <c r="D52" i="1"/>
  <c r="D26" i="1" s="1"/>
  <c r="F52" i="1"/>
  <c r="F26" i="1" s="1"/>
  <c r="G52" i="1"/>
  <c r="G26" i="1" s="1"/>
  <c r="AP52" i="1"/>
  <c r="AP26" i="1" s="1"/>
  <c r="BC52" i="1"/>
  <c r="BC26" i="1" s="1"/>
  <c r="BX52" i="1"/>
  <c r="BX26" i="1" s="1"/>
  <c r="BY52" i="1"/>
  <c r="BY26" i="1" s="1"/>
  <c r="CK52" i="1"/>
  <c r="CK26" i="1" s="1"/>
  <c r="CL52" i="1"/>
  <c r="CL26" i="1" s="1"/>
  <c r="F61" i="1"/>
  <c r="F68" i="1"/>
  <c r="D85" i="1"/>
  <c r="E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BR87" i="1"/>
  <c r="BS87" i="1"/>
  <c r="BT87" i="1"/>
  <c r="BU87" i="1"/>
  <c r="BV87" i="1"/>
  <c r="BW87" i="1"/>
  <c r="BX87" i="1"/>
  <c r="BY87" i="1"/>
  <c r="BZ87" i="1"/>
  <c r="CA87" i="1"/>
  <c r="CB87" i="1"/>
  <c r="CC87" i="1"/>
  <c r="CD87" i="1"/>
  <c r="CE87" i="1"/>
  <c r="CF87" i="1"/>
  <c r="CG87" i="1"/>
  <c r="CH87" i="1"/>
  <c r="CI87" i="1"/>
  <c r="CJ87" i="1"/>
  <c r="CK87" i="1"/>
  <c r="CL87" i="1"/>
  <c r="CM87" i="1"/>
  <c r="CN87" i="1"/>
  <c r="CO87" i="1"/>
  <c r="CP87" i="1"/>
  <c r="CQ87" i="1"/>
  <c r="CR87" i="1"/>
  <c r="CS87" i="1"/>
  <c r="CT87" i="1"/>
  <c r="CU87" i="1"/>
  <c r="CV87" i="1"/>
  <c r="CW87" i="1"/>
  <c r="CX87" i="1"/>
  <c r="CY87" i="1"/>
  <c r="CZ87" i="1"/>
  <c r="DA87" i="1"/>
  <c r="DB87" i="1"/>
  <c r="DC87" i="1"/>
  <c r="DD87" i="1"/>
  <c r="DE87" i="1"/>
  <c r="DF87" i="1"/>
  <c r="DG87" i="1"/>
  <c r="DH87" i="1"/>
  <c r="DI87" i="1"/>
  <c r="DJ87" i="1"/>
  <c r="DK87" i="1"/>
  <c r="DL87" i="1"/>
  <c r="DM87" i="1"/>
  <c r="DN87" i="1"/>
  <c r="DO87" i="1"/>
  <c r="DP87" i="1"/>
  <c r="DQ87" i="1"/>
  <c r="DR87" i="1"/>
  <c r="DS87" i="1"/>
  <c r="DT87" i="1"/>
  <c r="DU87" i="1"/>
  <c r="DV87" i="1"/>
  <c r="DW87" i="1"/>
  <c r="DX87" i="1"/>
  <c r="DY87" i="1"/>
  <c r="DZ87" i="1"/>
  <c r="EA87" i="1"/>
  <c r="EB87" i="1"/>
  <c r="EC87" i="1"/>
  <c r="ED87" i="1"/>
  <c r="EE87" i="1"/>
  <c r="EF87" i="1"/>
  <c r="EG87" i="1"/>
  <c r="EH87" i="1"/>
  <c r="EI87" i="1"/>
  <c r="EJ87" i="1"/>
  <c r="EK87" i="1"/>
  <c r="EL87" i="1"/>
  <c r="EM87" i="1"/>
  <c r="EN87" i="1"/>
  <c r="EO87" i="1"/>
  <c r="EP87" i="1"/>
  <c r="EQ87" i="1"/>
  <c r="ER87" i="1"/>
  <c r="ES87" i="1"/>
  <c r="ET87" i="1"/>
  <c r="EU87" i="1"/>
  <c r="EV87" i="1"/>
  <c r="EW87" i="1"/>
  <c r="EX87" i="1"/>
  <c r="EY87" i="1"/>
  <c r="EZ87" i="1"/>
  <c r="FA87" i="1"/>
  <c r="FB87" i="1"/>
  <c r="FC87" i="1"/>
  <c r="FD87" i="1"/>
  <c r="FE87" i="1"/>
  <c r="FF87" i="1"/>
  <c r="FG87" i="1"/>
  <c r="FH87" i="1"/>
  <c r="FI87" i="1"/>
  <c r="FJ87" i="1"/>
  <c r="FK87" i="1"/>
  <c r="FL87" i="1"/>
  <c r="FM87" i="1"/>
  <c r="FN87" i="1"/>
  <c r="FO87" i="1"/>
  <c r="FP87" i="1"/>
  <c r="FQ87" i="1"/>
  <c r="FR87" i="1"/>
  <c r="FS87" i="1"/>
  <c r="FT87" i="1"/>
  <c r="FU87" i="1"/>
  <c r="FV87" i="1"/>
  <c r="FW87" i="1"/>
  <c r="FX87" i="1"/>
  <c r="FY87" i="1"/>
  <c r="FZ87" i="1"/>
  <c r="GA87" i="1"/>
  <c r="GB87" i="1"/>
  <c r="GC87" i="1"/>
  <c r="GD87" i="1"/>
  <c r="GE87" i="1"/>
  <c r="GF87" i="1"/>
  <c r="GG87" i="1"/>
  <c r="GH87" i="1"/>
  <c r="GI87" i="1"/>
  <c r="GJ87" i="1"/>
  <c r="GK87" i="1"/>
  <c r="GL87" i="1"/>
  <c r="GM87" i="1"/>
  <c r="GN87" i="1"/>
  <c r="GO87" i="1"/>
  <c r="GP87" i="1"/>
  <c r="GQ87" i="1"/>
  <c r="GR87" i="1"/>
  <c r="GS87" i="1"/>
  <c r="GT87" i="1"/>
  <c r="GU87" i="1"/>
  <c r="GV87" i="1"/>
  <c r="GW87" i="1"/>
  <c r="GX87" i="1"/>
  <c r="D89" i="1"/>
  <c r="E91" i="1"/>
  <c r="Z91" i="1"/>
  <c r="AA91" i="1"/>
  <c r="AM91" i="1"/>
  <c r="AN91" i="1"/>
  <c r="BE91" i="1"/>
  <c r="BF91" i="1"/>
  <c r="BG91" i="1"/>
  <c r="BH91" i="1"/>
  <c r="BI91" i="1"/>
  <c r="BJ91" i="1"/>
  <c r="BK91" i="1"/>
  <c r="BL91" i="1"/>
  <c r="BM91" i="1"/>
  <c r="BN91" i="1"/>
  <c r="BO91" i="1"/>
  <c r="BP91" i="1"/>
  <c r="BQ91" i="1"/>
  <c r="BR91" i="1"/>
  <c r="BS91" i="1"/>
  <c r="BT91" i="1"/>
  <c r="BU91" i="1"/>
  <c r="BV91" i="1"/>
  <c r="BW91" i="1"/>
  <c r="CN91" i="1"/>
  <c r="CO91" i="1"/>
  <c r="CP91" i="1"/>
  <c r="CQ91" i="1"/>
  <c r="CR91" i="1"/>
  <c r="CS91" i="1"/>
  <c r="CT91" i="1"/>
  <c r="CU91" i="1"/>
  <c r="CV91" i="1"/>
  <c r="CW91" i="1"/>
  <c r="CX91" i="1"/>
  <c r="CY91" i="1"/>
  <c r="CZ91" i="1"/>
  <c r="DA91" i="1"/>
  <c r="DB91" i="1"/>
  <c r="DC91" i="1"/>
  <c r="DD91" i="1"/>
  <c r="DE91" i="1"/>
  <c r="DF91" i="1"/>
  <c r="DG91" i="1"/>
  <c r="DH91" i="1"/>
  <c r="DI91" i="1"/>
  <c r="DJ91" i="1"/>
  <c r="DK91" i="1"/>
  <c r="DL91" i="1"/>
  <c r="DM91" i="1"/>
  <c r="DN91" i="1"/>
  <c r="DO91" i="1"/>
  <c r="DP91" i="1"/>
  <c r="DQ91" i="1"/>
  <c r="DR91" i="1"/>
  <c r="DS91" i="1"/>
  <c r="DT91" i="1"/>
  <c r="DU91" i="1"/>
  <c r="DV91" i="1"/>
  <c r="DW91" i="1"/>
  <c r="DX91" i="1"/>
  <c r="DY91" i="1"/>
  <c r="DZ91" i="1"/>
  <c r="EA91" i="1"/>
  <c r="EB91" i="1"/>
  <c r="EC91" i="1"/>
  <c r="ED91" i="1"/>
  <c r="EE91" i="1"/>
  <c r="EF91" i="1"/>
  <c r="EG91" i="1"/>
  <c r="EH91" i="1"/>
  <c r="EI91" i="1"/>
  <c r="EJ91" i="1"/>
  <c r="EK91" i="1"/>
  <c r="EL91" i="1"/>
  <c r="EM91" i="1"/>
  <c r="EN91" i="1"/>
  <c r="EO91" i="1"/>
  <c r="EP91" i="1"/>
  <c r="EQ91" i="1"/>
  <c r="ER91" i="1"/>
  <c r="ES91" i="1"/>
  <c r="ET91" i="1"/>
  <c r="EU91" i="1"/>
  <c r="EV91" i="1"/>
  <c r="EW91" i="1"/>
  <c r="EX91" i="1"/>
  <c r="EY91" i="1"/>
  <c r="EZ91" i="1"/>
  <c r="FA91" i="1"/>
  <c r="FB91" i="1"/>
  <c r="FC91" i="1"/>
  <c r="FD91" i="1"/>
  <c r="FE91" i="1"/>
  <c r="FF91" i="1"/>
  <c r="FG91" i="1"/>
  <c r="FH91" i="1"/>
  <c r="FI91" i="1"/>
  <c r="FJ91" i="1"/>
  <c r="FK91" i="1"/>
  <c r="FL91" i="1"/>
  <c r="FM91" i="1"/>
  <c r="FN91" i="1"/>
  <c r="FO91" i="1"/>
  <c r="FP91" i="1"/>
  <c r="FQ91" i="1"/>
  <c r="FR91" i="1"/>
  <c r="FS91" i="1"/>
  <c r="FT91" i="1"/>
  <c r="FU91" i="1"/>
  <c r="FV91" i="1"/>
  <c r="FW91" i="1"/>
  <c r="FX91" i="1"/>
  <c r="FY91" i="1"/>
  <c r="FZ91" i="1"/>
  <c r="GA91" i="1"/>
  <c r="GB91" i="1"/>
  <c r="GC91" i="1"/>
  <c r="GD91" i="1"/>
  <c r="GE91" i="1"/>
  <c r="GF91" i="1"/>
  <c r="GG91" i="1"/>
  <c r="GH91" i="1"/>
  <c r="GI91" i="1"/>
  <c r="GJ91" i="1"/>
  <c r="GK91" i="1"/>
  <c r="GL91" i="1"/>
  <c r="GM91" i="1"/>
  <c r="GN91" i="1"/>
  <c r="GO91" i="1"/>
  <c r="GP91" i="1"/>
  <c r="GQ91" i="1"/>
  <c r="GR91" i="1"/>
  <c r="GS91" i="1"/>
  <c r="GT91" i="1"/>
  <c r="GU91" i="1"/>
  <c r="GV91" i="1"/>
  <c r="GW91" i="1"/>
  <c r="GX91" i="1"/>
  <c r="C93" i="1"/>
  <c r="D93" i="1"/>
  <c r="I93" i="1"/>
  <c r="K93" i="1"/>
  <c r="W93" i="1"/>
  <c r="AC93" i="1"/>
  <c r="AE93" i="1"/>
  <c r="AD93" i="1" s="1"/>
  <c r="AF93" i="1"/>
  <c r="AG93" i="1"/>
  <c r="AH93" i="1"/>
  <c r="AI93" i="1"/>
  <c r="AJ93" i="1"/>
  <c r="CQ93" i="1"/>
  <c r="CR93" i="1"/>
  <c r="CS93" i="1"/>
  <c r="CT93" i="1"/>
  <c r="CU93" i="1"/>
  <c r="T93" i="1" s="1"/>
  <c r="CV93" i="1"/>
  <c r="CW93" i="1"/>
  <c r="CX93" i="1"/>
  <c r="GL93" i="1"/>
  <c r="GO93" i="1"/>
  <c r="GP93" i="1"/>
  <c r="GV93" i="1"/>
  <c r="HC93" i="1"/>
  <c r="GX93" i="1" s="1"/>
  <c r="I94" i="1"/>
  <c r="S94" i="1"/>
  <c r="AC94" i="1"/>
  <c r="AB94" i="1" s="1"/>
  <c r="AE94" i="1"/>
  <c r="AD94" i="1" s="1"/>
  <c r="AF94" i="1"/>
  <c r="AG94" i="1"/>
  <c r="CU94" i="1" s="1"/>
  <c r="T94" i="1" s="1"/>
  <c r="AH94" i="1"/>
  <c r="AI94" i="1"/>
  <c r="AJ94" i="1"/>
  <c r="CQ94" i="1"/>
  <c r="P94" i="1" s="1"/>
  <c r="CR94" i="1"/>
  <c r="Q94" i="1" s="1"/>
  <c r="CS94" i="1"/>
  <c r="R94" i="1" s="1"/>
  <c r="CT94" i="1"/>
  <c r="CV94" i="1"/>
  <c r="U94" i="1" s="1"/>
  <c r="CW94" i="1"/>
  <c r="V94" i="1" s="1"/>
  <c r="CX94" i="1"/>
  <c r="W94" i="1" s="1"/>
  <c r="GL94" i="1"/>
  <c r="GO94" i="1"/>
  <c r="GP94" i="1"/>
  <c r="GV94" i="1"/>
  <c r="HC94" i="1"/>
  <c r="GX94" i="1" s="1"/>
  <c r="C95" i="1"/>
  <c r="D95" i="1"/>
  <c r="I95" i="1"/>
  <c r="K95" i="1"/>
  <c r="AC95" i="1"/>
  <c r="AD95" i="1"/>
  <c r="AE95" i="1"/>
  <c r="AF95" i="1"/>
  <c r="AG95" i="1"/>
  <c r="AH95" i="1"/>
  <c r="AI95" i="1"/>
  <c r="AJ95" i="1"/>
  <c r="CX95" i="1" s="1"/>
  <c r="W95" i="1" s="1"/>
  <c r="CQ95" i="1"/>
  <c r="CR95" i="1"/>
  <c r="CS95" i="1"/>
  <c r="CT95" i="1"/>
  <c r="CU95" i="1"/>
  <c r="T95" i="1" s="1"/>
  <c r="CV95" i="1"/>
  <c r="CW95" i="1"/>
  <c r="GL95" i="1"/>
  <c r="GO95" i="1"/>
  <c r="GP95" i="1"/>
  <c r="GV95" i="1"/>
  <c r="HC95" i="1" s="1"/>
  <c r="GX95" i="1" s="1"/>
  <c r="C96" i="1"/>
  <c r="D96" i="1"/>
  <c r="U96" i="1"/>
  <c r="G315" i="7" s="1"/>
  <c r="AC96" i="1"/>
  <c r="AE96" i="1"/>
  <c r="AD96" i="1" s="1"/>
  <c r="AF96" i="1"/>
  <c r="AG96" i="1"/>
  <c r="CU96" i="1" s="1"/>
  <c r="T96" i="1" s="1"/>
  <c r="AH96" i="1"/>
  <c r="AI96" i="1"/>
  <c r="AJ96" i="1"/>
  <c r="CQ96" i="1"/>
  <c r="CR96" i="1"/>
  <c r="CS96" i="1"/>
  <c r="CT96" i="1"/>
  <c r="CV96" i="1"/>
  <c r="CW96" i="1"/>
  <c r="CX96" i="1"/>
  <c r="W96" i="1" s="1"/>
  <c r="GL96" i="1"/>
  <c r="GO96" i="1"/>
  <c r="GP96" i="1"/>
  <c r="GV96" i="1"/>
  <c r="HC96" i="1"/>
  <c r="GX96" i="1" s="1"/>
  <c r="I97" i="1"/>
  <c r="AC97" i="1"/>
  <c r="AE97" i="1"/>
  <c r="AD97" i="1" s="1"/>
  <c r="AF97" i="1"/>
  <c r="AG97" i="1"/>
  <c r="CU97" i="1" s="1"/>
  <c r="T97" i="1" s="1"/>
  <c r="AH97" i="1"/>
  <c r="CV97" i="1" s="1"/>
  <c r="U97" i="1" s="1"/>
  <c r="AI97" i="1"/>
  <c r="CW97" i="1" s="1"/>
  <c r="V97" i="1" s="1"/>
  <c r="AJ97" i="1"/>
  <c r="CQ97" i="1"/>
  <c r="P97" i="1" s="1"/>
  <c r="CR97" i="1"/>
  <c r="Q97" i="1" s="1"/>
  <c r="CS97" i="1"/>
  <c r="R97" i="1" s="1"/>
  <c r="CT97" i="1"/>
  <c r="S97" i="1" s="1"/>
  <c r="CX97" i="1"/>
  <c r="W97" i="1" s="1"/>
  <c r="GL97" i="1"/>
  <c r="GO97" i="1"/>
  <c r="GP97" i="1"/>
  <c r="GV97" i="1"/>
  <c r="HC97" i="1" s="1"/>
  <c r="GX97" i="1" s="1"/>
  <c r="I98" i="1"/>
  <c r="P98" i="1"/>
  <c r="Q98" i="1"/>
  <c r="AC98" i="1"/>
  <c r="AB98" i="1" s="1"/>
  <c r="AE98" i="1"/>
  <c r="AD98" i="1" s="1"/>
  <c r="AF98" i="1"/>
  <c r="AG98" i="1"/>
  <c r="AH98" i="1"/>
  <c r="AI98" i="1"/>
  <c r="CW98" i="1" s="1"/>
  <c r="V98" i="1" s="1"/>
  <c r="AJ98" i="1"/>
  <c r="CX98" i="1" s="1"/>
  <c r="W98" i="1" s="1"/>
  <c r="CQ98" i="1"/>
  <c r="CR98" i="1"/>
  <c r="CS98" i="1"/>
  <c r="R98" i="1" s="1"/>
  <c r="CT98" i="1"/>
  <c r="S98" i="1" s="1"/>
  <c r="CU98" i="1"/>
  <c r="T98" i="1" s="1"/>
  <c r="CV98" i="1"/>
  <c r="U98" i="1" s="1"/>
  <c r="GL98" i="1"/>
  <c r="GO98" i="1"/>
  <c r="GP98" i="1"/>
  <c r="GV98" i="1"/>
  <c r="HC98" i="1"/>
  <c r="GX98" i="1" s="1"/>
  <c r="I99" i="1"/>
  <c r="R99" i="1"/>
  <c r="S99" i="1"/>
  <c r="AC99" i="1"/>
  <c r="AE99" i="1"/>
  <c r="AD99" i="1" s="1"/>
  <c r="AF99" i="1"/>
  <c r="AG99" i="1"/>
  <c r="CU99" i="1" s="1"/>
  <c r="T99" i="1" s="1"/>
  <c r="AH99" i="1"/>
  <c r="AI99" i="1"/>
  <c r="AJ99" i="1"/>
  <c r="CQ99" i="1"/>
  <c r="P99" i="1" s="1"/>
  <c r="CP99" i="1" s="1"/>
  <c r="O99" i="1" s="1"/>
  <c r="CR99" i="1"/>
  <c r="Q99" i="1" s="1"/>
  <c r="CS99" i="1"/>
  <c r="CT99" i="1"/>
  <c r="CV99" i="1"/>
  <c r="U99" i="1" s="1"/>
  <c r="CW99" i="1"/>
  <c r="V99" i="1" s="1"/>
  <c r="CX99" i="1"/>
  <c r="W99" i="1" s="1"/>
  <c r="GL99" i="1"/>
  <c r="GO99" i="1"/>
  <c r="GP99" i="1"/>
  <c r="GV99" i="1"/>
  <c r="HC99" i="1"/>
  <c r="GX99" i="1" s="1"/>
  <c r="C100" i="1"/>
  <c r="D100" i="1"/>
  <c r="U100" i="1"/>
  <c r="G343" i="7" s="1"/>
  <c r="AC100" i="1"/>
  <c r="AE100" i="1"/>
  <c r="AD100" i="1" s="1"/>
  <c r="AF100" i="1"/>
  <c r="AG100" i="1"/>
  <c r="CU100" i="1" s="1"/>
  <c r="T100" i="1" s="1"/>
  <c r="AH100" i="1"/>
  <c r="AI100" i="1"/>
  <c r="AJ100" i="1"/>
  <c r="CQ100" i="1"/>
  <c r="CR100" i="1"/>
  <c r="CS100" i="1"/>
  <c r="CT100" i="1"/>
  <c r="CV100" i="1"/>
  <c r="CW100" i="1"/>
  <c r="CX100" i="1"/>
  <c r="W100" i="1" s="1"/>
  <c r="GL100" i="1"/>
  <c r="GO100" i="1"/>
  <c r="GP100" i="1"/>
  <c r="GV100" i="1"/>
  <c r="HC100" i="1"/>
  <c r="GX100" i="1" s="1"/>
  <c r="I101" i="1"/>
  <c r="P101" i="1"/>
  <c r="V101" i="1"/>
  <c r="AC101" i="1"/>
  <c r="AB101" i="1" s="1"/>
  <c r="AD101" i="1"/>
  <c r="AE101" i="1"/>
  <c r="AF101" i="1"/>
  <c r="AG101" i="1"/>
  <c r="AH101" i="1"/>
  <c r="CV101" i="1" s="1"/>
  <c r="U101" i="1" s="1"/>
  <c r="AI101" i="1"/>
  <c r="AJ101" i="1"/>
  <c r="CX101" i="1" s="1"/>
  <c r="W101" i="1" s="1"/>
  <c r="CQ101" i="1"/>
  <c r="CR101" i="1"/>
  <c r="Q101" i="1" s="1"/>
  <c r="CS101" i="1"/>
  <c r="R101" i="1" s="1"/>
  <c r="CT101" i="1"/>
  <c r="S101" i="1" s="1"/>
  <c r="CU101" i="1"/>
  <c r="T101" i="1" s="1"/>
  <c r="CW101" i="1"/>
  <c r="GL101" i="1"/>
  <c r="GO101" i="1"/>
  <c r="GP101" i="1"/>
  <c r="GV101" i="1"/>
  <c r="HC101" i="1" s="1"/>
  <c r="GX101" i="1"/>
  <c r="C102" i="1"/>
  <c r="D102" i="1"/>
  <c r="I102" i="1"/>
  <c r="K102" i="1"/>
  <c r="AC102" i="1"/>
  <c r="AE102" i="1"/>
  <c r="AD102" i="1" s="1"/>
  <c r="AF102" i="1"/>
  <c r="AG102" i="1"/>
  <c r="AH102" i="1"/>
  <c r="AI102" i="1"/>
  <c r="AJ102" i="1"/>
  <c r="CQ102" i="1"/>
  <c r="CR102" i="1"/>
  <c r="CS102" i="1"/>
  <c r="CT102" i="1"/>
  <c r="CU102" i="1"/>
  <c r="T102" i="1" s="1"/>
  <c r="CV102" i="1"/>
  <c r="CW102" i="1"/>
  <c r="CX102" i="1"/>
  <c r="W102" i="1" s="1"/>
  <c r="GL102" i="1"/>
  <c r="GO102" i="1"/>
  <c r="GP102" i="1"/>
  <c r="GV102" i="1"/>
  <c r="HC102" i="1" s="1"/>
  <c r="GX102" i="1" s="1"/>
  <c r="C103" i="1"/>
  <c r="D103" i="1"/>
  <c r="I103" i="1"/>
  <c r="K103" i="1"/>
  <c r="T103" i="1"/>
  <c r="AC103" i="1"/>
  <c r="AE103" i="1"/>
  <c r="AD103" i="1" s="1"/>
  <c r="AF103" i="1"/>
  <c r="AG103" i="1"/>
  <c r="AH103" i="1"/>
  <c r="AI103" i="1"/>
  <c r="AJ103" i="1"/>
  <c r="CQ103" i="1"/>
  <c r="CR103" i="1"/>
  <c r="CS103" i="1"/>
  <c r="CT103" i="1"/>
  <c r="CU103" i="1"/>
  <c r="CV103" i="1"/>
  <c r="CW103" i="1"/>
  <c r="CX103" i="1"/>
  <c r="W103" i="1" s="1"/>
  <c r="GL103" i="1"/>
  <c r="GO103" i="1"/>
  <c r="GP103" i="1"/>
  <c r="GV103" i="1"/>
  <c r="HC103" i="1"/>
  <c r="GX103" i="1" s="1"/>
  <c r="I104" i="1"/>
  <c r="P104" i="1"/>
  <c r="AB104" i="1"/>
  <c r="AC104" i="1"/>
  <c r="AD104" i="1"/>
  <c r="AE104" i="1"/>
  <c r="AF104" i="1"/>
  <c r="AG104" i="1"/>
  <c r="CU104" i="1" s="1"/>
  <c r="T104" i="1" s="1"/>
  <c r="AH104" i="1"/>
  <c r="AI104" i="1"/>
  <c r="CW104" i="1" s="1"/>
  <c r="V104" i="1" s="1"/>
  <c r="AJ104" i="1"/>
  <c r="CQ104" i="1"/>
  <c r="CR104" i="1"/>
  <c r="Q104" i="1" s="1"/>
  <c r="CP104" i="1" s="1"/>
  <c r="O104" i="1" s="1"/>
  <c r="CS104" i="1"/>
  <c r="R104" i="1" s="1"/>
  <c r="CT104" i="1"/>
  <c r="S104" i="1" s="1"/>
  <c r="CY104" i="1" s="1"/>
  <c r="X104" i="1" s="1"/>
  <c r="CV104" i="1"/>
  <c r="U104" i="1" s="1"/>
  <c r="CX104" i="1"/>
  <c r="W104" i="1" s="1"/>
  <c r="CZ104" i="1"/>
  <c r="Y104" i="1" s="1"/>
  <c r="GL104" i="1"/>
  <c r="GO104" i="1"/>
  <c r="GP104" i="1"/>
  <c r="GV104" i="1"/>
  <c r="HC104" i="1" s="1"/>
  <c r="GX104" i="1" s="1"/>
  <c r="I105" i="1"/>
  <c r="P105" i="1"/>
  <c r="Q105" i="1"/>
  <c r="R105" i="1"/>
  <c r="W105" i="1"/>
  <c r="AC105" i="1"/>
  <c r="AB105" i="1" s="1"/>
  <c r="AE105" i="1"/>
  <c r="AD105" i="1" s="1"/>
  <c r="AF105" i="1"/>
  <c r="AG105" i="1"/>
  <c r="CU105" i="1" s="1"/>
  <c r="T105" i="1" s="1"/>
  <c r="AH105" i="1"/>
  <c r="AI105" i="1"/>
  <c r="CW105" i="1" s="1"/>
  <c r="V105" i="1" s="1"/>
  <c r="AJ105" i="1"/>
  <c r="CQ105" i="1"/>
  <c r="CR105" i="1"/>
  <c r="CS105" i="1"/>
  <c r="CT105" i="1"/>
  <c r="S105" i="1" s="1"/>
  <c r="CV105" i="1"/>
  <c r="U105" i="1" s="1"/>
  <c r="CX105" i="1"/>
  <c r="GL105" i="1"/>
  <c r="GO105" i="1"/>
  <c r="GP105" i="1"/>
  <c r="GV105" i="1"/>
  <c r="HC105" i="1"/>
  <c r="GX105" i="1" s="1"/>
  <c r="I106" i="1"/>
  <c r="R106" i="1"/>
  <c r="S106" i="1"/>
  <c r="CZ106" i="1" s="1"/>
  <c r="Y106" i="1" s="1"/>
  <c r="AC106" i="1"/>
  <c r="AE106" i="1"/>
  <c r="AD106" i="1" s="1"/>
  <c r="AF106" i="1"/>
  <c r="AG106" i="1"/>
  <c r="CU106" i="1" s="1"/>
  <c r="T106" i="1" s="1"/>
  <c r="AH106" i="1"/>
  <c r="AI106" i="1"/>
  <c r="CW106" i="1" s="1"/>
  <c r="V106" i="1" s="1"/>
  <c r="AJ106" i="1"/>
  <c r="CQ106" i="1"/>
  <c r="P106" i="1" s="1"/>
  <c r="CP106" i="1" s="1"/>
  <c r="O106" i="1" s="1"/>
  <c r="CR106" i="1"/>
  <c r="Q106" i="1" s="1"/>
  <c r="CS106" i="1"/>
  <c r="CT106" i="1"/>
  <c r="CV106" i="1"/>
  <c r="U106" i="1" s="1"/>
  <c r="CX106" i="1"/>
  <c r="W106" i="1" s="1"/>
  <c r="GL106" i="1"/>
  <c r="GO106" i="1"/>
  <c r="GP106" i="1"/>
  <c r="GV106" i="1"/>
  <c r="HC106" i="1"/>
  <c r="GX106" i="1" s="1"/>
  <c r="I107" i="1"/>
  <c r="P107" i="1" s="1"/>
  <c r="U107" i="1"/>
  <c r="AC107" i="1"/>
  <c r="AE107" i="1"/>
  <c r="AD107" i="1" s="1"/>
  <c r="AF107" i="1"/>
  <c r="AG107" i="1"/>
  <c r="CU107" i="1" s="1"/>
  <c r="T107" i="1" s="1"/>
  <c r="AH107" i="1"/>
  <c r="AI107" i="1"/>
  <c r="CW107" i="1" s="1"/>
  <c r="V107" i="1" s="1"/>
  <c r="AJ107" i="1"/>
  <c r="CQ107" i="1"/>
  <c r="CR107" i="1"/>
  <c r="Q107" i="1" s="1"/>
  <c r="CS107" i="1"/>
  <c r="R107" i="1" s="1"/>
  <c r="CT107" i="1"/>
  <c r="S107" i="1" s="1"/>
  <c r="CV107" i="1"/>
  <c r="CX107" i="1"/>
  <c r="W107" i="1" s="1"/>
  <c r="GL107" i="1"/>
  <c r="GO107" i="1"/>
  <c r="GP107" i="1"/>
  <c r="GV107" i="1"/>
  <c r="HC107" i="1" s="1"/>
  <c r="GX107" i="1" s="1"/>
  <c r="C108" i="1"/>
  <c r="D108" i="1"/>
  <c r="I108" i="1"/>
  <c r="K108" i="1"/>
  <c r="T108" i="1"/>
  <c r="V108" i="1"/>
  <c r="AC108" i="1"/>
  <c r="AD108" i="1"/>
  <c r="AE108" i="1"/>
  <c r="AF108" i="1"/>
  <c r="AG108" i="1"/>
  <c r="AH108" i="1"/>
  <c r="AI108" i="1"/>
  <c r="AJ108" i="1"/>
  <c r="CX108" i="1" s="1"/>
  <c r="W108" i="1" s="1"/>
  <c r="CQ108" i="1"/>
  <c r="CR108" i="1"/>
  <c r="CS108" i="1"/>
  <c r="CT108" i="1"/>
  <c r="CU108" i="1"/>
  <c r="CV108" i="1"/>
  <c r="CW108" i="1"/>
  <c r="GL108" i="1"/>
  <c r="GO108" i="1"/>
  <c r="GP108" i="1"/>
  <c r="GV108" i="1"/>
  <c r="HC108" i="1" s="1"/>
  <c r="GX108" i="1" s="1"/>
  <c r="I109" i="1"/>
  <c r="P109" i="1" s="1"/>
  <c r="AB109" i="1"/>
  <c r="AC109" i="1"/>
  <c r="AD109" i="1"/>
  <c r="AE109" i="1"/>
  <c r="AF109" i="1"/>
  <c r="AG109" i="1"/>
  <c r="AH109" i="1"/>
  <c r="CV109" i="1" s="1"/>
  <c r="U109" i="1" s="1"/>
  <c r="AI109" i="1"/>
  <c r="AJ109" i="1"/>
  <c r="CX109" i="1" s="1"/>
  <c r="W109" i="1" s="1"/>
  <c r="CQ109" i="1"/>
  <c r="CR109" i="1"/>
  <c r="CS109" i="1"/>
  <c r="R109" i="1" s="1"/>
  <c r="CT109" i="1"/>
  <c r="S109" i="1" s="1"/>
  <c r="CU109" i="1"/>
  <c r="T109" i="1" s="1"/>
  <c r="CW109" i="1"/>
  <c r="GL109" i="1"/>
  <c r="GO109" i="1"/>
  <c r="GP109" i="1"/>
  <c r="GV109" i="1"/>
  <c r="HC109" i="1" s="1"/>
  <c r="GX109" i="1" s="1"/>
  <c r="B111" i="1"/>
  <c r="B91" i="1" s="1"/>
  <c r="C111" i="1"/>
  <c r="C91" i="1" s="1"/>
  <c r="D111" i="1"/>
  <c r="D91" i="1" s="1"/>
  <c r="F111" i="1"/>
  <c r="F91" i="1" s="1"/>
  <c r="G111" i="1"/>
  <c r="G91" i="1" s="1"/>
  <c r="AO111" i="1"/>
  <c r="AO91" i="1" s="1"/>
  <c r="AP111" i="1"/>
  <c r="AP91" i="1" s="1"/>
  <c r="BX111" i="1"/>
  <c r="BX91" i="1" s="1"/>
  <c r="BY111" i="1"/>
  <c r="BY91" i="1" s="1"/>
  <c r="CK111" i="1"/>
  <c r="CK91" i="1" s="1"/>
  <c r="CL111" i="1"/>
  <c r="CL91" i="1" s="1"/>
  <c r="CM111" i="1"/>
  <c r="CM91" i="1" s="1"/>
  <c r="D141" i="1"/>
  <c r="C143" i="1"/>
  <c r="E143" i="1"/>
  <c r="Z143" i="1"/>
  <c r="AA143" i="1"/>
  <c r="AM143" i="1"/>
  <c r="AN143" i="1"/>
  <c r="BE143" i="1"/>
  <c r="BF143" i="1"/>
  <c r="BG143" i="1"/>
  <c r="BH143" i="1"/>
  <c r="BI143" i="1"/>
  <c r="BJ143" i="1"/>
  <c r="BK143" i="1"/>
  <c r="BL143" i="1"/>
  <c r="BM143" i="1"/>
  <c r="BN143" i="1"/>
  <c r="BO143" i="1"/>
  <c r="BP143" i="1"/>
  <c r="BQ143" i="1"/>
  <c r="BR143" i="1"/>
  <c r="BS143" i="1"/>
  <c r="BT143" i="1"/>
  <c r="BU143" i="1"/>
  <c r="BV143" i="1"/>
  <c r="BW143" i="1"/>
  <c r="BX143" i="1"/>
  <c r="CN143" i="1"/>
  <c r="CO143" i="1"/>
  <c r="CP143" i="1"/>
  <c r="CQ143" i="1"/>
  <c r="CR143" i="1"/>
  <c r="CS143" i="1"/>
  <c r="CT143" i="1"/>
  <c r="CU143" i="1"/>
  <c r="CV143" i="1"/>
  <c r="CW143" i="1"/>
  <c r="CX143" i="1"/>
  <c r="CY143" i="1"/>
  <c r="CZ143" i="1"/>
  <c r="DA143" i="1"/>
  <c r="DB143" i="1"/>
  <c r="DC143" i="1"/>
  <c r="DD143" i="1"/>
  <c r="DE143" i="1"/>
  <c r="DF143" i="1"/>
  <c r="DG143" i="1"/>
  <c r="DH143" i="1"/>
  <c r="DI143" i="1"/>
  <c r="DJ143" i="1"/>
  <c r="DK143" i="1"/>
  <c r="DL143" i="1"/>
  <c r="DM143" i="1"/>
  <c r="DN143" i="1"/>
  <c r="DO143" i="1"/>
  <c r="DP143" i="1"/>
  <c r="DQ143" i="1"/>
  <c r="DR143" i="1"/>
  <c r="DS143" i="1"/>
  <c r="DT143" i="1"/>
  <c r="DU143" i="1"/>
  <c r="DV143" i="1"/>
  <c r="DW143" i="1"/>
  <c r="DX143" i="1"/>
  <c r="DY143" i="1"/>
  <c r="DZ143" i="1"/>
  <c r="EA143" i="1"/>
  <c r="EB143" i="1"/>
  <c r="EC143" i="1"/>
  <c r="ED143" i="1"/>
  <c r="EE143" i="1"/>
  <c r="EF143" i="1"/>
  <c r="EG143" i="1"/>
  <c r="EH143" i="1"/>
  <c r="EI143" i="1"/>
  <c r="EJ143" i="1"/>
  <c r="EK143" i="1"/>
  <c r="EL143" i="1"/>
  <c r="EM143" i="1"/>
  <c r="EN143" i="1"/>
  <c r="EO143" i="1"/>
  <c r="EP143" i="1"/>
  <c r="EQ143" i="1"/>
  <c r="ER143" i="1"/>
  <c r="ES143" i="1"/>
  <c r="ET143" i="1"/>
  <c r="EU143" i="1"/>
  <c r="EV143" i="1"/>
  <c r="EW143" i="1"/>
  <c r="EX143" i="1"/>
  <c r="EY143" i="1"/>
  <c r="EZ143" i="1"/>
  <c r="FA143" i="1"/>
  <c r="FB143" i="1"/>
  <c r="FC143" i="1"/>
  <c r="FD143" i="1"/>
  <c r="FE143" i="1"/>
  <c r="FF143" i="1"/>
  <c r="FG143" i="1"/>
  <c r="FH143" i="1"/>
  <c r="FI143" i="1"/>
  <c r="FJ143" i="1"/>
  <c r="FK143" i="1"/>
  <c r="FL143" i="1"/>
  <c r="FM143" i="1"/>
  <c r="FN143" i="1"/>
  <c r="FO143" i="1"/>
  <c r="FP143" i="1"/>
  <c r="FQ143" i="1"/>
  <c r="FR143" i="1"/>
  <c r="FS143" i="1"/>
  <c r="FT143" i="1"/>
  <c r="FU143" i="1"/>
  <c r="FV143" i="1"/>
  <c r="FW143" i="1"/>
  <c r="FX143" i="1"/>
  <c r="FY143" i="1"/>
  <c r="FZ143" i="1"/>
  <c r="GA143" i="1"/>
  <c r="GB143" i="1"/>
  <c r="GC143" i="1"/>
  <c r="GD143" i="1"/>
  <c r="GE143" i="1"/>
  <c r="GF143" i="1"/>
  <c r="GG143" i="1"/>
  <c r="GH143" i="1"/>
  <c r="GI143" i="1"/>
  <c r="GJ143" i="1"/>
  <c r="GK143" i="1"/>
  <c r="GL143" i="1"/>
  <c r="GM143" i="1"/>
  <c r="GN143" i="1"/>
  <c r="GO143" i="1"/>
  <c r="GP143" i="1"/>
  <c r="GQ143" i="1"/>
  <c r="GR143" i="1"/>
  <c r="GS143" i="1"/>
  <c r="GT143" i="1"/>
  <c r="GU143" i="1"/>
  <c r="GV143" i="1"/>
  <c r="GW143" i="1"/>
  <c r="GX143" i="1"/>
  <c r="C145" i="1"/>
  <c r="D145" i="1"/>
  <c r="I145" i="1"/>
  <c r="K145" i="1"/>
  <c r="AC145" i="1"/>
  <c r="AE145" i="1"/>
  <c r="AD145" i="1" s="1"/>
  <c r="AF145" i="1"/>
  <c r="AG145" i="1"/>
  <c r="AH145" i="1"/>
  <c r="AI145" i="1"/>
  <c r="AJ145" i="1"/>
  <c r="CX145" i="1" s="1"/>
  <c r="W145" i="1" s="1"/>
  <c r="CQ145" i="1"/>
  <c r="CR145" i="1"/>
  <c r="CS145" i="1"/>
  <c r="CT145" i="1"/>
  <c r="CU145" i="1"/>
  <c r="T145" i="1" s="1"/>
  <c r="CV145" i="1"/>
  <c r="CW145" i="1"/>
  <c r="GL145" i="1"/>
  <c r="GO145" i="1"/>
  <c r="GP145" i="1"/>
  <c r="GV145" i="1"/>
  <c r="GX145" i="1"/>
  <c r="HC145" i="1"/>
  <c r="I146" i="1"/>
  <c r="S146" i="1" s="1"/>
  <c r="T146" i="1"/>
  <c r="AB146" i="1"/>
  <c r="AC146" i="1"/>
  <c r="AD146" i="1"/>
  <c r="AE146" i="1"/>
  <c r="AF146" i="1"/>
  <c r="AG146" i="1"/>
  <c r="AH146" i="1"/>
  <c r="CV146" i="1" s="1"/>
  <c r="U146" i="1" s="1"/>
  <c r="AI146" i="1"/>
  <c r="AJ146" i="1"/>
  <c r="CX146" i="1" s="1"/>
  <c r="W146" i="1" s="1"/>
  <c r="CQ146" i="1"/>
  <c r="P146" i="1" s="1"/>
  <c r="CP146" i="1" s="1"/>
  <c r="O146" i="1" s="1"/>
  <c r="CR146" i="1"/>
  <c r="Q146" i="1" s="1"/>
  <c r="CS146" i="1"/>
  <c r="R146" i="1" s="1"/>
  <c r="CT146" i="1"/>
  <c r="CU146" i="1"/>
  <c r="CW146" i="1"/>
  <c r="V146" i="1" s="1"/>
  <c r="GL146" i="1"/>
  <c r="GO146" i="1"/>
  <c r="GP146" i="1"/>
  <c r="GV146" i="1"/>
  <c r="HC146" i="1" s="1"/>
  <c r="GX146" i="1" s="1"/>
  <c r="C147" i="1"/>
  <c r="D147" i="1"/>
  <c r="I147" i="1"/>
  <c r="K147" i="1"/>
  <c r="AC147" i="1"/>
  <c r="AE147" i="1"/>
  <c r="AD147" i="1" s="1"/>
  <c r="AF147" i="1"/>
  <c r="AG147" i="1"/>
  <c r="CU147" i="1" s="1"/>
  <c r="T147" i="1" s="1"/>
  <c r="AH147" i="1"/>
  <c r="AI147" i="1"/>
  <c r="AJ147" i="1"/>
  <c r="CQ147" i="1"/>
  <c r="CR147" i="1"/>
  <c r="CS147" i="1"/>
  <c r="CT147" i="1"/>
  <c r="CV147" i="1"/>
  <c r="CW147" i="1"/>
  <c r="CX147" i="1"/>
  <c r="W147" i="1" s="1"/>
  <c r="GL147" i="1"/>
  <c r="GO147" i="1"/>
  <c r="GP147" i="1"/>
  <c r="GV147" i="1"/>
  <c r="HC147" i="1"/>
  <c r="GX147" i="1" s="1"/>
  <c r="AC148" i="1"/>
  <c r="AE148" i="1"/>
  <c r="AD148" i="1" s="1"/>
  <c r="AF148" i="1"/>
  <c r="AG148" i="1"/>
  <c r="CU148" i="1" s="1"/>
  <c r="AH148" i="1"/>
  <c r="AI148" i="1"/>
  <c r="CW148" i="1" s="1"/>
  <c r="AJ148" i="1"/>
  <c r="CQ148" i="1"/>
  <c r="CR148" i="1"/>
  <c r="CS148" i="1"/>
  <c r="CT148" i="1"/>
  <c r="CV148" i="1"/>
  <c r="CX148" i="1"/>
  <c r="GL148" i="1"/>
  <c r="GO148" i="1"/>
  <c r="GP148" i="1"/>
  <c r="GV148" i="1"/>
  <c r="HC148" i="1" s="1"/>
  <c r="C149" i="1"/>
  <c r="D149" i="1"/>
  <c r="I149" i="1"/>
  <c r="K149" i="1"/>
  <c r="T149" i="1"/>
  <c r="AC149" i="1"/>
  <c r="AE149" i="1"/>
  <c r="AD149" i="1" s="1"/>
  <c r="AF149" i="1"/>
  <c r="AG149" i="1"/>
  <c r="AH149" i="1"/>
  <c r="AI149" i="1"/>
  <c r="AJ149" i="1"/>
  <c r="CX149" i="1" s="1"/>
  <c r="W149" i="1" s="1"/>
  <c r="CQ149" i="1"/>
  <c r="CR149" i="1"/>
  <c r="CS149" i="1"/>
  <c r="CT149" i="1"/>
  <c r="CU149" i="1"/>
  <c r="CV149" i="1"/>
  <c r="CW149" i="1"/>
  <c r="GL149" i="1"/>
  <c r="GO149" i="1"/>
  <c r="GP149" i="1"/>
  <c r="GV149" i="1"/>
  <c r="HC149" i="1" s="1"/>
  <c r="GX149" i="1" s="1"/>
  <c r="I150" i="1"/>
  <c r="P150" i="1"/>
  <c r="V150" i="1"/>
  <c r="AC150" i="1"/>
  <c r="AD150" i="1"/>
  <c r="AB150" i="1" s="1"/>
  <c r="AE150" i="1"/>
  <c r="AF150" i="1"/>
  <c r="AG150" i="1"/>
  <c r="AH150" i="1"/>
  <c r="CV150" i="1" s="1"/>
  <c r="AI150" i="1"/>
  <c r="AJ150" i="1"/>
  <c r="CX150" i="1" s="1"/>
  <c r="W150" i="1" s="1"/>
  <c r="CQ150" i="1"/>
  <c r="CR150" i="1"/>
  <c r="CS150" i="1"/>
  <c r="R150" i="1" s="1"/>
  <c r="CT150" i="1"/>
  <c r="CU150" i="1"/>
  <c r="T150" i="1" s="1"/>
  <c r="CW150" i="1"/>
  <c r="GL150" i="1"/>
  <c r="GO150" i="1"/>
  <c r="GP150" i="1"/>
  <c r="GV150" i="1"/>
  <c r="HC150" i="1" s="1"/>
  <c r="GX150" i="1" s="1"/>
  <c r="C151" i="1"/>
  <c r="D151" i="1"/>
  <c r="I151" i="1"/>
  <c r="K151" i="1"/>
  <c r="AC151" i="1"/>
  <c r="AE151" i="1"/>
  <c r="AD151" i="1" s="1"/>
  <c r="AF151" i="1"/>
  <c r="AG151" i="1"/>
  <c r="CU151" i="1" s="1"/>
  <c r="AH151" i="1"/>
  <c r="AI151" i="1"/>
  <c r="AJ151" i="1"/>
  <c r="CQ151" i="1"/>
  <c r="CR151" i="1"/>
  <c r="CS151" i="1"/>
  <c r="CT151" i="1"/>
  <c r="CV151" i="1"/>
  <c r="CW151" i="1"/>
  <c r="CX151" i="1"/>
  <c r="GL151" i="1"/>
  <c r="GO151" i="1"/>
  <c r="GP151" i="1"/>
  <c r="GV151" i="1"/>
  <c r="HC151" i="1" s="1"/>
  <c r="GX151" i="1" s="1"/>
  <c r="AC152" i="1"/>
  <c r="AE152" i="1"/>
  <c r="AD152" i="1" s="1"/>
  <c r="AF152" i="1"/>
  <c r="AG152" i="1"/>
  <c r="CU152" i="1" s="1"/>
  <c r="AH152" i="1"/>
  <c r="AI152" i="1"/>
  <c r="CW152" i="1" s="1"/>
  <c r="AJ152" i="1"/>
  <c r="CQ152" i="1"/>
  <c r="CR152" i="1"/>
  <c r="CS152" i="1"/>
  <c r="CT152" i="1"/>
  <c r="CV152" i="1"/>
  <c r="CX152" i="1"/>
  <c r="GL152" i="1"/>
  <c r="GO152" i="1"/>
  <c r="GP152" i="1"/>
  <c r="GV152" i="1"/>
  <c r="HC152" i="1" s="1"/>
  <c r="AC153" i="1"/>
  <c r="AB153" i="1" s="1"/>
  <c r="AE153" i="1"/>
  <c r="AD153" i="1" s="1"/>
  <c r="AF153" i="1"/>
  <c r="AG153" i="1"/>
  <c r="CU153" i="1" s="1"/>
  <c r="AH153" i="1"/>
  <c r="AI153" i="1"/>
  <c r="CW153" i="1" s="1"/>
  <c r="AJ153" i="1"/>
  <c r="CQ153" i="1"/>
  <c r="CR153" i="1"/>
  <c r="CS153" i="1"/>
  <c r="CT153" i="1"/>
  <c r="CV153" i="1"/>
  <c r="CX153" i="1"/>
  <c r="GL153" i="1"/>
  <c r="GO153" i="1"/>
  <c r="GP153" i="1"/>
  <c r="GV153" i="1"/>
  <c r="HC153" i="1"/>
  <c r="AC154" i="1"/>
  <c r="AB154" i="1" s="1"/>
  <c r="AE154" i="1"/>
  <c r="AD154" i="1" s="1"/>
  <c r="AF154" i="1"/>
  <c r="AG154" i="1"/>
  <c r="CU154" i="1" s="1"/>
  <c r="AH154" i="1"/>
  <c r="AI154" i="1"/>
  <c r="CW154" i="1" s="1"/>
  <c r="AJ154" i="1"/>
  <c r="CQ154" i="1"/>
  <c r="CR154" i="1"/>
  <c r="CS154" i="1"/>
  <c r="CT154" i="1"/>
  <c r="CV154" i="1"/>
  <c r="CX154" i="1"/>
  <c r="GL154" i="1"/>
  <c r="GO154" i="1"/>
  <c r="GP154" i="1"/>
  <c r="GV154" i="1"/>
  <c r="HC154" i="1" s="1"/>
  <c r="AC155" i="1"/>
  <c r="AB155" i="1" s="1"/>
  <c r="AE155" i="1"/>
  <c r="AD155" i="1" s="1"/>
  <c r="AF155" i="1"/>
  <c r="AG155" i="1"/>
  <c r="CU155" i="1" s="1"/>
  <c r="AH155" i="1"/>
  <c r="AI155" i="1"/>
  <c r="CW155" i="1" s="1"/>
  <c r="AJ155" i="1"/>
  <c r="CQ155" i="1"/>
  <c r="CR155" i="1"/>
  <c r="CS155" i="1"/>
  <c r="CT155" i="1"/>
  <c r="CV155" i="1"/>
  <c r="CX155" i="1"/>
  <c r="GL155" i="1"/>
  <c r="GO155" i="1"/>
  <c r="GP155" i="1"/>
  <c r="GV155" i="1"/>
  <c r="HC155" i="1"/>
  <c r="C156" i="1"/>
  <c r="D156" i="1"/>
  <c r="I156" i="1"/>
  <c r="K156" i="1"/>
  <c r="T156" i="1"/>
  <c r="AC156" i="1"/>
  <c r="AE156" i="1"/>
  <c r="AD156" i="1" s="1"/>
  <c r="AF156" i="1"/>
  <c r="AG156" i="1"/>
  <c r="AH156" i="1"/>
  <c r="AI156" i="1"/>
  <c r="AJ156" i="1"/>
  <c r="CX156" i="1" s="1"/>
  <c r="W156" i="1" s="1"/>
  <c r="CQ156" i="1"/>
  <c r="CR156" i="1"/>
  <c r="CS156" i="1"/>
  <c r="CT156" i="1"/>
  <c r="CU156" i="1"/>
  <c r="CV156" i="1"/>
  <c r="CW156" i="1"/>
  <c r="GL156" i="1"/>
  <c r="GO156" i="1"/>
  <c r="GP156" i="1"/>
  <c r="GV156" i="1"/>
  <c r="HC156" i="1" s="1"/>
  <c r="GX156" i="1" s="1"/>
  <c r="I157" i="1"/>
  <c r="Q157" i="1" s="1"/>
  <c r="R157" i="1"/>
  <c r="AC157" i="1"/>
  <c r="AD157" i="1"/>
  <c r="AE157" i="1"/>
  <c r="AF157" i="1"/>
  <c r="AG157" i="1"/>
  <c r="AH157" i="1"/>
  <c r="CV157" i="1" s="1"/>
  <c r="U157" i="1" s="1"/>
  <c r="AI157" i="1"/>
  <c r="AJ157" i="1"/>
  <c r="CX157" i="1" s="1"/>
  <c r="W157" i="1" s="1"/>
  <c r="CQ157" i="1"/>
  <c r="P157" i="1" s="1"/>
  <c r="CP157" i="1" s="1"/>
  <c r="O157" i="1" s="1"/>
  <c r="CR157" i="1"/>
  <c r="CS157" i="1"/>
  <c r="CT157" i="1"/>
  <c r="S157" i="1" s="1"/>
  <c r="CU157" i="1"/>
  <c r="T157" i="1" s="1"/>
  <c r="CW157" i="1"/>
  <c r="V157" i="1" s="1"/>
  <c r="GL157" i="1"/>
  <c r="GO157" i="1"/>
  <c r="GP157" i="1"/>
  <c r="GV157" i="1"/>
  <c r="GX157" i="1"/>
  <c r="HC157" i="1"/>
  <c r="I158" i="1"/>
  <c r="R158" i="1" s="1"/>
  <c r="AC158" i="1"/>
  <c r="AD158" i="1"/>
  <c r="AE158" i="1"/>
  <c r="AF158" i="1"/>
  <c r="AB158" i="1" s="1"/>
  <c r="AG158" i="1"/>
  <c r="AH158" i="1"/>
  <c r="CV158" i="1" s="1"/>
  <c r="AI158" i="1"/>
  <c r="AJ158" i="1"/>
  <c r="CX158" i="1" s="1"/>
  <c r="W158" i="1" s="1"/>
  <c r="CQ158" i="1"/>
  <c r="CR158" i="1"/>
  <c r="CS158" i="1"/>
  <c r="CT158" i="1"/>
  <c r="CU158" i="1"/>
  <c r="CW158" i="1"/>
  <c r="V158" i="1" s="1"/>
  <c r="GL158" i="1"/>
  <c r="GO158" i="1"/>
  <c r="GP158" i="1"/>
  <c r="GV158" i="1"/>
  <c r="HC158" i="1"/>
  <c r="I159" i="1"/>
  <c r="T159" i="1" s="1"/>
  <c r="AB159" i="1"/>
  <c r="AC159" i="1"/>
  <c r="AD159" i="1"/>
  <c r="AE159" i="1"/>
  <c r="AF159" i="1"/>
  <c r="AG159" i="1"/>
  <c r="AH159" i="1"/>
  <c r="CV159" i="1" s="1"/>
  <c r="U159" i="1" s="1"/>
  <c r="AI159" i="1"/>
  <c r="AJ159" i="1"/>
  <c r="CX159" i="1" s="1"/>
  <c r="W159" i="1" s="1"/>
  <c r="CQ159" i="1"/>
  <c r="CR159" i="1"/>
  <c r="CS159" i="1"/>
  <c r="CT159" i="1"/>
  <c r="S159" i="1" s="1"/>
  <c r="CU159" i="1"/>
  <c r="CW159" i="1"/>
  <c r="V159" i="1" s="1"/>
  <c r="GL159" i="1"/>
  <c r="GO159" i="1"/>
  <c r="GP159" i="1"/>
  <c r="GV159" i="1"/>
  <c r="HC159" i="1" s="1"/>
  <c r="GX159" i="1" s="1"/>
  <c r="B161" i="1"/>
  <c r="B143" i="1" s="1"/>
  <c r="C161" i="1"/>
  <c r="D161" i="1"/>
  <c r="D143" i="1" s="1"/>
  <c r="F161" i="1"/>
  <c r="F143" i="1" s="1"/>
  <c r="G161" i="1"/>
  <c r="G143" i="1" s="1"/>
  <c r="AO161" i="1"/>
  <c r="F165" i="1" s="1"/>
  <c r="BX161" i="1"/>
  <c r="BY161" i="1"/>
  <c r="BY143" i="1" s="1"/>
  <c r="CK161" i="1"/>
  <c r="CK143" i="1" s="1"/>
  <c r="CL161" i="1"/>
  <c r="CL143" i="1" s="1"/>
  <c r="CM161" i="1"/>
  <c r="CM143" i="1" s="1"/>
  <c r="D191" i="1"/>
  <c r="E193" i="1"/>
  <c r="Z193" i="1"/>
  <c r="AA193" i="1"/>
  <c r="AM193" i="1"/>
  <c r="AN193" i="1"/>
  <c r="BE193" i="1"/>
  <c r="BF193" i="1"/>
  <c r="BG193" i="1"/>
  <c r="BH193" i="1"/>
  <c r="BI193" i="1"/>
  <c r="BJ193" i="1"/>
  <c r="BK193" i="1"/>
  <c r="BL193" i="1"/>
  <c r="BM193" i="1"/>
  <c r="BN193" i="1"/>
  <c r="BO193" i="1"/>
  <c r="BP193" i="1"/>
  <c r="BQ193" i="1"/>
  <c r="BR193" i="1"/>
  <c r="BS193" i="1"/>
  <c r="BT193" i="1"/>
  <c r="BU193" i="1"/>
  <c r="BV193" i="1"/>
  <c r="BW193" i="1"/>
  <c r="CN193" i="1"/>
  <c r="CO193" i="1"/>
  <c r="CP193" i="1"/>
  <c r="CQ193" i="1"/>
  <c r="CR193" i="1"/>
  <c r="CS193" i="1"/>
  <c r="CT193" i="1"/>
  <c r="CU193" i="1"/>
  <c r="CV193" i="1"/>
  <c r="CW193" i="1"/>
  <c r="CX193" i="1"/>
  <c r="CY193" i="1"/>
  <c r="CZ193" i="1"/>
  <c r="DA193" i="1"/>
  <c r="DB193" i="1"/>
  <c r="DC193" i="1"/>
  <c r="DD193" i="1"/>
  <c r="DE193" i="1"/>
  <c r="DF193" i="1"/>
  <c r="DG193" i="1"/>
  <c r="DH193" i="1"/>
  <c r="DI193" i="1"/>
  <c r="DJ193" i="1"/>
  <c r="DK193" i="1"/>
  <c r="DL193" i="1"/>
  <c r="DM193" i="1"/>
  <c r="DN193" i="1"/>
  <c r="DO193" i="1"/>
  <c r="DP193" i="1"/>
  <c r="DQ193" i="1"/>
  <c r="DR193" i="1"/>
  <c r="DS193" i="1"/>
  <c r="DT193" i="1"/>
  <c r="DU193" i="1"/>
  <c r="DV193" i="1"/>
  <c r="DW193" i="1"/>
  <c r="DX193" i="1"/>
  <c r="DY193" i="1"/>
  <c r="DZ193" i="1"/>
  <c r="EA193" i="1"/>
  <c r="EB193" i="1"/>
  <c r="EC193" i="1"/>
  <c r="ED193" i="1"/>
  <c r="EE193" i="1"/>
  <c r="EF193" i="1"/>
  <c r="EG193" i="1"/>
  <c r="EH193" i="1"/>
  <c r="EI193" i="1"/>
  <c r="EJ193" i="1"/>
  <c r="EK193" i="1"/>
  <c r="EL193" i="1"/>
  <c r="EM193" i="1"/>
  <c r="EN193" i="1"/>
  <c r="EO193" i="1"/>
  <c r="EP193" i="1"/>
  <c r="EQ193" i="1"/>
  <c r="ER193" i="1"/>
  <c r="ES193" i="1"/>
  <c r="ET193" i="1"/>
  <c r="EU193" i="1"/>
  <c r="EV193" i="1"/>
  <c r="EW193" i="1"/>
  <c r="EX193" i="1"/>
  <c r="EY193" i="1"/>
  <c r="EZ193" i="1"/>
  <c r="FA193" i="1"/>
  <c r="FB193" i="1"/>
  <c r="FC193" i="1"/>
  <c r="FD193" i="1"/>
  <c r="FE193" i="1"/>
  <c r="FF193" i="1"/>
  <c r="FG193" i="1"/>
  <c r="FH193" i="1"/>
  <c r="FI193" i="1"/>
  <c r="FJ193" i="1"/>
  <c r="FK193" i="1"/>
  <c r="FL193" i="1"/>
  <c r="FM193" i="1"/>
  <c r="FN193" i="1"/>
  <c r="FO193" i="1"/>
  <c r="FP193" i="1"/>
  <c r="FQ193" i="1"/>
  <c r="FR193" i="1"/>
  <c r="FS193" i="1"/>
  <c r="FT193" i="1"/>
  <c r="FU193" i="1"/>
  <c r="FV193" i="1"/>
  <c r="FW193" i="1"/>
  <c r="FX193" i="1"/>
  <c r="FY193" i="1"/>
  <c r="FZ193" i="1"/>
  <c r="GA193" i="1"/>
  <c r="GB193" i="1"/>
  <c r="GC193" i="1"/>
  <c r="GD193" i="1"/>
  <c r="GE193" i="1"/>
  <c r="GF193" i="1"/>
  <c r="GG193" i="1"/>
  <c r="GH193" i="1"/>
  <c r="GI193" i="1"/>
  <c r="GJ193" i="1"/>
  <c r="GK193" i="1"/>
  <c r="GL193" i="1"/>
  <c r="GM193" i="1"/>
  <c r="GN193" i="1"/>
  <c r="GO193" i="1"/>
  <c r="GP193" i="1"/>
  <c r="GQ193" i="1"/>
  <c r="GR193" i="1"/>
  <c r="GS193" i="1"/>
  <c r="GT193" i="1"/>
  <c r="GU193" i="1"/>
  <c r="GV193" i="1"/>
  <c r="GW193" i="1"/>
  <c r="GX193" i="1"/>
  <c r="C195" i="1"/>
  <c r="D195" i="1"/>
  <c r="I195" i="1"/>
  <c r="K195" i="1"/>
  <c r="AC195" i="1"/>
  <c r="AE195" i="1"/>
  <c r="AD195" i="1" s="1"/>
  <c r="AF195" i="1"/>
  <c r="AG195" i="1"/>
  <c r="AH195" i="1"/>
  <c r="AI195" i="1"/>
  <c r="AJ195" i="1"/>
  <c r="CX195" i="1" s="1"/>
  <c r="W195" i="1" s="1"/>
  <c r="CQ195" i="1"/>
  <c r="CR195" i="1"/>
  <c r="CS195" i="1"/>
  <c r="CT195" i="1"/>
  <c r="CU195" i="1"/>
  <c r="T195" i="1" s="1"/>
  <c r="CV195" i="1"/>
  <c r="CW195" i="1"/>
  <c r="GL195" i="1"/>
  <c r="GO195" i="1"/>
  <c r="GP195" i="1"/>
  <c r="GV195" i="1"/>
  <c r="GX195" i="1"/>
  <c r="HC195" i="1"/>
  <c r="I196" i="1"/>
  <c r="S196" i="1" s="1"/>
  <c r="V196" i="1"/>
  <c r="AC196" i="1"/>
  <c r="AD196" i="1"/>
  <c r="AE196" i="1"/>
  <c r="AF196" i="1"/>
  <c r="AB196" i="1" s="1"/>
  <c r="AG196" i="1"/>
  <c r="AH196" i="1"/>
  <c r="CV196" i="1" s="1"/>
  <c r="U196" i="1" s="1"/>
  <c r="AI196" i="1"/>
  <c r="AJ196" i="1"/>
  <c r="CX196" i="1" s="1"/>
  <c r="CQ196" i="1"/>
  <c r="P196" i="1" s="1"/>
  <c r="CR196" i="1"/>
  <c r="Q196" i="1" s="1"/>
  <c r="CS196" i="1"/>
  <c r="CT196" i="1"/>
  <c r="CU196" i="1"/>
  <c r="T196" i="1" s="1"/>
  <c r="CW196" i="1"/>
  <c r="GL196" i="1"/>
  <c r="GO196" i="1"/>
  <c r="GP196" i="1"/>
  <c r="GV196" i="1"/>
  <c r="HC196" i="1"/>
  <c r="C197" i="1"/>
  <c r="D197" i="1"/>
  <c r="I197" i="1"/>
  <c r="K197" i="1"/>
  <c r="AC197" i="1"/>
  <c r="AE197" i="1"/>
  <c r="AD197" i="1" s="1"/>
  <c r="AF197" i="1"/>
  <c r="AG197" i="1"/>
  <c r="CU197" i="1" s="1"/>
  <c r="T197" i="1" s="1"/>
  <c r="AH197" i="1"/>
  <c r="AI197" i="1"/>
  <c r="AJ197" i="1"/>
  <c r="CQ197" i="1"/>
  <c r="CR197" i="1"/>
  <c r="CS197" i="1"/>
  <c r="CT197" i="1"/>
  <c r="CV197" i="1"/>
  <c r="CW197" i="1"/>
  <c r="CX197" i="1"/>
  <c r="W197" i="1" s="1"/>
  <c r="GL197" i="1"/>
  <c r="GO197" i="1"/>
  <c r="GP197" i="1"/>
  <c r="GV197" i="1"/>
  <c r="HC197" i="1"/>
  <c r="GX197" i="1" s="1"/>
  <c r="AC198" i="1"/>
  <c r="AE198" i="1"/>
  <c r="AD198" i="1" s="1"/>
  <c r="AF198" i="1"/>
  <c r="AG198" i="1"/>
  <c r="CU198" i="1" s="1"/>
  <c r="AH198" i="1"/>
  <c r="AI198" i="1"/>
  <c r="CW198" i="1" s="1"/>
  <c r="AJ198" i="1"/>
  <c r="CQ198" i="1"/>
  <c r="CR198" i="1"/>
  <c r="CS198" i="1"/>
  <c r="CT198" i="1"/>
  <c r="CV198" i="1"/>
  <c r="CX198" i="1"/>
  <c r="GL198" i="1"/>
  <c r="GO198" i="1"/>
  <c r="GP198" i="1"/>
  <c r="GV198" i="1"/>
  <c r="HC198" i="1" s="1"/>
  <c r="C199" i="1"/>
  <c r="D199" i="1"/>
  <c r="I199" i="1"/>
  <c r="K199" i="1"/>
  <c r="AC199" i="1"/>
  <c r="AE199" i="1"/>
  <c r="AD199" i="1" s="1"/>
  <c r="AF199" i="1"/>
  <c r="AG199" i="1"/>
  <c r="CU199" i="1" s="1"/>
  <c r="T199" i="1" s="1"/>
  <c r="AH199" i="1"/>
  <c r="AI199" i="1"/>
  <c r="AJ199" i="1"/>
  <c r="CQ199" i="1"/>
  <c r="CR199" i="1"/>
  <c r="CS199" i="1"/>
  <c r="CT199" i="1"/>
  <c r="CV199" i="1"/>
  <c r="CW199" i="1"/>
  <c r="CX199" i="1"/>
  <c r="W199" i="1" s="1"/>
  <c r="GL199" i="1"/>
  <c r="GO199" i="1"/>
  <c r="GP199" i="1"/>
  <c r="GV199" i="1"/>
  <c r="GX199" i="1"/>
  <c r="HC199" i="1"/>
  <c r="I200" i="1"/>
  <c r="R200" i="1" s="1"/>
  <c r="P200" i="1"/>
  <c r="T200" i="1"/>
  <c r="AB200" i="1"/>
  <c r="AC200" i="1"/>
  <c r="AD200" i="1"/>
  <c r="AE200" i="1"/>
  <c r="AF200" i="1"/>
  <c r="AG200" i="1"/>
  <c r="AH200" i="1"/>
  <c r="CV200" i="1" s="1"/>
  <c r="U200" i="1" s="1"/>
  <c r="AI200" i="1"/>
  <c r="AJ200" i="1"/>
  <c r="CX200" i="1" s="1"/>
  <c r="W200" i="1" s="1"/>
  <c r="CQ200" i="1"/>
  <c r="CR200" i="1"/>
  <c r="Q200" i="1" s="1"/>
  <c r="CS200" i="1"/>
  <c r="CT200" i="1"/>
  <c r="S200" i="1" s="1"/>
  <c r="CU200" i="1"/>
  <c r="CW200" i="1"/>
  <c r="V200" i="1" s="1"/>
  <c r="GL200" i="1"/>
  <c r="GO200" i="1"/>
  <c r="GP200" i="1"/>
  <c r="GV200" i="1"/>
  <c r="HC200" i="1" s="1"/>
  <c r="GX200" i="1"/>
  <c r="I201" i="1"/>
  <c r="Q201" i="1"/>
  <c r="T201" i="1"/>
  <c r="W201" i="1"/>
  <c r="AC201" i="1"/>
  <c r="AE201" i="1"/>
  <c r="AD201" i="1" s="1"/>
  <c r="AF201" i="1"/>
  <c r="AG201" i="1"/>
  <c r="AH201" i="1"/>
  <c r="AI201" i="1"/>
  <c r="CW201" i="1" s="1"/>
  <c r="V201" i="1" s="1"/>
  <c r="AJ201" i="1"/>
  <c r="CX201" i="1" s="1"/>
  <c r="CQ201" i="1"/>
  <c r="P201" i="1" s="1"/>
  <c r="CR201" i="1"/>
  <c r="CS201" i="1"/>
  <c r="R201" i="1" s="1"/>
  <c r="CY201" i="1" s="1"/>
  <c r="X201" i="1" s="1"/>
  <c r="CT201" i="1"/>
  <c r="S201" i="1" s="1"/>
  <c r="CU201" i="1"/>
  <c r="CV201" i="1"/>
  <c r="U201" i="1" s="1"/>
  <c r="GL201" i="1"/>
  <c r="GO201" i="1"/>
  <c r="GP201" i="1"/>
  <c r="GV201" i="1"/>
  <c r="GX201" i="1"/>
  <c r="HC201" i="1"/>
  <c r="I202" i="1"/>
  <c r="S202" i="1" s="1"/>
  <c r="V202" i="1"/>
  <c r="AC202" i="1"/>
  <c r="AD202" i="1"/>
  <c r="AB202" i="1" s="1"/>
  <c r="AE202" i="1"/>
  <c r="AF202" i="1"/>
  <c r="AG202" i="1"/>
  <c r="AH202" i="1"/>
  <c r="CV202" i="1" s="1"/>
  <c r="U202" i="1" s="1"/>
  <c r="AI202" i="1"/>
  <c r="AJ202" i="1"/>
  <c r="CX202" i="1" s="1"/>
  <c r="W202" i="1" s="1"/>
  <c r="CQ202" i="1"/>
  <c r="P202" i="1" s="1"/>
  <c r="CR202" i="1"/>
  <c r="CS202" i="1"/>
  <c r="R202" i="1" s="1"/>
  <c r="CT202" i="1"/>
  <c r="CU202" i="1"/>
  <c r="T202" i="1" s="1"/>
  <c r="CW202" i="1"/>
  <c r="GL202" i="1"/>
  <c r="GO202" i="1"/>
  <c r="GP202" i="1"/>
  <c r="GV202" i="1"/>
  <c r="GX202" i="1"/>
  <c r="HC202" i="1"/>
  <c r="C203" i="1"/>
  <c r="D203" i="1"/>
  <c r="I203" i="1"/>
  <c r="I204" i="1" s="1"/>
  <c r="K203" i="1"/>
  <c r="V203" i="1"/>
  <c r="W203" i="1"/>
  <c r="AC203" i="1"/>
  <c r="AE203" i="1"/>
  <c r="AD203" i="1" s="1"/>
  <c r="AF203" i="1"/>
  <c r="AG203" i="1"/>
  <c r="CU203" i="1" s="1"/>
  <c r="T203" i="1" s="1"/>
  <c r="AH203" i="1"/>
  <c r="AI203" i="1"/>
  <c r="AJ203" i="1"/>
  <c r="CQ203" i="1"/>
  <c r="CR203" i="1"/>
  <c r="CS203" i="1"/>
  <c r="CT203" i="1"/>
  <c r="CV203" i="1"/>
  <c r="CW203" i="1"/>
  <c r="CX203" i="1"/>
  <c r="GL203" i="1"/>
  <c r="GO203" i="1"/>
  <c r="GP203" i="1"/>
  <c r="GV203" i="1"/>
  <c r="HC203" i="1" s="1"/>
  <c r="GX203" i="1" s="1"/>
  <c r="AC204" i="1"/>
  <c r="AB204" i="1" s="1"/>
  <c r="AE204" i="1"/>
  <c r="AD204" i="1" s="1"/>
  <c r="AF204" i="1"/>
  <c r="AG204" i="1"/>
  <c r="CU204" i="1" s="1"/>
  <c r="AH204" i="1"/>
  <c r="AI204" i="1"/>
  <c r="CW204" i="1" s="1"/>
  <c r="AJ204" i="1"/>
  <c r="CQ204" i="1"/>
  <c r="CR204" i="1"/>
  <c r="CS204" i="1"/>
  <c r="CT204" i="1"/>
  <c r="CV204" i="1"/>
  <c r="CX204" i="1"/>
  <c r="GL204" i="1"/>
  <c r="GO204" i="1"/>
  <c r="GP204" i="1"/>
  <c r="GV204" i="1"/>
  <c r="HC204" i="1"/>
  <c r="B206" i="1"/>
  <c r="B193" i="1" s="1"/>
  <c r="C206" i="1"/>
  <c r="C193" i="1" s="1"/>
  <c r="D206" i="1"/>
  <c r="D193" i="1" s="1"/>
  <c r="F206" i="1"/>
  <c r="F193" i="1" s="1"/>
  <c r="G206" i="1"/>
  <c r="G193" i="1" s="1"/>
  <c r="AP206" i="1"/>
  <c r="AP193" i="1" s="1"/>
  <c r="BB206" i="1"/>
  <c r="BB193" i="1" s="1"/>
  <c r="BC206" i="1"/>
  <c r="BC193" i="1" s="1"/>
  <c r="BX206" i="1"/>
  <c r="AO206" i="1" s="1"/>
  <c r="BY206" i="1"/>
  <c r="BY193" i="1" s="1"/>
  <c r="CK206" i="1"/>
  <c r="CK193" i="1" s="1"/>
  <c r="CL206" i="1"/>
  <c r="CL193" i="1" s="1"/>
  <c r="CM206" i="1"/>
  <c r="CM193" i="1" s="1"/>
  <c r="F215" i="1"/>
  <c r="F219" i="1"/>
  <c r="D236" i="1"/>
  <c r="E238" i="1"/>
  <c r="F238" i="1"/>
  <c r="Z238" i="1"/>
  <c r="AA238" i="1"/>
  <c r="AM238" i="1"/>
  <c r="AN238" i="1"/>
  <c r="BE238" i="1"/>
  <c r="BF238" i="1"/>
  <c r="BG238" i="1"/>
  <c r="BH238" i="1"/>
  <c r="BI238" i="1"/>
  <c r="BJ238" i="1"/>
  <c r="BK238" i="1"/>
  <c r="BL238" i="1"/>
  <c r="BM238" i="1"/>
  <c r="BN238" i="1"/>
  <c r="BO238" i="1"/>
  <c r="BP238" i="1"/>
  <c r="BQ238" i="1"/>
  <c r="BR238" i="1"/>
  <c r="BS238" i="1"/>
  <c r="BT238" i="1"/>
  <c r="BU238" i="1"/>
  <c r="BV238" i="1"/>
  <c r="BW238" i="1"/>
  <c r="CN238" i="1"/>
  <c r="CO238" i="1"/>
  <c r="CP238" i="1"/>
  <c r="CQ238" i="1"/>
  <c r="CR238" i="1"/>
  <c r="CS238" i="1"/>
  <c r="CT238" i="1"/>
  <c r="CU238" i="1"/>
  <c r="CV238" i="1"/>
  <c r="CW238" i="1"/>
  <c r="CX238" i="1"/>
  <c r="CY238" i="1"/>
  <c r="CZ238" i="1"/>
  <c r="DA238" i="1"/>
  <c r="DB238" i="1"/>
  <c r="DC238" i="1"/>
  <c r="DD238" i="1"/>
  <c r="DE238" i="1"/>
  <c r="DF238" i="1"/>
  <c r="DG238" i="1"/>
  <c r="DH238" i="1"/>
  <c r="DI238" i="1"/>
  <c r="DJ238" i="1"/>
  <c r="DK238" i="1"/>
  <c r="DL238" i="1"/>
  <c r="DM238" i="1"/>
  <c r="DN238" i="1"/>
  <c r="DO238" i="1"/>
  <c r="DP238" i="1"/>
  <c r="DQ238" i="1"/>
  <c r="DR238" i="1"/>
  <c r="DS238" i="1"/>
  <c r="DT238" i="1"/>
  <c r="DU238" i="1"/>
  <c r="DV238" i="1"/>
  <c r="DW238" i="1"/>
  <c r="DX238" i="1"/>
  <c r="DY238" i="1"/>
  <c r="DZ238" i="1"/>
  <c r="EA238" i="1"/>
  <c r="EB238" i="1"/>
  <c r="EC238" i="1"/>
  <c r="ED238" i="1"/>
  <c r="EE238" i="1"/>
  <c r="EF238" i="1"/>
  <c r="EG238" i="1"/>
  <c r="EH238" i="1"/>
  <c r="EI238" i="1"/>
  <c r="EJ238" i="1"/>
  <c r="EK238" i="1"/>
  <c r="EL238" i="1"/>
  <c r="EM238" i="1"/>
  <c r="EN238" i="1"/>
  <c r="EO238" i="1"/>
  <c r="EP238" i="1"/>
  <c r="EQ238" i="1"/>
  <c r="ER238" i="1"/>
  <c r="ES238" i="1"/>
  <c r="ET238" i="1"/>
  <c r="EU238" i="1"/>
  <c r="EV238" i="1"/>
  <c r="EW238" i="1"/>
  <c r="EX238" i="1"/>
  <c r="EY238" i="1"/>
  <c r="EZ238" i="1"/>
  <c r="FA238" i="1"/>
  <c r="FB238" i="1"/>
  <c r="FC238" i="1"/>
  <c r="FD238" i="1"/>
  <c r="FE238" i="1"/>
  <c r="FF238" i="1"/>
  <c r="FG238" i="1"/>
  <c r="FH238" i="1"/>
  <c r="FI238" i="1"/>
  <c r="FJ238" i="1"/>
  <c r="FK238" i="1"/>
  <c r="FL238" i="1"/>
  <c r="FM238" i="1"/>
  <c r="FN238" i="1"/>
  <c r="FO238" i="1"/>
  <c r="FP238" i="1"/>
  <c r="FQ238" i="1"/>
  <c r="FR238" i="1"/>
  <c r="FS238" i="1"/>
  <c r="FT238" i="1"/>
  <c r="FU238" i="1"/>
  <c r="FV238" i="1"/>
  <c r="FW238" i="1"/>
  <c r="FX238" i="1"/>
  <c r="FY238" i="1"/>
  <c r="FZ238" i="1"/>
  <c r="GA238" i="1"/>
  <c r="GB238" i="1"/>
  <c r="GC238" i="1"/>
  <c r="GD238" i="1"/>
  <c r="GE238" i="1"/>
  <c r="GF238" i="1"/>
  <c r="GG238" i="1"/>
  <c r="GH238" i="1"/>
  <c r="GI238" i="1"/>
  <c r="GJ238" i="1"/>
  <c r="GK238" i="1"/>
  <c r="GL238" i="1"/>
  <c r="GM238" i="1"/>
  <c r="GN238" i="1"/>
  <c r="GO238" i="1"/>
  <c r="GP238" i="1"/>
  <c r="GQ238" i="1"/>
  <c r="GR238" i="1"/>
  <c r="GS238" i="1"/>
  <c r="GT238" i="1"/>
  <c r="GU238" i="1"/>
  <c r="GV238" i="1"/>
  <c r="GW238" i="1"/>
  <c r="GX238" i="1"/>
  <c r="I240" i="1"/>
  <c r="K240" i="1"/>
  <c r="O240" i="1"/>
  <c r="AB243" i="1" s="1"/>
  <c r="P240" i="1"/>
  <c r="Q240" i="1"/>
  <c r="AD243" i="1" s="1"/>
  <c r="R240" i="1"/>
  <c r="S240" i="1"/>
  <c r="T240" i="1"/>
  <c r="U240" i="1"/>
  <c r="V240" i="1"/>
  <c r="W240" i="1"/>
  <c r="AJ243" i="1" s="1"/>
  <c r="X240" i="1"/>
  <c r="Y240" i="1"/>
  <c r="AB240" i="1"/>
  <c r="AC240" i="1"/>
  <c r="AD240" i="1"/>
  <c r="AE240" i="1"/>
  <c r="AF240" i="1"/>
  <c r="AG240" i="1"/>
  <c r="AH240" i="1"/>
  <c r="AI240" i="1"/>
  <c r="AJ240" i="1"/>
  <c r="CP240" i="1"/>
  <c r="GM240" i="1" s="1"/>
  <c r="GL240" i="1"/>
  <c r="GO240" i="1"/>
  <c r="CC243" i="1" s="1"/>
  <c r="GP240" i="1"/>
  <c r="GV240" i="1"/>
  <c r="GX240" i="1"/>
  <c r="O241" i="1"/>
  <c r="P241" i="1"/>
  <c r="AC243" i="1" s="1"/>
  <c r="Q241" i="1"/>
  <c r="R241" i="1"/>
  <c r="AE243" i="1" s="1"/>
  <c r="S241" i="1"/>
  <c r="T241" i="1"/>
  <c r="AG243" i="1" s="1"/>
  <c r="U241" i="1"/>
  <c r="V241" i="1"/>
  <c r="AI243" i="1" s="1"/>
  <c r="W241" i="1"/>
  <c r="X241" i="1"/>
  <c r="AK243" i="1" s="1"/>
  <c r="Y241" i="1"/>
  <c r="AB241" i="1"/>
  <c r="CP241" i="1" s="1"/>
  <c r="GM241" i="1" s="1"/>
  <c r="AC241" i="1"/>
  <c r="AD241" i="1"/>
  <c r="AE241" i="1"/>
  <c r="AF241" i="1"/>
  <c r="AG241" i="1"/>
  <c r="AH241" i="1"/>
  <c r="AI241" i="1"/>
  <c r="AJ241" i="1"/>
  <c r="GL241" i="1"/>
  <c r="BZ243" i="1" s="1"/>
  <c r="GO241" i="1"/>
  <c r="GP241" i="1"/>
  <c r="CD243" i="1" s="1"/>
  <c r="GV241" i="1"/>
  <c r="GX241" i="1"/>
  <c r="CJ243" i="1" s="1"/>
  <c r="B243" i="1"/>
  <c r="B238" i="1" s="1"/>
  <c r="C243" i="1"/>
  <c r="C238" i="1" s="1"/>
  <c r="D243" i="1"/>
  <c r="D238" i="1" s="1"/>
  <c r="F243" i="1"/>
  <c r="G243" i="1"/>
  <c r="G238" i="1" s="1"/>
  <c r="AF243" i="1"/>
  <c r="S243" i="1" s="1"/>
  <c r="AH243" i="1"/>
  <c r="AH238" i="1" s="1"/>
  <c r="AL243" i="1"/>
  <c r="Y243" i="1" s="1"/>
  <c r="BX243" i="1"/>
  <c r="BX238" i="1" s="1"/>
  <c r="BY243" i="1"/>
  <c r="CK243" i="1"/>
  <c r="CK238" i="1" s="1"/>
  <c r="CL243" i="1"/>
  <c r="CL238" i="1" s="1"/>
  <c r="B273" i="1"/>
  <c r="B87" i="1" s="1"/>
  <c r="C273" i="1"/>
  <c r="C87" i="1" s="1"/>
  <c r="D273" i="1"/>
  <c r="D87" i="1" s="1"/>
  <c r="F273" i="1"/>
  <c r="F87" i="1" s="1"/>
  <c r="G273" i="1"/>
  <c r="G87" i="1" s="1"/>
  <c r="D303" i="1"/>
  <c r="B305" i="1"/>
  <c r="D305" i="1"/>
  <c r="E305" i="1"/>
  <c r="Z305" i="1"/>
  <c r="AA305" i="1"/>
  <c r="AM305" i="1"/>
  <c r="AN305" i="1"/>
  <c r="BE305" i="1"/>
  <c r="BF305" i="1"/>
  <c r="BG305" i="1"/>
  <c r="BH305" i="1"/>
  <c r="BI305" i="1"/>
  <c r="BJ305" i="1"/>
  <c r="BK305" i="1"/>
  <c r="BL305" i="1"/>
  <c r="BM305" i="1"/>
  <c r="BN305" i="1"/>
  <c r="BO305" i="1"/>
  <c r="BP305" i="1"/>
  <c r="BQ305" i="1"/>
  <c r="BR305" i="1"/>
  <c r="BS305" i="1"/>
  <c r="BT305" i="1"/>
  <c r="BU305" i="1"/>
  <c r="BV305" i="1"/>
  <c r="BW305" i="1"/>
  <c r="BY305" i="1"/>
  <c r="CK305" i="1"/>
  <c r="CN305" i="1"/>
  <c r="CO305" i="1"/>
  <c r="CP305" i="1"/>
  <c r="CQ305" i="1"/>
  <c r="CR305" i="1"/>
  <c r="CS305" i="1"/>
  <c r="CT305" i="1"/>
  <c r="CU305" i="1"/>
  <c r="CV305" i="1"/>
  <c r="CW305" i="1"/>
  <c r="CX305" i="1"/>
  <c r="CY305" i="1"/>
  <c r="CZ305" i="1"/>
  <c r="DA305" i="1"/>
  <c r="DB305" i="1"/>
  <c r="DC305" i="1"/>
  <c r="DD305" i="1"/>
  <c r="DE305" i="1"/>
  <c r="DF305" i="1"/>
  <c r="DG305" i="1"/>
  <c r="DH305" i="1"/>
  <c r="DI305" i="1"/>
  <c r="DJ305" i="1"/>
  <c r="DK305" i="1"/>
  <c r="DL305" i="1"/>
  <c r="DM305" i="1"/>
  <c r="DN305" i="1"/>
  <c r="DO305" i="1"/>
  <c r="DP305" i="1"/>
  <c r="DQ305" i="1"/>
  <c r="DR305" i="1"/>
  <c r="DS305" i="1"/>
  <c r="DT305" i="1"/>
  <c r="DU305" i="1"/>
  <c r="DV305" i="1"/>
  <c r="DW305" i="1"/>
  <c r="DX305" i="1"/>
  <c r="DY305" i="1"/>
  <c r="DZ305" i="1"/>
  <c r="EA305" i="1"/>
  <c r="EB305" i="1"/>
  <c r="EC305" i="1"/>
  <c r="ED305" i="1"/>
  <c r="EE305" i="1"/>
  <c r="EF305" i="1"/>
  <c r="EG305" i="1"/>
  <c r="EH305" i="1"/>
  <c r="EI305" i="1"/>
  <c r="EJ305" i="1"/>
  <c r="EK305" i="1"/>
  <c r="EL305" i="1"/>
  <c r="EM305" i="1"/>
  <c r="EN305" i="1"/>
  <c r="EO305" i="1"/>
  <c r="EP305" i="1"/>
  <c r="EQ305" i="1"/>
  <c r="ER305" i="1"/>
  <c r="ES305" i="1"/>
  <c r="ET305" i="1"/>
  <c r="EU305" i="1"/>
  <c r="EV305" i="1"/>
  <c r="EW305" i="1"/>
  <c r="EX305" i="1"/>
  <c r="EY305" i="1"/>
  <c r="EZ305" i="1"/>
  <c r="FA305" i="1"/>
  <c r="FB305" i="1"/>
  <c r="FC305" i="1"/>
  <c r="FD305" i="1"/>
  <c r="FE305" i="1"/>
  <c r="FF305" i="1"/>
  <c r="FG305" i="1"/>
  <c r="FH305" i="1"/>
  <c r="FI305" i="1"/>
  <c r="FJ305" i="1"/>
  <c r="FK305" i="1"/>
  <c r="FL305" i="1"/>
  <c r="FM305" i="1"/>
  <c r="FN305" i="1"/>
  <c r="FO305" i="1"/>
  <c r="FP305" i="1"/>
  <c r="FQ305" i="1"/>
  <c r="FR305" i="1"/>
  <c r="FS305" i="1"/>
  <c r="FT305" i="1"/>
  <c r="FU305" i="1"/>
  <c r="FV305" i="1"/>
  <c r="FW305" i="1"/>
  <c r="FX305" i="1"/>
  <c r="FY305" i="1"/>
  <c r="FZ305" i="1"/>
  <c r="GA305" i="1"/>
  <c r="GB305" i="1"/>
  <c r="GC305" i="1"/>
  <c r="GD305" i="1"/>
  <c r="GE305" i="1"/>
  <c r="GF305" i="1"/>
  <c r="GG305" i="1"/>
  <c r="GH305" i="1"/>
  <c r="GI305" i="1"/>
  <c r="GJ305" i="1"/>
  <c r="GK305" i="1"/>
  <c r="GL305" i="1"/>
  <c r="GM305" i="1"/>
  <c r="GN305" i="1"/>
  <c r="GO305" i="1"/>
  <c r="GP305" i="1"/>
  <c r="GQ305" i="1"/>
  <c r="GR305" i="1"/>
  <c r="GS305" i="1"/>
  <c r="GT305" i="1"/>
  <c r="GU305" i="1"/>
  <c r="GV305" i="1"/>
  <c r="GW305" i="1"/>
  <c r="GX305" i="1"/>
  <c r="C307" i="1"/>
  <c r="D307" i="1"/>
  <c r="I307" i="1"/>
  <c r="K307" i="1"/>
  <c r="V307" i="1"/>
  <c r="AC307" i="1"/>
  <c r="AE307" i="1"/>
  <c r="AD307" i="1" s="1"/>
  <c r="AF307" i="1"/>
  <c r="AG307" i="1"/>
  <c r="CU307" i="1" s="1"/>
  <c r="T307" i="1" s="1"/>
  <c r="AH307" i="1"/>
  <c r="AI307" i="1"/>
  <c r="AJ307" i="1"/>
  <c r="CQ307" i="1"/>
  <c r="CR307" i="1"/>
  <c r="CS307" i="1"/>
  <c r="CT307" i="1"/>
  <c r="CV307" i="1"/>
  <c r="CW307" i="1"/>
  <c r="CX307" i="1"/>
  <c r="W307" i="1" s="1"/>
  <c r="GL307" i="1"/>
  <c r="GO307" i="1"/>
  <c r="GP307" i="1"/>
  <c r="GV307" i="1"/>
  <c r="HC307" i="1"/>
  <c r="GX307" i="1" s="1"/>
  <c r="AC308" i="1"/>
  <c r="AE308" i="1"/>
  <c r="AD308" i="1" s="1"/>
  <c r="AF308" i="1"/>
  <c r="AG308" i="1"/>
  <c r="CU308" i="1" s="1"/>
  <c r="AH308" i="1"/>
  <c r="AI308" i="1"/>
  <c r="CW308" i="1" s="1"/>
  <c r="AJ308" i="1"/>
  <c r="CQ308" i="1"/>
  <c r="CR308" i="1"/>
  <c r="CS308" i="1"/>
  <c r="CT308" i="1"/>
  <c r="CV308" i="1"/>
  <c r="CX308" i="1"/>
  <c r="GL308" i="1"/>
  <c r="GO308" i="1"/>
  <c r="GP308" i="1"/>
  <c r="GV308" i="1"/>
  <c r="HC308" i="1" s="1"/>
  <c r="C309" i="1"/>
  <c r="D309" i="1"/>
  <c r="I309" i="1"/>
  <c r="K309" i="1"/>
  <c r="T309" i="1"/>
  <c r="V309" i="1"/>
  <c r="AC309" i="1"/>
  <c r="AD309" i="1"/>
  <c r="AE309" i="1"/>
  <c r="AF309" i="1"/>
  <c r="AB309" i="1" s="1"/>
  <c r="AG309" i="1"/>
  <c r="AH309" i="1"/>
  <c r="AI309" i="1"/>
  <c r="AJ309" i="1"/>
  <c r="CX309" i="1" s="1"/>
  <c r="W309" i="1" s="1"/>
  <c r="CQ309" i="1"/>
  <c r="CR309" i="1"/>
  <c r="CS309" i="1"/>
  <c r="CT309" i="1"/>
  <c r="CU309" i="1"/>
  <c r="CV309" i="1"/>
  <c r="CW309" i="1"/>
  <c r="GL309" i="1"/>
  <c r="GO309" i="1"/>
  <c r="GP309" i="1"/>
  <c r="GV309" i="1"/>
  <c r="GX309" i="1"/>
  <c r="HC309" i="1"/>
  <c r="I310" i="1"/>
  <c r="P310" i="1"/>
  <c r="V310" i="1"/>
  <c r="AC310" i="1"/>
  <c r="AD310" i="1"/>
  <c r="AB310" i="1" s="1"/>
  <c r="AE310" i="1"/>
  <c r="AF310" i="1"/>
  <c r="AG310" i="1"/>
  <c r="AH310" i="1"/>
  <c r="CV310" i="1" s="1"/>
  <c r="U310" i="1" s="1"/>
  <c r="AI310" i="1"/>
  <c r="AJ310" i="1"/>
  <c r="CX310" i="1" s="1"/>
  <c r="W310" i="1" s="1"/>
  <c r="CQ310" i="1"/>
  <c r="CR310" i="1"/>
  <c r="CS310" i="1"/>
  <c r="R310" i="1" s="1"/>
  <c r="CY310" i="1" s="1"/>
  <c r="X310" i="1" s="1"/>
  <c r="CT310" i="1"/>
  <c r="S310" i="1" s="1"/>
  <c r="CU310" i="1"/>
  <c r="T310" i="1" s="1"/>
  <c r="CW310" i="1"/>
  <c r="GL310" i="1"/>
  <c r="GO310" i="1"/>
  <c r="GP310" i="1"/>
  <c r="GV310" i="1"/>
  <c r="HC310" i="1" s="1"/>
  <c r="GX310" i="1" s="1"/>
  <c r="C311" i="1"/>
  <c r="D311" i="1"/>
  <c r="I311" i="1"/>
  <c r="K311" i="1"/>
  <c r="AC311" i="1"/>
  <c r="AE311" i="1"/>
  <c r="AD311" i="1" s="1"/>
  <c r="AF311" i="1"/>
  <c r="AG311" i="1"/>
  <c r="CU311" i="1" s="1"/>
  <c r="AH311" i="1"/>
  <c r="AI311" i="1"/>
  <c r="AJ311" i="1"/>
  <c r="CQ311" i="1"/>
  <c r="CR311" i="1"/>
  <c r="CS311" i="1"/>
  <c r="CT311" i="1"/>
  <c r="CV311" i="1"/>
  <c r="CW311" i="1"/>
  <c r="CX311" i="1"/>
  <c r="GL311" i="1"/>
  <c r="GO311" i="1"/>
  <c r="GP311" i="1"/>
  <c r="GV311" i="1"/>
  <c r="HC311" i="1" s="1"/>
  <c r="GX311" i="1" s="1"/>
  <c r="AC312" i="1"/>
  <c r="AB312" i="1" s="1"/>
  <c r="AE312" i="1"/>
  <c r="AD312" i="1" s="1"/>
  <c r="AF312" i="1"/>
  <c r="AG312" i="1"/>
  <c r="CU312" i="1" s="1"/>
  <c r="AH312" i="1"/>
  <c r="AI312" i="1"/>
  <c r="CW312" i="1" s="1"/>
  <c r="AJ312" i="1"/>
  <c r="CQ312" i="1"/>
  <c r="CR312" i="1"/>
  <c r="CS312" i="1"/>
  <c r="CT312" i="1"/>
  <c r="CV312" i="1"/>
  <c r="CX312" i="1"/>
  <c r="GL312" i="1"/>
  <c r="GO312" i="1"/>
  <c r="GP312" i="1"/>
  <c r="GV312" i="1"/>
  <c r="HC312" i="1"/>
  <c r="C313" i="1"/>
  <c r="D313" i="1"/>
  <c r="I313" i="1"/>
  <c r="K313" i="1"/>
  <c r="T313" i="1"/>
  <c r="AC313" i="1"/>
  <c r="AE313" i="1"/>
  <c r="AD313" i="1" s="1"/>
  <c r="AF313" i="1"/>
  <c r="AG313" i="1"/>
  <c r="AH313" i="1"/>
  <c r="AI313" i="1"/>
  <c r="AJ313" i="1"/>
  <c r="CX313" i="1" s="1"/>
  <c r="W313" i="1" s="1"/>
  <c r="CQ313" i="1"/>
  <c r="CR313" i="1"/>
  <c r="CS313" i="1"/>
  <c r="CT313" i="1"/>
  <c r="CU313" i="1"/>
  <c r="CV313" i="1"/>
  <c r="CW313" i="1"/>
  <c r="GL313" i="1"/>
  <c r="GO313" i="1"/>
  <c r="GP313" i="1"/>
  <c r="GV313" i="1"/>
  <c r="HC313" i="1" s="1"/>
  <c r="GX313" i="1"/>
  <c r="I314" i="1"/>
  <c r="V314" i="1" s="1"/>
  <c r="T314" i="1"/>
  <c r="AB314" i="1"/>
  <c r="AC314" i="1"/>
  <c r="AD314" i="1"/>
  <c r="AE314" i="1"/>
  <c r="AF314" i="1"/>
  <c r="AG314" i="1"/>
  <c r="AH314" i="1"/>
  <c r="CV314" i="1" s="1"/>
  <c r="U314" i="1" s="1"/>
  <c r="AI314" i="1"/>
  <c r="AJ314" i="1"/>
  <c r="CX314" i="1" s="1"/>
  <c r="CQ314" i="1"/>
  <c r="P314" i="1" s="1"/>
  <c r="CR314" i="1"/>
  <c r="Q314" i="1" s="1"/>
  <c r="CS314" i="1"/>
  <c r="R314" i="1" s="1"/>
  <c r="CT314" i="1"/>
  <c r="S314" i="1" s="1"/>
  <c r="CU314" i="1"/>
  <c r="CW314" i="1"/>
  <c r="CY314" i="1"/>
  <c r="X314" i="1" s="1"/>
  <c r="CZ314" i="1"/>
  <c r="Y314" i="1" s="1"/>
  <c r="GL314" i="1"/>
  <c r="GO314" i="1"/>
  <c r="GP314" i="1"/>
  <c r="GV314" i="1"/>
  <c r="HC314" i="1" s="1"/>
  <c r="GX314" i="1" s="1"/>
  <c r="HG314" i="1"/>
  <c r="C315" i="1"/>
  <c r="D315" i="1"/>
  <c r="I315" i="1"/>
  <c r="K315" i="1"/>
  <c r="T315" i="1"/>
  <c r="AC315" i="1"/>
  <c r="AE315" i="1"/>
  <c r="AD315" i="1" s="1"/>
  <c r="AF315" i="1"/>
  <c r="AG315" i="1"/>
  <c r="AH315" i="1"/>
  <c r="AI315" i="1"/>
  <c r="AJ315" i="1"/>
  <c r="CX315" i="1" s="1"/>
  <c r="W315" i="1" s="1"/>
  <c r="CQ315" i="1"/>
  <c r="CR315" i="1"/>
  <c r="CS315" i="1"/>
  <c r="CT315" i="1"/>
  <c r="CU315" i="1"/>
  <c r="CV315" i="1"/>
  <c r="CW315" i="1"/>
  <c r="GL315" i="1"/>
  <c r="GO315" i="1"/>
  <c r="GP315" i="1"/>
  <c r="GV315" i="1"/>
  <c r="HC315" i="1" s="1"/>
  <c r="GX315" i="1"/>
  <c r="I316" i="1"/>
  <c r="P316" i="1"/>
  <c r="V316" i="1"/>
  <c r="AC316" i="1"/>
  <c r="AD316" i="1"/>
  <c r="AB316" i="1" s="1"/>
  <c r="AE316" i="1"/>
  <c r="AF316" i="1"/>
  <c r="AG316" i="1"/>
  <c r="AH316" i="1"/>
  <c r="CV316" i="1" s="1"/>
  <c r="U316" i="1" s="1"/>
  <c r="AI316" i="1"/>
  <c r="AJ316" i="1"/>
  <c r="CX316" i="1" s="1"/>
  <c r="W316" i="1" s="1"/>
  <c r="CQ316" i="1"/>
  <c r="CR316" i="1"/>
  <c r="Q316" i="1" s="1"/>
  <c r="CS316" i="1"/>
  <c r="R316" i="1" s="1"/>
  <c r="CT316" i="1"/>
  <c r="S316" i="1" s="1"/>
  <c r="CU316" i="1"/>
  <c r="T316" i="1" s="1"/>
  <c r="CW316" i="1"/>
  <c r="CY316" i="1"/>
  <c r="X316" i="1" s="1"/>
  <c r="CZ316" i="1"/>
  <c r="Y316" i="1" s="1"/>
  <c r="GL316" i="1"/>
  <c r="GO316" i="1"/>
  <c r="GP316" i="1"/>
  <c r="GV316" i="1"/>
  <c r="GX316" i="1"/>
  <c r="HC316" i="1"/>
  <c r="HG316" i="1"/>
  <c r="I317" i="1"/>
  <c r="K317" i="1"/>
  <c r="O317" i="1"/>
  <c r="P317" i="1"/>
  <c r="Q317" i="1"/>
  <c r="R317" i="1"/>
  <c r="S317" i="1"/>
  <c r="T317" i="1"/>
  <c r="U317" i="1"/>
  <c r="V317" i="1"/>
  <c r="W317" i="1"/>
  <c r="X317" i="1"/>
  <c r="Y317" i="1"/>
  <c r="AB317" i="1"/>
  <c r="CP317" i="1" s="1"/>
  <c r="GM317" i="1" s="1"/>
  <c r="HD317" i="1" s="1"/>
  <c r="AC317" i="1"/>
  <c r="AD317" i="1"/>
  <c r="AE317" i="1"/>
  <c r="AF317" i="1"/>
  <c r="AG317" i="1"/>
  <c r="AH317" i="1"/>
  <c r="AI317" i="1"/>
  <c r="AJ317" i="1"/>
  <c r="GL317" i="1"/>
  <c r="GO317" i="1"/>
  <c r="GP317" i="1"/>
  <c r="GV317" i="1"/>
  <c r="GX317" i="1"/>
  <c r="O318" i="1"/>
  <c r="P318" i="1"/>
  <c r="Q318" i="1"/>
  <c r="R318" i="1"/>
  <c r="S318" i="1"/>
  <c r="T318" i="1"/>
  <c r="U318" i="1"/>
  <c r="V318" i="1"/>
  <c r="W318" i="1"/>
  <c r="X318" i="1"/>
  <c r="Y318" i="1"/>
  <c r="AB318" i="1"/>
  <c r="AC318" i="1"/>
  <c r="AD318" i="1"/>
  <c r="AE318" i="1"/>
  <c r="AF318" i="1"/>
  <c r="AG318" i="1"/>
  <c r="AH318" i="1"/>
  <c r="AI318" i="1"/>
  <c r="AJ318" i="1"/>
  <c r="CP318" i="1"/>
  <c r="GM318" i="1" s="1"/>
  <c r="GL318" i="1"/>
  <c r="GO318" i="1"/>
  <c r="GP318" i="1"/>
  <c r="GV318" i="1"/>
  <c r="GX318" i="1"/>
  <c r="B320" i="1"/>
  <c r="C320" i="1"/>
  <c r="C305" i="1" s="1"/>
  <c r="D320" i="1"/>
  <c r="F320" i="1"/>
  <c r="F305" i="1" s="1"/>
  <c r="G320" i="1"/>
  <c r="G305" i="1" s="1"/>
  <c r="AO320" i="1"/>
  <c r="F324" i="1" s="1"/>
  <c r="AP320" i="1"/>
  <c r="AP305" i="1" s="1"/>
  <c r="BX320" i="1"/>
  <c r="BY320" i="1"/>
  <c r="CK320" i="1"/>
  <c r="BB320" i="1" s="1"/>
  <c r="CL320" i="1"/>
  <c r="CL305" i="1" s="1"/>
  <c r="F329" i="1"/>
  <c r="D350" i="1"/>
  <c r="D352" i="1"/>
  <c r="E352" i="1"/>
  <c r="Z352" i="1"/>
  <c r="AA352" i="1"/>
  <c r="AM352" i="1"/>
  <c r="AN352" i="1"/>
  <c r="BE352" i="1"/>
  <c r="BF352" i="1"/>
  <c r="BG352" i="1"/>
  <c r="BH352" i="1"/>
  <c r="BI352" i="1"/>
  <c r="BJ352" i="1"/>
  <c r="BK352" i="1"/>
  <c r="BL352" i="1"/>
  <c r="BM352" i="1"/>
  <c r="BN352" i="1"/>
  <c r="BO352" i="1"/>
  <c r="BP352" i="1"/>
  <c r="BQ352" i="1"/>
  <c r="BR352" i="1"/>
  <c r="BS352" i="1"/>
  <c r="BT352" i="1"/>
  <c r="BU352" i="1"/>
  <c r="BV352" i="1"/>
  <c r="BW352" i="1"/>
  <c r="CN352" i="1"/>
  <c r="CO352" i="1"/>
  <c r="CP352" i="1"/>
  <c r="CQ352" i="1"/>
  <c r="CR352" i="1"/>
  <c r="CS352" i="1"/>
  <c r="CT352" i="1"/>
  <c r="CU352" i="1"/>
  <c r="CV352" i="1"/>
  <c r="CW352" i="1"/>
  <c r="CX352" i="1"/>
  <c r="CY352" i="1"/>
  <c r="CZ352" i="1"/>
  <c r="DA352" i="1"/>
  <c r="DB352" i="1"/>
  <c r="DC352" i="1"/>
  <c r="DD352" i="1"/>
  <c r="DE352" i="1"/>
  <c r="DF352" i="1"/>
  <c r="DG352" i="1"/>
  <c r="DH352" i="1"/>
  <c r="DI352" i="1"/>
  <c r="DJ352" i="1"/>
  <c r="DK352" i="1"/>
  <c r="DL352" i="1"/>
  <c r="DM352" i="1"/>
  <c r="DN352" i="1"/>
  <c r="DO352" i="1"/>
  <c r="DP352" i="1"/>
  <c r="DQ352" i="1"/>
  <c r="DR352" i="1"/>
  <c r="DS352" i="1"/>
  <c r="DT352" i="1"/>
  <c r="DU352" i="1"/>
  <c r="DV352" i="1"/>
  <c r="DW352" i="1"/>
  <c r="DX352" i="1"/>
  <c r="DY352" i="1"/>
  <c r="DZ352" i="1"/>
  <c r="EA352" i="1"/>
  <c r="EB352" i="1"/>
  <c r="EC352" i="1"/>
  <c r="ED352" i="1"/>
  <c r="EE352" i="1"/>
  <c r="EF352" i="1"/>
  <c r="EG352" i="1"/>
  <c r="EH352" i="1"/>
  <c r="EI352" i="1"/>
  <c r="EJ352" i="1"/>
  <c r="EK352" i="1"/>
  <c r="EL352" i="1"/>
  <c r="EM352" i="1"/>
  <c r="EN352" i="1"/>
  <c r="EO352" i="1"/>
  <c r="EP352" i="1"/>
  <c r="EQ352" i="1"/>
  <c r="ER352" i="1"/>
  <c r="ES352" i="1"/>
  <c r="ET352" i="1"/>
  <c r="EU352" i="1"/>
  <c r="EV352" i="1"/>
  <c r="EW352" i="1"/>
  <c r="EX352" i="1"/>
  <c r="EY352" i="1"/>
  <c r="EZ352" i="1"/>
  <c r="FA352" i="1"/>
  <c r="FB352" i="1"/>
  <c r="FC352" i="1"/>
  <c r="FD352" i="1"/>
  <c r="FE352" i="1"/>
  <c r="FF352" i="1"/>
  <c r="FG352" i="1"/>
  <c r="FH352" i="1"/>
  <c r="FI352" i="1"/>
  <c r="FJ352" i="1"/>
  <c r="FK352" i="1"/>
  <c r="FL352" i="1"/>
  <c r="FM352" i="1"/>
  <c r="FN352" i="1"/>
  <c r="FO352" i="1"/>
  <c r="FP352" i="1"/>
  <c r="FQ352" i="1"/>
  <c r="FR352" i="1"/>
  <c r="FS352" i="1"/>
  <c r="FT352" i="1"/>
  <c r="FU352" i="1"/>
  <c r="FV352" i="1"/>
  <c r="FW352" i="1"/>
  <c r="FX352" i="1"/>
  <c r="FY352" i="1"/>
  <c r="FZ352" i="1"/>
  <c r="GA352" i="1"/>
  <c r="GB352" i="1"/>
  <c r="GC352" i="1"/>
  <c r="GD352" i="1"/>
  <c r="GE352" i="1"/>
  <c r="GF352" i="1"/>
  <c r="GG352" i="1"/>
  <c r="GH352" i="1"/>
  <c r="GI352" i="1"/>
  <c r="GJ352" i="1"/>
  <c r="GK352" i="1"/>
  <c r="GL352" i="1"/>
  <c r="GM352" i="1"/>
  <c r="GN352" i="1"/>
  <c r="GO352" i="1"/>
  <c r="GP352" i="1"/>
  <c r="GQ352" i="1"/>
  <c r="GR352" i="1"/>
  <c r="GS352" i="1"/>
  <c r="GT352" i="1"/>
  <c r="GU352" i="1"/>
  <c r="GV352" i="1"/>
  <c r="GW352" i="1"/>
  <c r="GX352" i="1"/>
  <c r="C354" i="1"/>
  <c r="D354" i="1"/>
  <c r="I354" i="1"/>
  <c r="K354" i="1"/>
  <c r="AC354" i="1"/>
  <c r="AE354" i="1"/>
  <c r="AD354" i="1" s="1"/>
  <c r="AF354" i="1"/>
  <c r="AG354" i="1"/>
  <c r="AH354" i="1"/>
  <c r="AI354" i="1"/>
  <c r="AJ354" i="1"/>
  <c r="CX354" i="1" s="1"/>
  <c r="W354" i="1" s="1"/>
  <c r="CQ354" i="1"/>
  <c r="CR354" i="1"/>
  <c r="CS354" i="1"/>
  <c r="CT354" i="1"/>
  <c r="CU354" i="1"/>
  <c r="T354" i="1" s="1"/>
  <c r="CV354" i="1"/>
  <c r="CW354" i="1"/>
  <c r="GL354" i="1"/>
  <c r="GO354" i="1"/>
  <c r="GP354" i="1"/>
  <c r="GV354" i="1"/>
  <c r="GX354" i="1"/>
  <c r="HC354" i="1"/>
  <c r="I355" i="1"/>
  <c r="R355" i="1"/>
  <c r="T355" i="1"/>
  <c r="AC355" i="1"/>
  <c r="AD355" i="1"/>
  <c r="AE355" i="1"/>
  <c r="AF355" i="1"/>
  <c r="AB355" i="1" s="1"/>
  <c r="AG355" i="1"/>
  <c r="AH355" i="1"/>
  <c r="CV355" i="1" s="1"/>
  <c r="U355" i="1" s="1"/>
  <c r="AI355" i="1"/>
  <c r="AJ355" i="1"/>
  <c r="CX355" i="1" s="1"/>
  <c r="W355" i="1" s="1"/>
  <c r="CQ355" i="1"/>
  <c r="P355" i="1" s="1"/>
  <c r="CR355" i="1"/>
  <c r="Q355" i="1" s="1"/>
  <c r="CS355" i="1"/>
  <c r="CT355" i="1"/>
  <c r="S355" i="1" s="1"/>
  <c r="CU355" i="1"/>
  <c r="CW355" i="1"/>
  <c r="V355" i="1" s="1"/>
  <c r="GL355" i="1"/>
  <c r="GO355" i="1"/>
  <c r="GP355" i="1"/>
  <c r="GV355" i="1"/>
  <c r="HC355" i="1" s="1"/>
  <c r="GX355" i="1" s="1"/>
  <c r="C356" i="1"/>
  <c r="D356" i="1"/>
  <c r="I356" i="1"/>
  <c r="K356" i="1"/>
  <c r="W356" i="1"/>
  <c r="AC356" i="1"/>
  <c r="AE356" i="1"/>
  <c r="AD356" i="1" s="1"/>
  <c r="AF356" i="1"/>
  <c r="AG356" i="1"/>
  <c r="CU356" i="1" s="1"/>
  <c r="T356" i="1" s="1"/>
  <c r="AH356" i="1"/>
  <c r="AI356" i="1"/>
  <c r="AJ356" i="1"/>
  <c r="CQ356" i="1"/>
  <c r="CR356" i="1"/>
  <c r="CS356" i="1"/>
  <c r="CT356" i="1"/>
  <c r="CV356" i="1"/>
  <c r="CW356" i="1"/>
  <c r="CX356" i="1"/>
  <c r="GL356" i="1"/>
  <c r="GO356" i="1"/>
  <c r="GP356" i="1"/>
  <c r="GV356" i="1"/>
  <c r="HC356" i="1"/>
  <c r="GX356" i="1" s="1"/>
  <c r="AC357" i="1"/>
  <c r="AE357" i="1"/>
  <c r="AD357" i="1" s="1"/>
  <c r="AF357" i="1"/>
  <c r="AG357" i="1"/>
  <c r="CU357" i="1" s="1"/>
  <c r="AH357" i="1"/>
  <c r="AI357" i="1"/>
  <c r="CW357" i="1" s="1"/>
  <c r="AJ357" i="1"/>
  <c r="CQ357" i="1"/>
  <c r="CR357" i="1"/>
  <c r="CS357" i="1"/>
  <c r="CT357" i="1"/>
  <c r="CV357" i="1"/>
  <c r="CX357" i="1"/>
  <c r="GL357" i="1"/>
  <c r="GO357" i="1"/>
  <c r="GP357" i="1"/>
  <c r="GV357" i="1"/>
  <c r="HC357" i="1" s="1"/>
  <c r="C358" i="1"/>
  <c r="D358" i="1"/>
  <c r="I358" i="1"/>
  <c r="K358" i="1"/>
  <c r="T358" i="1"/>
  <c r="AC358" i="1"/>
  <c r="AE358" i="1"/>
  <c r="AD358" i="1" s="1"/>
  <c r="AF358" i="1"/>
  <c r="AG358" i="1"/>
  <c r="AH358" i="1"/>
  <c r="AI358" i="1"/>
  <c r="AJ358" i="1"/>
  <c r="CX358" i="1" s="1"/>
  <c r="W358" i="1" s="1"/>
  <c r="CQ358" i="1"/>
  <c r="CR358" i="1"/>
  <c r="CS358" i="1"/>
  <c r="CT358" i="1"/>
  <c r="CU358" i="1"/>
  <c r="CV358" i="1"/>
  <c r="CW358" i="1"/>
  <c r="GL358" i="1"/>
  <c r="GO358" i="1"/>
  <c r="GP358" i="1"/>
  <c r="GV358" i="1"/>
  <c r="HC358" i="1" s="1"/>
  <c r="GX358" i="1" s="1"/>
  <c r="I359" i="1"/>
  <c r="P359" i="1" s="1"/>
  <c r="T359" i="1"/>
  <c r="AB359" i="1"/>
  <c r="AC359" i="1"/>
  <c r="AD359" i="1"/>
  <c r="AE359" i="1"/>
  <c r="AF359" i="1"/>
  <c r="AG359" i="1"/>
  <c r="AH359" i="1"/>
  <c r="CV359" i="1" s="1"/>
  <c r="U359" i="1" s="1"/>
  <c r="AI359" i="1"/>
  <c r="AJ359" i="1"/>
  <c r="CX359" i="1" s="1"/>
  <c r="W359" i="1" s="1"/>
  <c r="CQ359" i="1"/>
  <c r="CR359" i="1"/>
  <c r="CS359" i="1"/>
  <c r="R359" i="1" s="1"/>
  <c r="CT359" i="1"/>
  <c r="S359" i="1" s="1"/>
  <c r="CU359" i="1"/>
  <c r="CW359" i="1"/>
  <c r="GL359" i="1"/>
  <c r="GO359" i="1"/>
  <c r="GP359" i="1"/>
  <c r="GV359" i="1"/>
  <c r="HC359" i="1" s="1"/>
  <c r="GX359" i="1" s="1"/>
  <c r="C360" i="1"/>
  <c r="D360" i="1"/>
  <c r="I360" i="1"/>
  <c r="K360" i="1"/>
  <c r="AC360" i="1"/>
  <c r="AE360" i="1"/>
  <c r="AD360" i="1" s="1"/>
  <c r="AF360" i="1"/>
  <c r="AG360" i="1"/>
  <c r="CU360" i="1" s="1"/>
  <c r="T360" i="1" s="1"/>
  <c r="AH360" i="1"/>
  <c r="AI360" i="1"/>
  <c r="AJ360" i="1"/>
  <c r="CQ360" i="1"/>
  <c r="CR360" i="1"/>
  <c r="CS360" i="1"/>
  <c r="CT360" i="1"/>
  <c r="CV360" i="1"/>
  <c r="CW360" i="1"/>
  <c r="CX360" i="1"/>
  <c r="W360" i="1" s="1"/>
  <c r="GL360" i="1"/>
  <c r="GO360" i="1"/>
  <c r="GP360" i="1"/>
  <c r="GV360" i="1"/>
  <c r="HC360" i="1" s="1"/>
  <c r="GX360" i="1" s="1"/>
  <c r="AC361" i="1"/>
  <c r="AE361" i="1"/>
  <c r="AD361" i="1" s="1"/>
  <c r="AF361" i="1"/>
  <c r="AG361" i="1"/>
  <c r="CU361" i="1" s="1"/>
  <c r="AH361" i="1"/>
  <c r="AI361" i="1"/>
  <c r="CW361" i="1" s="1"/>
  <c r="AJ361" i="1"/>
  <c r="CQ361" i="1"/>
  <c r="CR361" i="1"/>
  <c r="CS361" i="1"/>
  <c r="CT361" i="1"/>
  <c r="CV361" i="1"/>
  <c r="CX361" i="1"/>
  <c r="GL361" i="1"/>
  <c r="GO361" i="1"/>
  <c r="GP361" i="1"/>
  <c r="GV361" i="1"/>
  <c r="HC361" i="1" s="1"/>
  <c r="O362" i="1"/>
  <c r="P362" i="1"/>
  <c r="Q362" i="1"/>
  <c r="R362" i="1"/>
  <c r="S362" i="1"/>
  <c r="T362" i="1"/>
  <c r="U362" i="1"/>
  <c r="V362" i="1"/>
  <c r="W362" i="1"/>
  <c r="X362" i="1"/>
  <c r="Y362" i="1"/>
  <c r="AB362" i="1"/>
  <c r="CP362" i="1" s="1"/>
  <c r="GM362" i="1" s="1"/>
  <c r="AC362" i="1"/>
  <c r="AD362" i="1"/>
  <c r="AE362" i="1"/>
  <c r="AF362" i="1"/>
  <c r="AG362" i="1"/>
  <c r="AH362" i="1"/>
  <c r="AI362" i="1"/>
  <c r="AJ362" i="1"/>
  <c r="GL362" i="1"/>
  <c r="GO362" i="1"/>
  <c r="GP362" i="1"/>
  <c r="GV362" i="1"/>
  <c r="GX362" i="1"/>
  <c r="O363" i="1"/>
  <c r="P363" i="1"/>
  <c r="Q363" i="1"/>
  <c r="R363" i="1"/>
  <c r="S363" i="1"/>
  <c r="T363" i="1"/>
  <c r="U363" i="1"/>
  <c r="V363" i="1"/>
  <c r="W363" i="1"/>
  <c r="X363" i="1"/>
  <c r="Y363" i="1"/>
  <c r="AB363" i="1"/>
  <c r="AC363" i="1"/>
  <c r="AD363" i="1"/>
  <c r="AE363" i="1"/>
  <c r="AF363" i="1"/>
  <c r="AG363" i="1"/>
  <c r="AH363" i="1"/>
  <c r="AI363" i="1"/>
  <c r="AJ363" i="1"/>
  <c r="CP363" i="1"/>
  <c r="GL363" i="1"/>
  <c r="GM363" i="1"/>
  <c r="HD363" i="1" s="1"/>
  <c r="GO363" i="1"/>
  <c r="GP363" i="1"/>
  <c r="GV363" i="1"/>
  <c r="GX363" i="1"/>
  <c r="B365" i="1"/>
  <c r="B352" i="1" s="1"/>
  <c r="C365" i="1"/>
  <c r="C352" i="1" s="1"/>
  <c r="D365" i="1"/>
  <c r="F365" i="1"/>
  <c r="F352" i="1" s="1"/>
  <c r="G365" i="1"/>
  <c r="G352" i="1" s="1"/>
  <c r="BC365" i="1"/>
  <c r="F381" i="1" s="1"/>
  <c r="BX365" i="1"/>
  <c r="BX352" i="1" s="1"/>
  <c r="BY365" i="1"/>
  <c r="BY352" i="1" s="1"/>
  <c r="CK365" i="1"/>
  <c r="BB365" i="1" s="1"/>
  <c r="CL365" i="1"/>
  <c r="CL352" i="1" s="1"/>
  <c r="B395" i="1"/>
  <c r="B22" i="1" s="1"/>
  <c r="C395" i="1"/>
  <c r="C22" i="1" s="1"/>
  <c r="D395" i="1"/>
  <c r="D22" i="1" s="1"/>
  <c r="F395" i="1"/>
  <c r="F22" i="1" s="1"/>
  <c r="G395" i="1"/>
  <c r="G22" i="1" s="1"/>
  <c r="B428" i="1"/>
  <c r="B18" i="1" s="1"/>
  <c r="C428" i="1"/>
  <c r="C18" i="1" s="1"/>
  <c r="D428" i="1"/>
  <c r="D18" i="1" s="1"/>
  <c r="F428" i="1"/>
  <c r="F18" i="1" s="1"/>
  <c r="G428" i="1"/>
  <c r="G18" i="1" s="1"/>
  <c r="F12" i="6"/>
  <c r="G12" i="6"/>
  <c r="L832" i="7" l="1"/>
  <c r="L542" i="7"/>
  <c r="L87" i="7"/>
  <c r="L161" i="7"/>
  <c r="L245" i="7"/>
  <c r="AT417" i="7"/>
  <c r="AO955" i="7"/>
  <c r="L771" i="7"/>
  <c r="L769" i="7" s="1"/>
  <c r="K48" i="7"/>
  <c r="L444" i="7"/>
  <c r="L442" i="7" s="1"/>
  <c r="L892" i="7"/>
  <c r="L890" i="7" s="1"/>
  <c r="L669" i="7"/>
  <c r="L1054" i="7"/>
  <c r="AT341" i="7"/>
  <c r="L338" i="7" s="1"/>
  <c r="L485" i="7"/>
  <c r="L409" i="7"/>
  <c r="L1016" i="7"/>
  <c r="L1014" i="7" s="1"/>
  <c r="L116" i="7"/>
  <c r="L95" i="7"/>
  <c r="AB203" i="1"/>
  <c r="BZ206" i="1"/>
  <c r="CG206" i="1" s="1"/>
  <c r="CD206" i="1"/>
  <c r="AU206" i="1" s="1"/>
  <c r="F225" i="1" s="1"/>
  <c r="CC206" i="1"/>
  <c r="CC193" i="1" s="1"/>
  <c r="CC111" i="1"/>
  <c r="CC91" i="1" s="1"/>
  <c r="CD365" i="1"/>
  <c r="AU365" i="1" s="1"/>
  <c r="AB108" i="1"/>
  <c r="AB35" i="1"/>
  <c r="AB356" i="1"/>
  <c r="AB103" i="1"/>
  <c r="AB354" i="1"/>
  <c r="CD52" i="1"/>
  <c r="AU52" i="1" s="1"/>
  <c r="L1125" i="7"/>
  <c r="L515" i="7"/>
  <c r="L187" i="7"/>
  <c r="L222" i="7"/>
  <c r="L1084" i="7"/>
  <c r="L1133" i="7" s="1"/>
  <c r="L1090" i="7"/>
  <c r="L1123" i="7"/>
  <c r="L1121" i="7" s="1"/>
  <c r="L590" i="7"/>
  <c r="L487" i="7"/>
  <c r="L578" i="7"/>
  <c r="L883" i="7"/>
  <c r="L628" i="7"/>
  <c r="L969" i="7"/>
  <c r="AO974" i="7"/>
  <c r="L642" i="7"/>
  <c r="L1012" i="7"/>
  <c r="L694" i="7"/>
  <c r="L774" i="7"/>
  <c r="L762" i="7"/>
  <c r="L293" i="7"/>
  <c r="L447" i="7"/>
  <c r="L435" i="7"/>
  <c r="L265" i="7"/>
  <c r="L263" i="7" s="1"/>
  <c r="L1019" i="7"/>
  <c r="L931" i="7"/>
  <c r="L1007" i="7"/>
  <c r="L334" i="7"/>
  <c r="L571" i="7"/>
  <c r="L440" i="7"/>
  <c r="L261" i="7"/>
  <c r="L691" i="7"/>
  <c r="L703" i="7"/>
  <c r="L630" i="7"/>
  <c r="L665" i="7"/>
  <c r="L267" i="7"/>
  <c r="AO549" i="7"/>
  <c r="L696" i="7"/>
  <c r="L581" i="7"/>
  <c r="AO362" i="7"/>
  <c r="L438" i="7" s="1"/>
  <c r="L357" i="7"/>
  <c r="L929" i="7"/>
  <c r="AO835" i="7"/>
  <c r="L886" i="7" s="1"/>
  <c r="L884" i="7" s="1"/>
  <c r="L414" i="7"/>
  <c r="L1048" i="7"/>
  <c r="L243" i="7"/>
  <c r="L513" i="7"/>
  <c r="L583" i="7"/>
  <c r="L383" i="7"/>
  <c r="L135" i="7"/>
  <c r="L546" i="7"/>
  <c r="L994" i="7"/>
  <c r="AO999" i="7"/>
  <c r="L1010" i="7" s="1"/>
  <c r="L1008" i="7" s="1"/>
  <c r="L644" i="7"/>
  <c r="L567" i="7"/>
  <c r="K47" i="7"/>
  <c r="L1055" i="7"/>
  <c r="L1114" i="7"/>
  <c r="L1043" i="7"/>
  <c r="L256" i="7"/>
  <c r="L268" i="7"/>
  <c r="L72" i="7"/>
  <c r="AB145" i="1"/>
  <c r="AB100" i="1"/>
  <c r="CD320" i="1"/>
  <c r="AU320" i="1" s="1"/>
  <c r="CC161" i="1"/>
  <c r="CC143" i="1" s="1"/>
  <c r="AB30" i="1"/>
  <c r="AB38" i="1"/>
  <c r="AB313" i="1"/>
  <c r="AB149" i="1"/>
  <c r="AB45" i="1"/>
  <c r="AB315" i="1"/>
  <c r="AB156" i="1"/>
  <c r="AB95" i="1"/>
  <c r="BZ52" i="1"/>
  <c r="BZ26" i="1" s="1"/>
  <c r="BZ365" i="1"/>
  <c r="AQ365" i="1" s="1"/>
  <c r="BZ320" i="1"/>
  <c r="BZ305" i="1" s="1"/>
  <c r="AB307" i="1"/>
  <c r="AB151" i="1"/>
  <c r="BZ111" i="1"/>
  <c r="AQ111" i="1" s="1"/>
  <c r="AB93" i="1"/>
  <c r="AB31" i="1"/>
  <c r="CC365" i="1"/>
  <c r="AT365" i="1" s="1"/>
  <c r="AB358" i="1"/>
  <c r="AB311" i="1"/>
  <c r="AB199" i="1"/>
  <c r="AB195" i="1"/>
  <c r="AB147" i="1"/>
  <c r="CD161" i="1"/>
  <c r="AU161" i="1" s="1"/>
  <c r="CD111" i="1"/>
  <c r="AU111" i="1" s="1"/>
  <c r="CC52" i="1"/>
  <c r="AT52" i="1" s="1"/>
  <c r="V361" i="1"/>
  <c r="CY355" i="1"/>
  <c r="X355" i="1" s="1"/>
  <c r="CZ355" i="1"/>
  <c r="Y355" i="1" s="1"/>
  <c r="BB352" i="1"/>
  <c r="F378" i="1"/>
  <c r="AB361" i="1"/>
  <c r="AB360" i="1"/>
  <c r="AB357" i="1"/>
  <c r="U312" i="1"/>
  <c r="CD305" i="1"/>
  <c r="HD362" i="1"/>
  <c r="CM365" i="1" s="1"/>
  <c r="GN362" i="1"/>
  <c r="S361" i="1"/>
  <c r="F384" i="1"/>
  <c r="AU352" i="1"/>
  <c r="GN318" i="1"/>
  <c r="HD318" i="1"/>
  <c r="T361" i="1"/>
  <c r="CP355" i="1"/>
  <c r="O355" i="1" s="1"/>
  <c r="GM355" i="1" s="1"/>
  <c r="GN355" i="1" s="1"/>
  <c r="CY359" i="1"/>
  <c r="X359" i="1" s="1"/>
  <c r="CZ359" i="1"/>
  <c r="Y359" i="1" s="1"/>
  <c r="CP314" i="1"/>
  <c r="O314" i="1" s="1"/>
  <c r="GM314" i="1" s="1"/>
  <c r="GN314" i="1" s="1"/>
  <c r="CW263" i="3"/>
  <c r="V360" i="1" s="1"/>
  <c r="G980" i="7" s="1"/>
  <c r="CX267" i="3"/>
  <c r="CX263" i="3"/>
  <c r="CU261" i="3"/>
  <c r="CW264" i="3"/>
  <c r="CV261" i="3"/>
  <c r="U360" i="1" s="1"/>
  <c r="G977" i="7" s="1"/>
  <c r="CX264" i="3"/>
  <c r="CX261" i="3"/>
  <c r="CX265" i="3"/>
  <c r="CX271" i="3"/>
  <c r="CX269" i="3"/>
  <c r="AO365" i="1"/>
  <c r="Q359" i="1"/>
  <c r="CP359" i="1" s="1"/>
  <c r="O359" i="1" s="1"/>
  <c r="GM359" i="1" s="1"/>
  <c r="GN359" i="1" s="1"/>
  <c r="CU237" i="3"/>
  <c r="CW240" i="3"/>
  <c r="CX237" i="3"/>
  <c r="CX241" i="3"/>
  <c r="CW239" i="3"/>
  <c r="V354" i="1" s="1"/>
  <c r="G919" i="7" s="1"/>
  <c r="CX243" i="3"/>
  <c r="CK352" i="1"/>
  <c r="CD352" i="1"/>
  <c r="BX305" i="1"/>
  <c r="V312" i="1"/>
  <c r="T311" i="1"/>
  <c r="AO305" i="1"/>
  <c r="F270" i="1"/>
  <c r="Y238" i="1"/>
  <c r="BZ238" i="1"/>
  <c r="CG243" i="1"/>
  <c r="AQ243" i="1"/>
  <c r="CC238" i="1"/>
  <c r="AT243" i="1"/>
  <c r="P204" i="1"/>
  <c r="AB201" i="1"/>
  <c r="CZ200" i="1"/>
  <c r="Y200" i="1" s="1"/>
  <c r="V359" i="1"/>
  <c r="CU245" i="3"/>
  <c r="CW248" i="3"/>
  <c r="CX251" i="3"/>
  <c r="CX245" i="3"/>
  <c r="CW249" i="3"/>
  <c r="CX253" i="3"/>
  <c r="CX249" i="3"/>
  <c r="CW247" i="3"/>
  <c r="V356" i="1" s="1"/>
  <c r="G940" i="7" s="1"/>
  <c r="CW250" i="3"/>
  <c r="BC352" i="1"/>
  <c r="BC320" i="1"/>
  <c r="R312" i="1"/>
  <c r="W311" i="1"/>
  <c r="P308" i="1"/>
  <c r="V243" i="1"/>
  <c r="AI238" i="1"/>
  <c r="P243" i="1"/>
  <c r="AC238" i="1"/>
  <c r="CE243" i="1"/>
  <c r="CF243" i="1"/>
  <c r="CH243" i="1"/>
  <c r="AQ206" i="1"/>
  <c r="CI206" i="1"/>
  <c r="BZ193" i="1"/>
  <c r="Q198" i="1"/>
  <c r="GN363" i="1"/>
  <c r="CX255" i="3"/>
  <c r="CX259" i="3"/>
  <c r="CX256" i="3"/>
  <c r="CU254" i="3"/>
  <c r="CV254" i="3"/>
  <c r="U358" i="1" s="1"/>
  <c r="G958" i="7" s="1"/>
  <c r="CX257" i="3"/>
  <c r="I357" i="1"/>
  <c r="GX357" i="1" s="1"/>
  <c r="CM320" i="1"/>
  <c r="T312" i="1"/>
  <c r="CZ310" i="1"/>
  <c r="Y310" i="1" s="1"/>
  <c r="AB308" i="1"/>
  <c r="F258" i="1"/>
  <c r="S238" i="1"/>
  <c r="CJ238" i="1"/>
  <c r="BA243" i="1"/>
  <c r="HD240" i="1"/>
  <c r="CM243" i="1" s="1"/>
  <c r="GN240" i="1"/>
  <c r="CA243" i="1"/>
  <c r="W243" i="1"/>
  <c r="AJ238" i="1"/>
  <c r="Q243" i="1"/>
  <c r="AD238" i="1"/>
  <c r="GX204" i="1"/>
  <c r="U204" i="1"/>
  <c r="V204" i="1"/>
  <c r="CZ201" i="1"/>
  <c r="Y201" i="1" s="1"/>
  <c r="GX312" i="1"/>
  <c r="CU216" i="3"/>
  <c r="CX222" i="3"/>
  <c r="CV216" i="3"/>
  <c r="U311" i="1" s="1"/>
  <c r="G816" i="7" s="1"/>
  <c r="CX216" i="3"/>
  <c r="CX217" i="3"/>
  <c r="CW218" i="3"/>
  <c r="CW219" i="3"/>
  <c r="CX224" i="3"/>
  <c r="CX219" i="3"/>
  <c r="I312" i="1"/>
  <c r="GN241" i="1"/>
  <c r="HD241" i="1"/>
  <c r="AG238" i="1"/>
  <c r="T243" i="1"/>
  <c r="W198" i="1"/>
  <c r="CP316" i="1"/>
  <c r="O316" i="1" s="1"/>
  <c r="GM316" i="1" s="1"/>
  <c r="GN316" i="1" s="1"/>
  <c r="AP365" i="1"/>
  <c r="I361" i="1"/>
  <c r="P361" i="1" s="1"/>
  <c r="F333" i="1"/>
  <c r="BB305" i="1"/>
  <c r="GN317" i="1"/>
  <c r="W314" i="1"/>
  <c r="Q310" i="1"/>
  <c r="CP310" i="1" s="1"/>
  <c r="O310" i="1" s="1"/>
  <c r="GM310" i="1" s="1"/>
  <c r="GN310" i="1" s="1"/>
  <c r="CC320" i="1"/>
  <c r="CU212" i="3"/>
  <c r="CX212" i="3"/>
  <c r="I308" i="1"/>
  <c r="CI243" i="1"/>
  <c r="CD238" i="1"/>
  <c r="AU243" i="1"/>
  <c r="AB238" i="1"/>
  <c r="O243" i="1"/>
  <c r="T204" i="1"/>
  <c r="X243" i="1"/>
  <c r="AK238" i="1"/>
  <c r="R243" i="1"/>
  <c r="AE238" i="1"/>
  <c r="AO193" i="1"/>
  <c r="F210" i="1"/>
  <c r="Q204" i="1"/>
  <c r="W204" i="1"/>
  <c r="R204" i="1"/>
  <c r="S204" i="1"/>
  <c r="CY202" i="1"/>
  <c r="X202" i="1" s="1"/>
  <c r="CZ202" i="1"/>
  <c r="Y202" i="1" s="1"/>
  <c r="CP201" i="1"/>
  <c r="O201" i="1" s="1"/>
  <c r="GX198" i="1"/>
  <c r="BC243" i="1"/>
  <c r="U243" i="1"/>
  <c r="AL238" i="1"/>
  <c r="AF238" i="1"/>
  <c r="CY200" i="1"/>
  <c r="X200" i="1" s="1"/>
  <c r="AB198" i="1"/>
  <c r="CX195" i="3"/>
  <c r="CX197" i="3"/>
  <c r="CV195" i="3"/>
  <c r="U197" i="1" s="1"/>
  <c r="G636" i="7" s="1"/>
  <c r="CU195" i="3"/>
  <c r="CW197" i="3"/>
  <c r="V197" i="1" s="1"/>
  <c r="G639" i="7" s="1"/>
  <c r="CX198" i="3"/>
  <c r="I198" i="1"/>
  <c r="U198" i="1" s="1"/>
  <c r="BB161" i="1"/>
  <c r="AP161" i="1"/>
  <c r="P159" i="1"/>
  <c r="AB152" i="1"/>
  <c r="Q150" i="1"/>
  <c r="GX148" i="1"/>
  <c r="CY146" i="1"/>
  <c r="X146" i="1" s="1"/>
  <c r="GM146" i="1" s="1"/>
  <c r="GN146" i="1" s="1"/>
  <c r="CZ146" i="1"/>
  <c r="Y146" i="1" s="1"/>
  <c r="BZ161" i="1"/>
  <c r="CI161" i="1" s="1"/>
  <c r="CY109" i="1"/>
  <c r="X109" i="1" s="1"/>
  <c r="CZ109" i="1"/>
  <c r="Y109" i="1" s="1"/>
  <c r="BB243" i="1"/>
  <c r="AP243" i="1"/>
  <c r="F222" i="1"/>
  <c r="Q202" i="1"/>
  <c r="CP202" i="1" s="1"/>
  <c r="O202" i="1" s="1"/>
  <c r="GM202" i="1" s="1"/>
  <c r="GN202" i="1" s="1"/>
  <c r="V198" i="1"/>
  <c r="CZ196" i="1"/>
  <c r="Y196" i="1" s="1"/>
  <c r="BX193" i="1"/>
  <c r="Q158" i="1"/>
  <c r="T158" i="1"/>
  <c r="CY157" i="1"/>
  <c r="X157" i="1" s="1"/>
  <c r="GM157" i="1" s="1"/>
  <c r="GN157" i="1" s="1"/>
  <c r="CZ157" i="1"/>
  <c r="Y157" i="1" s="1"/>
  <c r="S152" i="1"/>
  <c r="CP150" i="1"/>
  <c r="O150" i="1" s="1"/>
  <c r="T148" i="1"/>
  <c r="CP109" i="1"/>
  <c r="O109" i="1" s="1"/>
  <c r="GM109" i="1" s="1"/>
  <c r="GN109" i="1" s="1"/>
  <c r="CU214" i="3"/>
  <c r="CV214" i="3"/>
  <c r="U309" i="1" s="1"/>
  <c r="G805" i="7" s="1"/>
  <c r="CX214" i="3"/>
  <c r="AO243" i="1"/>
  <c r="BD206" i="1"/>
  <c r="R198" i="1"/>
  <c r="P158" i="1"/>
  <c r="S155" i="1"/>
  <c r="T153" i="1"/>
  <c r="T151" i="1"/>
  <c r="AB107" i="1"/>
  <c r="AJ111" i="1"/>
  <c r="BY238" i="1"/>
  <c r="CP200" i="1"/>
  <c r="O200" i="1" s="1"/>
  <c r="GM200" i="1" s="1"/>
  <c r="GN200" i="1" s="1"/>
  <c r="T198" i="1"/>
  <c r="AG206" i="1" s="1"/>
  <c r="GX158" i="1"/>
  <c r="S158" i="1"/>
  <c r="T152" i="1"/>
  <c r="CY105" i="1"/>
  <c r="X105" i="1" s="1"/>
  <c r="CZ105" i="1"/>
  <c r="Y105" i="1" s="1"/>
  <c r="CP105" i="1"/>
  <c r="O105" i="1" s="1"/>
  <c r="BZ91" i="1"/>
  <c r="AG111" i="1"/>
  <c r="CW233" i="3"/>
  <c r="V315" i="1" s="1"/>
  <c r="G861" i="7" s="1"/>
  <c r="CU231" i="3"/>
  <c r="CW234" i="3"/>
  <c r="CV231" i="3"/>
  <c r="U315" i="1" s="1"/>
  <c r="G858" i="7" s="1"/>
  <c r="CX234" i="3"/>
  <c r="CX231" i="3"/>
  <c r="CX235" i="3"/>
  <c r="CX229" i="3"/>
  <c r="CX226" i="3"/>
  <c r="CX227" i="3"/>
  <c r="CU225" i="3"/>
  <c r="P198" i="1"/>
  <c r="AB197" i="1"/>
  <c r="GX196" i="1"/>
  <c r="CY196" i="1"/>
  <c r="X196" i="1" s="1"/>
  <c r="CD193" i="1"/>
  <c r="AT161" i="1"/>
  <c r="R159" i="1"/>
  <c r="CY159" i="1" s="1"/>
  <c r="X159" i="1" s="1"/>
  <c r="W151" i="1"/>
  <c r="S150" i="1"/>
  <c r="U150" i="1"/>
  <c r="AB148" i="1"/>
  <c r="CY107" i="1"/>
  <c r="X107" i="1" s="1"/>
  <c r="CZ107" i="1"/>
  <c r="Y107" i="1" s="1"/>
  <c r="CP107" i="1"/>
  <c r="O107" i="1" s="1"/>
  <c r="AB106" i="1"/>
  <c r="GM104" i="1"/>
  <c r="GN104" i="1" s="1"/>
  <c r="CU208" i="3"/>
  <c r="CX211" i="3"/>
  <c r="CX208" i="3"/>
  <c r="CX210" i="3"/>
  <c r="W196" i="1"/>
  <c r="AJ206" i="1" s="1"/>
  <c r="R196" i="1"/>
  <c r="CP196" i="1" s="1"/>
  <c r="O196" i="1" s="1"/>
  <c r="GM196" i="1" s="1"/>
  <c r="GN196" i="1" s="1"/>
  <c r="BD161" i="1"/>
  <c r="Q159" i="1"/>
  <c r="U158" i="1"/>
  <c r="AB157" i="1"/>
  <c r="GX155" i="1"/>
  <c r="U153" i="1"/>
  <c r="CX164" i="3"/>
  <c r="CW163" i="3"/>
  <c r="CW166" i="3"/>
  <c r="CX169" i="3"/>
  <c r="CX162" i="3"/>
  <c r="CX165" i="3"/>
  <c r="CW164" i="3"/>
  <c r="CX167" i="3"/>
  <c r="CX173" i="3"/>
  <c r="CU161" i="3"/>
  <c r="CX171" i="3"/>
  <c r="I152" i="1"/>
  <c r="V152" i="1" s="1"/>
  <c r="I155" i="1"/>
  <c r="T155" i="1" s="1"/>
  <c r="I154" i="1"/>
  <c r="U154" i="1" s="1"/>
  <c r="I153" i="1"/>
  <c r="V148" i="1"/>
  <c r="CJ111" i="1"/>
  <c r="CU183" i="3"/>
  <c r="CX185" i="3"/>
  <c r="CX183" i="3"/>
  <c r="CX189" i="3"/>
  <c r="CX193" i="3"/>
  <c r="CW185" i="3"/>
  <c r="CX187" i="3"/>
  <c r="BC161" i="1"/>
  <c r="CX141" i="3"/>
  <c r="CX145" i="3"/>
  <c r="CX151" i="3"/>
  <c r="CX142" i="3"/>
  <c r="CX146" i="3"/>
  <c r="CX152" i="3"/>
  <c r="CV141" i="3"/>
  <c r="U145" i="1" s="1"/>
  <c r="G468" i="7" s="1"/>
  <c r="CX144" i="3"/>
  <c r="CW143" i="3"/>
  <c r="V145" i="1" s="1"/>
  <c r="G471" i="7" s="1"/>
  <c r="CW144" i="3"/>
  <c r="CX149" i="3"/>
  <c r="CU141" i="3"/>
  <c r="CX147" i="3"/>
  <c r="AO143" i="1"/>
  <c r="BC111" i="1"/>
  <c r="Q109" i="1"/>
  <c r="CY106" i="1"/>
  <c r="X106" i="1" s="1"/>
  <c r="GM106" i="1" s="1"/>
  <c r="GN106" i="1" s="1"/>
  <c r="AB102" i="1"/>
  <c r="AB99" i="1"/>
  <c r="AB97" i="1"/>
  <c r="CZ94" i="1"/>
  <c r="Y94" i="1" s="1"/>
  <c r="AQ52" i="1"/>
  <c r="CI52" i="1"/>
  <c r="CY33" i="1"/>
  <c r="X33" i="1" s="1"/>
  <c r="CZ33" i="1"/>
  <c r="Y33" i="1" s="1"/>
  <c r="AB32" i="1"/>
  <c r="CW155" i="3"/>
  <c r="V147" i="1" s="1"/>
  <c r="G496" i="7" s="1"/>
  <c r="CX155" i="3"/>
  <c r="CX156" i="3"/>
  <c r="CU153" i="3"/>
  <c r="CX153" i="3"/>
  <c r="BB111" i="1"/>
  <c r="V109" i="1"/>
  <c r="CY98" i="1"/>
  <c r="X98" i="1" s="1"/>
  <c r="CZ98" i="1"/>
  <c r="Y98" i="1" s="1"/>
  <c r="CP98" i="1"/>
  <c r="O98" i="1" s="1"/>
  <c r="GM98" i="1" s="1"/>
  <c r="GN98" i="1" s="1"/>
  <c r="T48" i="1"/>
  <c r="CY40" i="1"/>
  <c r="X40" i="1" s="1"/>
  <c r="CZ40" i="1"/>
  <c r="Y40" i="1" s="1"/>
  <c r="CY36" i="1"/>
  <c r="X36" i="1" s="1"/>
  <c r="CZ36" i="1"/>
  <c r="Y36" i="1" s="1"/>
  <c r="CY29" i="1"/>
  <c r="X29" i="1" s="1"/>
  <c r="CZ29" i="1"/>
  <c r="Y29" i="1" s="1"/>
  <c r="CU199" i="3"/>
  <c r="CX206" i="3"/>
  <c r="CX200" i="3"/>
  <c r="CX204" i="3"/>
  <c r="CX158" i="3"/>
  <c r="CW159" i="3"/>
  <c r="V149" i="1" s="1"/>
  <c r="G510" i="7" s="1"/>
  <c r="CU157" i="3"/>
  <c r="CX159" i="3"/>
  <c r="I148" i="1"/>
  <c r="U148" i="1" s="1"/>
  <c r="CX137" i="3"/>
  <c r="CX138" i="3"/>
  <c r="CV137" i="3"/>
  <c r="U108" i="1" s="1"/>
  <c r="G420" i="7" s="1"/>
  <c r="CX139" i="3"/>
  <c r="CU137" i="3"/>
  <c r="CY101" i="1"/>
  <c r="X101" i="1" s="1"/>
  <c r="CZ101" i="1"/>
  <c r="Y101" i="1" s="1"/>
  <c r="CZ99" i="1"/>
  <c r="Y99" i="1" s="1"/>
  <c r="CY99" i="1"/>
  <c r="X99" i="1" s="1"/>
  <c r="GM99" i="1" s="1"/>
  <c r="GN99" i="1" s="1"/>
  <c r="CY97" i="1"/>
  <c r="X97" i="1" s="1"/>
  <c r="CZ97" i="1"/>
  <c r="Y97" i="1" s="1"/>
  <c r="AB96" i="1"/>
  <c r="AU26" i="1"/>
  <c r="F71" i="1"/>
  <c r="V44" i="1"/>
  <c r="AB43" i="1"/>
  <c r="CY42" i="1"/>
  <c r="X42" i="1" s="1"/>
  <c r="CZ42" i="1"/>
  <c r="Y42" i="1" s="1"/>
  <c r="CP41" i="1"/>
  <c r="O41" i="1" s="1"/>
  <c r="CP40" i="1"/>
  <c r="O40" i="1" s="1"/>
  <c r="AB37" i="1"/>
  <c r="AB34" i="1"/>
  <c r="AB28" i="1"/>
  <c r="CP101" i="1"/>
  <c r="O101" i="1" s="1"/>
  <c r="GM101" i="1" s="1"/>
  <c r="GN101" i="1" s="1"/>
  <c r="CY46" i="1"/>
  <c r="X46" i="1" s="1"/>
  <c r="CZ46" i="1"/>
  <c r="Y46" i="1" s="1"/>
  <c r="GX44" i="1"/>
  <c r="CP33" i="1"/>
  <c r="O33" i="1" s="1"/>
  <c r="CU174" i="3"/>
  <c r="CX181" i="3"/>
  <c r="CX175" i="3"/>
  <c r="CX179" i="3"/>
  <c r="CX176" i="3"/>
  <c r="F115" i="1"/>
  <c r="CP94" i="1"/>
  <c r="O94" i="1" s="1"/>
  <c r="AB48" i="1"/>
  <c r="AB47" i="1"/>
  <c r="CP46" i="1"/>
  <c r="O46" i="1" s="1"/>
  <c r="T44" i="1"/>
  <c r="AG52" i="1" s="1"/>
  <c r="CY39" i="1"/>
  <c r="X39" i="1" s="1"/>
  <c r="CZ39" i="1"/>
  <c r="Y39" i="1" s="1"/>
  <c r="GM39" i="1" s="1"/>
  <c r="GN39" i="1" s="1"/>
  <c r="CP36" i="1"/>
  <c r="O36" i="1" s="1"/>
  <c r="CY34" i="1"/>
  <c r="X34" i="1" s="1"/>
  <c r="GM34" i="1" s="1"/>
  <c r="GN34" i="1" s="1"/>
  <c r="CZ34" i="1"/>
  <c r="Y34" i="1" s="1"/>
  <c r="AB33" i="1"/>
  <c r="CP29" i="1"/>
  <c r="O29" i="1" s="1"/>
  <c r="F120" i="1"/>
  <c r="BD111" i="1"/>
  <c r="CP97" i="1"/>
  <c r="O97" i="1" s="1"/>
  <c r="HD49" i="1"/>
  <c r="CM52" i="1" s="1"/>
  <c r="GN49" i="1"/>
  <c r="U48" i="1"/>
  <c r="Q44" i="1"/>
  <c r="CP42" i="1"/>
  <c r="O42" i="1" s="1"/>
  <c r="CY41" i="1"/>
  <c r="X41" i="1" s="1"/>
  <c r="CZ41" i="1"/>
  <c r="Y41" i="1" s="1"/>
  <c r="CP32" i="1"/>
  <c r="O32" i="1" s="1"/>
  <c r="GM32" i="1" s="1"/>
  <c r="GN32" i="1" s="1"/>
  <c r="CU83" i="3"/>
  <c r="CX86" i="3"/>
  <c r="CX88" i="3"/>
  <c r="CX84" i="3"/>
  <c r="CW86" i="3"/>
  <c r="CX87" i="3"/>
  <c r="CW85" i="3"/>
  <c r="CY94" i="1"/>
  <c r="X94" i="1" s="1"/>
  <c r="CU46" i="3"/>
  <c r="CX57" i="3"/>
  <c r="CW49" i="3"/>
  <c r="CX48" i="3"/>
  <c r="CW50" i="3"/>
  <c r="CX54" i="3"/>
  <c r="CX50" i="3"/>
  <c r="CY32" i="1"/>
  <c r="X32" i="1" s="1"/>
  <c r="CX242" i="3"/>
  <c r="CX240" i="3"/>
  <c r="CU59" i="3"/>
  <c r="CX61" i="3"/>
  <c r="CX62" i="3"/>
  <c r="CU34" i="3"/>
  <c r="CX38" i="3"/>
  <c r="CX34" i="3"/>
  <c r="CW38" i="3"/>
  <c r="CX45" i="3"/>
  <c r="CX36" i="3"/>
  <c r="CX39" i="3"/>
  <c r="CX42" i="3"/>
  <c r="CX262" i="3"/>
  <c r="CX254" i="3"/>
  <c r="CX252" i="3"/>
  <c r="CX239" i="3"/>
  <c r="CX238" i="3"/>
  <c r="CV237" i="3"/>
  <c r="U354" i="1" s="1"/>
  <c r="G916" i="7" s="1"/>
  <c r="CX228" i="3"/>
  <c r="CU124" i="3"/>
  <c r="CX125" i="3"/>
  <c r="CX133" i="3"/>
  <c r="CW126" i="3"/>
  <c r="CW129" i="3"/>
  <c r="CX134" i="3"/>
  <c r="CX135" i="3"/>
  <c r="CX131" i="3"/>
  <c r="CX129" i="3"/>
  <c r="CX126" i="3"/>
  <c r="CU63" i="3"/>
  <c r="CW65" i="3"/>
  <c r="CX69" i="3"/>
  <c r="CX65" i="3"/>
  <c r="CX66" i="3"/>
  <c r="CX67" i="3"/>
  <c r="CX63" i="3"/>
  <c r="I44" i="1"/>
  <c r="U44" i="1" s="1"/>
  <c r="CX260" i="3"/>
  <c r="CX236" i="3"/>
  <c r="CW227" i="3"/>
  <c r="V313" i="1" s="1"/>
  <c r="G842" i="7" s="1"/>
  <c r="CV225" i="3"/>
  <c r="U313" i="1" s="1"/>
  <c r="G839" i="7" s="1"/>
  <c r="CX201" i="3"/>
  <c r="CU112" i="3"/>
  <c r="CV112" i="3"/>
  <c r="U102" i="1" s="1"/>
  <c r="G365" i="7" s="1"/>
  <c r="CX113" i="3"/>
  <c r="CW114" i="3"/>
  <c r="CX115" i="3"/>
  <c r="CX116" i="3"/>
  <c r="CW117" i="3"/>
  <c r="CX114" i="3"/>
  <c r="CX117" i="3"/>
  <c r="CX119" i="3"/>
  <c r="CW74" i="3"/>
  <c r="CX74" i="3"/>
  <c r="CU70" i="3"/>
  <c r="CX70" i="3"/>
  <c r="CX72" i="3"/>
  <c r="CX71" i="3"/>
  <c r="CX76" i="3"/>
  <c r="CD26" i="1"/>
  <c r="CX266" i="3"/>
  <c r="CX250" i="3"/>
  <c r="CX248" i="3"/>
  <c r="CX233" i="3"/>
  <c r="CX223" i="3"/>
  <c r="CX221" i="3"/>
  <c r="BB52" i="1"/>
  <c r="I48" i="1"/>
  <c r="V48" i="1" s="1"/>
  <c r="CX268" i="3"/>
  <c r="CX258" i="3"/>
  <c r="CX247" i="3"/>
  <c r="CX246" i="3"/>
  <c r="CV245" i="3"/>
  <c r="U356" i="1" s="1"/>
  <c r="G937" i="7" s="1"/>
  <c r="CX232" i="3"/>
  <c r="CX220" i="3"/>
  <c r="CU79" i="3"/>
  <c r="CW81" i="3"/>
  <c r="V93" i="1" s="1"/>
  <c r="G288" i="7" s="1"/>
  <c r="CX79" i="3"/>
  <c r="AO52" i="1"/>
  <c r="CX272" i="3"/>
  <c r="CX270" i="3"/>
  <c r="CW257" i="3"/>
  <c r="CW256" i="3"/>
  <c r="V358" i="1" s="1"/>
  <c r="G961" i="7" s="1"/>
  <c r="CX244" i="3"/>
  <c r="CX230" i="3"/>
  <c r="CW220" i="3"/>
  <c r="CV212" i="3"/>
  <c r="U307" i="1" s="1"/>
  <c r="G795" i="7" s="1"/>
  <c r="CX190" i="3"/>
  <c r="CV183" i="3"/>
  <c r="U195" i="1" s="1"/>
  <c r="G611" i="7" s="1"/>
  <c r="CX168" i="3"/>
  <c r="CX127" i="3"/>
  <c r="CX202" i="3"/>
  <c r="CW202" i="3"/>
  <c r="CX194" i="3"/>
  <c r="CX192" i="3"/>
  <c r="CX180" i="3"/>
  <c r="CX178" i="3"/>
  <c r="CX172" i="3"/>
  <c r="CX170" i="3"/>
  <c r="CX2" i="3"/>
  <c r="CX1" i="3"/>
  <c r="CX4" i="3"/>
  <c r="CU1" i="3"/>
  <c r="CX218" i="3"/>
  <c r="CX213" i="3"/>
  <c r="CX196" i="3"/>
  <c r="CX182" i="3"/>
  <c r="CW176" i="3"/>
  <c r="CV174" i="3"/>
  <c r="U156" i="1" s="1"/>
  <c r="G553" i="7" s="1"/>
  <c r="CX174" i="3"/>
  <c r="CX215" i="3"/>
  <c r="CV208" i="3"/>
  <c r="U203" i="1" s="1"/>
  <c r="G676" i="7" s="1"/>
  <c r="CX184" i="3"/>
  <c r="CX157" i="3"/>
  <c r="CV157" i="3"/>
  <c r="U149" i="1" s="1"/>
  <c r="G507" i="7" s="1"/>
  <c r="CX225" i="3"/>
  <c r="CX205" i="3"/>
  <c r="CX203" i="3"/>
  <c r="CX191" i="3"/>
  <c r="CX177" i="3"/>
  <c r="CW177" i="3"/>
  <c r="CX209" i="3"/>
  <c r="CX207" i="3"/>
  <c r="CW201" i="3"/>
  <c r="CV199" i="3"/>
  <c r="U199" i="1" s="1"/>
  <c r="G651" i="7" s="1"/>
  <c r="CX199" i="3"/>
  <c r="CX188" i="3"/>
  <c r="CW186" i="3"/>
  <c r="CX166" i="3"/>
  <c r="CX163" i="3"/>
  <c r="CX143" i="3"/>
  <c r="CX124" i="3"/>
  <c r="CV124" i="3"/>
  <c r="U103" i="1" s="1"/>
  <c r="G389" i="7" s="1"/>
  <c r="DG106" i="3"/>
  <c r="DI106" i="3"/>
  <c r="DF106" i="3"/>
  <c r="DH106" i="3"/>
  <c r="CX160" i="3"/>
  <c r="CX132" i="3"/>
  <c r="CX130" i="3"/>
  <c r="CX128" i="3"/>
  <c r="CW128" i="3"/>
  <c r="CX123" i="3"/>
  <c r="CX83" i="3"/>
  <c r="CV153" i="3"/>
  <c r="U147" i="1" s="1"/>
  <c r="G493" i="7" s="1"/>
  <c r="CX140" i="3"/>
  <c r="CX136" i="3"/>
  <c r="CX122" i="3"/>
  <c r="CX186" i="3"/>
  <c r="CX161" i="3"/>
  <c r="CX154" i="3"/>
  <c r="CX150" i="3"/>
  <c r="CX148" i="3"/>
  <c r="CX121" i="3"/>
  <c r="CW165" i="3"/>
  <c r="CW127" i="3"/>
  <c r="CV161" i="3"/>
  <c r="U151" i="1" s="1"/>
  <c r="G522" i="7" s="1"/>
  <c r="CX112" i="3"/>
  <c r="DI108" i="3"/>
  <c r="CX107" i="3"/>
  <c r="CW106" i="3"/>
  <c r="V100" i="1" s="1"/>
  <c r="G346" i="7" s="1"/>
  <c r="DF105" i="3"/>
  <c r="DI105" i="3"/>
  <c r="DG98" i="3"/>
  <c r="DI98" i="3"/>
  <c r="CX81" i="3"/>
  <c r="CV70" i="3"/>
  <c r="U47" i="1" s="1"/>
  <c r="G230" i="7" s="1"/>
  <c r="CW66" i="3"/>
  <c r="DG101" i="3"/>
  <c r="DH101" i="3"/>
  <c r="CV83" i="3"/>
  <c r="U95" i="1" s="1"/>
  <c r="G299" i="7" s="1"/>
  <c r="CX73" i="3"/>
  <c r="CW73" i="3"/>
  <c r="CX55" i="3"/>
  <c r="CX118" i="3"/>
  <c r="CW116" i="3"/>
  <c r="CW115" i="3"/>
  <c r="DG110" i="3"/>
  <c r="DG109" i="3"/>
  <c r="DG108" i="3"/>
  <c r="CX80" i="3"/>
  <c r="CX78" i="3"/>
  <c r="DI99" i="3"/>
  <c r="DG99" i="3"/>
  <c r="CX82" i="3"/>
  <c r="CX75" i="3"/>
  <c r="CX52" i="3"/>
  <c r="CX120" i="3"/>
  <c r="DG111" i="3"/>
  <c r="DI111" i="3"/>
  <c r="DH104" i="3"/>
  <c r="DI104" i="3"/>
  <c r="DG97" i="3"/>
  <c r="DI97" i="3"/>
  <c r="DG95" i="3"/>
  <c r="DF95" i="3"/>
  <c r="DJ95" i="3" s="1"/>
  <c r="DI95" i="3"/>
  <c r="CX91" i="3"/>
  <c r="CW91" i="3"/>
  <c r="V96" i="1" s="1"/>
  <c r="G318" i="7" s="1"/>
  <c r="CX77" i="3"/>
  <c r="CX51" i="3"/>
  <c r="DH100" i="3"/>
  <c r="DG100" i="3"/>
  <c r="DH95" i="3"/>
  <c r="CW84" i="3"/>
  <c r="V95" i="1" s="1"/>
  <c r="G302" i="7" s="1"/>
  <c r="CX59" i="3"/>
  <c r="CV59" i="3"/>
  <c r="U43" i="1" s="1"/>
  <c r="G198" i="7" s="1"/>
  <c r="DF90" i="3"/>
  <c r="CX89" i="3"/>
  <c r="CX49" i="3"/>
  <c r="CW39" i="3"/>
  <c r="DF9" i="3"/>
  <c r="DJ9" i="3" s="1"/>
  <c r="DG9" i="3"/>
  <c r="DI9" i="3"/>
  <c r="DF6" i="3"/>
  <c r="DH6" i="3"/>
  <c r="DI6" i="3"/>
  <c r="DH32" i="3"/>
  <c r="DI32" i="3"/>
  <c r="DF32" i="3"/>
  <c r="DJ32" i="3" s="1"/>
  <c r="DH31" i="3"/>
  <c r="DI31" i="3"/>
  <c r="DF31" i="3"/>
  <c r="DJ31" i="3" s="1"/>
  <c r="DG31" i="3"/>
  <c r="DI23" i="3"/>
  <c r="DG23" i="3"/>
  <c r="DH23" i="3"/>
  <c r="DI17" i="3"/>
  <c r="DG17" i="3"/>
  <c r="DH17" i="3"/>
  <c r="DH103" i="3"/>
  <c r="DI94" i="3"/>
  <c r="CX85" i="3"/>
  <c r="CW72" i="3"/>
  <c r="V47" i="1" s="1"/>
  <c r="G233" i="7" s="1"/>
  <c r="CV63" i="3"/>
  <c r="U45" i="1" s="1"/>
  <c r="G212" i="7" s="1"/>
  <c r="CV46" i="3"/>
  <c r="U38" i="1" s="1"/>
  <c r="G167" i="7" s="1"/>
  <c r="CX46" i="3"/>
  <c r="CX44" i="3"/>
  <c r="CX43" i="3"/>
  <c r="DJ28" i="3"/>
  <c r="CX60" i="3"/>
  <c r="CX58" i="3"/>
  <c r="CW51" i="3"/>
  <c r="CW37" i="3"/>
  <c r="CX37" i="3"/>
  <c r="DI30" i="3"/>
  <c r="DG30" i="3"/>
  <c r="DH30" i="3"/>
  <c r="DF26" i="3"/>
  <c r="DH26" i="3"/>
  <c r="DI26" i="3"/>
  <c r="DJ26" i="3" s="1"/>
  <c r="DH96" i="3"/>
  <c r="DJ93" i="3"/>
  <c r="CX68" i="3"/>
  <c r="CX64" i="3"/>
  <c r="CW48" i="3"/>
  <c r="V38" i="1" s="1"/>
  <c r="G170" i="7" s="1"/>
  <c r="CW36" i="3"/>
  <c r="DG33" i="3"/>
  <c r="DH33" i="3"/>
  <c r="CV79" i="3"/>
  <c r="U93" i="1" s="1"/>
  <c r="G285" i="7" s="1"/>
  <c r="CW75" i="3"/>
  <c r="CX56" i="3"/>
  <c r="CX53" i="3"/>
  <c r="CX47" i="3"/>
  <c r="CX35" i="3"/>
  <c r="DF25" i="3"/>
  <c r="DG25" i="3"/>
  <c r="DI25" i="3"/>
  <c r="DH25" i="3"/>
  <c r="DH24" i="3"/>
  <c r="DI24" i="3"/>
  <c r="DF24" i="3"/>
  <c r="DJ24" i="3" s="1"/>
  <c r="DG24" i="3"/>
  <c r="DF21" i="3"/>
  <c r="DJ21" i="3" s="1"/>
  <c r="DG21" i="3"/>
  <c r="DI21" i="3"/>
  <c r="DG19" i="3"/>
  <c r="DH19" i="3"/>
  <c r="DI19" i="3"/>
  <c r="DF19" i="3"/>
  <c r="DJ19" i="3" s="1"/>
  <c r="DH18" i="3"/>
  <c r="DI18" i="3"/>
  <c r="DF18" i="3"/>
  <c r="DJ18" i="3" s="1"/>
  <c r="DG18" i="3"/>
  <c r="DF10" i="3"/>
  <c r="DJ10" i="3" s="1"/>
  <c r="DH10" i="3"/>
  <c r="DI10" i="3"/>
  <c r="DJ6" i="3"/>
  <c r="CX40" i="3"/>
  <c r="CV34" i="3"/>
  <c r="U37" i="1" s="1"/>
  <c r="G143" i="7" s="1"/>
  <c r="DF22" i="3"/>
  <c r="DJ22" i="3" s="1"/>
  <c r="DH22" i="3"/>
  <c r="DI22" i="3"/>
  <c r="DG11" i="3"/>
  <c r="DH11" i="3"/>
  <c r="DI11" i="3"/>
  <c r="DF11" i="3"/>
  <c r="DJ8" i="3"/>
  <c r="CX5" i="3"/>
  <c r="CV5" i="3"/>
  <c r="U30" i="1" s="1"/>
  <c r="G77" i="7" s="1"/>
  <c r="CV1" i="3"/>
  <c r="U28" i="1" s="1"/>
  <c r="G64" i="7" s="1"/>
  <c r="CX41" i="3"/>
  <c r="CW3" i="3"/>
  <c r="V28" i="1" s="1"/>
  <c r="G67" i="7" s="1"/>
  <c r="DG27" i="3"/>
  <c r="DJ27" i="3" s="1"/>
  <c r="DG14" i="3"/>
  <c r="DJ14" i="3" s="1"/>
  <c r="CX29" i="3"/>
  <c r="DH28" i="3"/>
  <c r="DH20" i="3"/>
  <c r="CX16" i="3"/>
  <c r="DH15" i="3"/>
  <c r="DJ15" i="3" s="1"/>
  <c r="CX13" i="3"/>
  <c r="DH12" i="3"/>
  <c r="DH8" i="3"/>
  <c r="CX3" i="3"/>
  <c r="CD143" i="1" l="1"/>
  <c r="CG52" i="1"/>
  <c r="AU193" i="1"/>
  <c r="L1119" i="7"/>
  <c r="L436" i="7"/>
  <c r="L433" i="7" s="1"/>
  <c r="L765" i="7"/>
  <c r="L763" i="7" s="1"/>
  <c r="L760" i="7"/>
  <c r="L1126" i="7"/>
  <c r="L767" i="7"/>
  <c r="L881" i="7"/>
  <c r="AO119" i="7"/>
  <c r="L259" i="7" s="1"/>
  <c r="L257" i="7" s="1"/>
  <c r="L254" i="7" s="1"/>
  <c r="L112" i="7"/>
  <c r="AT206" i="1"/>
  <c r="AT111" i="1"/>
  <c r="CD91" i="1"/>
  <c r="CI320" i="1"/>
  <c r="CI305" i="1" s="1"/>
  <c r="CG111" i="1"/>
  <c r="CG91" i="1" s="1"/>
  <c r="CC352" i="1"/>
  <c r="AQ320" i="1"/>
  <c r="F330" i="1" s="1"/>
  <c r="CG320" i="1"/>
  <c r="CG305" i="1" s="1"/>
  <c r="CI111" i="1"/>
  <c r="L1005" i="7"/>
  <c r="L692" i="7"/>
  <c r="L579" i="7"/>
  <c r="L576" i="7" s="1"/>
  <c r="L689" i="7"/>
  <c r="CC26" i="1"/>
  <c r="BZ352" i="1"/>
  <c r="CG365" i="1"/>
  <c r="CG352" i="1" s="1"/>
  <c r="CI365" i="1"/>
  <c r="CI352" i="1" s="1"/>
  <c r="AG193" i="1"/>
  <c r="T206" i="1"/>
  <c r="AG26" i="1"/>
  <c r="T52" i="1"/>
  <c r="AJ193" i="1"/>
  <c r="W206" i="1"/>
  <c r="DG80" i="3"/>
  <c r="DI80" i="3"/>
  <c r="DJ80" i="3" s="1"/>
  <c r="DF80" i="3"/>
  <c r="DH80" i="3"/>
  <c r="DJ25" i="3"/>
  <c r="DI56" i="3"/>
  <c r="DF56" i="3"/>
  <c r="DJ56" i="3" s="1"/>
  <c r="DG56" i="3"/>
  <c r="DH56" i="3"/>
  <c r="DG89" i="3"/>
  <c r="DH89" i="3"/>
  <c r="DF89" i="3"/>
  <c r="DI89" i="3"/>
  <c r="DG82" i="3"/>
  <c r="DF82" i="3"/>
  <c r="DJ82" i="3" s="1"/>
  <c r="DI82" i="3"/>
  <c r="DH82" i="3"/>
  <c r="DG123" i="3"/>
  <c r="DH123" i="3"/>
  <c r="DI123" i="3"/>
  <c r="DF123" i="3"/>
  <c r="DJ123" i="3" s="1"/>
  <c r="AH206" i="1"/>
  <c r="DF221" i="3"/>
  <c r="DJ221" i="3" s="1"/>
  <c r="DG221" i="3"/>
  <c r="DH221" i="3"/>
  <c r="DI221" i="3"/>
  <c r="DG74" i="3"/>
  <c r="DJ74" i="3" s="1"/>
  <c r="DF74" i="3"/>
  <c r="DI74" i="3"/>
  <c r="DH74" i="3"/>
  <c r="DH201" i="3"/>
  <c r="DI201" i="3"/>
  <c r="DG201" i="3"/>
  <c r="DJ201" i="3" s="1"/>
  <c r="DF201" i="3"/>
  <c r="DF63" i="3"/>
  <c r="DG63" i="3"/>
  <c r="DI63" i="3"/>
  <c r="DH63" i="3"/>
  <c r="DG42" i="3"/>
  <c r="DH42" i="3"/>
  <c r="DI42" i="3"/>
  <c r="DF42" i="3"/>
  <c r="DJ42" i="3" s="1"/>
  <c r="GM97" i="1"/>
  <c r="GN97" i="1" s="1"/>
  <c r="DF16" i="3"/>
  <c r="DH16" i="3"/>
  <c r="DI16" i="3"/>
  <c r="DG16" i="3"/>
  <c r="DF64" i="3"/>
  <c r="DG64" i="3"/>
  <c r="DH64" i="3"/>
  <c r="DI64" i="3"/>
  <c r="DJ64" i="3" s="1"/>
  <c r="DH46" i="3"/>
  <c r="DG46" i="3"/>
  <c r="DF46" i="3"/>
  <c r="DI46" i="3"/>
  <c r="DI73" i="3"/>
  <c r="DF73" i="3"/>
  <c r="DG73" i="3"/>
  <c r="DH73" i="3"/>
  <c r="DH81" i="3"/>
  <c r="DF81" i="3"/>
  <c r="DI81" i="3"/>
  <c r="DG81" i="3"/>
  <c r="DJ81" i="3" s="1"/>
  <c r="DG107" i="3"/>
  <c r="DH107" i="3"/>
  <c r="R100" i="1" s="1"/>
  <c r="DI107" i="3"/>
  <c r="DF107" i="3"/>
  <c r="DI121" i="3"/>
  <c r="DG121" i="3"/>
  <c r="DH121" i="3"/>
  <c r="DF121" i="3"/>
  <c r="DJ121" i="3" s="1"/>
  <c r="DH122" i="3"/>
  <c r="DG122" i="3"/>
  <c r="DI122" i="3"/>
  <c r="DF122" i="3"/>
  <c r="DJ122" i="3" s="1"/>
  <c r="DI163" i="3"/>
  <c r="DF163" i="3"/>
  <c r="DH163" i="3"/>
  <c r="DG163" i="3"/>
  <c r="DJ163" i="3" s="1"/>
  <c r="V199" i="1"/>
  <c r="G654" i="7" s="1"/>
  <c r="DF203" i="3"/>
  <c r="DJ203" i="3" s="1"/>
  <c r="DH203" i="3"/>
  <c r="DG203" i="3"/>
  <c r="DI203" i="3"/>
  <c r="DF196" i="3"/>
  <c r="DH196" i="3"/>
  <c r="DG196" i="3"/>
  <c r="DI196" i="3"/>
  <c r="DJ196" i="3" s="1"/>
  <c r="DF2" i="3"/>
  <c r="DG2" i="3"/>
  <c r="DH2" i="3"/>
  <c r="DI2" i="3"/>
  <c r="DJ2" i="3" s="1"/>
  <c r="DI194" i="3"/>
  <c r="DF194" i="3"/>
  <c r="DJ194" i="3" s="1"/>
  <c r="DH194" i="3"/>
  <c r="DG194" i="3"/>
  <c r="DG190" i="3"/>
  <c r="DH190" i="3"/>
  <c r="DF190" i="3"/>
  <c r="DJ190" i="3" s="1"/>
  <c r="DI190" i="3"/>
  <c r="DG258" i="3"/>
  <c r="DH258" i="3"/>
  <c r="DI258" i="3"/>
  <c r="DF258" i="3"/>
  <c r="DJ258" i="3" s="1"/>
  <c r="DI223" i="3"/>
  <c r="DF223" i="3"/>
  <c r="DJ223" i="3" s="1"/>
  <c r="DG223" i="3"/>
  <c r="DH223" i="3"/>
  <c r="DF76" i="3"/>
  <c r="DJ76" i="3" s="1"/>
  <c r="DH76" i="3"/>
  <c r="DG76" i="3"/>
  <c r="DI76" i="3"/>
  <c r="DG115" i="3"/>
  <c r="DJ115" i="3" s="1"/>
  <c r="DI115" i="3"/>
  <c r="DF115" i="3"/>
  <c r="DH115" i="3"/>
  <c r="DG67" i="3"/>
  <c r="DF67" i="3"/>
  <c r="DJ67" i="3" s="1"/>
  <c r="DH67" i="3"/>
  <c r="DI67" i="3"/>
  <c r="DG126" i="3"/>
  <c r="DJ126" i="3" s="1"/>
  <c r="DI126" i="3"/>
  <c r="DF126" i="3"/>
  <c r="DH126" i="3"/>
  <c r="V103" i="1"/>
  <c r="G392" i="7" s="1"/>
  <c r="DI238" i="3"/>
  <c r="DJ238" i="3" s="1"/>
  <c r="DF238" i="3"/>
  <c r="DG238" i="3"/>
  <c r="DH238" i="3"/>
  <c r="DG39" i="3"/>
  <c r="DH39" i="3"/>
  <c r="DF39" i="3"/>
  <c r="DI39" i="3"/>
  <c r="DH57" i="3"/>
  <c r="DF57" i="3"/>
  <c r="DJ57" i="3" s="1"/>
  <c r="DG57" i="3"/>
  <c r="DI57" i="3"/>
  <c r="DH84" i="3"/>
  <c r="DI84" i="3"/>
  <c r="DG84" i="3"/>
  <c r="DJ84" i="3" s="1"/>
  <c r="DF84" i="3"/>
  <c r="R44" i="1"/>
  <c r="DH176" i="3"/>
  <c r="DI176" i="3"/>
  <c r="DG176" i="3"/>
  <c r="DF176" i="3"/>
  <c r="S44" i="1"/>
  <c r="DG200" i="3"/>
  <c r="DI200" i="3"/>
  <c r="DJ200" i="3" s="1"/>
  <c r="DF200" i="3"/>
  <c r="DH200" i="3"/>
  <c r="W44" i="1"/>
  <c r="AQ26" i="1"/>
  <c r="F62" i="1"/>
  <c r="DF152" i="3"/>
  <c r="DJ152" i="3" s="1"/>
  <c r="DH152" i="3"/>
  <c r="DI152" i="3"/>
  <c r="DG152" i="3"/>
  <c r="BC143" i="1"/>
  <c r="F177" i="1"/>
  <c r="DG185" i="3"/>
  <c r="DH185" i="3"/>
  <c r="DF185" i="3"/>
  <c r="DI185" i="3"/>
  <c r="AU143" i="1"/>
  <c r="F180" i="1"/>
  <c r="DG171" i="3"/>
  <c r="DI171" i="3"/>
  <c r="DF171" i="3"/>
  <c r="DJ171" i="3" s="1"/>
  <c r="DH171" i="3"/>
  <c r="DH162" i="3"/>
  <c r="DF162" i="3"/>
  <c r="DI162" i="3"/>
  <c r="DJ162" i="3" s="1"/>
  <c r="DG162" i="3"/>
  <c r="W154" i="1"/>
  <c r="W148" i="1"/>
  <c r="CJ206" i="1"/>
  <c r="DF226" i="3"/>
  <c r="DG226" i="3"/>
  <c r="DH226" i="3"/>
  <c r="DI226" i="3"/>
  <c r="DJ226" i="3" s="1"/>
  <c r="P148" i="1"/>
  <c r="AT91" i="1"/>
  <c r="F129" i="1"/>
  <c r="AT273" i="1"/>
  <c r="R152" i="1"/>
  <c r="CY152" i="1" s="1"/>
  <c r="X152" i="1" s="1"/>
  <c r="CP158" i="1"/>
  <c r="O158" i="1" s="1"/>
  <c r="BB238" i="1"/>
  <c r="F256" i="1"/>
  <c r="S148" i="1"/>
  <c r="GX154" i="1"/>
  <c r="S198" i="1"/>
  <c r="CI238" i="1"/>
  <c r="AZ243" i="1"/>
  <c r="F264" i="1"/>
  <c r="T238" i="1"/>
  <c r="S312" i="1"/>
  <c r="W312" i="1"/>
  <c r="DI216" i="3"/>
  <c r="DH216" i="3"/>
  <c r="DF216" i="3"/>
  <c r="DG216" i="3"/>
  <c r="Q238" i="1"/>
  <c r="F255" i="1"/>
  <c r="BA238" i="1"/>
  <c r="F263" i="1"/>
  <c r="CI193" i="1"/>
  <c r="AZ206" i="1"/>
  <c r="F246" i="1"/>
  <c r="P238" i="1"/>
  <c r="BC305" i="1"/>
  <c r="F336" i="1"/>
  <c r="S154" i="1"/>
  <c r="DH265" i="3"/>
  <c r="DI265" i="3"/>
  <c r="DF265" i="3"/>
  <c r="DJ265" i="3" s="1"/>
  <c r="DG265" i="3"/>
  <c r="DF263" i="3"/>
  <c r="DG263" i="3"/>
  <c r="DH263" i="3"/>
  <c r="DI263" i="3"/>
  <c r="AQ352" i="1"/>
  <c r="F375" i="1"/>
  <c r="R357" i="1"/>
  <c r="CM352" i="1"/>
  <c r="BD365" i="1"/>
  <c r="W357" i="1"/>
  <c r="AH111" i="1"/>
  <c r="DG58" i="3"/>
  <c r="DH58" i="3"/>
  <c r="DF58" i="3"/>
  <c r="DJ58" i="3" s="1"/>
  <c r="DI58" i="3"/>
  <c r="DH51" i="3"/>
  <c r="DF51" i="3"/>
  <c r="DG51" i="3"/>
  <c r="DI51" i="3"/>
  <c r="DI148" i="3"/>
  <c r="DF148" i="3"/>
  <c r="DJ148" i="3" s="1"/>
  <c r="DH148" i="3"/>
  <c r="DG148" i="3"/>
  <c r="DI205" i="3"/>
  <c r="DF205" i="3"/>
  <c r="DJ205" i="3" s="1"/>
  <c r="DH205" i="3"/>
  <c r="DG205" i="3"/>
  <c r="DF220" i="3"/>
  <c r="DG220" i="3"/>
  <c r="DH220" i="3"/>
  <c r="DI220" i="3"/>
  <c r="DF233" i="3"/>
  <c r="DG233" i="3"/>
  <c r="DH233" i="3"/>
  <c r="DI233" i="3"/>
  <c r="V102" i="1"/>
  <c r="G368" i="7" s="1"/>
  <c r="DG129" i="3"/>
  <c r="DI129" i="3"/>
  <c r="DF129" i="3"/>
  <c r="DH129" i="3"/>
  <c r="DG239" i="3"/>
  <c r="DH239" i="3"/>
  <c r="DI239" i="3"/>
  <c r="DF239" i="3"/>
  <c r="DG50" i="3"/>
  <c r="DI50" i="3"/>
  <c r="DF50" i="3"/>
  <c r="DH50" i="3"/>
  <c r="DH88" i="3"/>
  <c r="DI88" i="3"/>
  <c r="DG88" i="3"/>
  <c r="DF88" i="3"/>
  <c r="DJ88" i="3" s="1"/>
  <c r="GM46" i="1"/>
  <c r="GN46" i="1" s="1"/>
  <c r="DH206" i="3"/>
  <c r="DI206" i="3"/>
  <c r="DG206" i="3"/>
  <c r="DF206" i="3"/>
  <c r="DJ206" i="3" s="1"/>
  <c r="BB91" i="1"/>
  <c r="F124" i="1"/>
  <c r="BB273" i="1"/>
  <c r="DH149" i="3"/>
  <c r="DI149" i="3"/>
  <c r="DG149" i="3"/>
  <c r="DF149" i="3"/>
  <c r="DJ149" i="3" s="1"/>
  <c r="DF146" i="3"/>
  <c r="DJ146" i="3" s="1"/>
  <c r="DH146" i="3"/>
  <c r="DG146" i="3"/>
  <c r="DI146" i="3"/>
  <c r="DG187" i="3"/>
  <c r="DI187" i="3"/>
  <c r="DF187" i="3"/>
  <c r="DJ187" i="3" s="1"/>
  <c r="DH187" i="3"/>
  <c r="DF169" i="3"/>
  <c r="DJ169" i="3" s="1"/>
  <c r="DG169" i="3"/>
  <c r="DI169" i="3"/>
  <c r="DH169" i="3"/>
  <c r="DF229" i="3"/>
  <c r="DJ229" i="3" s="1"/>
  <c r="DG229" i="3"/>
  <c r="DH229" i="3"/>
  <c r="DI229" i="3"/>
  <c r="GM105" i="1"/>
  <c r="GN105" i="1" s="1"/>
  <c r="CZ159" i="1"/>
  <c r="Y159" i="1" s="1"/>
  <c r="CZ152" i="1"/>
  <c r="Y152" i="1" s="1"/>
  <c r="CP159" i="1"/>
  <c r="O159" i="1" s="1"/>
  <c r="R238" i="1"/>
  <c r="F257" i="1"/>
  <c r="S308" i="1"/>
  <c r="U308" i="1"/>
  <c r="AH320" i="1" s="1"/>
  <c r="DH219" i="3"/>
  <c r="DI219" i="3"/>
  <c r="DF219" i="3"/>
  <c r="DG219" i="3"/>
  <c r="DF256" i="3"/>
  <c r="DG256" i="3"/>
  <c r="DH256" i="3"/>
  <c r="DI256" i="3"/>
  <c r="AQ193" i="1"/>
  <c r="F216" i="1"/>
  <c r="DF245" i="3"/>
  <c r="DG245" i="3"/>
  <c r="DH245" i="3"/>
  <c r="DI245" i="3"/>
  <c r="F253" i="1"/>
  <c r="AQ238" i="1"/>
  <c r="Q308" i="1"/>
  <c r="DH261" i="3"/>
  <c r="DI261" i="3"/>
  <c r="DF261" i="3"/>
  <c r="DG261" i="3"/>
  <c r="DF267" i="3"/>
  <c r="DJ267" i="3" s="1"/>
  <c r="DG267" i="3"/>
  <c r="DI267" i="3"/>
  <c r="DH267" i="3"/>
  <c r="F339" i="1"/>
  <c r="AU305" i="1"/>
  <c r="DF29" i="3"/>
  <c r="DH29" i="3"/>
  <c r="DI29" i="3"/>
  <c r="S35" i="1" s="1"/>
  <c r="DG29" i="3"/>
  <c r="DJ29" i="3" s="1"/>
  <c r="DF3" i="3"/>
  <c r="DH3" i="3"/>
  <c r="DI3" i="3"/>
  <c r="DG3" i="3"/>
  <c r="DF41" i="3"/>
  <c r="DJ41" i="3" s="1"/>
  <c r="DH41" i="3"/>
  <c r="DI41" i="3"/>
  <c r="DG41" i="3"/>
  <c r="DJ11" i="3"/>
  <c r="P35" i="1"/>
  <c r="DF68" i="3"/>
  <c r="DJ68" i="3" s="1"/>
  <c r="DG68" i="3"/>
  <c r="DH68" i="3"/>
  <c r="DI68" i="3"/>
  <c r="DI136" i="3"/>
  <c r="DF136" i="3"/>
  <c r="DJ136" i="3" s="1"/>
  <c r="DH136" i="3"/>
  <c r="DG136" i="3"/>
  <c r="DF128" i="3"/>
  <c r="DG128" i="3"/>
  <c r="DI128" i="3"/>
  <c r="DH128" i="3"/>
  <c r="DI166" i="3"/>
  <c r="DF166" i="3"/>
  <c r="DG166" i="3"/>
  <c r="DJ166" i="3" s="1"/>
  <c r="DH166" i="3"/>
  <c r="DG207" i="3"/>
  <c r="DH207" i="3"/>
  <c r="DF207" i="3"/>
  <c r="DJ207" i="3" s="1"/>
  <c r="DI207" i="3"/>
  <c r="DF215" i="3"/>
  <c r="DJ215" i="3" s="1"/>
  <c r="DG215" i="3"/>
  <c r="DH215" i="3"/>
  <c r="DI215" i="3"/>
  <c r="DF213" i="3"/>
  <c r="DJ213" i="3" s="1"/>
  <c r="DG213" i="3"/>
  <c r="DH213" i="3"/>
  <c r="DI213" i="3"/>
  <c r="DF170" i="3"/>
  <c r="DJ170" i="3" s="1"/>
  <c r="DH170" i="3"/>
  <c r="DG170" i="3"/>
  <c r="DI170" i="3"/>
  <c r="DI270" i="3"/>
  <c r="DF270" i="3"/>
  <c r="DJ270" i="3" s="1"/>
  <c r="DH270" i="3"/>
  <c r="DG270" i="3"/>
  <c r="DF268" i="3"/>
  <c r="DJ268" i="3" s="1"/>
  <c r="DH268" i="3"/>
  <c r="DG268" i="3"/>
  <c r="DI268" i="3"/>
  <c r="DG71" i="3"/>
  <c r="DI71" i="3"/>
  <c r="DJ71" i="3" s="1"/>
  <c r="DH71" i="3"/>
  <c r="DF71" i="3"/>
  <c r="DG119" i="3"/>
  <c r="DH119" i="3"/>
  <c r="DI119" i="3"/>
  <c r="DF119" i="3"/>
  <c r="DJ119" i="3" s="1"/>
  <c r="DH66" i="3"/>
  <c r="DF66" i="3"/>
  <c r="DG66" i="3"/>
  <c r="DI66" i="3"/>
  <c r="DF133" i="3"/>
  <c r="DJ133" i="3" s="1"/>
  <c r="DG133" i="3"/>
  <c r="DI133" i="3"/>
  <c r="DH133" i="3"/>
  <c r="DG36" i="3"/>
  <c r="DJ36" i="3" s="1"/>
  <c r="DH36" i="3"/>
  <c r="DI36" i="3"/>
  <c r="DF36" i="3"/>
  <c r="DG62" i="3"/>
  <c r="DF62" i="3"/>
  <c r="DJ62" i="3" s="1"/>
  <c r="DI62" i="3"/>
  <c r="DH62" i="3"/>
  <c r="BD91" i="1"/>
  <c r="F136" i="1"/>
  <c r="DG179" i="3"/>
  <c r="DI179" i="3"/>
  <c r="DF179" i="3"/>
  <c r="DJ179" i="3" s="1"/>
  <c r="DH179" i="3"/>
  <c r="DG159" i="3"/>
  <c r="DI159" i="3"/>
  <c r="DF159" i="3"/>
  <c r="DH159" i="3"/>
  <c r="AH52" i="1"/>
  <c r="DF40" i="3"/>
  <c r="DJ40" i="3" s="1"/>
  <c r="DG40" i="3"/>
  <c r="DI40" i="3"/>
  <c r="DH40" i="3"/>
  <c r="DI35" i="3"/>
  <c r="DJ35" i="3" s="1"/>
  <c r="DF35" i="3"/>
  <c r="DG35" i="3"/>
  <c r="DH35" i="3"/>
  <c r="DI60" i="3"/>
  <c r="DF60" i="3"/>
  <c r="DJ60" i="3" s="1"/>
  <c r="DG60" i="3"/>
  <c r="DH60" i="3"/>
  <c r="DG59" i="3"/>
  <c r="Q43" i="1" s="1"/>
  <c r="DI59" i="3"/>
  <c r="DH59" i="3"/>
  <c r="DF59" i="3"/>
  <c r="DI77" i="3"/>
  <c r="DF77" i="3"/>
  <c r="DJ77" i="3" s="1"/>
  <c r="DH77" i="3"/>
  <c r="DG77" i="3"/>
  <c r="DF120" i="3"/>
  <c r="DJ120" i="3" s="1"/>
  <c r="DG120" i="3"/>
  <c r="DH120" i="3"/>
  <c r="DI120" i="3"/>
  <c r="DH78" i="3"/>
  <c r="DF78" i="3"/>
  <c r="DJ78" i="3" s="1"/>
  <c r="DI78" i="3"/>
  <c r="DG78" i="3"/>
  <c r="DF112" i="3"/>
  <c r="DH112" i="3"/>
  <c r="DI112" i="3"/>
  <c r="DG112" i="3"/>
  <c r="DG150" i="3"/>
  <c r="DH150" i="3"/>
  <c r="DF150" i="3"/>
  <c r="DJ150" i="3" s="1"/>
  <c r="DI150" i="3"/>
  <c r="DI140" i="3"/>
  <c r="DF140" i="3"/>
  <c r="DJ140" i="3" s="1"/>
  <c r="DH140" i="3"/>
  <c r="DG140" i="3"/>
  <c r="DI130" i="3"/>
  <c r="DF130" i="3"/>
  <c r="DJ130" i="3" s="1"/>
  <c r="DH130" i="3"/>
  <c r="DG130" i="3"/>
  <c r="DJ106" i="3"/>
  <c r="Q100" i="1"/>
  <c r="DI209" i="3"/>
  <c r="DF209" i="3"/>
  <c r="DJ209" i="3" s="1"/>
  <c r="DH209" i="3"/>
  <c r="DG209" i="3"/>
  <c r="DF225" i="3"/>
  <c r="DG225" i="3"/>
  <c r="DH225" i="3"/>
  <c r="DI225" i="3"/>
  <c r="DF174" i="3"/>
  <c r="DH174" i="3"/>
  <c r="DG174" i="3"/>
  <c r="DI174" i="3"/>
  <c r="DF218" i="3"/>
  <c r="DI218" i="3"/>
  <c r="DG218" i="3"/>
  <c r="DH218" i="3"/>
  <c r="DI172" i="3"/>
  <c r="DF172" i="3"/>
  <c r="DJ172" i="3" s="1"/>
  <c r="DH172" i="3"/>
  <c r="DG172" i="3"/>
  <c r="DF202" i="3"/>
  <c r="DG202" i="3"/>
  <c r="DJ202" i="3" s="1"/>
  <c r="DI202" i="3"/>
  <c r="DH202" i="3"/>
  <c r="DG272" i="3"/>
  <c r="DH272" i="3"/>
  <c r="DF272" i="3"/>
  <c r="DJ272" i="3" s="1"/>
  <c r="DI272" i="3"/>
  <c r="DG232" i="3"/>
  <c r="DH232" i="3"/>
  <c r="DI232" i="3"/>
  <c r="DJ232" i="3" s="1"/>
  <c r="DF232" i="3"/>
  <c r="Q48" i="1"/>
  <c r="W48" i="1"/>
  <c r="DF248" i="3"/>
  <c r="DG248" i="3"/>
  <c r="DJ248" i="3" s="1"/>
  <c r="DH248" i="3"/>
  <c r="DI248" i="3"/>
  <c r="DH72" i="3"/>
  <c r="DI72" i="3"/>
  <c r="DG72" i="3"/>
  <c r="DF72" i="3"/>
  <c r="DG117" i="3"/>
  <c r="DI117" i="3"/>
  <c r="DH117" i="3"/>
  <c r="DF117" i="3"/>
  <c r="DI113" i="3"/>
  <c r="DJ113" i="3" s="1"/>
  <c r="DH113" i="3"/>
  <c r="DF113" i="3"/>
  <c r="DG113" i="3"/>
  <c r="DG236" i="3"/>
  <c r="DH236" i="3"/>
  <c r="DI236" i="3"/>
  <c r="DF236" i="3"/>
  <c r="DJ236" i="3" s="1"/>
  <c r="DF65" i="3"/>
  <c r="DG65" i="3"/>
  <c r="DJ65" i="3" s="1"/>
  <c r="DH65" i="3"/>
  <c r="DI65" i="3"/>
  <c r="DH131" i="3"/>
  <c r="DI131" i="3"/>
  <c r="DG131" i="3"/>
  <c r="DF131" i="3"/>
  <c r="DJ131" i="3" s="1"/>
  <c r="DF125" i="3"/>
  <c r="DG125" i="3"/>
  <c r="DI125" i="3"/>
  <c r="DJ125" i="3" s="1"/>
  <c r="DH125" i="3"/>
  <c r="DF252" i="3"/>
  <c r="DJ252" i="3" s="1"/>
  <c r="DG252" i="3"/>
  <c r="DH252" i="3"/>
  <c r="DI252" i="3"/>
  <c r="DG45" i="3"/>
  <c r="DH45" i="3"/>
  <c r="DF45" i="3"/>
  <c r="DJ45" i="3" s="1"/>
  <c r="DI45" i="3"/>
  <c r="DH61" i="3"/>
  <c r="DF61" i="3"/>
  <c r="DJ61" i="3" s="1"/>
  <c r="DG61" i="3"/>
  <c r="DI61" i="3"/>
  <c r="DH54" i="3"/>
  <c r="DI54" i="3"/>
  <c r="DF54" i="3"/>
  <c r="DJ54" i="3" s="1"/>
  <c r="DG54" i="3"/>
  <c r="DH86" i="3"/>
  <c r="DI86" i="3"/>
  <c r="DG86" i="3"/>
  <c r="DJ86" i="3" s="1"/>
  <c r="DF86" i="3"/>
  <c r="GM42" i="1"/>
  <c r="GN42" i="1" s="1"/>
  <c r="GX48" i="1"/>
  <c r="CJ52" i="1" s="1"/>
  <c r="CI91" i="1"/>
  <c r="AZ111" i="1"/>
  <c r="GM36" i="1"/>
  <c r="GN36" i="1" s="1"/>
  <c r="DG175" i="3"/>
  <c r="DI175" i="3"/>
  <c r="DJ175" i="3" s="1"/>
  <c r="DF175" i="3"/>
  <c r="DH175" i="3"/>
  <c r="DG139" i="3"/>
  <c r="DI139" i="3"/>
  <c r="DH139" i="3"/>
  <c r="DF139" i="3"/>
  <c r="DJ139" i="3" s="1"/>
  <c r="R48" i="1"/>
  <c r="DH153" i="3"/>
  <c r="DI153" i="3"/>
  <c r="DG153" i="3"/>
  <c r="DF153" i="3"/>
  <c r="S48" i="1"/>
  <c r="DF142" i="3"/>
  <c r="DH142" i="3"/>
  <c r="DG142" i="3"/>
  <c r="DI142" i="3"/>
  <c r="DJ142" i="3" s="1"/>
  <c r="V195" i="1"/>
  <c r="G614" i="7" s="1"/>
  <c r="CJ91" i="1"/>
  <c r="BA111" i="1"/>
  <c r="R153" i="1"/>
  <c r="Q153" i="1"/>
  <c r="S153" i="1"/>
  <c r="W153" i="1"/>
  <c r="DH173" i="3"/>
  <c r="DI173" i="3"/>
  <c r="DG173" i="3"/>
  <c r="DF173" i="3"/>
  <c r="DJ173" i="3" s="1"/>
  <c r="DH210" i="3"/>
  <c r="DI210" i="3"/>
  <c r="DF210" i="3"/>
  <c r="DJ210" i="3" s="1"/>
  <c r="DG210" i="3"/>
  <c r="GM107" i="1"/>
  <c r="GN107" i="1" s="1"/>
  <c r="CZ150" i="1"/>
  <c r="Y150" i="1" s="1"/>
  <c r="CY150" i="1"/>
  <c r="X150" i="1" s="1"/>
  <c r="F179" i="1"/>
  <c r="AT143" i="1"/>
  <c r="CP198" i="1"/>
  <c r="O198" i="1" s="1"/>
  <c r="DH235" i="3"/>
  <c r="DI235" i="3"/>
  <c r="DF235" i="3"/>
  <c r="DJ235" i="3" s="1"/>
  <c r="DG235" i="3"/>
  <c r="P153" i="1"/>
  <c r="T154" i="1"/>
  <c r="AG161" i="1" s="1"/>
  <c r="F231" i="1"/>
  <c r="BD193" i="1"/>
  <c r="AP143" i="1"/>
  <c r="AP273" i="1"/>
  <c r="F170" i="1"/>
  <c r="GM201" i="1"/>
  <c r="GN201" i="1" s="1"/>
  <c r="O238" i="1"/>
  <c r="F245" i="1"/>
  <c r="DG212" i="3"/>
  <c r="Q307" i="1" s="1"/>
  <c r="DH212" i="3"/>
  <c r="R307" i="1" s="1"/>
  <c r="DI212" i="3"/>
  <c r="DF212" i="3"/>
  <c r="P307" i="1" s="1"/>
  <c r="DH224" i="3"/>
  <c r="DI224" i="3"/>
  <c r="DF224" i="3"/>
  <c r="DJ224" i="3" s="1"/>
  <c r="DG224" i="3"/>
  <c r="DF222" i="3"/>
  <c r="DJ222" i="3" s="1"/>
  <c r="DG222" i="3"/>
  <c r="DH222" i="3"/>
  <c r="DI222" i="3"/>
  <c r="W238" i="1"/>
  <c r="F267" i="1"/>
  <c r="CM305" i="1"/>
  <c r="BD320" i="1"/>
  <c r="DF259" i="3"/>
  <c r="DJ259" i="3" s="1"/>
  <c r="DG259" i="3"/>
  <c r="DH259" i="3"/>
  <c r="DI259" i="3"/>
  <c r="F224" i="1"/>
  <c r="AT193" i="1"/>
  <c r="AY243" i="1"/>
  <c r="CH238" i="1"/>
  <c r="V238" i="1"/>
  <c r="F266" i="1"/>
  <c r="DF251" i="3"/>
  <c r="DJ251" i="3" s="1"/>
  <c r="DG251" i="3"/>
  <c r="DH251" i="3"/>
  <c r="DI251" i="3"/>
  <c r="AX243" i="1"/>
  <c r="CG238" i="1"/>
  <c r="DH243" i="3"/>
  <c r="DI243" i="3"/>
  <c r="DF243" i="3"/>
  <c r="DJ243" i="3" s="1"/>
  <c r="DG243" i="3"/>
  <c r="DI264" i="3"/>
  <c r="DF264" i="3"/>
  <c r="DG264" i="3"/>
  <c r="DH264" i="3"/>
  <c r="AT352" i="1"/>
  <c r="F383" i="1"/>
  <c r="T357" i="1"/>
  <c r="AG365" i="1" s="1"/>
  <c r="Q312" i="1"/>
  <c r="DG47" i="3"/>
  <c r="DI47" i="3"/>
  <c r="DJ47" i="3" s="1"/>
  <c r="DH47" i="3"/>
  <c r="DF47" i="3"/>
  <c r="DF69" i="3"/>
  <c r="DJ69" i="3" s="1"/>
  <c r="DH69" i="3"/>
  <c r="DG69" i="3"/>
  <c r="DI69" i="3"/>
  <c r="DG193" i="3"/>
  <c r="DI193" i="3"/>
  <c r="DF193" i="3"/>
  <c r="DJ193" i="3" s="1"/>
  <c r="DH193" i="3"/>
  <c r="DH167" i="3"/>
  <c r="DG167" i="3"/>
  <c r="DI167" i="3"/>
  <c r="DF167" i="3"/>
  <c r="DJ167" i="3" s="1"/>
  <c r="DG208" i="3"/>
  <c r="DF208" i="3"/>
  <c r="P203" i="1" s="1"/>
  <c r="DH208" i="3"/>
  <c r="R203" i="1" s="1"/>
  <c r="DI208" i="3"/>
  <c r="CG193" i="1"/>
  <c r="AX206" i="1"/>
  <c r="DH231" i="3"/>
  <c r="DI231" i="3"/>
  <c r="DF231" i="3"/>
  <c r="DG231" i="3"/>
  <c r="AG91" i="1"/>
  <c r="T111" i="1"/>
  <c r="Q154" i="1"/>
  <c r="R154" i="1"/>
  <c r="F247" i="1"/>
  <c r="AO238" i="1"/>
  <c r="BZ143" i="1"/>
  <c r="AQ161" i="1"/>
  <c r="AQ273" i="1" s="1"/>
  <c r="AQ395" i="1" s="1"/>
  <c r="CG161" i="1"/>
  <c r="BB143" i="1"/>
  <c r="F174" i="1"/>
  <c r="DI197" i="3"/>
  <c r="DF197" i="3"/>
  <c r="DH197" i="3"/>
  <c r="DG197" i="3"/>
  <c r="DJ197" i="3" s="1"/>
  <c r="U238" i="1"/>
  <c r="F265" i="1"/>
  <c r="X238" i="1"/>
  <c r="F269" i="1"/>
  <c r="AR243" i="1"/>
  <c r="CA238" i="1"/>
  <c r="S357" i="1"/>
  <c r="U357" i="1"/>
  <c r="P357" i="1"/>
  <c r="DF255" i="3"/>
  <c r="DG255" i="3"/>
  <c r="DH255" i="3"/>
  <c r="DI255" i="3"/>
  <c r="DJ255" i="3" s="1"/>
  <c r="CF238" i="1"/>
  <c r="AW243" i="1"/>
  <c r="AO352" i="1"/>
  <c r="F369" i="1"/>
  <c r="V357" i="1"/>
  <c r="AI365" i="1" s="1"/>
  <c r="DG52" i="3"/>
  <c r="DF52" i="3"/>
  <c r="DJ52" i="3" s="1"/>
  <c r="DH52" i="3"/>
  <c r="DI52" i="3"/>
  <c r="DG154" i="3"/>
  <c r="DH154" i="3"/>
  <c r="DF154" i="3"/>
  <c r="DI154" i="3"/>
  <c r="DJ154" i="3" s="1"/>
  <c r="DG132" i="3"/>
  <c r="DH132" i="3"/>
  <c r="DF132" i="3"/>
  <c r="DJ132" i="3" s="1"/>
  <c r="DI132" i="3"/>
  <c r="DF178" i="3"/>
  <c r="DJ178" i="3" s="1"/>
  <c r="DH178" i="3"/>
  <c r="DG178" i="3"/>
  <c r="DI178" i="3"/>
  <c r="DH127" i="3"/>
  <c r="DI127" i="3"/>
  <c r="DG127" i="3"/>
  <c r="DF127" i="3"/>
  <c r="DF230" i="3"/>
  <c r="DJ230" i="3" s="1"/>
  <c r="DG230" i="3"/>
  <c r="DH230" i="3"/>
  <c r="DI230" i="3"/>
  <c r="AO26" i="1"/>
  <c r="F56" i="1"/>
  <c r="F65" i="1"/>
  <c r="BB26" i="1"/>
  <c r="BB395" i="1"/>
  <c r="DG250" i="3"/>
  <c r="DH250" i="3"/>
  <c r="DI250" i="3"/>
  <c r="DF250" i="3"/>
  <c r="DH70" i="3"/>
  <c r="DI70" i="3"/>
  <c r="DG70" i="3"/>
  <c r="DF70" i="3"/>
  <c r="P47" i="1" s="1"/>
  <c r="DG114" i="3"/>
  <c r="DI114" i="3"/>
  <c r="DH114" i="3"/>
  <c r="DF114" i="3"/>
  <c r="DF260" i="3"/>
  <c r="DJ260" i="3" s="1"/>
  <c r="DG260" i="3"/>
  <c r="DH260" i="3"/>
  <c r="DI260" i="3"/>
  <c r="DG135" i="3"/>
  <c r="DI135" i="3"/>
  <c r="DH135" i="3"/>
  <c r="DF135" i="3"/>
  <c r="DJ135" i="3" s="1"/>
  <c r="DG254" i="3"/>
  <c r="DH254" i="3"/>
  <c r="DI254" i="3"/>
  <c r="DF254" i="3"/>
  <c r="F70" i="1"/>
  <c r="AT26" i="1"/>
  <c r="DH181" i="3"/>
  <c r="DI181" i="3"/>
  <c r="DG181" i="3"/>
  <c r="DF181" i="3"/>
  <c r="DJ181" i="3" s="1"/>
  <c r="BC91" i="1"/>
  <c r="F127" i="1"/>
  <c r="BC273" i="1"/>
  <c r="DF151" i="3"/>
  <c r="DJ151" i="3" s="1"/>
  <c r="DG151" i="3"/>
  <c r="DI151" i="3"/>
  <c r="DH151" i="3"/>
  <c r="AU91" i="1"/>
  <c r="F130" i="1"/>
  <c r="AU273" i="1"/>
  <c r="V151" i="1"/>
  <c r="CI143" i="1"/>
  <c r="AZ161" i="1"/>
  <c r="DF13" i="3"/>
  <c r="P31" i="1" s="1"/>
  <c r="DH13" i="3"/>
  <c r="R31" i="1" s="1"/>
  <c r="DI13" i="3"/>
  <c r="S31" i="1" s="1"/>
  <c r="DG13" i="3"/>
  <c r="DF5" i="3"/>
  <c r="P30" i="1" s="1"/>
  <c r="DG5" i="3"/>
  <c r="Q30" i="1" s="1"/>
  <c r="DH5" i="3"/>
  <c r="R30" i="1" s="1"/>
  <c r="DI5" i="3"/>
  <c r="R35" i="1"/>
  <c r="DF53" i="3"/>
  <c r="DJ53" i="3" s="1"/>
  <c r="DI53" i="3"/>
  <c r="DH53" i="3"/>
  <c r="DG53" i="3"/>
  <c r="V37" i="1"/>
  <c r="G146" i="7" s="1"/>
  <c r="DF37" i="3"/>
  <c r="DH37" i="3"/>
  <c r="DI37" i="3"/>
  <c r="DG37" i="3"/>
  <c r="DJ37" i="3" s="1"/>
  <c r="DI43" i="3"/>
  <c r="DF43" i="3"/>
  <c r="DJ43" i="3" s="1"/>
  <c r="DG43" i="3"/>
  <c r="DH43" i="3"/>
  <c r="DF85" i="3"/>
  <c r="DI85" i="3"/>
  <c r="DH85" i="3"/>
  <c r="DG85" i="3"/>
  <c r="DJ85" i="3" s="1"/>
  <c r="DF49" i="3"/>
  <c r="DI49" i="3"/>
  <c r="DG49" i="3"/>
  <c r="DH49" i="3"/>
  <c r="DH91" i="3"/>
  <c r="DF91" i="3"/>
  <c r="DG91" i="3"/>
  <c r="DJ91" i="3" s="1"/>
  <c r="DI91" i="3"/>
  <c r="DJ104" i="3"/>
  <c r="S100" i="1"/>
  <c r="DF75" i="3"/>
  <c r="DH75" i="3"/>
  <c r="DG75" i="3"/>
  <c r="DI75" i="3"/>
  <c r="DG55" i="3"/>
  <c r="DF55" i="3"/>
  <c r="DJ55" i="3" s="1"/>
  <c r="DH55" i="3"/>
  <c r="DI55" i="3"/>
  <c r="P100" i="1"/>
  <c r="DF161" i="3"/>
  <c r="DI161" i="3"/>
  <c r="DH161" i="3"/>
  <c r="DG161" i="3"/>
  <c r="DI83" i="3"/>
  <c r="DF83" i="3"/>
  <c r="P95" i="1" s="1"/>
  <c r="DH83" i="3"/>
  <c r="DG83" i="3"/>
  <c r="DI160" i="3"/>
  <c r="DF160" i="3"/>
  <c r="DJ160" i="3" s="1"/>
  <c r="DH160" i="3"/>
  <c r="DG160" i="3"/>
  <c r="DG124" i="3"/>
  <c r="Q103" i="1" s="1"/>
  <c r="DH124" i="3"/>
  <c r="R103" i="1" s="1"/>
  <c r="DF124" i="3"/>
  <c r="P103" i="1" s="1"/>
  <c r="DI124" i="3"/>
  <c r="DF199" i="3"/>
  <c r="DH199" i="3"/>
  <c r="DG199" i="3"/>
  <c r="DI199" i="3"/>
  <c r="DF177" i="3"/>
  <c r="DG177" i="3"/>
  <c r="DI177" i="3"/>
  <c r="DH177" i="3"/>
  <c r="DG157" i="3"/>
  <c r="Q149" i="1" s="1"/>
  <c r="DH157" i="3"/>
  <c r="DF157" i="3"/>
  <c r="DI157" i="3"/>
  <c r="V156" i="1"/>
  <c r="G556" i="7" s="1"/>
  <c r="DI4" i="3"/>
  <c r="DG4" i="3"/>
  <c r="DH4" i="3"/>
  <c r="DF4" i="3"/>
  <c r="DJ4" i="3" s="1"/>
  <c r="DI180" i="3"/>
  <c r="DF180" i="3"/>
  <c r="DJ180" i="3" s="1"/>
  <c r="DH180" i="3"/>
  <c r="DG180" i="3"/>
  <c r="DG168" i="3"/>
  <c r="DH168" i="3"/>
  <c r="DF168" i="3"/>
  <c r="DJ168" i="3" s="1"/>
  <c r="DI168" i="3"/>
  <c r="DG244" i="3"/>
  <c r="DH244" i="3"/>
  <c r="DI244" i="3"/>
  <c r="DF244" i="3"/>
  <c r="DJ244" i="3" s="1"/>
  <c r="DG79" i="3"/>
  <c r="Q93" i="1" s="1"/>
  <c r="DI79" i="3"/>
  <c r="DF79" i="3"/>
  <c r="P93" i="1" s="1"/>
  <c r="DH79" i="3"/>
  <c r="R93" i="1" s="1"/>
  <c r="DI246" i="3"/>
  <c r="DJ246" i="3" s="1"/>
  <c r="DF246" i="3"/>
  <c r="DG246" i="3"/>
  <c r="DH246" i="3"/>
  <c r="CG26" i="1"/>
  <c r="AX52" i="1"/>
  <c r="DG266" i="3"/>
  <c r="DH266" i="3"/>
  <c r="DF266" i="3"/>
  <c r="DJ266" i="3" s="1"/>
  <c r="DI266" i="3"/>
  <c r="V45" i="1"/>
  <c r="G215" i="7" s="1"/>
  <c r="DF134" i="3"/>
  <c r="DJ134" i="3" s="1"/>
  <c r="DH134" i="3"/>
  <c r="DG134" i="3"/>
  <c r="DI134" i="3"/>
  <c r="DG228" i="3"/>
  <c r="DH228" i="3"/>
  <c r="DI228" i="3"/>
  <c r="DF228" i="3"/>
  <c r="DJ228" i="3" s="1"/>
  <c r="DG262" i="3"/>
  <c r="DH262" i="3"/>
  <c r="DI262" i="3"/>
  <c r="DJ262" i="3" s="1"/>
  <c r="DF262" i="3"/>
  <c r="DG34" i="3"/>
  <c r="DH34" i="3"/>
  <c r="DF34" i="3"/>
  <c r="P37" i="1" s="1"/>
  <c r="DI34" i="3"/>
  <c r="DF240" i="3"/>
  <c r="DG240" i="3"/>
  <c r="DH240" i="3"/>
  <c r="DI240" i="3"/>
  <c r="DH48" i="3"/>
  <c r="DI48" i="3"/>
  <c r="DF48" i="3"/>
  <c r="DG48" i="3"/>
  <c r="DI87" i="3"/>
  <c r="DH87" i="3"/>
  <c r="DG87" i="3"/>
  <c r="DF87" i="3"/>
  <c r="DJ87" i="3" s="1"/>
  <c r="CM26" i="1"/>
  <c r="BD52" i="1"/>
  <c r="GM29" i="1"/>
  <c r="GN29" i="1" s="1"/>
  <c r="GM94" i="1"/>
  <c r="GN94" i="1" s="1"/>
  <c r="P48" i="1"/>
  <c r="CP48" i="1" s="1"/>
  <c r="O48" i="1" s="1"/>
  <c r="GM40" i="1"/>
  <c r="GN40" i="1" s="1"/>
  <c r="DF138" i="3"/>
  <c r="DJ138" i="3" s="1"/>
  <c r="DH138" i="3"/>
  <c r="DG138" i="3"/>
  <c r="DI138" i="3"/>
  <c r="DF158" i="3"/>
  <c r="DG158" i="3"/>
  <c r="DI158" i="3"/>
  <c r="DJ158" i="3" s="1"/>
  <c r="DH158" i="3"/>
  <c r="DG156" i="3"/>
  <c r="DI156" i="3"/>
  <c r="DH156" i="3"/>
  <c r="DF156" i="3"/>
  <c r="DJ156" i="3" s="1"/>
  <c r="P44" i="1"/>
  <c r="CP44" i="1" s="1"/>
  <c r="O44" i="1" s="1"/>
  <c r="DG144" i="3"/>
  <c r="DH144" i="3"/>
  <c r="DF144" i="3"/>
  <c r="DI144" i="3"/>
  <c r="DF145" i="3"/>
  <c r="DJ145" i="3" s="1"/>
  <c r="DG145" i="3"/>
  <c r="DI145" i="3"/>
  <c r="DH145" i="3"/>
  <c r="DH189" i="3"/>
  <c r="DI189" i="3"/>
  <c r="DG189" i="3"/>
  <c r="DF189" i="3"/>
  <c r="DJ189" i="3" s="1"/>
  <c r="P155" i="1"/>
  <c r="Q155" i="1"/>
  <c r="U155" i="1"/>
  <c r="W155" i="1"/>
  <c r="DG164" i="3"/>
  <c r="DF164" i="3"/>
  <c r="DH164" i="3"/>
  <c r="DI164" i="3"/>
  <c r="DG211" i="3"/>
  <c r="DH211" i="3"/>
  <c r="DF211" i="3"/>
  <c r="DJ211" i="3" s="1"/>
  <c r="DI211" i="3"/>
  <c r="GX153" i="1"/>
  <c r="DI234" i="3"/>
  <c r="DF234" i="3"/>
  <c r="DG234" i="3"/>
  <c r="DJ234" i="3" s="1"/>
  <c r="DH234" i="3"/>
  <c r="AQ91" i="1"/>
  <c r="F121" i="1"/>
  <c r="R155" i="1"/>
  <c r="Q148" i="1"/>
  <c r="V155" i="1"/>
  <c r="DG214" i="3"/>
  <c r="Q309" i="1" s="1"/>
  <c r="DF214" i="3"/>
  <c r="P309" i="1" s="1"/>
  <c r="DH214" i="3"/>
  <c r="R309" i="1" s="1"/>
  <c r="DI214" i="3"/>
  <c r="R148" i="1"/>
  <c r="V153" i="1"/>
  <c r="DF195" i="3"/>
  <c r="P197" i="1" s="1"/>
  <c r="DG195" i="3"/>
  <c r="Q197" i="1" s="1"/>
  <c r="DI195" i="3"/>
  <c r="DH195" i="3"/>
  <c r="R197" i="1" s="1"/>
  <c r="F259" i="1"/>
  <c r="BC238" i="1"/>
  <c r="AO273" i="1"/>
  <c r="T308" i="1"/>
  <c r="AG320" i="1" s="1"/>
  <c r="AU238" i="1"/>
  <c r="F262" i="1"/>
  <c r="AT320" i="1"/>
  <c r="CC305" i="1"/>
  <c r="U361" i="1"/>
  <c r="Q361" i="1"/>
  <c r="CP361" i="1" s="1"/>
  <c r="O361" i="1" s="1"/>
  <c r="W361" i="1"/>
  <c r="R361" i="1"/>
  <c r="CY361" i="1" s="1"/>
  <c r="X361" i="1" s="1"/>
  <c r="V308" i="1"/>
  <c r="V311" i="1"/>
  <c r="G819" i="7" s="1"/>
  <c r="P312" i="1"/>
  <c r="CP312" i="1" s="1"/>
  <c r="O312" i="1" s="1"/>
  <c r="CB243" i="1"/>
  <c r="DH257" i="3"/>
  <c r="DI257" i="3"/>
  <c r="DF257" i="3"/>
  <c r="DG257" i="3"/>
  <c r="CE238" i="1"/>
  <c r="AV243" i="1"/>
  <c r="DI249" i="3"/>
  <c r="DF249" i="3"/>
  <c r="DG249" i="3"/>
  <c r="DJ249" i="3" s="1"/>
  <c r="DH249" i="3"/>
  <c r="CP204" i="1"/>
  <c r="O204" i="1" s="1"/>
  <c r="DF241" i="3"/>
  <c r="DJ241" i="3" s="1"/>
  <c r="DG241" i="3"/>
  <c r="DH241" i="3"/>
  <c r="DI241" i="3"/>
  <c r="DG269" i="3"/>
  <c r="DI269" i="3"/>
  <c r="DF269" i="3"/>
  <c r="DJ269" i="3" s="1"/>
  <c r="DH269" i="3"/>
  <c r="Q357" i="1"/>
  <c r="GX361" i="1"/>
  <c r="CJ365" i="1" s="1"/>
  <c r="Q31" i="1"/>
  <c r="DF118" i="3"/>
  <c r="DJ118" i="3" s="1"/>
  <c r="DH118" i="3"/>
  <c r="DG118" i="3"/>
  <c r="DI118" i="3"/>
  <c r="DI188" i="3"/>
  <c r="DF188" i="3"/>
  <c r="DJ188" i="3" s="1"/>
  <c r="DH188" i="3"/>
  <c r="DG188" i="3"/>
  <c r="DH44" i="3"/>
  <c r="DI44" i="3"/>
  <c r="DF44" i="3"/>
  <c r="DJ44" i="3" s="1"/>
  <c r="DG44" i="3"/>
  <c r="DF186" i="3"/>
  <c r="DH186" i="3"/>
  <c r="DG186" i="3"/>
  <c r="DJ186" i="3" s="1"/>
  <c r="DI186" i="3"/>
  <c r="DI143" i="3"/>
  <c r="DF143" i="3"/>
  <c r="DH143" i="3"/>
  <c r="DG143" i="3"/>
  <c r="DF191" i="3"/>
  <c r="DJ191" i="3" s="1"/>
  <c r="DG191" i="3"/>
  <c r="DI191" i="3"/>
  <c r="DH191" i="3"/>
  <c r="DI184" i="3"/>
  <c r="DJ184" i="3" s="1"/>
  <c r="DF184" i="3"/>
  <c r="DH184" i="3"/>
  <c r="DG184" i="3"/>
  <c r="DG182" i="3"/>
  <c r="DH182" i="3"/>
  <c r="DF182" i="3"/>
  <c r="DJ182" i="3" s="1"/>
  <c r="DI182" i="3"/>
  <c r="DG1" i="3"/>
  <c r="Q28" i="1" s="1"/>
  <c r="DH1" i="3"/>
  <c r="R28" i="1" s="1"/>
  <c r="DI1" i="3"/>
  <c r="DF1" i="3"/>
  <c r="P28" i="1" s="1"/>
  <c r="DF192" i="3"/>
  <c r="DJ192" i="3" s="1"/>
  <c r="DH192" i="3"/>
  <c r="DG192" i="3"/>
  <c r="DI192" i="3"/>
  <c r="DG247" i="3"/>
  <c r="DJ247" i="3" s="1"/>
  <c r="DH247" i="3"/>
  <c r="DI247" i="3"/>
  <c r="DF247" i="3"/>
  <c r="DI116" i="3"/>
  <c r="DH116" i="3"/>
  <c r="DF116" i="3"/>
  <c r="DG116" i="3"/>
  <c r="AH365" i="1"/>
  <c r="DI38" i="3"/>
  <c r="DF38" i="3"/>
  <c r="DG38" i="3"/>
  <c r="DH38" i="3"/>
  <c r="DI242" i="3"/>
  <c r="DF242" i="3"/>
  <c r="DJ242" i="3" s="1"/>
  <c r="DG242" i="3"/>
  <c r="DH242" i="3"/>
  <c r="GM33" i="1"/>
  <c r="GN33" i="1" s="1"/>
  <c r="GM41" i="1"/>
  <c r="GN41" i="1" s="1"/>
  <c r="DF137" i="3"/>
  <c r="P108" i="1" s="1"/>
  <c r="DG137" i="3"/>
  <c r="Q108" i="1" s="1"/>
  <c r="DI137" i="3"/>
  <c r="DH137" i="3"/>
  <c r="R108" i="1" s="1"/>
  <c r="DG204" i="3"/>
  <c r="DI204" i="3"/>
  <c r="DF204" i="3"/>
  <c r="DJ204" i="3" s="1"/>
  <c r="DH204" i="3"/>
  <c r="DF155" i="3"/>
  <c r="DH155" i="3"/>
  <c r="DI155" i="3"/>
  <c r="DG155" i="3"/>
  <c r="DJ155" i="3" s="1"/>
  <c r="CI26" i="1"/>
  <c r="AZ52" i="1"/>
  <c r="DG147" i="3"/>
  <c r="DI147" i="3"/>
  <c r="DF147" i="3"/>
  <c r="DJ147" i="3" s="1"/>
  <c r="DH147" i="3"/>
  <c r="DF141" i="3"/>
  <c r="P145" i="1" s="1"/>
  <c r="DG141" i="3"/>
  <c r="DI141" i="3"/>
  <c r="DH141" i="3"/>
  <c r="DG183" i="3"/>
  <c r="Q195" i="1" s="1"/>
  <c r="DI183" i="3"/>
  <c r="DH183" i="3"/>
  <c r="R195" i="1" s="1"/>
  <c r="DF183" i="3"/>
  <c r="P152" i="1"/>
  <c r="CP152" i="1" s="1"/>
  <c r="O152" i="1" s="1"/>
  <c r="Q152" i="1"/>
  <c r="U152" i="1"/>
  <c r="AH161" i="1" s="1"/>
  <c r="W152" i="1"/>
  <c r="DH165" i="3"/>
  <c r="DF165" i="3"/>
  <c r="DI165" i="3"/>
  <c r="DG165" i="3"/>
  <c r="BD143" i="1"/>
  <c r="F186" i="1"/>
  <c r="P154" i="1"/>
  <c r="CP154" i="1" s="1"/>
  <c r="O154" i="1" s="1"/>
  <c r="DH227" i="3"/>
  <c r="DI227" i="3"/>
  <c r="DF227" i="3"/>
  <c r="DG227" i="3"/>
  <c r="DJ227" i="3" s="1"/>
  <c r="CZ158" i="1"/>
  <c r="Y158" i="1" s="1"/>
  <c r="CY158" i="1"/>
  <c r="X158" i="1" s="1"/>
  <c r="AJ91" i="1"/>
  <c r="W111" i="1"/>
  <c r="CY155" i="1"/>
  <c r="X155" i="1" s="1"/>
  <c r="CZ155" i="1"/>
  <c r="Y155" i="1" s="1"/>
  <c r="GM150" i="1"/>
  <c r="GN150" i="1" s="1"/>
  <c r="F252" i="1"/>
  <c r="AP238" i="1"/>
  <c r="V154" i="1"/>
  <c r="DH198" i="3"/>
  <c r="DI198" i="3"/>
  <c r="DG198" i="3"/>
  <c r="DF198" i="3"/>
  <c r="DJ198" i="3" s="1"/>
  <c r="GX152" i="1"/>
  <c r="CJ161" i="1" s="1"/>
  <c r="CZ204" i="1"/>
  <c r="Y204" i="1" s="1"/>
  <c r="CY204" i="1"/>
  <c r="X204" i="1" s="1"/>
  <c r="R308" i="1"/>
  <c r="CP308" i="1" s="1"/>
  <c r="O308" i="1" s="1"/>
  <c r="AP352" i="1"/>
  <c r="F374" i="1"/>
  <c r="GX308" i="1"/>
  <c r="CJ320" i="1" s="1"/>
  <c r="DH217" i="3"/>
  <c r="DI217" i="3"/>
  <c r="DJ217" i="3" s="1"/>
  <c r="DF217" i="3"/>
  <c r="DG217" i="3"/>
  <c r="BD243" i="1"/>
  <c r="CM238" i="1"/>
  <c r="W308" i="1"/>
  <c r="AJ320" i="1" s="1"/>
  <c r="DF253" i="3"/>
  <c r="DJ253" i="3" s="1"/>
  <c r="DG253" i="3"/>
  <c r="DH253" i="3"/>
  <c r="DI253" i="3"/>
  <c r="AT238" i="1"/>
  <c r="F261" i="1"/>
  <c r="DF237" i="3"/>
  <c r="DG237" i="3"/>
  <c r="Q354" i="1" s="1"/>
  <c r="DH237" i="3"/>
  <c r="DI237" i="3"/>
  <c r="DH271" i="3"/>
  <c r="DI271" i="3"/>
  <c r="DG271" i="3"/>
  <c r="DF271" i="3"/>
  <c r="DJ271" i="3" s="1"/>
  <c r="AZ365" i="1" l="1"/>
  <c r="L1117" i="7"/>
  <c r="L1115" i="7" s="1"/>
  <c r="L1112" i="7" s="1"/>
  <c r="L1046" i="7"/>
  <c r="L1044" i="7" s="1"/>
  <c r="L1041" i="7" s="1"/>
  <c r="AQ305" i="1"/>
  <c r="AX365" i="1"/>
  <c r="AX352" i="1" s="1"/>
  <c r="AZ320" i="1"/>
  <c r="AZ305" i="1" s="1"/>
  <c r="AI320" i="1"/>
  <c r="AI305" i="1" s="1"/>
  <c r="AX111" i="1"/>
  <c r="F118" i="1" s="1"/>
  <c r="AI161" i="1"/>
  <c r="V161" i="1" s="1"/>
  <c r="G525" i="7"/>
  <c r="AX320" i="1"/>
  <c r="AX305" i="1" s="1"/>
  <c r="AI206" i="1"/>
  <c r="AI193" i="1" s="1"/>
  <c r="AI111" i="1"/>
  <c r="AI91" i="1" s="1"/>
  <c r="AI52" i="1"/>
  <c r="AI26" i="1" s="1"/>
  <c r="CP31" i="1"/>
  <c r="O31" i="1" s="1"/>
  <c r="AH143" i="1"/>
  <c r="U161" i="1"/>
  <c r="CY31" i="1"/>
  <c r="X31" i="1" s="1"/>
  <c r="AZ119" i="7" s="1"/>
  <c r="L117" i="7" s="1"/>
  <c r="CZ31" i="1"/>
  <c r="Y31" i="1" s="1"/>
  <c r="BA119" i="7" s="1"/>
  <c r="L118" i="7" s="1"/>
  <c r="CY35" i="1"/>
  <c r="X35" i="1" s="1"/>
  <c r="AZ140" i="7" s="1"/>
  <c r="L138" i="7" s="1"/>
  <c r="CZ35" i="1"/>
  <c r="Y35" i="1" s="1"/>
  <c r="BA140" i="7" s="1"/>
  <c r="L139" i="7" s="1"/>
  <c r="AH305" i="1"/>
  <c r="U320" i="1"/>
  <c r="AG143" i="1"/>
  <c r="T161" i="1"/>
  <c r="BA52" i="1"/>
  <c r="CJ26" i="1"/>
  <c r="V365" i="1"/>
  <c r="AI352" i="1"/>
  <c r="CJ352" i="1"/>
  <c r="BA365" i="1"/>
  <c r="AQ22" i="1"/>
  <c r="AQ428" i="1"/>
  <c r="F405" i="1"/>
  <c r="AT305" i="1"/>
  <c r="F338" i="1"/>
  <c r="CJ305" i="1"/>
  <c r="BA320" i="1"/>
  <c r="BA161" i="1"/>
  <c r="CJ143" i="1"/>
  <c r="DJ165" i="3"/>
  <c r="R145" i="1"/>
  <c r="DJ38" i="3"/>
  <c r="F248" i="1"/>
  <c r="AV238" i="1"/>
  <c r="AS243" i="1"/>
  <c r="CB238" i="1"/>
  <c r="T320" i="1"/>
  <c r="AG305" i="1"/>
  <c r="CP155" i="1"/>
  <c r="O155" i="1" s="1"/>
  <c r="GM155" i="1" s="1"/>
  <c r="GN155" i="1" s="1"/>
  <c r="DJ144" i="3"/>
  <c r="BD26" i="1"/>
  <c r="F77" i="1"/>
  <c r="DJ48" i="3"/>
  <c r="DJ240" i="3"/>
  <c r="R199" i="1"/>
  <c r="AE206" i="1" s="1"/>
  <c r="CP100" i="1"/>
  <c r="O100" i="1" s="1"/>
  <c r="DJ75" i="3"/>
  <c r="AU87" i="1"/>
  <c r="F292" i="1"/>
  <c r="AU395" i="1"/>
  <c r="DJ254" i="3"/>
  <c r="S358" i="1"/>
  <c r="R47" i="1"/>
  <c r="CZ361" i="1"/>
  <c r="Y361" i="1" s="1"/>
  <c r="GM361" i="1" s="1"/>
  <c r="GN361" i="1" s="1"/>
  <c r="F271" i="1"/>
  <c r="AR238" i="1"/>
  <c r="AQ143" i="1"/>
  <c r="F171" i="1"/>
  <c r="T91" i="1"/>
  <c r="F132" i="1"/>
  <c r="T273" i="1"/>
  <c r="F213" i="1"/>
  <c r="AX193" i="1"/>
  <c r="T365" i="1"/>
  <c r="AG352" i="1"/>
  <c r="F250" i="1"/>
  <c r="AX238" i="1"/>
  <c r="CZ153" i="1"/>
  <c r="Y153" i="1" s="1"/>
  <c r="CY153" i="1"/>
  <c r="X153" i="1" s="1"/>
  <c r="Q147" i="1"/>
  <c r="DJ117" i="3"/>
  <c r="R313" i="1"/>
  <c r="P102" i="1"/>
  <c r="AH26" i="1"/>
  <c r="U52" i="1"/>
  <c r="DJ128" i="3"/>
  <c r="DJ219" i="3"/>
  <c r="DJ50" i="3"/>
  <c r="DJ233" i="3"/>
  <c r="AJ365" i="1"/>
  <c r="CY312" i="1"/>
  <c r="X312" i="1" s="1"/>
  <c r="GM312" i="1" s="1"/>
  <c r="GN312" i="1" s="1"/>
  <c r="CZ312" i="1"/>
  <c r="Y312" i="1" s="1"/>
  <c r="GM158" i="1"/>
  <c r="GN158" i="1" s="1"/>
  <c r="AJ52" i="1"/>
  <c r="Q45" i="1"/>
  <c r="DJ89" i="3"/>
  <c r="S96" i="1"/>
  <c r="AH352" i="1"/>
  <c r="U365" i="1"/>
  <c r="AZ352" i="1"/>
  <c r="F376" i="1"/>
  <c r="GM152" i="1"/>
  <c r="GN152" i="1" s="1"/>
  <c r="F331" i="1"/>
  <c r="AO87" i="1"/>
  <c r="F277" i="1"/>
  <c r="DJ79" i="3"/>
  <c r="S93" i="1"/>
  <c r="P199" i="1"/>
  <c r="DJ83" i="3"/>
  <c r="S95" i="1"/>
  <c r="DJ5" i="3"/>
  <c r="S30" i="1"/>
  <c r="CP30" i="1" s="1"/>
  <c r="O30" i="1" s="1"/>
  <c r="BC87" i="1"/>
  <c r="F289" i="1"/>
  <c r="BC395" i="1"/>
  <c r="R358" i="1"/>
  <c r="DJ153" i="3"/>
  <c r="S147" i="1"/>
  <c r="AZ91" i="1"/>
  <c r="F122" i="1"/>
  <c r="AZ273" i="1"/>
  <c r="DJ174" i="3"/>
  <c r="S156" i="1"/>
  <c r="Q313" i="1"/>
  <c r="P43" i="1"/>
  <c r="DJ66" i="3"/>
  <c r="Q360" i="1"/>
  <c r="BD352" i="1"/>
  <c r="F390" i="1"/>
  <c r="AZ193" i="1"/>
  <c r="F217" i="1"/>
  <c r="Q311" i="1"/>
  <c r="CY198" i="1"/>
  <c r="X198" i="1" s="1"/>
  <c r="CZ198" i="1"/>
  <c r="Y198" i="1" s="1"/>
  <c r="DJ176" i="3"/>
  <c r="DJ16" i="3"/>
  <c r="P45" i="1"/>
  <c r="P96" i="1"/>
  <c r="DJ237" i="3"/>
  <c r="S354" i="1"/>
  <c r="F268" i="1"/>
  <c r="BD238" i="1"/>
  <c r="DJ141" i="3"/>
  <c r="S145" i="1"/>
  <c r="GM204" i="1"/>
  <c r="GN204" i="1" s="1"/>
  <c r="R354" i="1"/>
  <c r="P195" i="1"/>
  <c r="Q145" i="1"/>
  <c r="DJ137" i="3"/>
  <c r="S108" i="1"/>
  <c r="DJ143" i="3"/>
  <c r="DJ257" i="3"/>
  <c r="DJ164" i="3"/>
  <c r="DJ34" i="3"/>
  <c r="S37" i="1"/>
  <c r="DJ157" i="3"/>
  <c r="S149" i="1"/>
  <c r="DJ177" i="3"/>
  <c r="DJ124" i="3"/>
  <c r="S103" i="1"/>
  <c r="CP103" i="1" s="1"/>
  <c r="O103" i="1" s="1"/>
  <c r="Q151" i="1"/>
  <c r="AT395" i="1"/>
  <c r="Q358" i="1"/>
  <c r="DJ114" i="3"/>
  <c r="AO395" i="1"/>
  <c r="F249" i="1"/>
  <c r="AW238" i="1"/>
  <c r="CP357" i="1"/>
  <c r="O357" i="1" s="1"/>
  <c r="Q315" i="1"/>
  <c r="DJ208" i="3"/>
  <c r="S203" i="1"/>
  <c r="AY238" i="1"/>
  <c r="F251" i="1"/>
  <c r="R147" i="1"/>
  <c r="DJ72" i="3"/>
  <c r="Q156" i="1"/>
  <c r="P313" i="1"/>
  <c r="R43" i="1"/>
  <c r="P360" i="1"/>
  <c r="DJ245" i="3"/>
  <c r="S356" i="1"/>
  <c r="GM159" i="1"/>
  <c r="GN159" i="1" s="1"/>
  <c r="DJ129" i="3"/>
  <c r="DJ263" i="3"/>
  <c r="CY154" i="1"/>
  <c r="X154" i="1" s="1"/>
  <c r="GM154" i="1" s="1"/>
  <c r="GN154" i="1" s="1"/>
  <c r="CZ154" i="1"/>
  <c r="Y154" i="1" s="1"/>
  <c r="P311" i="1"/>
  <c r="AT87" i="1"/>
  <c r="F291" i="1"/>
  <c r="DJ185" i="3"/>
  <c r="DJ46" i="3"/>
  <c r="S38" i="1"/>
  <c r="R96" i="1"/>
  <c r="W193" i="1"/>
  <c r="F230" i="1"/>
  <c r="P149" i="1"/>
  <c r="R151" i="1"/>
  <c r="CZ100" i="1"/>
  <c r="Y100" i="1" s="1"/>
  <c r="BA362" i="7" s="1"/>
  <c r="L361" i="7" s="1"/>
  <c r="CY100" i="1"/>
  <c r="X100" i="1" s="1"/>
  <c r="AZ362" i="7" s="1"/>
  <c r="L360" i="7" s="1"/>
  <c r="AZ143" i="1"/>
  <c r="F172" i="1"/>
  <c r="P315" i="1"/>
  <c r="BD305" i="1"/>
  <c r="F345" i="1"/>
  <c r="GM198" i="1"/>
  <c r="GN198" i="1" s="1"/>
  <c r="BA91" i="1"/>
  <c r="F131" i="1"/>
  <c r="R156" i="1"/>
  <c r="Q102" i="1"/>
  <c r="DJ59" i="3"/>
  <c r="S43" i="1"/>
  <c r="BD273" i="1"/>
  <c r="DJ261" i="3"/>
  <c r="S360" i="1"/>
  <c r="R356" i="1"/>
  <c r="BB87" i="1"/>
  <c r="F286" i="1"/>
  <c r="R311" i="1"/>
  <c r="F372" i="1"/>
  <c r="CY148" i="1"/>
  <c r="X148" i="1" s="1"/>
  <c r="CZ148" i="1"/>
  <c r="Y148" i="1" s="1"/>
  <c r="P38" i="1"/>
  <c r="AH193" i="1"/>
  <c r="U206" i="1"/>
  <c r="Q96" i="1"/>
  <c r="P354" i="1"/>
  <c r="DJ183" i="3"/>
  <c r="S195" i="1"/>
  <c r="DJ116" i="3"/>
  <c r="DJ214" i="3"/>
  <c r="S309" i="1"/>
  <c r="CP309" i="1" s="1"/>
  <c r="O309" i="1" s="1"/>
  <c r="R37" i="1"/>
  <c r="R149" i="1"/>
  <c r="DJ199" i="3"/>
  <c r="S199" i="1"/>
  <c r="Q95" i="1"/>
  <c r="DJ161" i="3"/>
  <c r="S151" i="1"/>
  <c r="DJ49" i="3"/>
  <c r="Q47" i="1"/>
  <c r="DJ250" i="3"/>
  <c r="DJ127" i="3"/>
  <c r="CY357" i="1"/>
  <c r="X357" i="1" s="1"/>
  <c r="CZ357" i="1"/>
  <c r="Y357" i="1" s="1"/>
  <c r="DJ231" i="3"/>
  <c r="S315" i="1"/>
  <c r="DJ264" i="3"/>
  <c r="DJ212" i="3"/>
  <c r="S307" i="1"/>
  <c r="CP307" i="1" s="1"/>
  <c r="O307" i="1" s="1"/>
  <c r="CP153" i="1"/>
  <c r="O153" i="1" s="1"/>
  <c r="GM153" i="1" s="1"/>
  <c r="GN153" i="1" s="1"/>
  <c r="CY48" i="1"/>
  <c r="X48" i="1" s="1"/>
  <c r="GM48" i="1" s="1"/>
  <c r="GN48" i="1" s="1"/>
  <c r="CZ48" i="1"/>
  <c r="Y48" i="1" s="1"/>
  <c r="DJ218" i="3"/>
  <c r="P156" i="1"/>
  <c r="DJ112" i="3"/>
  <c r="S102" i="1"/>
  <c r="DJ159" i="3"/>
  <c r="R360" i="1"/>
  <c r="Q356" i="1"/>
  <c r="DJ256" i="3"/>
  <c r="DJ239" i="3"/>
  <c r="DJ220" i="3"/>
  <c r="DJ51" i="3"/>
  <c r="DJ216" i="3"/>
  <c r="S311" i="1"/>
  <c r="BA206" i="1"/>
  <c r="CJ193" i="1"/>
  <c r="DJ39" i="3"/>
  <c r="DJ107" i="3"/>
  <c r="DJ73" i="3"/>
  <c r="Q38" i="1"/>
  <c r="Q35" i="1"/>
  <c r="R45" i="1"/>
  <c r="T193" i="1"/>
  <c r="F227" i="1"/>
  <c r="AZ26" i="1"/>
  <c r="F63" i="1"/>
  <c r="AJ305" i="1"/>
  <c r="W320" i="1"/>
  <c r="W91" i="1"/>
  <c r="F135" i="1"/>
  <c r="DJ1" i="3"/>
  <c r="S28" i="1"/>
  <c r="F327" i="1"/>
  <c r="DJ195" i="3"/>
  <c r="S197" i="1"/>
  <c r="CP197" i="1" s="1"/>
  <c r="O197" i="1" s="1"/>
  <c r="AQ87" i="1"/>
  <c r="F283" i="1"/>
  <c r="Q37" i="1"/>
  <c r="AX26" i="1"/>
  <c r="F59" i="1"/>
  <c r="Q199" i="1"/>
  <c r="R95" i="1"/>
  <c r="P151" i="1"/>
  <c r="DJ13" i="3"/>
  <c r="P358" i="1"/>
  <c r="DJ70" i="3"/>
  <c r="S47" i="1"/>
  <c r="BB22" i="1"/>
  <c r="F408" i="1"/>
  <c r="BB428" i="1"/>
  <c r="CG143" i="1"/>
  <c r="AX161" i="1"/>
  <c r="AX273" i="1" s="1"/>
  <c r="R315" i="1"/>
  <c r="Q203" i="1"/>
  <c r="AP87" i="1"/>
  <c r="F282" i="1"/>
  <c r="AP395" i="1"/>
  <c r="P147" i="1"/>
  <c r="DJ225" i="3"/>
  <c r="S313" i="1"/>
  <c r="R102" i="1"/>
  <c r="DJ3" i="3"/>
  <c r="P356" i="1"/>
  <c r="CY308" i="1"/>
  <c r="X308" i="1" s="1"/>
  <c r="GM308" i="1" s="1"/>
  <c r="GN308" i="1" s="1"/>
  <c r="CZ308" i="1"/>
  <c r="Y308" i="1" s="1"/>
  <c r="AH91" i="1"/>
  <c r="U111" i="1"/>
  <c r="AZ238" i="1"/>
  <c r="F254" i="1"/>
  <c r="CP148" i="1"/>
  <c r="O148" i="1" s="1"/>
  <c r="AJ161" i="1"/>
  <c r="CY44" i="1"/>
  <c r="X44" i="1" s="1"/>
  <c r="GM44" i="1" s="1"/>
  <c r="GN44" i="1" s="1"/>
  <c r="CZ44" i="1"/>
  <c r="Y44" i="1" s="1"/>
  <c r="R38" i="1"/>
  <c r="DJ63" i="3"/>
  <c r="S45" i="1"/>
  <c r="T26" i="1"/>
  <c r="F73" i="1"/>
  <c r="T395" i="1"/>
  <c r="V320" i="1" l="1"/>
  <c r="AZ395" i="1"/>
  <c r="AZ22" i="1" s="1"/>
  <c r="AX91" i="1"/>
  <c r="CP145" i="1"/>
  <c r="O145" i="1" s="1"/>
  <c r="AI143" i="1"/>
  <c r="CP37" i="1"/>
  <c r="O37" i="1" s="1"/>
  <c r="K140" i="7"/>
  <c r="I140" i="7" s="1"/>
  <c r="AN140" i="7"/>
  <c r="V111" i="1"/>
  <c r="V206" i="1"/>
  <c r="V273" i="1" s="1"/>
  <c r="AN362" i="7"/>
  <c r="K362" i="7"/>
  <c r="I362" i="7" s="1"/>
  <c r="K119" i="7"/>
  <c r="I119" i="7" s="1"/>
  <c r="AN119" i="7"/>
  <c r="AE320" i="1"/>
  <c r="AD320" i="1"/>
  <c r="AD305" i="1" s="1"/>
  <c r="AE52" i="1"/>
  <c r="AE26" i="1" s="1"/>
  <c r="CP38" i="1"/>
  <c r="O38" i="1" s="1"/>
  <c r="CP147" i="1"/>
  <c r="O147" i="1" s="1"/>
  <c r="CP95" i="1"/>
  <c r="O95" i="1" s="1"/>
  <c r="AD206" i="1"/>
  <c r="AD193" i="1" s="1"/>
  <c r="AE111" i="1"/>
  <c r="R111" i="1" s="1"/>
  <c r="CP358" i="1"/>
  <c r="O358" i="1" s="1"/>
  <c r="CP360" i="1"/>
  <c r="O360" i="1" s="1"/>
  <c r="AD111" i="1"/>
  <c r="Q111" i="1" s="1"/>
  <c r="AD52" i="1"/>
  <c r="AD26" i="1" s="1"/>
  <c r="AD365" i="1"/>
  <c r="AD352" i="1" s="1"/>
  <c r="CP47" i="1"/>
  <c r="O47" i="1" s="1"/>
  <c r="CP45" i="1"/>
  <c r="O45" i="1" s="1"/>
  <c r="V52" i="1"/>
  <c r="F75" i="1" s="1"/>
  <c r="GM31" i="1"/>
  <c r="GN31" i="1" s="1"/>
  <c r="CP203" i="1"/>
  <c r="O203" i="1" s="1"/>
  <c r="AC52" i="1"/>
  <c r="CE52" i="1" s="1"/>
  <c r="AE305" i="1"/>
  <c r="R320" i="1"/>
  <c r="AX87" i="1"/>
  <c r="F280" i="1"/>
  <c r="AX395" i="1"/>
  <c r="CP354" i="1"/>
  <c r="O354" i="1" s="1"/>
  <c r="AC365" i="1"/>
  <c r="CY47" i="1"/>
  <c r="X47" i="1" s="1"/>
  <c r="CZ47" i="1"/>
  <c r="Y47" i="1" s="1"/>
  <c r="BA248" i="7" s="1"/>
  <c r="L247" i="7" s="1"/>
  <c r="CZ28" i="1"/>
  <c r="Y28" i="1" s="1"/>
  <c r="BA75" i="7" s="1"/>
  <c r="CY28" i="1"/>
  <c r="X28" i="1" s="1"/>
  <c r="AZ75" i="7" s="1"/>
  <c r="AF52" i="1"/>
  <c r="W305" i="1"/>
  <c r="F344" i="1"/>
  <c r="CP35" i="1"/>
  <c r="O35" i="1" s="1"/>
  <c r="GM35" i="1" s="1"/>
  <c r="GN35" i="1" s="1"/>
  <c r="BD87" i="1"/>
  <c r="F298" i="1"/>
  <c r="CY38" i="1"/>
  <c r="X38" i="1" s="1"/>
  <c r="AZ195" i="7" s="1"/>
  <c r="L193" i="7" s="1"/>
  <c r="CZ38" i="1"/>
  <c r="Y38" i="1" s="1"/>
  <c r="BA195" i="7" s="1"/>
  <c r="L194" i="7" s="1"/>
  <c r="GM357" i="1"/>
  <c r="GN357" i="1" s="1"/>
  <c r="AT22" i="1"/>
  <c r="AT428" i="1"/>
  <c r="F413" i="1"/>
  <c r="CP96" i="1"/>
  <c r="O96" i="1" s="1"/>
  <c r="CP199" i="1"/>
  <c r="O199" i="1" s="1"/>
  <c r="U352" i="1"/>
  <c r="F387" i="1"/>
  <c r="G1033" i="7" s="1"/>
  <c r="AJ26" i="1"/>
  <c r="W52" i="1"/>
  <c r="T87" i="1"/>
  <c r="F294" i="1"/>
  <c r="AC111" i="1"/>
  <c r="AE161" i="1"/>
  <c r="CZ315" i="1"/>
  <c r="Y315" i="1" s="1"/>
  <c r="BA874" i="7" s="1"/>
  <c r="L873" i="7" s="1"/>
  <c r="CY315" i="1"/>
  <c r="X315" i="1" s="1"/>
  <c r="AZ874" i="7" s="1"/>
  <c r="L872" i="7" s="1"/>
  <c r="CZ43" i="1"/>
  <c r="Y43" i="1" s="1"/>
  <c r="BA209" i="7" s="1"/>
  <c r="L208" i="7" s="1"/>
  <c r="CY43" i="1"/>
  <c r="X43" i="1" s="1"/>
  <c r="AZ209" i="7" s="1"/>
  <c r="L207" i="7" s="1"/>
  <c r="CY108" i="1"/>
  <c r="X108" i="1" s="1"/>
  <c r="AZ431" i="7" s="1"/>
  <c r="L429" i="7" s="1"/>
  <c r="CZ108" i="1"/>
  <c r="Y108" i="1" s="1"/>
  <c r="BA431" i="7" s="1"/>
  <c r="L430" i="7" s="1"/>
  <c r="CY354" i="1"/>
  <c r="X354" i="1" s="1"/>
  <c r="AZ934" i="7" s="1"/>
  <c r="CZ354" i="1"/>
  <c r="Y354" i="1" s="1"/>
  <c r="BA934" i="7" s="1"/>
  <c r="AF365" i="1"/>
  <c r="CP43" i="1"/>
  <c r="O43" i="1" s="1"/>
  <c r="CY93" i="1"/>
  <c r="X93" i="1" s="1"/>
  <c r="AZ296" i="7" s="1"/>
  <c r="CZ93" i="1"/>
  <c r="Y93" i="1" s="1"/>
  <c r="BA296" i="7" s="1"/>
  <c r="AF111" i="1"/>
  <c r="CP93" i="1"/>
  <c r="O93" i="1" s="1"/>
  <c r="AS238" i="1"/>
  <c r="F260" i="1"/>
  <c r="BA352" i="1"/>
  <c r="F385" i="1"/>
  <c r="V352" i="1"/>
  <c r="F388" i="1"/>
  <c r="G1034" i="7" s="1"/>
  <c r="AP22" i="1"/>
  <c r="AP428" i="1"/>
  <c r="F404" i="1"/>
  <c r="G16" i="2" s="1"/>
  <c r="CZ313" i="1"/>
  <c r="Y313" i="1" s="1"/>
  <c r="BA854" i="7" s="1"/>
  <c r="L853" i="7" s="1"/>
  <c r="CY313" i="1"/>
  <c r="X313" i="1" s="1"/>
  <c r="AZ854" i="7" s="1"/>
  <c r="L852" i="7" s="1"/>
  <c r="CY197" i="1"/>
  <c r="X197" i="1" s="1"/>
  <c r="AZ647" i="7" s="1"/>
  <c r="L645" i="7" s="1"/>
  <c r="CZ197" i="1"/>
  <c r="Y197" i="1" s="1"/>
  <c r="BA647" i="7" s="1"/>
  <c r="L646" i="7" s="1"/>
  <c r="AZ428" i="1"/>
  <c r="CY102" i="1"/>
  <c r="X102" i="1" s="1"/>
  <c r="AZ386" i="7" s="1"/>
  <c r="L384" i="7" s="1"/>
  <c r="CZ102" i="1"/>
  <c r="Y102" i="1" s="1"/>
  <c r="BA386" i="7" s="1"/>
  <c r="L385" i="7" s="1"/>
  <c r="CP28" i="1"/>
  <c r="O28" i="1" s="1"/>
  <c r="AC161" i="1"/>
  <c r="CZ103" i="1"/>
  <c r="Y103" i="1" s="1"/>
  <c r="BA417" i="7" s="1"/>
  <c r="L416" i="7" s="1"/>
  <c r="CY103" i="1"/>
  <c r="X103" i="1" s="1"/>
  <c r="CZ37" i="1"/>
  <c r="Y37" i="1" s="1"/>
  <c r="BA164" i="7" s="1"/>
  <c r="L163" i="7" s="1"/>
  <c r="CY37" i="1"/>
  <c r="X37" i="1" s="1"/>
  <c r="AZ164" i="7" s="1"/>
  <c r="L162" i="7" s="1"/>
  <c r="CZ147" i="1"/>
  <c r="Y147" i="1" s="1"/>
  <c r="CY147" i="1"/>
  <c r="X147" i="1" s="1"/>
  <c r="AZ504" i="7" s="1"/>
  <c r="L502" i="7" s="1"/>
  <c r="CY30" i="1"/>
  <c r="X30" i="1" s="1"/>
  <c r="AZ91" i="7" s="1"/>
  <c r="L89" i="7" s="1"/>
  <c r="CZ30" i="1"/>
  <c r="Y30" i="1" s="1"/>
  <c r="BA91" i="7" s="1"/>
  <c r="L90" i="7" s="1"/>
  <c r="V143" i="1"/>
  <c r="F184" i="1"/>
  <c r="G605" i="7" s="1"/>
  <c r="U91" i="1"/>
  <c r="F133" i="1"/>
  <c r="G461" i="7" s="1"/>
  <c r="U273" i="1"/>
  <c r="U395" i="1" s="1"/>
  <c r="CP315" i="1"/>
  <c r="O315" i="1" s="1"/>
  <c r="CP149" i="1"/>
  <c r="O149" i="1" s="1"/>
  <c r="CP313" i="1"/>
  <c r="O313" i="1" s="1"/>
  <c r="CY203" i="1"/>
  <c r="X203" i="1" s="1"/>
  <c r="AZ687" i="7" s="1"/>
  <c r="L685" i="7" s="1"/>
  <c r="CZ203" i="1"/>
  <c r="Y203" i="1" s="1"/>
  <c r="BA687" i="7" s="1"/>
  <c r="L686" i="7" s="1"/>
  <c r="AO22" i="1"/>
  <c r="F399" i="1"/>
  <c r="AO428" i="1"/>
  <c r="AD161" i="1"/>
  <c r="CY145" i="1"/>
  <c r="X145" i="1" s="1"/>
  <c r="AZ490" i="7" s="1"/>
  <c r="CZ145" i="1"/>
  <c r="Y145" i="1" s="1"/>
  <c r="BA490" i="7" s="1"/>
  <c r="AF161" i="1"/>
  <c r="CZ156" i="1"/>
  <c r="Y156" i="1" s="1"/>
  <c r="BA574" i="7" s="1"/>
  <c r="L573" i="7" s="1"/>
  <c r="CY156" i="1"/>
  <c r="X156" i="1" s="1"/>
  <c r="AZ574" i="7" s="1"/>
  <c r="L572" i="7" s="1"/>
  <c r="CZ96" i="1"/>
  <c r="Y96" i="1" s="1"/>
  <c r="BA341" i="7" s="1"/>
  <c r="L340" i="7" s="1"/>
  <c r="CY96" i="1"/>
  <c r="X96" i="1" s="1"/>
  <c r="AZ341" i="7" s="1"/>
  <c r="L339" i="7" s="1"/>
  <c r="U26" i="1"/>
  <c r="F74" i="1"/>
  <c r="T352" i="1"/>
  <c r="F386" i="1"/>
  <c r="CY358" i="1"/>
  <c r="X358" i="1" s="1"/>
  <c r="AZ974" i="7" s="1"/>
  <c r="L972" i="7" s="1"/>
  <c r="CZ358" i="1"/>
  <c r="Y358" i="1" s="1"/>
  <c r="BA974" i="7" s="1"/>
  <c r="L973" i="7" s="1"/>
  <c r="GM100" i="1"/>
  <c r="GN100" i="1" s="1"/>
  <c r="BA143" i="1"/>
  <c r="F181" i="1"/>
  <c r="V91" i="1"/>
  <c r="F134" i="1"/>
  <c r="G462" i="7" s="1"/>
  <c r="BA26" i="1"/>
  <c r="F72" i="1"/>
  <c r="U305" i="1"/>
  <c r="F342" i="1"/>
  <c r="G909" i="7" s="1"/>
  <c r="GM38" i="1"/>
  <c r="GN38" i="1" s="1"/>
  <c r="AC320" i="1"/>
  <c r="CY45" i="1"/>
  <c r="X45" i="1" s="1"/>
  <c r="AZ227" i="7" s="1"/>
  <c r="L225" i="7" s="1"/>
  <c r="CZ45" i="1"/>
  <c r="Y45" i="1" s="1"/>
  <c r="BA227" i="7" s="1"/>
  <c r="L226" i="7" s="1"/>
  <c r="GM148" i="1"/>
  <c r="GN148" i="1" s="1"/>
  <c r="CP151" i="1"/>
  <c r="O151" i="1" s="1"/>
  <c r="CY311" i="1"/>
  <c r="X311" i="1" s="1"/>
  <c r="AZ835" i="7" s="1"/>
  <c r="L833" i="7" s="1"/>
  <c r="CZ311" i="1"/>
  <c r="Y311" i="1" s="1"/>
  <c r="BA835" i="7" s="1"/>
  <c r="L834" i="7" s="1"/>
  <c r="CP156" i="1"/>
  <c r="O156" i="1" s="1"/>
  <c r="CY151" i="1"/>
  <c r="X151" i="1" s="1"/>
  <c r="AZ549" i="7" s="1"/>
  <c r="L547" i="7" s="1"/>
  <c r="CZ151" i="1"/>
  <c r="Y151" i="1" s="1"/>
  <c r="BA549" i="7" s="1"/>
  <c r="L548" i="7" s="1"/>
  <c r="CP108" i="1"/>
  <c r="O108" i="1" s="1"/>
  <c r="CY360" i="1"/>
  <c r="X360" i="1" s="1"/>
  <c r="AZ999" i="7" s="1"/>
  <c r="L997" i="7" s="1"/>
  <c r="CZ360" i="1"/>
  <c r="Y360" i="1" s="1"/>
  <c r="BA999" i="7" s="1"/>
  <c r="L998" i="7" s="1"/>
  <c r="CP195" i="1"/>
  <c r="O195" i="1" s="1"/>
  <c r="AC206" i="1"/>
  <c r="F343" i="1"/>
  <c r="G910" i="7" s="1"/>
  <c r="V305" i="1"/>
  <c r="CY95" i="1"/>
  <c r="X95" i="1" s="1"/>
  <c r="AZ313" i="7" s="1"/>
  <c r="L311" i="7" s="1"/>
  <c r="CZ95" i="1"/>
  <c r="Y95" i="1" s="1"/>
  <c r="BA313" i="7" s="1"/>
  <c r="L312" i="7" s="1"/>
  <c r="AJ352" i="1"/>
  <c r="W365" i="1"/>
  <c r="BD395" i="1"/>
  <c r="F340" i="1"/>
  <c r="BA305" i="1"/>
  <c r="T143" i="1"/>
  <c r="F182" i="1"/>
  <c r="F183" i="1"/>
  <c r="G604" i="7" s="1"/>
  <c r="U143" i="1"/>
  <c r="T22" i="1"/>
  <c r="F416" i="1"/>
  <c r="T428" i="1"/>
  <c r="AX143" i="1"/>
  <c r="F168" i="1"/>
  <c r="CZ199" i="1"/>
  <c r="Y199" i="1" s="1"/>
  <c r="BA672" i="7" s="1"/>
  <c r="L671" i="7" s="1"/>
  <c r="CY199" i="1"/>
  <c r="X199" i="1" s="1"/>
  <c r="AZ672" i="7" s="1"/>
  <c r="L670" i="7" s="1"/>
  <c r="AJ143" i="1"/>
  <c r="W161" i="1"/>
  <c r="BB18" i="1"/>
  <c r="F441" i="1"/>
  <c r="BA193" i="1"/>
  <c r="F226" i="1"/>
  <c r="CZ307" i="1"/>
  <c r="Y307" i="1" s="1"/>
  <c r="BA802" i="7" s="1"/>
  <c r="AF320" i="1"/>
  <c r="CY307" i="1"/>
  <c r="X307" i="1" s="1"/>
  <c r="AZ802" i="7" s="1"/>
  <c r="CP356" i="1"/>
  <c r="O356" i="1" s="1"/>
  <c r="V193" i="1"/>
  <c r="F229" i="1"/>
  <c r="G718" i="7" s="1"/>
  <c r="CZ309" i="1"/>
  <c r="Y309" i="1" s="1"/>
  <c r="BA812" i="7" s="1"/>
  <c r="L811" i="7" s="1"/>
  <c r="CY309" i="1"/>
  <c r="X309" i="1" s="1"/>
  <c r="AZ812" i="7" s="1"/>
  <c r="L810" i="7" s="1"/>
  <c r="CZ195" i="1"/>
  <c r="Y195" i="1" s="1"/>
  <c r="BA633" i="7" s="1"/>
  <c r="CY195" i="1"/>
  <c r="X195" i="1" s="1"/>
  <c r="AZ633" i="7" s="1"/>
  <c r="AF206" i="1"/>
  <c r="U193" i="1"/>
  <c r="F228" i="1"/>
  <c r="G717" i="7" s="1"/>
  <c r="BA273" i="1"/>
  <c r="BA395" i="1" s="1"/>
  <c r="CP311" i="1"/>
  <c r="O311" i="1" s="1"/>
  <c r="CZ356" i="1"/>
  <c r="Y356" i="1" s="1"/>
  <c r="BA955" i="7" s="1"/>
  <c r="L954" i="7" s="1"/>
  <c r="CY356" i="1"/>
  <c r="X356" i="1" s="1"/>
  <c r="AZ955" i="7" s="1"/>
  <c r="L953" i="7" s="1"/>
  <c r="CZ149" i="1"/>
  <c r="Y149" i="1" s="1"/>
  <c r="BA518" i="7" s="1"/>
  <c r="L517" i="7" s="1"/>
  <c r="CY149" i="1"/>
  <c r="X149" i="1" s="1"/>
  <c r="AZ518" i="7" s="1"/>
  <c r="L516" i="7" s="1"/>
  <c r="AE365" i="1"/>
  <c r="AE193" i="1"/>
  <c r="R206" i="1"/>
  <c r="AZ87" i="1"/>
  <c r="F284" i="1"/>
  <c r="BC22" i="1"/>
  <c r="BC428" i="1"/>
  <c r="F411" i="1"/>
  <c r="CP102" i="1"/>
  <c r="O102" i="1" s="1"/>
  <c r="AU22" i="1"/>
  <c r="AU428" i="1"/>
  <c r="F414" i="1"/>
  <c r="C52" i="7" s="1"/>
  <c r="T305" i="1"/>
  <c r="F341" i="1"/>
  <c r="AQ18" i="1"/>
  <c r="F438" i="1"/>
  <c r="F406" i="1" l="1"/>
  <c r="CF52" i="1"/>
  <c r="AN195" i="7"/>
  <c r="P52" i="1"/>
  <c r="P26" i="1" s="1"/>
  <c r="V26" i="1"/>
  <c r="AD91" i="1"/>
  <c r="K431" i="7"/>
  <c r="I431" i="7" s="1"/>
  <c r="AN431" i="7"/>
  <c r="AN574" i="7"/>
  <c r="K574" i="7"/>
  <c r="I574" i="7" s="1"/>
  <c r="K549" i="7"/>
  <c r="I549" i="7" s="1"/>
  <c r="AN549" i="7"/>
  <c r="AN91" i="7"/>
  <c r="K91" i="7"/>
  <c r="I91" i="7" s="1"/>
  <c r="K209" i="7"/>
  <c r="I209" i="7" s="1"/>
  <c r="AN209" i="7"/>
  <c r="AE91" i="1"/>
  <c r="AN672" i="7"/>
  <c r="K672" i="7"/>
  <c r="I672" i="7" s="1"/>
  <c r="K854" i="7"/>
  <c r="I854" i="7" s="1"/>
  <c r="AN854" i="7"/>
  <c r="L294" i="7"/>
  <c r="AN955" i="7"/>
  <c r="K955" i="7"/>
  <c r="I955" i="7" s="1"/>
  <c r="L631" i="7"/>
  <c r="L704" i="7"/>
  <c r="L705" i="7"/>
  <c r="L632" i="7"/>
  <c r="L896" i="7"/>
  <c r="L800" i="7"/>
  <c r="K227" i="7"/>
  <c r="I227" i="7" s="1"/>
  <c r="AN227" i="7"/>
  <c r="L489" i="7"/>
  <c r="L933" i="7"/>
  <c r="L1021" i="7"/>
  <c r="K195" i="7"/>
  <c r="I195" i="7" s="1"/>
  <c r="Q320" i="1"/>
  <c r="AN386" i="7"/>
  <c r="K386" i="7"/>
  <c r="I386" i="7" s="1"/>
  <c r="GM103" i="1"/>
  <c r="GN103" i="1" s="1"/>
  <c r="AZ417" i="7"/>
  <c r="L415" i="7" s="1"/>
  <c r="GM47" i="1"/>
  <c r="GN47" i="1" s="1"/>
  <c r="AZ248" i="7"/>
  <c r="L246" i="7" s="1"/>
  <c r="K812" i="7"/>
  <c r="I812" i="7" s="1"/>
  <c r="AN812" i="7"/>
  <c r="K341" i="7"/>
  <c r="I341" i="7" s="1"/>
  <c r="AN341" i="7"/>
  <c r="L591" i="7"/>
  <c r="L488" i="7"/>
  <c r="AN687" i="7"/>
  <c r="K687" i="7"/>
  <c r="I687" i="7" s="1"/>
  <c r="GM147" i="1"/>
  <c r="GN147" i="1" s="1"/>
  <c r="BA504" i="7"/>
  <c r="L503" i="7" s="1"/>
  <c r="K504" i="7" s="1"/>
  <c r="I504" i="7" s="1"/>
  <c r="L932" i="7"/>
  <c r="L1020" i="7"/>
  <c r="K874" i="7"/>
  <c r="I874" i="7" s="1"/>
  <c r="AN874" i="7"/>
  <c r="F16" i="2"/>
  <c r="C50" i="7"/>
  <c r="L73" i="7"/>
  <c r="L269" i="7"/>
  <c r="R52" i="1"/>
  <c r="F66" i="1" s="1"/>
  <c r="AN518" i="7"/>
  <c r="K518" i="7"/>
  <c r="I518" i="7" s="1"/>
  <c r="L801" i="7"/>
  <c r="L897" i="7"/>
  <c r="K313" i="7"/>
  <c r="I313" i="7" s="1"/>
  <c r="AN313" i="7"/>
  <c r="AN999" i="7"/>
  <c r="K999" i="7"/>
  <c r="I999" i="7" s="1"/>
  <c r="AN835" i="7"/>
  <c r="K835" i="7"/>
  <c r="I835" i="7" s="1"/>
  <c r="AN974" i="7"/>
  <c r="K974" i="7"/>
  <c r="I974" i="7" s="1"/>
  <c r="K164" i="7"/>
  <c r="I164" i="7" s="1"/>
  <c r="AN164" i="7"/>
  <c r="AN647" i="7"/>
  <c r="K647" i="7"/>
  <c r="I647" i="7" s="1"/>
  <c r="L295" i="7"/>
  <c r="L449" i="7"/>
  <c r="L270" i="7"/>
  <c r="L74" i="7"/>
  <c r="L1128" i="7"/>
  <c r="Q206" i="1"/>
  <c r="F218" i="1" s="1"/>
  <c r="GM311" i="1"/>
  <c r="GN311" i="1" s="1"/>
  <c r="GM45" i="1"/>
  <c r="GN45" i="1" s="1"/>
  <c r="GM203" i="1"/>
  <c r="GN203" i="1" s="1"/>
  <c r="Q52" i="1"/>
  <c r="Q26" i="1" s="1"/>
  <c r="GM95" i="1"/>
  <c r="GN95" i="1" s="1"/>
  <c r="GM360" i="1"/>
  <c r="GN360" i="1" s="1"/>
  <c r="GM358" i="1"/>
  <c r="GN358" i="1" s="1"/>
  <c r="GM197" i="1"/>
  <c r="GN197" i="1" s="1"/>
  <c r="Q365" i="1"/>
  <c r="F377" i="1" s="1"/>
  <c r="GM108" i="1"/>
  <c r="GN108" i="1" s="1"/>
  <c r="GM151" i="1"/>
  <c r="GN151" i="1" s="1"/>
  <c r="GM313" i="1"/>
  <c r="GN313" i="1" s="1"/>
  <c r="GM37" i="1"/>
  <c r="GN37" i="1" s="1"/>
  <c r="CH52" i="1"/>
  <c r="AY52" i="1" s="1"/>
  <c r="GM43" i="1"/>
  <c r="GN43" i="1" s="1"/>
  <c r="GM102" i="1"/>
  <c r="GN102" i="1" s="1"/>
  <c r="AK206" i="1"/>
  <c r="AK193" i="1" s="1"/>
  <c r="GM315" i="1"/>
  <c r="GN315" i="1" s="1"/>
  <c r="GM30" i="1"/>
  <c r="GN30" i="1" s="1"/>
  <c r="AC26" i="1"/>
  <c r="AL206" i="1"/>
  <c r="AL193" i="1" s="1"/>
  <c r="GM156" i="1"/>
  <c r="GN156" i="1" s="1"/>
  <c r="GM309" i="1"/>
  <c r="GN309" i="1" s="1"/>
  <c r="GM145" i="1"/>
  <c r="GN145" i="1" s="1"/>
  <c r="BA22" i="1"/>
  <c r="F415" i="1"/>
  <c r="BA428" i="1"/>
  <c r="GM356" i="1"/>
  <c r="GN356" i="1" s="1"/>
  <c r="F389" i="1"/>
  <c r="W352" i="1"/>
  <c r="AC193" i="1"/>
  <c r="CF206" i="1"/>
  <c r="CH206" i="1"/>
  <c r="P206" i="1"/>
  <c r="CE206" i="1"/>
  <c r="AD143" i="1"/>
  <c r="Q161" i="1"/>
  <c r="AZ18" i="1"/>
  <c r="F439" i="1"/>
  <c r="AW52" i="1"/>
  <c r="CF26" i="1"/>
  <c r="AT18" i="1"/>
  <c r="F446" i="1"/>
  <c r="AL52" i="1"/>
  <c r="AK320" i="1"/>
  <c r="GM195" i="1"/>
  <c r="AB206" i="1"/>
  <c r="AO18" i="1"/>
  <c r="F432" i="1"/>
  <c r="GM149" i="1"/>
  <c r="GN149" i="1" s="1"/>
  <c r="CF161" i="1"/>
  <c r="AC143" i="1"/>
  <c r="CH161" i="1"/>
  <c r="P161" i="1"/>
  <c r="CE161" i="1"/>
  <c r="Q91" i="1"/>
  <c r="F123" i="1"/>
  <c r="AE143" i="1"/>
  <c r="R161" i="1"/>
  <c r="GM307" i="1"/>
  <c r="AE352" i="1"/>
  <c r="R365" i="1"/>
  <c r="BA87" i="1"/>
  <c r="F293" i="1"/>
  <c r="AF305" i="1"/>
  <c r="S320" i="1"/>
  <c r="F185" i="1"/>
  <c r="W143" i="1"/>
  <c r="W273" i="1"/>
  <c r="T18" i="1"/>
  <c r="F449" i="1"/>
  <c r="U22" i="1"/>
  <c r="F417" i="1"/>
  <c r="U428" i="1"/>
  <c r="AB161" i="1"/>
  <c r="AB52" i="1"/>
  <c r="GM28" i="1"/>
  <c r="GM93" i="1"/>
  <c r="AB111" i="1"/>
  <c r="AF352" i="1"/>
  <c r="S365" i="1"/>
  <c r="AC91" i="1"/>
  <c r="P111" i="1"/>
  <c r="CE111" i="1"/>
  <c r="CF111" i="1"/>
  <c r="CH111" i="1"/>
  <c r="AB320" i="1"/>
  <c r="R91" i="1"/>
  <c r="F125" i="1"/>
  <c r="AL320" i="1"/>
  <c r="CE320" i="1"/>
  <c r="P320" i="1"/>
  <c r="AC305" i="1"/>
  <c r="CF320" i="1"/>
  <c r="CH320" i="1"/>
  <c r="AF143" i="1"/>
  <c r="S161" i="1"/>
  <c r="CE26" i="1"/>
  <c r="AV52" i="1"/>
  <c r="AP18" i="1"/>
  <c r="F437" i="1"/>
  <c r="AF91" i="1"/>
  <c r="S111" i="1"/>
  <c r="AL365" i="1"/>
  <c r="GM199" i="1"/>
  <c r="GN199" i="1" s="1"/>
  <c r="AC352" i="1"/>
  <c r="CH365" i="1"/>
  <c r="P365" i="1"/>
  <c r="CE365" i="1"/>
  <c r="CF365" i="1"/>
  <c r="V87" i="1"/>
  <c r="F296" i="1"/>
  <c r="G789" i="7" s="1"/>
  <c r="AL161" i="1"/>
  <c r="F55" i="1"/>
  <c r="AL111" i="1"/>
  <c r="AK365" i="1"/>
  <c r="GM96" i="1"/>
  <c r="GN96" i="1" s="1"/>
  <c r="AF26" i="1"/>
  <c r="S52" i="1"/>
  <c r="AB365" i="1"/>
  <c r="GM354" i="1"/>
  <c r="AX22" i="1"/>
  <c r="AX428" i="1"/>
  <c r="F402" i="1"/>
  <c r="Q305" i="1"/>
  <c r="F332" i="1"/>
  <c r="F220" i="1"/>
  <c r="R193" i="1"/>
  <c r="BC18" i="1"/>
  <c r="F444" i="1"/>
  <c r="H16" i="2"/>
  <c r="AU18" i="1"/>
  <c r="F447" i="1"/>
  <c r="S206" i="1"/>
  <c r="AF193" i="1"/>
  <c r="BD22" i="1"/>
  <c r="BD428" i="1"/>
  <c r="F420" i="1"/>
  <c r="AK161" i="1"/>
  <c r="U87" i="1"/>
  <c r="F295" i="1"/>
  <c r="G788" i="7" s="1"/>
  <c r="CH26" i="1"/>
  <c r="V395" i="1"/>
  <c r="AK111" i="1"/>
  <c r="W26" i="1"/>
  <c r="F76" i="1"/>
  <c r="W395" i="1"/>
  <c r="AK52" i="1"/>
  <c r="R305" i="1"/>
  <c r="F334" i="1"/>
  <c r="Q352" i="1" l="1"/>
  <c r="L776" i="7"/>
  <c r="Y206" i="1"/>
  <c r="X206" i="1"/>
  <c r="X193" i="1" s="1"/>
  <c r="L1057" i="7"/>
  <c r="L1056" i="7"/>
  <c r="R26" i="1"/>
  <c r="Q193" i="1"/>
  <c r="Q273" i="1"/>
  <c r="F285" i="1" s="1"/>
  <c r="F64" i="1"/>
  <c r="Q395" i="1"/>
  <c r="F407" i="1" s="1"/>
  <c r="L278" i="7"/>
  <c r="L1029" i="7"/>
  <c r="AN490" i="7"/>
  <c r="K490" i="7"/>
  <c r="I490" i="7" s="1"/>
  <c r="K248" i="7"/>
  <c r="I248" i="7" s="1"/>
  <c r="AN248" i="7"/>
  <c r="L592" i="7"/>
  <c r="L600" i="7" s="1"/>
  <c r="L448" i="7"/>
  <c r="L457" i="7" s="1"/>
  <c r="AN296" i="7"/>
  <c r="K296" i="7"/>
  <c r="I296" i="7" s="1"/>
  <c r="AN417" i="7"/>
  <c r="K417" i="7"/>
  <c r="I417" i="7" s="1"/>
  <c r="L713" i="7"/>
  <c r="L775" i="7"/>
  <c r="AN75" i="7"/>
  <c r="K75" i="7"/>
  <c r="I75" i="7" s="1"/>
  <c r="AN934" i="7"/>
  <c r="K934" i="7"/>
  <c r="I934" i="7" s="1"/>
  <c r="K49" i="7"/>
  <c r="G1137" i="7"/>
  <c r="AN633" i="7"/>
  <c r="K633" i="7"/>
  <c r="I633" i="7" s="1"/>
  <c r="AN504" i="7"/>
  <c r="K802" i="7"/>
  <c r="I802" i="7" s="1"/>
  <c r="AN802" i="7"/>
  <c r="L1127" i="7"/>
  <c r="L905" i="7"/>
  <c r="AK143" i="1"/>
  <c r="X161" i="1"/>
  <c r="AW365" i="1"/>
  <c r="CF352" i="1"/>
  <c r="AL352" i="1"/>
  <c r="Y365" i="1"/>
  <c r="P305" i="1"/>
  <c r="F323" i="1"/>
  <c r="AB305" i="1"/>
  <c r="O320" i="1"/>
  <c r="S352" i="1"/>
  <c r="F380" i="1"/>
  <c r="AB143" i="1"/>
  <c r="O161" i="1"/>
  <c r="W87" i="1"/>
  <c r="F297" i="1"/>
  <c r="R143" i="1"/>
  <c r="F175" i="1"/>
  <c r="P143" i="1"/>
  <c r="F164" i="1"/>
  <c r="AL26" i="1"/>
  <c r="Y52" i="1"/>
  <c r="CF193" i="1"/>
  <c r="AW206" i="1"/>
  <c r="AK91" i="1"/>
  <c r="X111" i="1"/>
  <c r="AX18" i="1"/>
  <c r="F435" i="1"/>
  <c r="AL143" i="1"/>
  <c r="Y161" i="1"/>
  <c r="CE352" i="1"/>
  <c r="AV365" i="1"/>
  <c r="S91" i="1"/>
  <c r="F126" i="1"/>
  <c r="S273" i="1"/>
  <c r="S143" i="1"/>
  <c r="F176" i="1"/>
  <c r="AV320" i="1"/>
  <c r="CE305" i="1"/>
  <c r="CH91" i="1"/>
  <c r="AY111" i="1"/>
  <c r="U18" i="1"/>
  <c r="F450" i="1"/>
  <c r="R352" i="1"/>
  <c r="F379" i="1"/>
  <c r="AY161" i="1"/>
  <c r="CH143" i="1"/>
  <c r="O206" i="1"/>
  <c r="AB193" i="1"/>
  <c r="F173" i="1"/>
  <c r="Q143" i="1"/>
  <c r="BA18" i="1"/>
  <c r="F448" i="1"/>
  <c r="AK352" i="1"/>
  <c r="X365" i="1"/>
  <c r="P352" i="1"/>
  <c r="F368" i="1"/>
  <c r="AL305" i="1"/>
  <c r="Y320" i="1"/>
  <c r="CF91" i="1"/>
  <c r="AW111" i="1"/>
  <c r="AB91" i="1"/>
  <c r="O111" i="1"/>
  <c r="Q87" i="1"/>
  <c r="CA206" i="1"/>
  <c r="GN195" i="1"/>
  <c r="CB206" i="1" s="1"/>
  <c r="AY26" i="1"/>
  <c r="F60" i="1"/>
  <c r="CA365" i="1"/>
  <c r="GN354" i="1"/>
  <c r="CB365" i="1" s="1"/>
  <c r="AL91" i="1"/>
  <c r="Y111" i="1"/>
  <c r="CH352" i="1"/>
  <c r="AY365" i="1"/>
  <c r="CH305" i="1"/>
  <c r="AY320" i="1"/>
  <c r="R273" i="1"/>
  <c r="CE91" i="1"/>
  <c r="AV111" i="1"/>
  <c r="GN93" i="1"/>
  <c r="CB111" i="1" s="1"/>
  <c r="CA111" i="1"/>
  <c r="S305" i="1"/>
  <c r="F335" i="1"/>
  <c r="CF143" i="1"/>
  <c r="AW161" i="1"/>
  <c r="AK305" i="1"/>
  <c r="X320" i="1"/>
  <c r="CE193" i="1"/>
  <c r="AV206" i="1"/>
  <c r="AK26" i="1"/>
  <c r="X52" i="1"/>
  <c r="AB352" i="1"/>
  <c r="O365" i="1"/>
  <c r="CF305" i="1"/>
  <c r="AW320" i="1"/>
  <c r="P91" i="1"/>
  <c r="F114" i="1"/>
  <c r="P273" i="1"/>
  <c r="CA52" i="1"/>
  <c r="GN28" i="1"/>
  <c r="CB52" i="1" s="1"/>
  <c r="AW26" i="1"/>
  <c r="F58" i="1"/>
  <c r="F209" i="1"/>
  <c r="P193" i="1"/>
  <c r="CA161" i="1"/>
  <c r="V22" i="1"/>
  <c r="V428" i="1"/>
  <c r="F418" i="1"/>
  <c r="BD18" i="1"/>
  <c r="F453" i="1"/>
  <c r="W22" i="1"/>
  <c r="W428" i="1"/>
  <c r="F419" i="1"/>
  <c r="S193" i="1"/>
  <c r="F221" i="1"/>
  <c r="S26" i="1"/>
  <c r="F67" i="1"/>
  <c r="S395" i="1"/>
  <c r="AV26" i="1"/>
  <c r="F57" i="1"/>
  <c r="AB26" i="1"/>
  <c r="O52" i="1"/>
  <c r="GN307" i="1"/>
  <c r="CB320" i="1" s="1"/>
  <c r="CA320" i="1"/>
  <c r="CE143" i="1"/>
  <c r="AV161" i="1"/>
  <c r="Y193" i="1"/>
  <c r="F233" i="1"/>
  <c r="CH193" i="1"/>
  <c r="AY206" i="1"/>
  <c r="CB161" i="1"/>
  <c r="L1039" i="7" l="1"/>
  <c r="L1110" i="7" s="1"/>
  <c r="L784" i="7"/>
  <c r="F232" i="1"/>
  <c r="Q22" i="1"/>
  <c r="Q428" i="1"/>
  <c r="F440" i="1" s="1"/>
  <c r="K50" i="7"/>
  <c r="G1138" i="7"/>
  <c r="F78" i="1"/>
  <c r="X26" i="1"/>
  <c r="AW143" i="1"/>
  <c r="F167" i="1"/>
  <c r="AV91" i="1"/>
  <c r="F116" i="1"/>
  <c r="AV273" i="1"/>
  <c r="O91" i="1"/>
  <c r="F113" i="1"/>
  <c r="O273" i="1"/>
  <c r="AW193" i="1"/>
  <c r="F212" i="1"/>
  <c r="F392" i="1"/>
  <c r="Y352" i="1"/>
  <c r="AY193" i="1"/>
  <c r="F214" i="1"/>
  <c r="CA305" i="1"/>
  <c r="AR320" i="1"/>
  <c r="V18" i="1"/>
  <c r="F451" i="1"/>
  <c r="Y91" i="1"/>
  <c r="F138" i="1"/>
  <c r="Y273" i="1"/>
  <c r="Y395" i="1" s="1"/>
  <c r="F325" i="1"/>
  <c r="AV305" i="1"/>
  <c r="AV352" i="1"/>
  <c r="F370" i="1"/>
  <c r="Q18" i="1"/>
  <c r="AW305" i="1"/>
  <c r="F326" i="1"/>
  <c r="AV193" i="1"/>
  <c r="F211" i="1"/>
  <c r="R87" i="1"/>
  <c r="F287" i="1"/>
  <c r="R395" i="1"/>
  <c r="CB193" i="1"/>
  <c r="AS206" i="1"/>
  <c r="AW91" i="1"/>
  <c r="F117" i="1"/>
  <c r="AW273" i="1"/>
  <c r="X352" i="1"/>
  <c r="F391" i="1"/>
  <c r="Y26" i="1"/>
  <c r="F79" i="1"/>
  <c r="O305" i="1"/>
  <c r="F322" i="1"/>
  <c r="S22" i="1"/>
  <c r="F410" i="1"/>
  <c r="S428" i="1"/>
  <c r="O26" i="1"/>
  <c r="F54" i="1"/>
  <c r="CA143" i="1"/>
  <c r="AR161" i="1"/>
  <c r="CB26" i="1"/>
  <c r="AS52" i="1"/>
  <c r="F328" i="1"/>
  <c r="AY305" i="1"/>
  <c r="CB352" i="1"/>
  <c r="AS365" i="1"/>
  <c r="CA193" i="1"/>
  <c r="AR206" i="1"/>
  <c r="O193" i="1"/>
  <c r="F208" i="1"/>
  <c r="Y143" i="1"/>
  <c r="F188" i="1"/>
  <c r="AW352" i="1"/>
  <c r="F371" i="1"/>
  <c r="CB305" i="1"/>
  <c r="AS320" i="1"/>
  <c r="AS161" i="1"/>
  <c r="CB143" i="1"/>
  <c r="O352" i="1"/>
  <c r="F367" i="1"/>
  <c r="CA91" i="1"/>
  <c r="AR111" i="1"/>
  <c r="CA352" i="1"/>
  <c r="AR365" i="1"/>
  <c r="Y305" i="1"/>
  <c r="F347" i="1"/>
  <c r="AY91" i="1"/>
  <c r="F119" i="1"/>
  <c r="AY273" i="1"/>
  <c r="S87" i="1"/>
  <c r="F288" i="1"/>
  <c r="X91" i="1"/>
  <c r="F137" i="1"/>
  <c r="X273" i="1"/>
  <c r="X395" i="1" s="1"/>
  <c r="O143" i="1"/>
  <c r="F163" i="1"/>
  <c r="X143" i="1"/>
  <c r="F187" i="1"/>
  <c r="W18" i="1"/>
  <c r="F452" i="1"/>
  <c r="CA26" i="1"/>
  <c r="AR52" i="1"/>
  <c r="X305" i="1"/>
  <c r="F346" i="1"/>
  <c r="AV143" i="1"/>
  <c r="F166" i="1"/>
  <c r="P87" i="1"/>
  <c r="F276" i="1"/>
  <c r="P395" i="1"/>
  <c r="CB91" i="1"/>
  <c r="AS111" i="1"/>
  <c r="AY352" i="1"/>
  <c r="F373" i="1"/>
  <c r="AY143" i="1"/>
  <c r="F169" i="1"/>
  <c r="X22" i="1" l="1"/>
  <c r="F421" i="1"/>
  <c r="X428" i="1"/>
  <c r="AW87" i="1"/>
  <c r="F279" i="1"/>
  <c r="AW395" i="1"/>
  <c r="Y87" i="1"/>
  <c r="F300" i="1"/>
  <c r="AS91" i="1"/>
  <c r="F128" i="1"/>
  <c r="AS273" i="1"/>
  <c r="AS26" i="1"/>
  <c r="F69" i="1"/>
  <c r="Y22" i="1"/>
  <c r="Y428" i="1"/>
  <c r="F422" i="1"/>
  <c r="O87" i="1"/>
  <c r="F275" i="1"/>
  <c r="AR193" i="1"/>
  <c r="F234" i="1"/>
  <c r="S18" i="1"/>
  <c r="F443" i="1"/>
  <c r="AR352" i="1"/>
  <c r="F393" i="1"/>
  <c r="AS352" i="1"/>
  <c r="F382" i="1"/>
  <c r="F189" i="1"/>
  <c r="AR143" i="1"/>
  <c r="AS193" i="1"/>
  <c r="F223" i="1"/>
  <c r="P22" i="1"/>
  <c r="F398" i="1"/>
  <c r="P428" i="1"/>
  <c r="AR26" i="1"/>
  <c r="F80" i="1"/>
  <c r="F81" i="1" s="1"/>
  <c r="AY87" i="1"/>
  <c r="F281" i="1"/>
  <c r="AY395" i="1"/>
  <c r="AS143" i="1"/>
  <c r="F178" i="1"/>
  <c r="AV87" i="1"/>
  <c r="F278" i="1"/>
  <c r="AV395" i="1"/>
  <c r="X87" i="1"/>
  <c r="F299" i="1"/>
  <c r="AR91" i="1"/>
  <c r="F139" i="1"/>
  <c r="AR273" i="1"/>
  <c r="F337" i="1"/>
  <c r="AS305" i="1"/>
  <c r="O395" i="1"/>
  <c r="R22" i="1"/>
  <c r="F409" i="1"/>
  <c r="J16" i="2" s="1"/>
  <c r="R428" i="1"/>
  <c r="AR305" i="1"/>
  <c r="F348" i="1"/>
  <c r="O22" i="1" l="1"/>
  <c r="F397" i="1"/>
  <c r="O428" i="1"/>
  <c r="AW22" i="1"/>
  <c r="AW428" i="1"/>
  <c r="F401" i="1"/>
  <c r="AS87" i="1"/>
  <c r="F290" i="1"/>
  <c r="Y18" i="1"/>
  <c r="F455" i="1"/>
  <c r="X18" i="1"/>
  <c r="F454" i="1"/>
  <c r="P18" i="1"/>
  <c r="F431" i="1"/>
  <c r="AV22" i="1"/>
  <c r="F400" i="1"/>
  <c r="AV428" i="1"/>
  <c r="AR87" i="1"/>
  <c r="F301" i="1"/>
  <c r="AR395" i="1"/>
  <c r="AS395" i="1"/>
  <c r="AY22" i="1"/>
  <c r="F403" i="1"/>
  <c r="AY428" i="1"/>
  <c r="R18" i="1"/>
  <c r="F442" i="1"/>
  <c r="F82" i="1"/>
  <c r="F83" i="1"/>
  <c r="AW18" i="1" l="1"/>
  <c r="F434" i="1"/>
  <c r="AY18" i="1"/>
  <c r="F436" i="1"/>
  <c r="AV18" i="1"/>
  <c r="F433" i="1"/>
  <c r="AS22" i="1"/>
  <c r="AS428" i="1"/>
  <c r="F412" i="1"/>
  <c r="O18" i="1"/>
  <c r="F430" i="1"/>
  <c r="AR22" i="1"/>
  <c r="F423" i="1"/>
  <c r="F424" i="1" s="1"/>
  <c r="AR428" i="1"/>
  <c r="E16" i="2" l="1"/>
  <c r="I16" i="2" s="1"/>
  <c r="N16" i="2" s="1"/>
  <c r="C49" i="7"/>
  <c r="AS18" i="1"/>
  <c r="F445" i="1"/>
  <c r="AR18" i="1"/>
  <c r="F456" i="1"/>
  <c r="F457" i="1" s="1"/>
  <c r="F425" i="1"/>
  <c r="F426" i="1" s="1"/>
  <c r="F458" i="1" l="1"/>
  <c r="F459" i="1" s="1"/>
</calcChain>
</file>

<file path=xl/sharedStrings.xml><?xml version="1.0" encoding="utf-8"?>
<sst xmlns="http://schemas.openxmlformats.org/spreadsheetml/2006/main" count="12250" uniqueCount="886">
  <si>
    <t>Smeta.RU  (495) 974-1589</t>
  </si>
  <si>
    <t>_PS_</t>
  </si>
  <si>
    <t>Smeta.RU</t>
  </si>
  <si>
    <t/>
  </si>
  <si>
    <t>Новый объект</t>
  </si>
  <si>
    <t>крыльца, цоколь, ФОК, пом 308</t>
  </si>
  <si>
    <t>Сметные нормы списания</t>
  </si>
  <si>
    <t>Коды ценников</t>
  </si>
  <si>
    <t>ФСНБ-2022_И18</t>
  </si>
  <si>
    <t>Версия 1.18.0 для ФСНБ-2022 И18</t>
  </si>
  <si>
    <t>ФСНБ-2022 - Изменения И18</t>
  </si>
  <si>
    <t>Поправки для ФСНБ-2022 от 21.05.2026 г И18 (55/пр) Капитальный ремонт жилых и общественных зданий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</si>
  <si>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</si>
  <si>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</si>
  <si>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Новая локальная смета</t>
  </si>
  <si>
    <t>Новый раздел</t>
  </si>
  <si>
    <t>ул. Николоямская</t>
  </si>
  <si>
    <t>1</t>
  </si>
  <si>
    <t>57-01-002-08</t>
  </si>
  <si>
    <t>Разборка покрытий полов: из керамогранитных плит</t>
  </si>
  <si>
    <t>100 м2</t>
  </si>
  <si>
    <t>ГЭСНр-2022 доп.3, 57-01-002-08, приказ Минстроя России от 26.10.2022 г. № 905/пр</t>
  </si>
  <si>
    <t>Ремонтно-строительные работы</t>
  </si>
  <si>
    <t>Полы</t>
  </si>
  <si>
    <t>рФЕР-57</t>
  </si>
  <si>
    <t>Пр/812-091.0-1</t>
  </si>
  <si>
    <t>Пр/774-091.0</t>
  </si>
  <si>
    <t>1,1</t>
  </si>
  <si>
    <t>999-9900</t>
  </si>
  <si>
    <t>Строительный мусор</t>
  </si>
  <si>
    <t>т</t>
  </si>
  <si>
    <t>2</t>
  </si>
  <si>
    <t>69-01-019-16</t>
  </si>
  <si>
    <t>Разборка горизонтальных поверхностей железобетонных конструкций при помощи отбойных молотков, бетон марки: 150</t>
  </si>
  <si>
    <t>м3</t>
  </si>
  <si>
    <t>ГЭСНр-2022 доп.10, 69-01-019-16, приказ Минстроя России от 13.05.2024 г. № 323/пр</t>
  </si>
  <si>
    <t>Прочие ремонтно-строительные работы</t>
  </si>
  <si>
    <t>рФЕР-69</t>
  </si>
  <si>
    <t>Пр/812-103.0-1</t>
  </si>
  <si>
    <t>Пр/774-103.0</t>
  </si>
  <si>
    <t>3</t>
  </si>
  <si>
    <t>06-01-004-06</t>
  </si>
  <si>
    <t>Устройство: железобетонных крылец</t>
  </si>
  <si>
    <t>ГЭСН-2022 доп.16, 06-01-004-06, приказ Минстроя России от 12.11.2025 г. № 696/пр</t>
  </si>
  <si>
    <t>Общестроительные работы</t>
  </si>
  <si>
    <t>Бетонные и железобетонные монолитные конструкции и работы в строительстве</t>
  </si>
  <si>
    <t>ФЕР-06</t>
  </si>
  <si>
    <t>Пр/812-006.0-1</t>
  </si>
  <si>
    <t>Пр/774-006.0</t>
  </si>
  <si>
    <t>3,1</t>
  </si>
  <si>
    <t>04.1.02.05-0128</t>
  </si>
  <si>
    <t>Смеси бетонные тяжелого бетона (БСТ) на щебне из гравия, класс В12,5, F(1)100, W4</t>
  </si>
  <si>
    <t>ФСБЦ-2022 доп.14, 04.1.02.05-0128, приказ Минстроя России от 19.05.2025 г. № 299/пр</t>
  </si>
  <si>
    <t>3,2</t>
  </si>
  <si>
    <t>11.1.03.05-0064</t>
  </si>
  <si>
    <t>Доска необрезная хвойных пород, естественной влажности, длина 2-6,5 м, ширина 100-250, толщина 30-50 мм, сорт II</t>
  </si>
  <si>
    <t>ФСБЦ-2022, 11.1.03.05-0064, приказ Минстроя России от 18.05.2022 г. № 378/пр</t>
  </si>
  <si>
    <t>3,3</t>
  </si>
  <si>
    <t>08.1.02.17-0091</t>
  </si>
  <si>
    <t>Сетка стальная сварная из арматурной проволоки без покрытия, диаметр проволоки 4 мм размер ячейки 100х100 мм</t>
  </si>
  <si>
    <t>м2</t>
  </si>
  <si>
    <t>ФСБЦ-2022, 08.1.02.17-0091, приказ Минстроя России от 18.05.2022 г. № 378/пр</t>
  </si>
  <si>
    <t>4</t>
  </si>
  <si>
    <t>06-03-004-03</t>
  </si>
  <si>
    <t>Установка анкерных болтов: при бетонировании со связями из арматуры</t>
  </si>
  <si>
    <t>ГЭСН-2022 доп.16, 06-03-004-03, приказ Минстроя России от 12.11.2025 г. № 696/пр</t>
  </si>
  <si>
    <t>4,1</t>
  </si>
  <si>
    <t>08.4.01.01-0025</t>
  </si>
  <si>
    <t>Болты анкерные фундаментные стальные в комплекте с двумя гайками М12 и шайбами М12, тип 1, диаметр М12</t>
  </si>
  <si>
    <t>ФСБЦ-2022 доп.2, 08.4.01.01-0025, приказ Минстроя России от 26.08.2022 г. № 703/пр</t>
  </si>
  <si>
    <t>5</t>
  </si>
  <si>
    <t>11-01-004-05</t>
  </si>
  <si>
    <t>Устройство гидроизоляции обмазочной: в один слой толщиной 2 мм</t>
  </si>
  <si>
    <t>ГЭСН-2022 доп.7, 11-01-004-05, приказ Минстроя России от 02.08.2023 г. № 551/пр</t>
  </si>
  <si>
    <t>ФЕР-11</t>
  </si>
  <si>
    <t>Пр/812-011.0-1</t>
  </si>
  <si>
    <t>Пр/774-011.0</t>
  </si>
  <si>
    <t>6</t>
  </si>
  <si>
    <t>11-01-047-01</t>
  </si>
  <si>
    <t>Устройство покрытий из плит керамогранитных размером: 40х40 см</t>
  </si>
  <si>
    <t>ГЭСН-2022, 11-01-047-01, приказ Минстроя России от 18.05.2022 г. № 378/пр</t>
  </si>
  <si>
    <t>6,1</t>
  </si>
  <si>
    <t>06.2.05.03-0003</t>
  </si>
  <si>
    <t>Плитка керамогранитная, неполированная, многоцветная, толщина 9 мм</t>
  </si>
  <si>
    <t>ФСБЦ-2022, 06.2.05.03-0003, приказ Минстроя России от 18.05.2022 г. № 378/пр</t>
  </si>
  <si>
    <t>6,2</t>
  </si>
  <si>
    <t>11.2.04.05-0001</t>
  </si>
  <si>
    <t>Рейка строганная сухая хвойных пород (ель, сосна), длина 2-3 м, размеры 8х18 мм</t>
  </si>
  <si>
    <t>ФСБЦ-2022, 11.2.04.05-0001, приказ Минстроя России от 18.05.2022 г. № 378/пр</t>
  </si>
  <si>
    <t>6,3</t>
  </si>
  <si>
    <t>14.1.06.02-0002</t>
  </si>
  <si>
    <t>Клей монтажный сухой для внутренних и наружных работ на основе цементного вяжущего, для плитки</t>
  </si>
  <si>
    <t>ФСБЦ-2022, 14.1.06.02-0002, приказ Минстроя России от 18.05.2022 г. № 378/пр</t>
  </si>
  <si>
    <t>6,4</t>
  </si>
  <si>
    <t>14.4.01.21-0314</t>
  </si>
  <si>
    <t>Грунтовка с высокой степенью проникновения для укрепления бетонных поверхностей</t>
  </si>
  <si>
    <t>кг</t>
  </si>
  <si>
    <t>ФСБЦ-2022, 14.4.01.21-0314, приказ Минстроя России от 18.05.2022 г. № 378/пр</t>
  </si>
  <si>
    <t>7</t>
  </si>
  <si>
    <t>11-01-049-01</t>
  </si>
  <si>
    <t>Укладка металлического накладного профиля (порога)</t>
  </si>
  <si>
    <t>100 м</t>
  </si>
  <si>
    <t>ГЭСН-2022, 11-01-049-01, приказ Минстроя России от 18.05.2022 г. № 378/пр</t>
  </si>
  <si>
    <t>7,1</t>
  </si>
  <si>
    <t>09.2.01.05-0096</t>
  </si>
  <si>
    <t>Уголок противоскользящий, прим</t>
  </si>
  <si>
    <t>м</t>
  </si>
  <si>
    <t>ФСБЦ-2022 доп.14, 09.2.01.05-0096, приказ Минстроя России от 19.05.2025 г. № 299/пр</t>
  </si>
  <si>
    <t>8</t>
  </si>
  <si>
    <t>61-02-001-03</t>
  </si>
  <si>
    <t>Ремонт штукатурки гладких фасадов по камню и бетону с земли и лесов: цементно-известковым раствором площадью отдельных мест более 5 м2 толщиной слоя до 20 мм</t>
  </si>
  <si>
    <t>ГЭСНр-2022 доп.8, 61-02-001-03, приказ Минстроя России от 14.11.2023 г. № 817/пр</t>
  </si>
  <si>
    <t>Штукатурные работы</t>
  </si>
  <si>
    <t>рФЕР-61</t>
  </si>
  <si>
    <t>Пр/812-095.0-1</t>
  </si>
  <si>
    <t>Пр/774-095.0</t>
  </si>
  <si>
    <t>8,1</t>
  </si>
  <si>
    <t>9</t>
  </si>
  <si>
    <t>62-02-008-07</t>
  </si>
  <si>
    <t>Окраска перхлорвиниловыми красками по подготовленной поверхности фасадов: сложных за 1 раз с земли и лесов</t>
  </si>
  <si>
    <t>ГЭСНр-2022 доп.17, 62-02-008-07, приказ Минстроя России от 17.02.2026 г. № 91/пр</t>
  </si>
  <si>
    <t>Малярные работы</t>
  </si>
  <si>
    <t>рФЕР-62</t>
  </si>
  <si>
    <t>Пр/812-096.0-1</t>
  </si>
  <si>
    <t>Пр/774-096.0</t>
  </si>
  <si>
    <t>9,1</t>
  </si>
  <si>
    <t>14.4.02.07-0002</t>
  </si>
  <si>
    <t>Эмаль ХВ-161</t>
  </si>
  <si>
    <t>ФСБЦ-2022 доп.13, 14.4.02.07-0002, приказ Минстроя России от 07.02.2025 г. № 69/пр</t>
  </si>
  <si>
    <t>10</t>
  </si>
  <si>
    <t>47-1</t>
  </si>
  <si>
    <t>Погрузка в автотранспортное средство: мусор строительный с погрузкой вручную</t>
  </si>
  <si>
    <t>1т груза</t>
  </si>
  <si>
    <t>Погрузочно-разгрузочные работы</t>
  </si>
  <si>
    <t>812/пр и 774/пр п.106</t>
  </si>
  <si>
    <t>Пр/812-106.0-1</t>
  </si>
  <si>
    <t>Пр/774-106.0</t>
  </si>
  <si>
    <t>11</t>
  </si>
  <si>
    <t>02-15-1-01-0036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</si>
  <si>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36 км</t>
  </si>
  <si>
    <t>Автомобили бортовые</t>
  </si>
  <si>
    <t>Перевозка строительных грузов автомобильным транспортом</t>
  </si>
  <si>
    <t>Перевозка строительных грузов автомобильным транспортом, тракторами и прицепами</t>
  </si>
  <si>
    <t>812/пр и 774/пр п.107</t>
  </si>
  <si>
    <t>Пр/812-107.0-1</t>
  </si>
  <si>
    <t>Пр/774-107.0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</si>
  <si>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</si>
  <si>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</si>
  <si>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</si>
  <si>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</si>
  <si>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</si>
  <si>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</si>
  <si>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</si>
  <si>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</si>
  <si>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</si>
  <si>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</si>
  <si>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</si>
  <si>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</si>
  <si>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</si>
  <si>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</si>
  <si>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</si>
  <si>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</si>
  <si>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</si>
  <si>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</si>
  <si>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</si>
  <si>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</si>
  <si>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</si>
  <si>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</si>
  <si>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</si>
  <si>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</si>
  <si>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</si>
  <si>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</si>
  <si>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</si>
  <si>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</si>
  <si>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</si>
  <si>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</si>
  <si>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</si>
  <si>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</si>
  <si>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</si>
  <si>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</si>
  <si>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</si>
  <si>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</si>
  <si>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</si>
  <si>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</si>
  <si>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</si>
  <si>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</si>
  <si>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</si>
  <si>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</si>
  <si>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</si>
  <si>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</si>
  <si>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</si>
  <si>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</si>
  <si>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</si>
  <si>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</si>
  <si>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</si>
  <si>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</si>
  <si>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</si>
  <si>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</si>
  <si>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</si>
  <si>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</si>
  <si>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Итого</t>
  </si>
  <si>
    <t>НДС</t>
  </si>
  <si>
    <t>НДС 22%</t>
  </si>
  <si>
    <t>ИтогоНДС</t>
  </si>
  <si>
    <t>Итого с НДС</t>
  </si>
  <si>
    <t>ФОК</t>
  </si>
  <si>
    <t>Новый подраздел</t>
  </si>
  <si>
    <t>площадка входа</t>
  </si>
  <si>
    <t>12</t>
  </si>
  <si>
    <t>12,1</t>
  </si>
  <si>
    <t>13</t>
  </si>
  <si>
    <t>14</t>
  </si>
  <si>
    <t>14,1</t>
  </si>
  <si>
    <t>14,2</t>
  </si>
  <si>
    <t>14,3</t>
  </si>
  <si>
    <t>15</t>
  </si>
  <si>
    <t>15,1</t>
  </si>
  <si>
    <t>16</t>
  </si>
  <si>
    <t>17</t>
  </si>
  <si>
    <t>17,1</t>
  </si>
  <si>
    <t>17,2</t>
  </si>
  <si>
    <t>17,3</t>
  </si>
  <si>
    <t>17,4</t>
  </si>
  <si>
    <t>18</t>
  </si>
  <si>
    <t>18,1</t>
  </si>
  <si>
    <t>Раздевалка женская</t>
  </si>
  <si>
    <t>19</t>
  </si>
  <si>
    <t>62-01-016-05</t>
  </si>
  <si>
    <t>Окрашивание водоэмульсионными составами поверхностей стен, ранее окрашенных: водоэмульсионной краской с расчисткой старой краски свыше 10 до 35%</t>
  </si>
  <si>
    <t>ГЭСНр-2022 доп.17, 62-01-016-05, приказ Минстроя России от 17.02.2026 г. № 91/пр</t>
  </si>
  <si>
    <t>19,1</t>
  </si>
  <si>
    <t>14.3.02.01-0362</t>
  </si>
  <si>
    <t>Краска водно-дисперсионная акрилатная ВД-АК-104</t>
  </si>
  <si>
    <t>ФСБЦ-2022, 14.3.02.01-0362, приказ Минстроя России от 18.05.2022 г. № 378/пр</t>
  </si>
  <si>
    <t>20</t>
  </si>
  <si>
    <t>20,1</t>
  </si>
  <si>
    <t>21</t>
  </si>
  <si>
    <t>57-01-003-03</t>
  </si>
  <si>
    <t>Разборка плинтусов: керамогранитных</t>
  </si>
  <si>
    <t>ГЭСНр-2022, 57-01-003-03, приказ Минстроя России от 18.05.2022 г. № 378/пр</t>
  </si>
  <si>
    <t>21,1</t>
  </si>
  <si>
    <t>22</t>
  </si>
  <si>
    <t>*1,25</t>
  </si>
  <si>
    <t>*1,15</t>
  </si>
  <si>
    <t>*0,9</t>
  </si>
  <si>
    <t>*0,85</t>
  </si>
  <si>
    <t>Поправка: 421/пр_2020_п.58_пп.б</t>
  </si>
  <si>
    <t>22,1</t>
  </si>
  <si>
    <t>22,2</t>
  </si>
  <si>
    <t>22,3</t>
  </si>
  <si>
    <t>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</si>
  <si>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</si>
  <si>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ФСБЦ-2022, 14.1.06.02-0011, приказ Минстроя России от 18.05.2022 г. № 378/пр</t>
  </si>
  <si>
    <t>22,4</t>
  </si>
  <si>
    <t>14.4.01.21</t>
  </si>
  <si>
    <t>Грунтовка</t>
  </si>
  <si>
    <t>23</t>
  </si>
  <si>
    <t>11-01-039-06</t>
  </si>
  <si>
    <t>Устройство плинтусов: из плиток керамогранитных</t>
  </si>
  <si>
    <t>ГЭСН-2022 доп.8, 11-01-039-06, приказ Минстроя России от 14.11.2023 г. № 817/пр</t>
  </si>
  <si>
    <t>23,1</t>
  </si>
  <si>
    <t>04.3.02.09-0102</t>
  </si>
  <si>
    <t>Смеси сухие водостойкие для затирки межплиточных швов шириной 1-6 мм (различная цветовая гамма)</t>
  </si>
  <si>
    <t>ФСБЦ-2022, 04.3.02.09-0102, приказ Минстроя России от 18.05.2022 г. № 378/пр</t>
  </si>
  <si>
    <t>23,2</t>
  </si>
  <si>
    <t>23,3</t>
  </si>
  <si>
    <t>Раздевалка мужская</t>
  </si>
  <si>
    <t>24</t>
  </si>
  <si>
    <t>24,1</t>
  </si>
  <si>
    <t>25</t>
  </si>
  <si>
    <t>25,1</t>
  </si>
  <si>
    <t>26</t>
  </si>
  <si>
    <t>26,1</t>
  </si>
  <si>
    <t>26,2</t>
  </si>
  <si>
    <t>26,3</t>
  </si>
  <si>
    <t>27</t>
  </si>
  <si>
    <t>27,1</t>
  </si>
  <si>
    <t>09.2.03.02-0023</t>
  </si>
  <si>
    <t>Профиль стыкоперекрывающий из алюминиевых сплавов (порожки) с покрытием, ширина 60 мм, длина 0,9 м</t>
  </si>
  <si>
    <t>ШТ</t>
  </si>
  <si>
    <t>ФСБЦ-2022, 09.2.03.02-0023, приказ Минстроя России от 18.05.2022 г. № 378/пр</t>
  </si>
  <si>
    <t>28</t>
  </si>
  <si>
    <t>29</t>
  </si>
  <si>
    <t>помещение 308  (земляной вал, д.73)</t>
  </si>
  <si>
    <t>30</t>
  </si>
  <si>
    <t>57-01-003-01</t>
  </si>
  <si>
    <t>Разборка плинтусов: деревянных и из пластмассовых материалов</t>
  </si>
  <si>
    <t>ГЭСНр-2022, 57-01-003-01, приказ Минстроя России от 18.05.2022 г. № 378/пр</t>
  </si>
  <si>
    <t>30,1</t>
  </si>
  <si>
    <t>31</t>
  </si>
  <si>
    <t>57-01-001-04</t>
  </si>
  <si>
    <t>Разборка оснований покрытия полов: дощатых оснований щитового паркета</t>
  </si>
  <si>
    <t>ГЭСНр-2022, 57-01-001-04, приказ Минстроя России от 18.05.2022 г. № 378/пр</t>
  </si>
  <si>
    <t>31,1</t>
  </si>
  <si>
    <t>32</t>
  </si>
  <si>
    <t>11-01-053-02</t>
  </si>
  <si>
    <t>Устройство оснований полов из фанеры в один слой площадью: свыше 20 м2</t>
  </si>
  <si>
    <t>ГЭСН-2022, 11-01-053-02, приказ Минстроя России от 18.05.2022 г. № 378/пр</t>
  </si>
  <si>
    <t>32,1</t>
  </si>
  <si>
    <t>11.2.11.04-0050</t>
  </si>
  <si>
    <t>Фанера с наружными слоями из шпона березы, марка ФК, сорт II/IV, шлифованная, толщина 9-10 мм</t>
  </si>
  <si>
    <t>ФСБЦ-2022 доп.7, 11.2.11.04-0050, приказ Минстроя России от 02.08.2023 г. № 551/пр</t>
  </si>
  <si>
    <t>33</t>
  </si>
  <si>
    <t>11-01-034-04</t>
  </si>
  <si>
    <t>Устройство покрытий: из досок ламинированных замковым способом</t>
  </si>
  <si>
    <t>ГЭСН-2022 доп.12, 11-01-034-04, приказ Минстроя России от 07.11.2024 г. № 747/пр</t>
  </si>
  <si>
    <t>33,1</t>
  </si>
  <si>
    <t>ТЦ_59.00.00.00_50_5003052454_07.07.2026_02_1.1</t>
  </si>
  <si>
    <t>Кварцвинил</t>
  </si>
  <si>
    <t>Материалы, отсутствующие в СНБ (Строительные)</t>
  </si>
  <si>
    <t>МР КА Строительные</t>
  </si>
  <si>
    <t>34</t>
  </si>
  <si>
    <t>11-01-040-01</t>
  </si>
  <si>
    <t>Устройство плинтусов поливинилхлоридных: на клее КН-2</t>
  </si>
  <si>
    <t>ГЭСН-2022, 11-01-040-01, приказ Минстроя России от 18.05.2022 г. № 378/пр</t>
  </si>
  <si>
    <t>34,1</t>
  </si>
  <si>
    <t>ТЦ_59.00.00.00_77_7709980962_08.07.2026_02_2.1</t>
  </si>
  <si>
    <t>Плинтус МДФ</t>
  </si>
  <si>
    <t>МП</t>
  </si>
  <si>
    <t>35</t>
  </si>
  <si>
    <t>36</t>
  </si>
  <si>
    <t>Ремонт входной группы ул. Народного Ополчения, д.38, корп.2</t>
  </si>
  <si>
    <t>37</t>
  </si>
  <si>
    <t>61-02-008-01</t>
  </si>
  <si>
    <t>Ремонт штукатурки фасадов сухой растворной смесью</t>
  </si>
  <si>
    <t>ГЭСНр-2022, 61-02-008-01, приказ Минстроя России от 18.05.2022 г. № 378/пр</t>
  </si>
  <si>
    <t>37,1</t>
  </si>
  <si>
    <t>04.3.02.09-1015</t>
  </si>
  <si>
    <t>Смеси сухие штукатурно-клеевые на цементной основе для наружных и внутренних работ, фракции 1,5 мм</t>
  </si>
  <si>
    <t>ФСБЦ-2022, 04.3.02.09-1015, приказ Минстроя России от 18.05.2022 г. № 378/пр</t>
  </si>
  <si>
    <t>38</t>
  </si>
  <si>
    <t>62-02-008-04</t>
  </si>
  <si>
    <t>Окраска перхлорвиниловыми красками по подготовленной поверхности фасадов: простых за 2 раза с земли и лесов</t>
  </si>
  <si>
    <t>ГЭСНр-2022 доп.17, 62-02-008-04, приказ Минстроя России от 17.02.2026 г. № 91/пр</t>
  </si>
  <si>
    <t>38,1</t>
  </si>
  <si>
    <t>39</t>
  </si>
  <si>
    <t>61-01-002-11</t>
  </si>
  <si>
    <t>Ремонт штукатурки внутренних стен по камню и бетону цементно-известковым раствором, площадью отдельных мест: более 10 м2 толщиной слоя до 20 мм</t>
  </si>
  <si>
    <t>ГЭСНр-2022 доп.8, 61-01-002-11, приказ Минстроя России от 14.11.2023 г. № 817/пр</t>
  </si>
  <si>
    <t>39,1</t>
  </si>
  <si>
    <t>40</t>
  </si>
  <si>
    <t>62-01-016-04</t>
  </si>
  <si>
    <t>Окрашивание водоэмульсионными составами поверхностей стен, ранее окрашенных: водоэмульсионной краской с расчисткой старой краски до 10%</t>
  </si>
  <si>
    <t>ГЭСНр-2022 доп.17, 62-01-016-04, приказ Минстроя России от 17.02.2026 г. № 91/пр</t>
  </si>
  <si>
    <t>40,1</t>
  </si>
  <si>
    <t>14.3.02.01-0111</t>
  </si>
  <si>
    <t>Краска водно-дисперсионная акрилатная ВД-АК-101</t>
  </si>
  <si>
    <t>ФСБЦ-2022, 14.3.02.01-0111, приказ Минстроя России от 18.05.2022 г. № 378/пр</t>
  </si>
  <si>
    <t>41</t>
  </si>
  <si>
    <t>42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</si>
  <si>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</si>
  <si>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</si>
  <si>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</si>
  <si>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</si>
  <si>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</si>
  <si>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</si>
  <si>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</si>
  <si>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</si>
  <si>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</si>
  <si>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</si>
  <si>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</si>
  <si>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</si>
  <si>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</si>
  <si>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</si>
  <si>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</si>
  <si>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</si>
  <si>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</si>
  <si>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</si>
  <si>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</si>
  <si>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</si>
  <si>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</si>
  <si>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</si>
  <si>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</si>
  <si>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</si>
  <si>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</si>
  <si>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</si>
  <si>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</si>
  <si>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</si>
  <si>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</si>
  <si>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</si>
  <si>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</si>
  <si>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</si>
  <si>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</si>
  <si>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</si>
  <si>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</si>
  <si>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</si>
  <si>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</si>
  <si>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</si>
  <si>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</si>
  <si>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</si>
  <si>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</si>
  <si>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</si>
  <si>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</si>
  <si>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</si>
  <si>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</si>
  <si>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</si>
  <si>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</si>
  <si>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</si>
  <si>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</si>
  <si>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</si>
  <si>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</si>
  <si>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</si>
  <si>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</si>
  <si>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</si>
  <si>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</si>
  <si>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</si>
  <si>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</si>
  <si>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</si>
  <si>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</si>
  <si>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</si>
  <si>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</si>
  <si>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</si>
  <si>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</si>
  <si>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</si>
  <si>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</si>
  <si>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</si>
  <si>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</si>
  <si>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</si>
  <si>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Москва, КТЦ к ФСНБ-2022, 2 квартал 2026 г</t>
  </si>
  <si>
    <t>Сборник индексов</t>
  </si>
  <si>
    <t>Москва к ФСНБ-2022 ФГИС ЦС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</si>
  <si>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II квартал 2026 года»</t>
  </si>
  <si>
    <t>Справочная информация</t>
  </si>
  <si>
    <t>Письмо Минстроя России от 22.05.2026 № 31076-ИФ/09</t>
  </si>
  <si>
    <t>Письмо Департамента экономической политики и развития города Москвы от 27.10.2025 № ДПР-3-23615/25(1)</t>
  </si>
  <si>
    <t>_OBSM_</t>
  </si>
  <si>
    <t>1-100-28</t>
  </si>
  <si>
    <t>Средний разряд работы 2,8</t>
  </si>
  <si>
    <t>чел.-ч.</t>
  </si>
  <si>
    <t>4-100-00</t>
  </si>
  <si>
    <t>Затраты труда машинистов</t>
  </si>
  <si>
    <t>91.06.06-048</t>
  </si>
  <si>
    <t>ФСЭМ-2022, 91.06.06-048, приказ Минстроя России от 18.05.2022 г. № 378/пр</t>
  </si>
  <si>
    <t>Подъемники одномачтовые, грузоподъемность до 500 кг, высота подъема 45 м</t>
  </si>
  <si>
    <t>маш.-ч</t>
  </si>
  <si>
    <t>4-100-030</t>
  </si>
  <si>
    <t>1-100-30</t>
  </si>
  <si>
    <t>Средний разряд работы 3,0</t>
  </si>
  <si>
    <t>91.17.04-042</t>
  </si>
  <si>
    <t>ФСЭМ-2022, 91.17.04-042, приказ Минстроя России от 18.05.2022 г. № 378/пр</t>
  </si>
  <si>
    <t>Аппараты для газовой сварки и резки</t>
  </si>
  <si>
    <t>91.18.01-012</t>
  </si>
  <si>
    <t>ФСЭМ-2022 доп.17, 91.18.01-012, приказ Минстроя России от 17.02.2026 г. № 91/пр</t>
  </si>
  <si>
    <t>Компрессоры винтовые передвижные с электродвигателем, давление до 0,6 МПа (6 атм), производительность до 3,5 м3/мин</t>
  </si>
  <si>
    <t>91.21.10-002</t>
  </si>
  <si>
    <t>ФСЭМ-2022, 91.21.10-002, приказ Минстроя России от 18.05.2022 г. № 378/пр</t>
  </si>
  <si>
    <t>Молотки отбойные пневматические при работе от передвижных компрессоров</t>
  </si>
  <si>
    <t>01.3.02.03-0001</t>
  </si>
  <si>
    <t>ФСБЦ-2022, 01.3.02.03-0001, приказ Минстроя России от 18.05.2022 г. № 378/пр</t>
  </si>
  <si>
    <t>Ацетилен газообразный технический</t>
  </si>
  <si>
    <t>01.3.02.08-0001</t>
  </si>
  <si>
    <t>ФСБЦ-2022 доп.3, 01.3.02.08-0001, приказ Минстроя России от 26.10.2022 г. № 905/пр</t>
  </si>
  <si>
    <t>Кислород газообразный технический</t>
  </si>
  <si>
    <t>91.05.05-015</t>
  </si>
  <si>
    <t>ФСЭМ-2022, 91.05.05-015, приказ Минстроя России от 18.05.2022 г. № 378/пр</t>
  </si>
  <si>
    <t>Краны на автомобильном ходу, грузоподъемность 16 т</t>
  </si>
  <si>
    <t>4-100-060</t>
  </si>
  <si>
    <t>91.07.04-001</t>
  </si>
  <si>
    <t>ФСЭМ-2022 доп.4, 91.07.04-001, приказ Минстроя России от 27.12.2022 г. № 1133/пр</t>
  </si>
  <si>
    <t>Вибраторы глубинные</t>
  </si>
  <si>
    <t>91.07.04-002</t>
  </si>
  <si>
    <t>ФСЭМ-2022 доп.4, 91.07.04-002, приказ Минстроя России от 27.12.2022 г. № 1133/пр</t>
  </si>
  <si>
    <t>Вибраторы поверхностные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</si>
  <si>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</si>
  <si>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</si>
  <si>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</si>
  <si>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4-100-040</t>
  </si>
  <si>
    <t>01.7.03.01-0001</t>
  </si>
  <si>
    <t>ФСБЦ-2022, 01.7.03.01-0001, приказ Минстроя России от 18.05.2022 г. № 378/пр</t>
  </si>
  <si>
    <t>Вода</t>
  </si>
  <si>
    <t>01.7.12.05-0053</t>
  </si>
  <si>
    <t>ФСБЦ-2022, 01.7.12.05-0053, приказ Минстроя России от 18.05.2022 г. № 378/пр</t>
  </si>
  <si>
    <t>Геополотно нетканое полиэфирное, иглопробивное, поверхностная плотность 200 г/м2</t>
  </si>
  <si>
    <t>08.3.03.06-0001</t>
  </si>
  <si>
    <t>ФСБЦ-2022, 08.3.03.06-0001, приказ Минстроя России от 18.05.2022 г. № 378/пр</t>
  </si>
  <si>
    <t>Проволока вязальная</t>
  </si>
  <si>
    <t>11.1.03.01-0063</t>
  </si>
  <si>
    <t>ФСБЦ-2022 доп.2, 11.1.03.01-0063, приказ Минстроя России от 26.08.2022 г. № 703/пр</t>
  </si>
  <si>
    <t>Бруски обрезные хвойных пород (ель, сосна), естественной влажности, длина 2-6,5 м, ширина 20-90 мм, толщина 20-90 мм, сорт III</t>
  </si>
  <si>
    <t>11.1.03.06-0079</t>
  </si>
  <si>
    <t>ФСБЦ-2022 доп.4, 11.1.03.06-0079, приказ Минстроя России от 27.12.2022 г. № 1133/пр</t>
  </si>
  <si>
    <t>Доска обрезная хвойных пород, естественной влажности, длина 2-6,5 м, ширина 100-250 мм, толщина 44-50 мм, сорт III</t>
  </si>
  <si>
    <t>1-100-35</t>
  </si>
  <si>
    <t>Средний разряд работы 3,5</t>
  </si>
  <si>
    <t>91.17.04-233</t>
  </si>
  <si>
    <t>ФСЭМ-2022, 91.17.04-233, приказ Минстроя России от 18.05.2022 г. № 378/пр</t>
  </si>
  <si>
    <t>Аппараты сварочные для ручной дуговой сварки, сварочный ток до 350 А</t>
  </si>
  <si>
    <t>01.7.11.07-0227</t>
  </si>
  <si>
    <t>ФСБЦ-2022, 01.7.11.07-0227, приказ Минстроя России от 18.05.2022 г. № 378/пр</t>
  </si>
  <si>
    <t>Электроды сварочные для сварки низколегированных и углеродистых сталей УОНИ 13/45, Э42А, диаметр 4-5 мм</t>
  </si>
  <si>
    <t>07.2.07.02-0001</t>
  </si>
  <si>
    <t>ФСБЦ-2022, 07.2.07.02-0001, приказ Минстроя России от 18.05.2022 г. № 378/пр</t>
  </si>
  <si>
    <t>Кондуктор инвентарный металлический</t>
  </si>
  <si>
    <t>08.4.03.02-0002</t>
  </si>
  <si>
    <t>ФСБЦ-2022, 08.4.03.02-0002, приказ Минстроя России от 18.05.2022 г. № 378/пр</t>
  </si>
  <si>
    <t>Сталь арматурная горячекатаная гладкая, класс A-I, диаметр 6-22 мм</t>
  </si>
  <si>
    <t>1-100-49</t>
  </si>
  <si>
    <t>Средний разряд работы 4,9</t>
  </si>
  <si>
    <t>91.08.04-021</t>
  </si>
  <si>
    <t>ФСЭМ-2022, 91.08.04-021, приказ Минстроя России от 18.05.2022 г. № 378/пр</t>
  </si>
  <si>
    <t>Котлы битумные передвижные электрические с центробежной мешалкой, объем загрузочной емкости 400 л</t>
  </si>
  <si>
    <t>91.21.22-421</t>
  </si>
  <si>
    <t>ФСЭМ-2022, 91.21.22-421, приказ Минстроя России от 18.05.2022 г. № 378/пр</t>
  </si>
  <si>
    <t>Термосы 100 л</t>
  </si>
  <si>
    <t>01.1.02.10-1022</t>
  </si>
  <si>
    <t>ФСБЦ-2022, 01.1.02.10-1022, приказ Минстроя России от 18.05.2022 г. № 378/пр</t>
  </si>
  <si>
    <t>Хризотил (асбест хризотиловый), группа 6К, марки 6К-45, 6К-30, 6К-20, 6К-5</t>
  </si>
  <si>
    <t>01.2.01.02-0052</t>
  </si>
  <si>
    <t>ФСБЦ-2022, 01.2.01.02-0052, приказ Минстроя России от 18.05.2022 г. № 378/пр</t>
  </si>
  <si>
    <t>Битум нефтяной строительный БН-70/30</t>
  </si>
  <si>
    <t>01.2.01.02-0054</t>
  </si>
  <si>
    <t>ФСБЦ-2022, 01.2.01.02-0054, приказ Минстроя России от 18.05.2022 г. № 378/пр</t>
  </si>
  <si>
    <t>Битум нефтяной строительный БН-90/10</t>
  </si>
  <si>
    <t>01.3.01.01-0010</t>
  </si>
  <si>
    <t>ФСБЦ-2022 доп.6, 01.3.01.01-0010, приказ Минстроя России от 11.05.2023 г. № 335/пр</t>
  </si>
  <si>
    <t>Бензин-растворитель</t>
  </si>
  <si>
    <t>01.7.07.13-0001</t>
  </si>
  <si>
    <t>ФСБЦ-2022, 01.7.07.13-0001, приказ Минстроя России от 18.05.2022 г. № 378/пр</t>
  </si>
  <si>
    <t>Мука андезитовая кислотоупорная, марка А</t>
  </si>
  <si>
    <t>01.7.20.08-0051</t>
  </si>
  <si>
    <t>ФСБЦ-2022 доп.8, 01.7.20.08-0051, приказ Минстроя России от 14.11.2023 г. № 817/пр</t>
  </si>
  <si>
    <t>Ветошь хлопчатобумажная цветная</t>
  </si>
  <si>
    <t>1-100-32</t>
  </si>
  <si>
    <t>Средний разряд работы 3,2</t>
  </si>
  <si>
    <t>91.05.01-016</t>
  </si>
  <si>
    <t>ФСЭМ-2022, 91.05.01-016, приказ Минстроя России от 18.05.2022 г. № 378/пр</t>
  </si>
  <si>
    <t>Краны башенные, грузоподъемность 5 т</t>
  </si>
  <si>
    <t>91.07.08-024</t>
  </si>
  <si>
    <t>ФСЭМ-2022, 91.07.08-024, приказ Минстроя России от 18.05.2022 г. № 378/пр</t>
  </si>
  <si>
    <t>Растворосмесители передвижные, объем барабана 65 л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</si>
  <si>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</si>
  <si>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</si>
  <si>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</si>
  <si>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</si>
  <si>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01.7.15.14-0302</t>
  </si>
  <si>
    <t>ФСБЦ-2022 доп.12, 01.7.15.14-0302, приказ Минстроя России от 07.11.2024 г. № 747/пр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</si>
  <si>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</si>
  <si>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</si>
  <si>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91.06.03-060</t>
  </si>
  <si>
    <t>ФСЭМ-2022, 91.06.03-060, приказ Минстроя России от 18.05.2022 г. № 378/пр</t>
  </si>
  <si>
    <t>Лебедки электрические тяговым усилием до 5,79 кН (0,59 т)</t>
  </si>
  <si>
    <t>91.06.05-060</t>
  </si>
  <si>
    <t>ФСЭМ-2022, 91.06.05-060, приказ Минстроя России от 18.05.2022 г. № 378/пр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</si>
  <si>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</si>
  <si>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04.3.01.07-0025</t>
  </si>
  <si>
    <t>ФСБЦ-2022, 04.3.01.07-0025, приказ Минстроя России от 18.05.2022 г. № 378/пр</t>
  </si>
  <si>
    <t>Раствор штукатурный, известковый, М100</t>
  </si>
  <si>
    <t>1-100-31</t>
  </si>
  <si>
    <t>Средний разряд работы 3,1</t>
  </si>
  <si>
    <t>91.18.01-011</t>
  </si>
  <si>
    <t>ФСЭМ-2022 доп.3, 91.18.01-011, приказ Минстроя России от 26.10.2022 г. № 905/пр</t>
  </si>
  <si>
    <t>Компрессоры поршневые передвижные с электродвигателем, давление до 0,6 МПа (6 атм), производительность до 0,83 м3/мин</t>
  </si>
  <si>
    <t>91.21.01-012</t>
  </si>
  <si>
    <t>ФСЭМ-2022 доп.11, 91.21.01-012, приказ Минстроя России от 09.08.2024 г. № 524/пр</t>
  </si>
  <si>
    <t>Агрегаты окрасочные высокого давления для окраски поверхностей конструкций, мощность 1 кВт</t>
  </si>
  <si>
    <t>14.5.09.11-0102</t>
  </si>
  <si>
    <t>ФСБЦ-2022, 14.5.09.11-0102, приказ Минстроя России от 18.05.2022 г. № 378/пр</t>
  </si>
  <si>
    <t>Уайт-спирит</t>
  </si>
  <si>
    <t>01.7.07.08-0003</t>
  </si>
  <si>
    <t>ФСБЦ-2022 доп.8, 01.7.07.08-0003, приказ Минстроя России от 14.11.2023 г. № 817/пр</t>
  </si>
  <si>
    <t>Мыло хозяйственное твердое 72 %</t>
  </si>
  <si>
    <t>01.7.08.04-0003</t>
  </si>
  <si>
    <t>ФСБЦ-2022, 01.7.08.04-0003, приказ Минстроя России от 18.05.2022 г. № 378/пр</t>
  </si>
  <si>
    <t>Мел природный молотый</t>
  </si>
  <si>
    <t>01.7.10.17-0141</t>
  </si>
  <si>
    <t>ФСБЦ-2022, 01.7.10.17-0141, приказ Минстроя России от 18.05.2022 г. № 378/пр</t>
  </si>
  <si>
    <t>Пемза</t>
  </si>
  <si>
    <t>01.7.17.11-0011</t>
  </si>
  <si>
    <t>ФСБЦ-2022, 01.7.17.11-0011, приказ Минстроя России от 18.05.2022 г. № 378/пр</t>
  </si>
  <si>
    <t>Шкурка шлифовальная двухслойная с зернистостью 40-25</t>
  </si>
  <si>
    <t>14.1.03.01-0001</t>
  </si>
  <si>
    <t>ФСБЦ-2022 доп.17, 14.1.03.01-0001, приказ Минстроя России от 17.02.2026 г. № 91/пр</t>
  </si>
  <si>
    <t>Клей сухой на основе карбоксиметилцеллюлозы для всех типов обоев, расход 0,004 кг/м2</t>
  </si>
  <si>
    <t>14.5.11.01-0001</t>
  </si>
  <si>
    <t>ФСБЦ-2022, 14.5.11.01-0001, приказ Минстроя России от 18.05.2022 г. № 378/пр</t>
  </si>
  <si>
    <t>Шпатлевка клеевая</t>
  </si>
  <si>
    <t>1-100-20</t>
  </si>
  <si>
    <t>Средний разряд работы 2,0</t>
  </si>
  <si>
    <t>1-100-38</t>
  </si>
  <si>
    <t>Средний разряд работы 3,8</t>
  </si>
  <si>
    <t>1-100-25</t>
  </si>
  <si>
    <t>Средний разряд работы 2,5</t>
  </si>
  <si>
    <t>91.18.01-007</t>
  </si>
  <si>
    <t>ФСЭМ-2022 доп.13, 91.18.01-007, приказ Минстроя России от 07.02.2025 г. № 69/пр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</si>
  <si>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</si>
  <si>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01.7.15.14-0163</t>
  </si>
  <si>
    <t>ФСБЦ-2022 доп.2, 01.7.15.14-0163, приказ Минстроя России от 26.08.2022 г. № 703/пр</t>
  </si>
  <si>
    <t>Шурупы самонарезающие стальные с полукруглой головкой и прямым шлицем, остроконечные, диаметр 3,5 мм, длина 30-35 мм</t>
  </si>
  <si>
    <t>11.2.11.04-0052</t>
  </si>
  <si>
    <t>ФСБЦ-2022 доп.7, 11.2.11.04-0052, приказ Минстроя России от 02.08.2023 г. № 551/пр</t>
  </si>
  <si>
    <t>Фанера с наружными слоями из шпона березы, марка ФК, сорт II/IV, шлифованная, толщина 12-15 мм</t>
  </si>
  <si>
    <t>*0</t>
  </si>
  <si>
    <t>11.3.03.08-0004</t>
  </si>
  <si>
    <t>ФСБЦ-2022, 11.3.03.08-0004, приказ Минстроя России от 18.05.2022 г. № 378/пр</t>
  </si>
  <si>
    <t>Подложка из вспененного полиэтилена под паркет и ламинат, толщина 2 мм</t>
  </si>
  <si>
    <t>10 м2</t>
  </si>
  <si>
    <t>1-100-41</t>
  </si>
  <si>
    <t>Средний разряд работы 4,1</t>
  </si>
  <si>
    <t>14.5.04.03-0104</t>
  </si>
  <si>
    <t>ФСБЦ-2022, 14.5.04.03-0104, приказ Минстроя России от 18.05.2022 г. № 378/пр</t>
  </si>
  <si>
    <t>Мастика клеящая каучуковая КН-2</t>
  </si>
  <si>
    <t>ТЦ_{Код КСР}_77_7709980962_08.07.2026_02_2.1</t>
  </si>
  <si>
    <t>1-100-47</t>
  </si>
  <si>
    <t>Средний разряд работы 4,7</t>
  </si>
  <si>
    <t>14.2.06.06-0011</t>
  </si>
  <si>
    <t>ФСБЦ-2022, 14.2.06.06-0011, приказ Минстроя России от 18.05.2022 г. № 378/пр</t>
  </si>
  <si>
    <t>Латекс СКС-65 ГП</t>
  </si>
  <si>
    <t>1-100-33</t>
  </si>
  <si>
    <t>Средний разряд работы 3,3</t>
  </si>
  <si>
    <t>01.7.16.04</t>
  </si>
  <si>
    <t>Опалубка инвентарная (амортизация)</t>
  </si>
  <si>
    <t>КОМПЛ</t>
  </si>
  <si>
    <t>04.1.02.05</t>
  </si>
  <si>
    <t>Смеси бетонные тяжелого бетона</t>
  </si>
  <si>
    <t>08.4.03.03</t>
  </si>
  <si>
    <t>Заготовки арматурные</t>
  </si>
  <si>
    <t>08.4.01.01</t>
  </si>
  <si>
    <t>Анкеры стальные фундаментные</t>
  </si>
  <si>
    <t>06.2.05.03</t>
  </si>
  <si>
    <t>Плиты керамогранитные 400х400 мм</t>
  </si>
  <si>
    <t>11.2.04.05</t>
  </si>
  <si>
    <t>Рейки деревянные</t>
  </si>
  <si>
    <t>14.1.06.02</t>
  </si>
  <si>
    <t>Клей для облицовочных работ (сухая смесь)</t>
  </si>
  <si>
    <t>09.2.03.02</t>
  </si>
  <si>
    <t>Профили стыкоперекрывающие из алюминиевых сплавов (порожки) с покрытием</t>
  </si>
  <si>
    <t>14.4.02.07</t>
  </si>
  <si>
    <t>Краски перхлорвиниловые</t>
  </si>
  <si>
    <t>14.3.02.01</t>
  </si>
  <si>
    <t>Краска водоэмульсионная</t>
  </si>
  <si>
    <t>04.3.02.09</t>
  </si>
  <si>
    <t>Смесь сухая для заделки швов</t>
  </si>
  <si>
    <t>Плиты керамогранитные</t>
  </si>
  <si>
    <t>11.2.03.02</t>
  </si>
  <si>
    <t>Покрытие напольное ламинированное (ламинат)</t>
  </si>
  <si>
    <t>11.3.03.06</t>
  </si>
  <si>
    <t>Плинтуса для полов пластиковые</t>
  </si>
  <si>
    <t>Смеси на цементной основе</t>
  </si>
  <si>
    <t>421/пр_2020_п.58_пп.б</t>
  </si>
  <si>
    <t>Методика 421/пр (О.П.)</t>
  </si>
  <si>
    <t>Конъюнктурный анализ</t>
  </si>
  <si>
    <t>1.1</t>
  </si>
  <si>
    <t>Кварцвиниловый ламинат Aquafloor Nano AF3202N</t>
  </si>
  <si>
    <t>59.00.00.00</t>
  </si>
  <si>
    <t>АО "ТК "МЕГАПОЛИС"</t>
  </si>
  <si>
    <t>42718, Московская Область, г.о. Ленинский, с. Булатниково, ш. Симферопольское, д. 3, помещ. 6</t>
  </si>
  <si>
    <t>5003052454</t>
  </si>
  <si>
    <t>500301001</t>
  </si>
  <si>
    <t>50</t>
  </si>
  <si>
    <t>1.2</t>
  </si>
  <si>
    <t>ТЦ_59.00.00.00_77_7726756015_08.07.2026_02_1.2</t>
  </si>
  <si>
    <t>ООО «Мазарри»</t>
  </si>
  <si>
    <t>г. Москва, ул. Люсиновская, д. 55, помещ. 2/1</t>
  </si>
  <si>
    <t>7726756015</t>
  </si>
  <si>
    <t>772501001</t>
  </si>
  <si>
    <t>77</t>
  </si>
  <si>
    <t>1.3</t>
  </si>
  <si>
    <t>ТЦ_59.00.00.00_50_5032330441_07.07.2026_02_1.3</t>
  </si>
  <si>
    <t>ООО "КОВРОЛИН РУ"</t>
  </si>
  <si>
    <t>121374, г. Москва, вн.тер.г. Муниципальный Округ Фили-давыдково, пр-кт Кутузовский, д. 88, помещ. 242</t>
  </si>
  <si>
    <t>5032330441</t>
  </si>
  <si>
    <t>773101001</t>
  </si>
  <si>
    <t>2.1</t>
  </si>
  <si>
    <t>Плинтус Европласт 6,53,108</t>
  </si>
  <si>
    <t>ООО «Мандерс»</t>
  </si>
  <si>
    <t>115419, г. Москва, вн.тер.г. Муниципальный Округ Донской, проезд 5-й Донской, д. 4, помещ. II КОМНАТА 1К</t>
  </si>
  <si>
    <t>7709980962</t>
  </si>
  <si>
    <t>2.2</t>
  </si>
  <si>
    <t>ТЦ_59.00.00.00_77_9729396526_08.07.2026_01_2.2</t>
  </si>
  <si>
    <t>Общество с ограниченной ответственностью «АНТ</t>
  </si>
  <si>
    <t>119285 Москва, ул. Пудовкина, д.7, кв. 222</t>
  </si>
  <si>
    <t>9729396526</t>
  </si>
  <si>
    <t>772901001</t>
  </si>
  <si>
    <t>2.3</t>
  </si>
  <si>
    <t>ТЦ_59.00.00.00_77_9718041930_08.07.2026_01_2.3</t>
  </si>
  <si>
    <t>ООО "ОТДЕЛКИНО"</t>
  </si>
  <si>
    <t>117246, г. Москва, вн.тер.г. Муниципальный Округ Черемушки, проезд Научный, д. 10</t>
  </si>
  <si>
    <t>9718041930</t>
  </si>
  <si>
    <t>772801001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</si>
  <si>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</si>
  <si>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>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</si>
  <si>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Поправка: 421/пр_2020_п.58_пп.б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</si>
  <si>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"СОГЛАСОВАНО"</t>
  </si>
  <si>
    <t>"УТВЕРЖДАЮ"</t>
  </si>
  <si>
    <t>"_____"________________ 2026 г.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</si>
  <si>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</si>
  <si>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</si>
  <si>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</si>
  <si>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</si>
  <si>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</si>
  <si>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</si>
  <si>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</si>
  <si>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</si>
  <si>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</si>
  <si>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</si>
  <si>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</si>
  <si>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</si>
  <si>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</si>
  <si>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</si>
  <si>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</si>
  <si>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</si>
  <si>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</si>
  <si>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</si>
  <si>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</si>
  <si>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</si>
  <si>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</si>
  <si>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</si>
  <si>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</si>
  <si>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</si>
  <si>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</si>
  <si>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</si>
  <si>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</si>
  <si>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</si>
  <si>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</si>
  <si>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</si>
  <si>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</si>
  <si>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</si>
  <si>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</si>
  <si>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</si>
  <si>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</si>
  <si>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</si>
  <si>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</si>
  <si>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</si>
  <si>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</si>
  <si>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«Smeta.RU» версия 12»</t>
  </si>
  <si>
    <t>ФГИС ЦС, конъюнктурный анализ</t>
  </si>
  <si>
    <t>Ресурсно-индексным</t>
  </si>
  <si>
    <t>Составлен(а) в текущем уровне цен на II квартал 2026 года</t>
  </si>
  <si>
    <t>Раздел: ул. Николоямская</t>
  </si>
  <si>
    <t>ГЭСНр 57-01-002-08</t>
  </si>
  <si>
    <t>ОТ (ЗТ)</t>
  </si>
  <si>
    <t>ЭМ</t>
  </si>
  <si>
    <t>ОТм(ЗТм) Средний разряд машинистов 3</t>
  </si>
  <si>
    <t>ОТм(ЗТм)</t>
  </si>
  <si>
    <t>Итого прямые затраты</t>
  </si>
  <si>
    <t>ФОТ</t>
  </si>
  <si>
    <t>НР Полы</t>
  </si>
  <si>
    <t>%</t>
  </si>
  <si>
    <t>СП Полы</t>
  </si>
  <si>
    <t>Всего по позиции</t>
  </si>
  <si>
    <t>=</t>
  </si>
  <si>
    <t>ГЭСНр 69-01-019-16</t>
  </si>
  <si>
    <t>М</t>
  </si>
  <si>
    <t>НР Прочие ремонтно-строительные работы</t>
  </si>
  <si>
    <t>СП Прочие ремонтно-строительные работы</t>
  </si>
  <si>
    <t>ГЭСН 06-01-004-06</t>
  </si>
  <si>
    <t>ОТм(ЗТм) Средний разряд машинистов 6</t>
  </si>
  <si>
    <t>ОТм(ЗТм) Средний разряд машинистов 4</t>
  </si>
  <si>
    <t>3.1</t>
  </si>
  <si>
    <t>3.2</t>
  </si>
  <si>
    <t>3.3</t>
  </si>
  <si>
    <t>НР Бетонные и железобетонные монолитные конструкции и работы в строительстве</t>
  </si>
  <si>
    <t>СП Бетонные и железобетонные монолитные конструкции и работы в строительстве</t>
  </si>
  <si>
    <t>ГЭСН 06-03-004-03</t>
  </si>
  <si>
    <t>4.1</t>
  </si>
  <si>
    <t>ГЭСН 11-01-004-05</t>
  </si>
  <si>
    <t>ГЭСН 11-01-047-01</t>
  </si>
  <si>
    <t>6.1</t>
  </si>
  <si>
    <t>6.2</t>
  </si>
  <si>
    <t>6.3</t>
  </si>
  <si>
    <t>6.4</t>
  </si>
  <si>
    <t>ГЭСН 11-01-049-01</t>
  </si>
  <si>
    <t>7.1</t>
  </si>
  <si>
    <t>ГЭСНр 61-02-001-03</t>
  </si>
  <si>
    <t>8.1</t>
  </si>
  <si>
    <t>НР Штукатурные работы</t>
  </si>
  <si>
    <t>СП Штукатурные работы</t>
  </si>
  <si>
    <t>ГЭСНр 62-02-008-07</t>
  </si>
  <si>
    <t>9.1</t>
  </si>
  <si>
    <t>НР Малярные работы</t>
  </si>
  <si>
    <t>СП Малярные работы</t>
  </si>
  <si>
    <t>Итого прямые затраты по разделу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</si>
  <si>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</si>
  <si>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</si>
  <si>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</si>
  <si>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</si>
  <si>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</si>
  <si>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</si>
  <si>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</si>
  <si>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</si>
  <si>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</si>
  <si>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</si>
  <si>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</si>
  <si>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</si>
  <si>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</si>
  <si>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</si>
  <si>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</si>
  <si>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</si>
  <si>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</si>
  <si>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</si>
  <si>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</si>
  <si>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</si>
  <si>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</si>
  <si>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</si>
  <si>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</si>
  <si>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</si>
  <si>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  оплата труда машинистов (ОТм)</t>
  </si>
  <si>
    <t>Раздел: ФОК</t>
  </si>
  <si>
    <t>Подраздел: площадка входа</t>
  </si>
  <si>
    <t>12.1</t>
  </si>
  <si>
    <t>14.1</t>
  </si>
  <si>
    <t>14.2</t>
  </si>
  <si>
    <t>14.3</t>
  </si>
  <si>
    <t>15.1</t>
  </si>
  <si>
    <t>17.1</t>
  </si>
  <si>
    <t>17.2</t>
  </si>
  <si>
    <t>17.3</t>
  </si>
  <si>
    <t>17.4</t>
  </si>
  <si>
    <t>18.1</t>
  </si>
  <si>
    <t>Итого прямые затраты по подразделу</t>
  </si>
  <si>
    <t>Подраздел: Раздевалка женская</t>
  </si>
  <si>
    <t>ГЭСНр 62-01-016-05</t>
  </si>
  <si>
    <t>19.1</t>
  </si>
  <si>
    <t>20.1</t>
  </si>
  <si>
    <t>ГЭСНр 57-01-003-03</t>
  </si>
  <si>
    <t>21.1</t>
  </si>
  <si>
    <t>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
ЭМ *1,25; ЗТ *1,15; ЗТм *1,25; НР *0,9; СП *0,85</t>
  </si>
  <si>
    <t>22.1</t>
  </si>
  <si>
    <t>22.2</t>
  </si>
  <si>
    <t>22.3</t>
  </si>
  <si>
    <t>Пр/812-011.0-1;_x000D_
п.25</t>
  </si>
  <si>
    <t>Пр/774-011.0;_x000D_
п.16</t>
  </si>
  <si>
    <t>ГЭСН 11-01-039-06</t>
  </si>
  <si>
    <t>23.1</t>
  </si>
  <si>
    <t>23.2</t>
  </si>
  <si>
    <t>23.3</t>
  </si>
  <si>
    <t>Подраздел: Раздевалка мужская</t>
  </si>
  <si>
    <t>24.1</t>
  </si>
  <si>
    <t>25.1</t>
  </si>
  <si>
    <t>26.1</t>
  </si>
  <si>
    <t>26.2</t>
  </si>
  <si>
    <t>26.3</t>
  </si>
  <si>
    <t>27.1</t>
  </si>
  <si>
    <t>Подраздел: Строительный мусор</t>
  </si>
  <si>
    <t>Раздел: помещение 308  (земляной вал, д.73)</t>
  </si>
  <si>
    <t>ГЭСНр 57-01-003-01</t>
  </si>
  <si>
    <t>30.1</t>
  </si>
  <si>
    <t>ГЭСНр 57-01-001-04</t>
  </si>
  <si>
    <t>31.1</t>
  </si>
  <si>
    <t>ГЭСН 11-01-053-02</t>
  </si>
  <si>
    <t>32.1</t>
  </si>
  <si>
    <t>ГЭСН 11-01-034-04</t>
  </si>
  <si>
    <t>33.1</t>
  </si>
  <si>
    <r>
      <t>Кварцвинил</t>
    </r>
    <r>
      <rPr>
        <i/>
        <sz val="11"/>
        <rFont val="Arial"/>
        <family val="2"/>
        <charset val="204"/>
      </rPr>
      <t xml:space="preserve">
Базовая за единицу (справочно): 2 195,08 = 2 195,08 / 1,00</t>
    </r>
  </si>
  <si>
    <t>ГЭСН 11-01-040-01</t>
  </si>
  <si>
    <t>34.1</t>
  </si>
  <si>
    <r>
      <t>Плинтус МДФ</t>
    </r>
    <r>
      <rPr>
        <i/>
        <sz val="11"/>
        <rFont val="Arial"/>
        <family val="2"/>
        <charset val="204"/>
      </rPr>
      <t xml:space="preserve">
Базовая за единицу (справочно): 978,50 = 978,50 / 1,00</t>
    </r>
  </si>
  <si>
    <t>Раздел: Ремонт входной группы ул. Народного Ополчения, д.38, корп.2</t>
  </si>
  <si>
    <t>ГЭСНр 61-02-008-01</t>
  </si>
  <si>
    <t>37.1</t>
  </si>
  <si>
    <t>ГЭСНр 62-02-008-04</t>
  </si>
  <si>
    <t>38.1</t>
  </si>
  <si>
    <t>ГЭСНр 61-01-002-11</t>
  </si>
  <si>
    <t>39.1</t>
  </si>
  <si>
    <t>ГЭСНр 62-01-016-04</t>
  </si>
  <si>
    <t>40.1</t>
  </si>
  <si>
    <t>ИТОГИ ПО СМЕТЕ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</si>
  <si>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</si>
  <si>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</si>
  <si>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</si>
  <si>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</si>
  <si>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</si>
  <si>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</si>
  <si>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</si>
  <si>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</si>
  <si>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</si>
  <si>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</si>
  <si>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</si>
  <si>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</si>
  <si>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</si>
  <si>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</si>
  <si>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оборудование</t>
  </si>
  <si>
    <t>Всего прочие затраты</t>
  </si>
  <si>
    <t xml:space="preserve">Составил   </t>
  </si>
  <si>
    <t>[должность,подпись(инициалы,фамилия)]</t>
  </si>
  <si>
    <t xml:space="preserve">Проверил   </t>
  </si>
  <si>
    <t>___________________________</t>
  </si>
  <si>
    <t>" ___ " ___________ 20 ___ г.</t>
  </si>
  <si>
    <t xml:space="preserve">Мы, нижеподписавшиеся, произвели осмотр объекта </t>
  </si>
  <si>
    <t xml:space="preserve">и постановили произвести ремонт объекта в </t>
  </si>
  <si>
    <t>следующем объеме:</t>
  </si>
  <si>
    <t>Примечание</t>
  </si>
  <si>
    <t>Заказчик _________________</t>
  </si>
  <si>
    <t>Подрядчик _________________</t>
  </si>
  <si>
    <t xml:space="preserve">ЛОКАЛЬНАЯ СМЕТА </t>
  </si>
  <si>
    <t>Ремонтые работы по 4 адресам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</si>
</sst>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;[Red]\-\ #,##0.00"/>
    <numFmt numFmtId="166" formatCode="#,##0.00#####;[Red]\-\ #,##0.00#####"/>
  </numFmts>
  <fonts count="28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9" fillId="0" borderId="0" xfId="0" applyFont="1"/>
    <xf numFmtId="0" fontId="11" fillId="0" borderId="0" xfId="0" applyNumberFormat="1" applyFont="1" applyAlignment="1"/>
    <xf numFmtId="0" fontId="14" fillId="0" borderId="0" xfId="0" applyNumberFormat="1" applyFont="1" applyAlignment="1"/>
    <xf numFmtId="0" fontId="16" fillId="0" borderId="0" xfId="0" applyNumberFormat="1" applyFont="1" applyAlignment="1"/>
    <xf numFmtId="0" fontId="16" fillId="0" borderId="0" xfId="0" applyNumberFormat="1" applyFont="1" applyAlignment="1">
      <alignment horizontal="left"/>
    </xf>
    <xf numFmtId="0" fontId="16" fillId="0" borderId="0" xfId="0" applyNumberFormat="1" applyFont="1" applyAlignment="1">
      <alignment wrapText="1"/>
    </xf>
    <xf numFmtId="0" fontId="10" fillId="0" borderId="0" xfId="0" applyNumberFormat="1" applyFont="1" applyAlignment="1"/>
    <xf numFmtId="0" fontId="10" fillId="0" borderId="0" xfId="0" applyNumberFormat="1" applyFont="1" applyAlignment="1">
      <alignment vertical="top" wrapText="1"/>
    </xf>
    <xf numFmtId="0" fontId="10" fillId="0" borderId="2" xfId="0" applyNumberFormat="1" applyFont="1" applyBorder="1" applyAlignment="1">
      <alignment vertical="top"/>
    </xf>
    <xf numFmtId="0" fontId="10" fillId="0" borderId="0" xfId="0" applyNumberFormat="1" applyFont="1" applyAlignment="1">
      <alignment horizontal="left" vertical="top" wrapText="1"/>
    </xf>
    <xf numFmtId="0" fontId="10" fillId="0" borderId="2" xfId="0" applyNumberFormat="1" applyFont="1" applyBorder="1" applyAlignment="1">
      <alignment horizontal="left" vertical="top" wrapText="1"/>
    </xf>
    <xf numFmtId="0" fontId="11" fillId="0" borderId="2" xfId="0" applyNumberFormat="1" applyFont="1" applyBorder="1" applyAlignment="1"/>
    <xf numFmtId="0" fontId="19" fillId="0" borderId="0" xfId="0" applyNumberFormat="1" applyFont="1" applyAlignment="1">
      <alignment vertical="center" wrapText="1"/>
    </xf>
    <xf numFmtId="0" fontId="19" fillId="0" borderId="0" xfId="0" applyNumberFormat="1" applyFont="1" applyAlignment="1">
      <alignment horizontal="center" wrapText="1"/>
    </xf>
    <xf numFmtId="0" fontId="10" fillId="0" borderId="0" xfId="0" applyNumberFormat="1" applyFont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2" xfId="0" applyNumberFormat="1" applyFont="1" applyBorder="1" applyAlignment="1"/>
    <xf numFmtId="0" fontId="10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wrapText="1"/>
    </xf>
    <xf numFmtId="0" fontId="13" fillId="0" borderId="0" xfId="0" applyNumberFormat="1" applyFont="1" applyAlignment="1"/>
    <xf numFmtId="14" fontId="16" fillId="0" borderId="0" xfId="0" applyNumberFormat="1" applyFont="1" applyAlignment="1"/>
    <xf numFmtId="0" fontId="10" fillId="0" borderId="0" xfId="0" applyNumberFormat="1" applyFont="1" applyAlignment="1">
      <alignment horizontal="right"/>
    </xf>
    <xf numFmtId="0" fontId="17" fillId="0" borderId="0" xfId="0" applyNumberFormat="1" applyFont="1" applyAlignment="1"/>
    <xf numFmtId="164" fontId="10" fillId="0" borderId="0" xfId="0" applyNumberFormat="1" applyFont="1" applyAlignment="1">
      <alignment horizontal="right"/>
    </xf>
    <xf numFmtId="0" fontId="16" fillId="0" borderId="1" xfId="0" applyNumberFormat="1" applyFont="1" applyBorder="1" applyAlignment="1"/>
    <xf numFmtId="0" fontId="10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/>
    </xf>
    <xf numFmtId="0" fontId="16" fillId="0" borderId="0" xfId="0" applyNumberFormat="1" applyFont="1" applyAlignment="1">
      <alignment horizontal="center"/>
    </xf>
    <xf numFmtId="0" fontId="16" fillId="0" borderId="7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left" vertical="top" wrapText="1"/>
    </xf>
    <xf numFmtId="0" fontId="22" fillId="0" borderId="0" xfId="0" applyFont="1"/>
    <xf numFmtId="0" fontId="22" fillId="0" borderId="0" xfId="0" quotePrefix="1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right" vertical="top" wrapText="1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horizontal="right" vertical="top" wrapText="1"/>
    </xf>
    <xf numFmtId="165" fontId="22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 wrapText="1"/>
    </xf>
    <xf numFmtId="166" fontId="22" fillId="0" borderId="0" xfId="0" applyNumberFormat="1" applyFont="1" applyAlignment="1">
      <alignment horizontal="right" vertical="top"/>
    </xf>
    <xf numFmtId="165" fontId="24" fillId="0" borderId="0" xfId="0" applyNumberFormat="1" applyFont="1" applyAlignment="1">
      <alignment horizontal="right" vertical="top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right" vertical="top" wrapText="1"/>
    </xf>
    <xf numFmtId="0" fontId="22" fillId="0" borderId="1" xfId="0" applyFont="1" applyBorder="1" applyAlignment="1">
      <alignment horizontal="right" vertical="top"/>
    </xf>
    <xf numFmtId="165" fontId="22" fillId="0" borderId="1" xfId="0" applyNumberFormat="1" applyFont="1" applyBorder="1" applyAlignment="1">
      <alignment horizontal="right" vertical="top"/>
    </xf>
    <xf numFmtId="0" fontId="22" fillId="0" borderId="1" xfId="0" applyFont="1" applyBorder="1" applyAlignment="1">
      <alignment horizontal="right" vertical="top" wrapText="1"/>
    </xf>
    <xf numFmtId="165" fontId="0" fillId="0" borderId="0" xfId="0" applyNumberFormat="1"/>
    <xf numFmtId="165" fontId="22" fillId="0" borderId="0" xfId="0" applyNumberFormat="1" applyFont="1" applyAlignment="1">
      <alignment horizontal="right"/>
    </xf>
    <xf numFmtId="0" fontId="24" fillId="0" borderId="0" xfId="0" applyFont="1" applyAlignment="1">
      <alignment horizontal="left" vertical="top" wrapText="1"/>
    </xf>
    <xf numFmtId="0" fontId="22" fillId="0" borderId="0" xfId="0" applyFont="1" applyAlignment="1">
      <alignment vertical="top"/>
    </xf>
    <xf numFmtId="0" fontId="22" fillId="0" borderId="1" xfId="0" quotePrefix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24" fillId="0" borderId="0" xfId="0" applyFont="1" applyAlignment="1">
      <alignment horizontal="right" vertical="top"/>
    </xf>
    <xf numFmtId="0" fontId="25" fillId="0" borderId="0" xfId="0" applyFont="1" applyAlignment="1">
      <alignment vertical="top" wrapText="1"/>
    </xf>
    <xf numFmtId="0" fontId="25" fillId="0" borderId="0" xfId="0" quotePrefix="1" applyFont="1" applyAlignment="1">
      <alignment vertical="top" wrapText="1"/>
    </xf>
    <xf numFmtId="0" fontId="0" fillId="0" borderId="1" xfId="0" applyBorder="1"/>
    <xf numFmtId="0" fontId="8" fillId="0" borderId="1" xfId="0" applyFont="1" applyBorder="1" applyAlignment="1">
      <alignment vertical="top" wrapText="1"/>
    </xf>
    <xf numFmtId="0" fontId="24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 wrapText="1"/>
    </xf>
    <xf numFmtId="165" fontId="24" fillId="0" borderId="2" xfId="0" applyNumberFormat="1" applyFont="1" applyBorder="1" applyAlignment="1">
      <alignment horizontal="right" vertical="top"/>
    </xf>
    <xf numFmtId="0" fontId="24" fillId="0" borderId="2" xfId="0" applyFont="1" applyBorder="1" applyAlignment="1">
      <alignment horizontal="right" vertical="top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Alignment="1"/>
    <xf numFmtId="165" fontId="11" fillId="0" borderId="0" xfId="0" applyNumberFormat="1" applyFont="1" applyAlignment="1"/>
    <xf numFmtId="166" fontId="11" fillId="0" borderId="0" xfId="0" applyNumberFormat="1" applyFont="1" applyAlignment="1"/>
    <xf numFmtId="0" fontId="11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 vertical="center"/>
    </xf>
    <xf numFmtId="0" fontId="16" fillId="0" borderId="1" xfId="0" applyNumberFormat="1" applyFont="1" applyBorder="1" applyAlignment="1">
      <alignment horizontal="left"/>
    </xf>
    <xf numFmtId="0" fontId="16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right"/>
    </xf>
    <xf numFmtId="0" fontId="24" fillId="0" borderId="0" xfId="0" applyFont="1" applyAlignment="1">
      <alignment horizontal="left" vertical="top"/>
    </xf>
    <xf numFmtId="0" fontId="22" fillId="0" borderId="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/>
    </xf>
    <xf numFmtId="0" fontId="22" fillId="0" borderId="5" xfId="0" applyFont="1" applyFill="1" applyBorder="1" applyAlignment="1">
      <alignment horizontal="center"/>
    </xf>
    <xf numFmtId="0" fontId="22" fillId="0" borderId="7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wrapText="1"/>
    </xf>
    <xf numFmtId="0" fontId="22" fillId="0" borderId="7" xfId="0" applyFont="1" applyBorder="1" applyAlignment="1">
      <alignment horizontal="right" wrapText="1"/>
    </xf>
    <xf numFmtId="0" fontId="22" fillId="0" borderId="7" xfId="0" applyFont="1" applyBorder="1" applyAlignment="1">
      <alignment horizontal="right"/>
    </xf>
    <xf numFmtId="0" fontId="22" fillId="0" borderId="5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wrapText="1"/>
    </xf>
    <xf numFmtId="0" fontId="22" fillId="0" borderId="5" xfId="0" applyFont="1" applyBorder="1" applyAlignment="1">
      <alignment horizontal="right" wrapText="1"/>
    </xf>
    <xf numFmtId="0" fontId="22" fillId="0" borderId="5" xfId="0" applyFont="1" applyBorder="1" applyAlignment="1">
      <alignment horizontal="right"/>
    </xf>
    <xf numFmtId="0" fontId="24" fillId="0" borderId="0" xfId="0" applyFont="1"/>
    <xf numFmtId="0" fontId="16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5" fillId="0" borderId="0" xfId="0" applyNumberFormat="1" applyFont="1" applyAlignment="1">
      <alignment horizontal="left"/>
    </xf>
    <xf numFmtId="0" fontId="16" fillId="0" borderId="0" xfId="0" applyNumberFormat="1" applyFont="1" applyAlignment="1">
      <alignment horizontal="left"/>
    </xf>
    <xf numFmtId="0" fontId="18" fillId="0" borderId="2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left" wrapText="1"/>
    </xf>
    <xf numFmtId="165" fontId="10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  <xf numFmtId="0" fontId="15" fillId="0" borderId="1" xfId="0" applyNumberFormat="1" applyFont="1" applyBorder="1" applyAlignment="1">
      <alignment horizontal="center" wrapText="1"/>
    </xf>
    <xf numFmtId="0" fontId="15" fillId="0" borderId="0" xfId="0" applyNumberFormat="1" applyFont="1" applyAlignment="1">
      <alignment horizontal="center" wrapText="1"/>
    </xf>
    <xf numFmtId="0" fontId="20" fillId="0" borderId="1" xfId="0" applyNumberFormat="1" applyFont="1" applyBorder="1" applyAlignment="1">
      <alignment horizont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165" fontId="24" fillId="0" borderId="0" xfId="0" applyNumberFormat="1" applyFont="1" applyAlignment="1">
      <alignment horizontal="left" vertical="top"/>
    </xf>
    <xf numFmtId="165" fontId="24" fillId="0" borderId="2" xfId="0" applyNumberFormat="1" applyFont="1" applyBorder="1" applyAlignment="1">
      <alignment horizontal="right" vertical="top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2" xfId="0" applyFont="1" applyBorder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26" fillId="0" borderId="2" xfId="0" applyNumberFormat="1" applyFont="1" applyBorder="1" applyAlignment="1">
      <alignment horizontal="center"/>
    </xf>
    <xf numFmtId="0" fontId="21" fillId="0" borderId="5" xfId="0" applyFont="1" applyBorder="1" applyAlignment="1">
      <alignment horizontal="center" wrapText="1"/>
    </xf>
    <xf numFmtId="0" fontId="24" fillId="0" borderId="0" xfId="0" applyFont="1" applyBorder="1" applyAlignment="1">
      <alignment horizontal="right"/>
    </xf>
    <xf numFmtId="0" fontId="27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1149"/>
  <sheetViews>
    <sheetView tabSelected="1" topLeftCell="A888" zoomScaleNormal="100" workbookViewId="0">
      <selection activeCell="F38" sqref="F38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2" width="0" hidden="1" customWidth="1"/>
    <col min="93" max="93" width="108.7109375" hidden="1" customWidth="1"/>
    <col min="94" max="100" width="0" hidden="1" customWidth="1"/>
    <col min="101" max="101" width="173.7109375" hidden="1" customWidth="1"/>
  </cols>
  <sheetData>
    <row r="1" spans="1:93" x14ac:dyDescent="0.2">
      <c r="A1" s="14" t="str">
        <f>Source!B1</f>
        <v>Smeta.RU  (495) 974-1589</v>
      </c>
    </row>
    <row r="2" spans="1:93" ht="12.7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93" ht="16.5" customHeight="1" x14ac:dyDescent="0.25">
      <c r="A3" s="16"/>
      <c r="B3" s="105" t="s">
        <v>682</v>
      </c>
      <c r="C3" s="105"/>
      <c r="D3" s="105"/>
      <c r="E3" s="105"/>
      <c r="F3" s="17"/>
      <c r="G3" s="17"/>
      <c r="H3" s="105" t="s">
        <v>683</v>
      </c>
      <c r="I3" s="105"/>
      <c r="J3" s="105"/>
      <c r="K3" s="105"/>
      <c r="L3" s="105"/>
    </row>
    <row r="4" spans="1:93" ht="14.25" customHeight="1" x14ac:dyDescent="0.2">
      <c r="A4" s="17"/>
      <c r="B4" s="106"/>
      <c r="C4" s="106"/>
      <c r="D4" s="106"/>
      <c r="E4" s="106"/>
      <c r="F4" s="17"/>
      <c r="G4" s="17"/>
      <c r="H4" s="106"/>
      <c r="I4" s="106"/>
      <c r="J4" s="106"/>
      <c r="K4" s="106"/>
      <c r="L4" s="106"/>
    </row>
    <row r="5" spans="1:93" ht="14.25" customHeight="1" x14ac:dyDescent="0.2">
      <c r="A5" s="17"/>
      <c r="B5" s="17"/>
      <c r="C5" s="18"/>
      <c r="D5" s="18"/>
      <c r="E5" s="18"/>
      <c r="F5" s="17"/>
      <c r="G5" s="17"/>
      <c r="H5" s="18"/>
      <c r="I5" s="18"/>
      <c r="J5" s="18"/>
      <c r="K5" s="18"/>
      <c r="L5" s="18"/>
    </row>
    <row r="6" spans="1:93" ht="14.25" customHeight="1" x14ac:dyDescent="0.2">
      <c r="A6" s="18"/>
      <c r="B6" s="106" t="str">
        <f>CONCATENATE("______________________ ", IF(Source!AL12&lt;&gt;"", Source!AL12, ""))</f>
        <v xml:space="preserve">______________________ </v>
      </c>
      <c r="C6" s="106"/>
      <c r="D6" s="106"/>
      <c r="E6" s="106"/>
      <c r="F6" s="17"/>
      <c r="G6" s="17"/>
      <c r="H6" s="106" t="str">
        <f>CONCATENATE("______________________ ", IF(Source!AH12&lt;&gt;"", Source!AH12, ""))</f>
        <v xml:space="preserve">______________________ </v>
      </c>
      <c r="I6" s="106"/>
      <c r="J6" s="106"/>
      <c r="K6" s="106"/>
      <c r="L6" s="106"/>
    </row>
    <row r="7" spans="1:93" ht="14.25" customHeight="1" x14ac:dyDescent="0.2">
      <c r="A7" s="19"/>
      <c r="B7" s="102" t="s">
        <v>684</v>
      </c>
      <c r="C7" s="102"/>
      <c r="D7" s="102"/>
      <c r="E7" s="102"/>
      <c r="F7" s="17"/>
      <c r="G7" s="17"/>
      <c r="H7" s="102" t="s">
        <v>684</v>
      </c>
      <c r="I7" s="102"/>
      <c r="J7" s="102"/>
      <c r="K7" s="102"/>
      <c r="L7" s="102"/>
    </row>
    <row r="10" spans="1:93" ht="12.75" customHeight="1" x14ac:dyDescent="0.2">
      <c r="A10" s="103" t="s">
        <v>685</v>
      </c>
      <c r="B10" s="103"/>
      <c r="C10" s="103"/>
      <c r="D10" s="103"/>
      <c r="E10" s="103"/>
      <c r="F10" s="104" t="s">
        <v>724</v>
      </c>
      <c r="G10" s="104"/>
      <c r="H10" s="104"/>
      <c r="I10" s="104"/>
      <c r="J10" s="104"/>
      <c r="K10" s="104"/>
      <c r="L10" s="104"/>
    </row>
    <row r="11" spans="1:93" ht="12.75" customHeight="1" x14ac:dyDescent="0.2">
      <c r="A11" s="21"/>
      <c r="B11" s="21"/>
      <c r="C11" s="21"/>
      <c r="D11" s="21"/>
      <c r="E11" s="21"/>
      <c r="F11" s="22"/>
      <c r="G11" s="22"/>
      <c r="H11" s="22"/>
      <c r="I11" s="22"/>
      <c r="J11" s="22"/>
      <c r="K11" s="22"/>
      <c r="L11" s="22"/>
    </row>
    <row r="12" spans="1:93" ht="25.5" x14ac:dyDescent="0.2">
      <c r="A12" s="103" t="s">
        <v>686</v>
      </c>
      <c r="B12" s="103"/>
      <c r="C12" s="103"/>
      <c r="D12" s="103"/>
      <c r="E12" s="103"/>
      <c r="F12" s="104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12" s="104"/>
      <c r="H12" s="104"/>
      <c r="I12" s="104"/>
      <c r="J12" s="104"/>
      <c r="K12" s="104"/>
      <c r="L12" s="104"/>
      <c r="CO12" s="44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13" spans="1:93" ht="12.75" customHeight="1" x14ac:dyDescent="0.2">
      <c r="A13" s="21"/>
      <c r="B13" s="21"/>
      <c r="C13" s="21"/>
      <c r="D13" s="21"/>
      <c r="E13" s="21"/>
      <c r="F13" s="22"/>
      <c r="G13" s="22"/>
      <c r="H13" s="22"/>
      <c r="I13" s="22"/>
      <c r="J13" s="22"/>
      <c r="K13" s="22"/>
      <c r="L13" s="22"/>
    </row>
    <row r="14" spans="1:93" ht="140.25" x14ac:dyDescent="0.2">
      <c r="A14" s="103" t="s">
        <v>687</v>
      </c>
      <c r="B14" s="103"/>
      <c r="C14" s="103"/>
      <c r="D14" s="103"/>
      <c r="E14" s="103"/>
      <c r="F14" s="104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  <c r="G14" s="104"/>
      <c r="H14" s="104"/>
      <c r="I14" s="104"/>
      <c r="J14" s="104"/>
      <c r="K14" s="104"/>
      <c r="L14" s="104"/>
      <c r="CO14" s="44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15" spans="1:93" ht="12.75" customHeight="1" x14ac:dyDescent="0.2">
      <c r="A15" s="21"/>
      <c r="B15" s="21"/>
      <c r="C15" s="21"/>
      <c r="D15" s="21"/>
      <c r="E15" s="21"/>
      <c r="F15" s="22"/>
      <c r="G15" s="22"/>
      <c r="H15" s="22"/>
      <c r="I15" s="22"/>
      <c r="J15" s="22"/>
      <c r="K15" s="22"/>
      <c r="L15" s="22"/>
    </row>
    <row r="16" spans="1:93" ht="76.5" customHeight="1" x14ac:dyDescent="0.2">
      <c r="A16" s="103" t="s">
        <v>688</v>
      </c>
      <c r="B16" s="103"/>
      <c r="C16" s="103"/>
      <c r="D16" s="103"/>
      <c r="E16" s="103"/>
      <c r="F16" s="104" t="s">
        <v>423</v>
      </c>
      <c r="G16" s="104"/>
      <c r="H16" s="104"/>
      <c r="I16" s="104"/>
      <c r="J16" s="104"/>
      <c r="K16" s="104"/>
      <c r="L16" s="104"/>
    </row>
    <row r="17" spans="1:12" ht="12.75" customHeight="1" x14ac:dyDescent="0.2">
      <c r="A17" s="21"/>
      <c r="B17" s="21"/>
      <c r="C17" s="21"/>
      <c r="D17" s="21"/>
      <c r="E17" s="21"/>
      <c r="F17" s="22"/>
      <c r="G17" s="22"/>
      <c r="H17" s="22"/>
      <c r="I17" s="22"/>
      <c r="J17" s="22"/>
      <c r="K17" s="22"/>
      <c r="L17" s="22"/>
    </row>
    <row r="18" spans="1:12" ht="38.25" customHeight="1" x14ac:dyDescent="0.2">
      <c r="A18" s="103" t="s">
        <v>689</v>
      </c>
      <c r="B18" s="103"/>
      <c r="C18" s="103"/>
      <c r="D18" s="103"/>
      <c r="E18" s="103"/>
      <c r="F18" s="104" t="s">
        <v>424</v>
      </c>
      <c r="G18" s="104"/>
      <c r="H18" s="104"/>
      <c r="I18" s="104"/>
      <c r="J18" s="104"/>
      <c r="K18" s="104"/>
      <c r="L18" s="104"/>
    </row>
    <row r="19" spans="1:12" ht="12.75" customHeight="1" x14ac:dyDescent="0.2">
      <c r="A19" s="23"/>
      <c r="B19" s="23"/>
      <c r="C19" s="23"/>
      <c r="D19" s="23"/>
      <c r="E19" s="23"/>
      <c r="F19" s="24"/>
      <c r="G19" s="24"/>
      <c r="H19" s="24"/>
      <c r="I19" s="24"/>
      <c r="J19" s="24"/>
      <c r="K19" s="24"/>
      <c r="L19" s="24"/>
    </row>
    <row r="20" spans="1:12" ht="12.75" customHeight="1" x14ac:dyDescent="0.2">
      <c r="A20" s="103" t="s">
        <v>690</v>
      </c>
      <c r="B20" s="103"/>
      <c r="C20" s="103"/>
      <c r="D20" s="103"/>
      <c r="E20" s="103"/>
      <c r="F20" s="104" t="s">
        <v>725</v>
      </c>
      <c r="G20" s="104"/>
      <c r="H20" s="104"/>
      <c r="I20" s="104"/>
      <c r="J20" s="104"/>
      <c r="K20" s="104"/>
      <c r="L20" s="104"/>
    </row>
    <row r="21" spans="1:12" ht="12.75" customHeight="1" x14ac:dyDescent="0.2">
      <c r="A21" s="23"/>
      <c r="B21" s="23"/>
      <c r="C21" s="23"/>
      <c r="D21" s="23"/>
      <c r="E21" s="23"/>
      <c r="F21" s="24"/>
      <c r="G21" s="24"/>
      <c r="H21" s="24"/>
      <c r="I21" s="24"/>
      <c r="J21" s="24"/>
      <c r="K21" s="24"/>
      <c r="L21" s="24"/>
    </row>
    <row r="22" spans="1:12" ht="12.75" customHeight="1" x14ac:dyDescent="0.2">
      <c r="A22" s="103" t="s">
        <v>691</v>
      </c>
      <c r="B22" s="103"/>
      <c r="C22" s="103"/>
      <c r="D22" s="103"/>
      <c r="E22" s="103"/>
      <c r="F22" s="104" t="str">
        <f>IF(Source!CZ12 &lt;&gt; "", Source!CZ12, "")</f>
        <v/>
      </c>
      <c r="G22" s="104"/>
      <c r="H22" s="104"/>
      <c r="I22" s="104"/>
      <c r="J22" s="104"/>
      <c r="K22" s="104"/>
      <c r="L22" s="104"/>
    </row>
    <row r="23" spans="1:12" ht="12.75" customHeight="1" x14ac:dyDescent="0.2">
      <c r="A23" s="23"/>
      <c r="B23" s="23"/>
      <c r="C23" s="23"/>
      <c r="D23" s="23"/>
      <c r="E23" s="23"/>
      <c r="F23" s="24"/>
      <c r="G23" s="24"/>
      <c r="H23" s="24"/>
      <c r="I23" s="24"/>
      <c r="J23" s="24"/>
      <c r="K23" s="24"/>
      <c r="L23" s="22"/>
    </row>
    <row r="24" spans="1:12" ht="12.75" customHeight="1" x14ac:dyDescent="0.2">
      <c r="A24" s="103" t="s">
        <v>692</v>
      </c>
      <c r="B24" s="103"/>
      <c r="C24" s="103"/>
      <c r="D24" s="103"/>
      <c r="E24" s="103"/>
      <c r="F24" s="104" t="str">
        <f>IF(Source!DA12 &lt;&gt; "", Source!DA12, "")</f>
        <v/>
      </c>
      <c r="G24" s="104"/>
      <c r="H24" s="104"/>
      <c r="I24" s="104"/>
      <c r="J24" s="104"/>
      <c r="K24" s="104"/>
      <c r="L24" s="104"/>
    </row>
    <row r="25" spans="1:12" ht="12.75" customHeight="1" x14ac:dyDescent="0.2">
      <c r="A25" s="15"/>
      <c r="B25" s="15"/>
      <c r="C25" s="15"/>
      <c r="D25" s="15"/>
      <c r="E25" s="15"/>
      <c r="F25" s="25"/>
      <c r="G25" s="25"/>
      <c r="H25" s="25"/>
      <c r="I25" s="25"/>
      <c r="J25" s="25"/>
      <c r="K25" s="25"/>
      <c r="L25" s="25"/>
    </row>
    <row r="26" spans="1:12" ht="12.75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ht="15.75" customHeight="1" x14ac:dyDescent="0.25">
      <c r="A27" s="111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</row>
    <row r="28" spans="1:12" ht="14.25" customHeight="1" x14ac:dyDescent="0.2">
      <c r="A28" s="107" t="s">
        <v>693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</row>
    <row r="29" spans="1:12" ht="14.2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ht="15.75" customHeight="1" x14ac:dyDescent="0.25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</row>
    <row r="31" spans="1:12" ht="14.25" customHeight="1" x14ac:dyDescent="0.2">
      <c r="A31" s="107" t="s">
        <v>694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</row>
    <row r="32" spans="1:12" ht="14.25" customHeight="1" x14ac:dyDescent="0.2">
      <c r="A32" s="17"/>
      <c r="B32" s="17"/>
      <c r="C32" s="17"/>
      <c r="D32" s="17"/>
      <c r="E32" s="17"/>
      <c r="F32" s="19"/>
      <c r="G32" s="19"/>
      <c r="H32" s="19"/>
      <c r="I32" s="19"/>
      <c r="J32" s="19"/>
      <c r="K32" s="19"/>
      <c r="L32" s="19"/>
    </row>
    <row r="33" spans="1:12" ht="15.75" customHeight="1" x14ac:dyDescent="0.25">
      <c r="A33" s="112" t="s">
        <v>884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</row>
    <row r="34" spans="1:12" ht="15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6"/>
    </row>
    <row r="35" spans="1:12" ht="18" customHeight="1" x14ac:dyDescent="0.25">
      <c r="A35" s="113" t="s">
        <v>885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</row>
    <row r="36" spans="1:12" ht="14.25" customHeight="1" x14ac:dyDescent="0.2">
      <c r="A36" s="107" t="s">
        <v>695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</row>
    <row r="37" spans="1:12" ht="14.2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ht="14.2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 ht="12.75" customHeight="1" x14ac:dyDescent="0.2">
      <c r="A39" s="20" t="s">
        <v>696</v>
      </c>
      <c r="B39" s="20"/>
      <c r="C39" s="29" t="s">
        <v>726</v>
      </c>
      <c r="D39" s="20" t="s">
        <v>697</v>
      </c>
      <c r="E39" s="20"/>
      <c r="F39" s="20"/>
      <c r="G39" s="20"/>
      <c r="H39" s="20"/>
      <c r="I39" s="20"/>
      <c r="J39" s="20"/>
      <c r="K39" s="20"/>
      <c r="L39" s="20"/>
    </row>
    <row r="40" spans="1:12" ht="12.75" customHeight="1" x14ac:dyDescent="0.2">
      <c r="A40" s="20"/>
      <c r="B40" s="20"/>
      <c r="C40" s="30"/>
      <c r="D40" s="20"/>
      <c r="E40" s="20"/>
      <c r="F40" s="20"/>
      <c r="G40" s="20"/>
      <c r="H40" s="20"/>
      <c r="I40" s="20"/>
      <c r="J40" s="20"/>
      <c r="K40" s="20"/>
      <c r="L40" s="20"/>
    </row>
    <row r="41" spans="1:12" ht="12.75" customHeight="1" x14ac:dyDescent="0.2">
      <c r="A41" s="20" t="s">
        <v>698</v>
      </c>
      <c r="B41" s="20"/>
      <c r="C41" s="108"/>
      <c r="D41" s="108"/>
      <c r="E41" s="108"/>
      <c r="F41" s="108"/>
      <c r="G41" s="108"/>
      <c r="H41" s="108"/>
      <c r="I41" s="108"/>
      <c r="J41" s="108"/>
      <c r="K41" s="108"/>
      <c r="L41" s="108"/>
    </row>
    <row r="42" spans="1:12" ht="12.75" customHeight="1" x14ac:dyDescent="0.2">
      <c r="A42" s="31"/>
      <c r="B42" s="32"/>
      <c r="C42" s="107" t="s">
        <v>699</v>
      </c>
      <c r="D42" s="107"/>
      <c r="E42" s="107"/>
      <c r="F42" s="107"/>
      <c r="G42" s="107"/>
      <c r="H42" s="107"/>
      <c r="I42" s="107"/>
      <c r="J42" s="107"/>
      <c r="K42" s="107"/>
      <c r="L42" s="107"/>
    </row>
    <row r="43" spans="1:12" ht="14.2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2" ht="14.25" customHeight="1" x14ac:dyDescent="0.2">
      <c r="A44" s="33" t="s">
        <v>727</v>
      </c>
      <c r="B44" s="17"/>
      <c r="C44" s="17"/>
      <c r="D44" s="34"/>
      <c r="E44" s="17"/>
      <c r="F44" s="17"/>
      <c r="G44" s="17"/>
      <c r="H44" s="17"/>
      <c r="I44" s="17"/>
      <c r="J44" s="17"/>
      <c r="K44" s="17"/>
      <c r="L44" s="17"/>
    </row>
    <row r="45" spans="1:12" ht="14.2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4.25" customHeight="1" x14ac:dyDescent="0.2">
      <c r="A46" s="33" t="s">
        <v>700</v>
      </c>
      <c r="B46" s="17"/>
      <c r="C46" s="109">
        <v>599.78</v>
      </c>
      <c r="D46" s="110"/>
      <c r="E46" s="20" t="s">
        <v>701</v>
      </c>
      <c r="F46" s="15"/>
      <c r="G46" s="15"/>
      <c r="H46" s="15"/>
      <c r="I46" s="15"/>
      <c r="J46" s="15"/>
      <c r="K46" s="15"/>
      <c r="L46" s="17"/>
    </row>
    <row r="47" spans="1:12" ht="14.25" customHeight="1" x14ac:dyDescent="0.2">
      <c r="A47" s="33"/>
      <c r="B47" s="17"/>
      <c r="C47" s="78"/>
      <c r="D47" s="35"/>
      <c r="E47" s="20"/>
      <c r="F47" s="15"/>
      <c r="G47" s="20" t="s">
        <v>702</v>
      </c>
      <c r="H47" s="17"/>
      <c r="I47" s="20"/>
      <c r="J47" s="20"/>
      <c r="K47" s="80">
        <f>ROUND(SUM(AR60:AR1142)/1000, 2)</f>
        <v>127.18</v>
      </c>
      <c r="L47" s="20" t="s">
        <v>701</v>
      </c>
    </row>
    <row r="48" spans="1:12" ht="14.25" customHeight="1" x14ac:dyDescent="0.2">
      <c r="A48" s="17"/>
      <c r="B48" s="36" t="s">
        <v>703</v>
      </c>
      <c r="C48" s="79"/>
      <c r="D48" s="17"/>
      <c r="E48" s="20"/>
      <c r="F48" s="15"/>
      <c r="G48" s="20" t="s">
        <v>704</v>
      </c>
      <c r="H48" s="17"/>
      <c r="I48" s="20"/>
      <c r="J48" s="20"/>
      <c r="K48" s="80">
        <f>ROUND(SUM(AT60:AT1142)/1000, 2)</f>
        <v>3.71</v>
      </c>
      <c r="L48" s="20" t="s">
        <v>701</v>
      </c>
    </row>
    <row r="49" spans="1:12" ht="14.25" customHeight="1" x14ac:dyDescent="0.2">
      <c r="A49" s="17"/>
      <c r="B49" s="33" t="s">
        <v>705</v>
      </c>
      <c r="C49" s="109">
        <f>ROUND((Source!F412)/1000, 2)</f>
        <v>491.62</v>
      </c>
      <c r="D49" s="110"/>
      <c r="E49" s="20" t="s">
        <v>701</v>
      </c>
      <c r="F49" s="15"/>
      <c r="G49" s="20" t="s">
        <v>706</v>
      </c>
      <c r="H49" s="17"/>
      <c r="I49" s="20"/>
      <c r="J49" s="35"/>
      <c r="K49" s="81">
        <f>Source!F417</f>
        <v>189.8517406</v>
      </c>
      <c r="L49" s="20" t="s">
        <v>428</v>
      </c>
    </row>
    <row r="50" spans="1:12" ht="14.25" customHeight="1" x14ac:dyDescent="0.2">
      <c r="A50" s="17"/>
      <c r="B50" s="33" t="s">
        <v>707</v>
      </c>
      <c r="C50" s="109">
        <f>ROUND((Source!F413)/1000, 2)</f>
        <v>0</v>
      </c>
      <c r="D50" s="110"/>
      <c r="E50" s="20" t="s">
        <v>701</v>
      </c>
      <c r="F50" s="15"/>
      <c r="G50" s="20" t="s">
        <v>708</v>
      </c>
      <c r="H50" s="17"/>
      <c r="I50" s="20"/>
      <c r="J50" s="37"/>
      <c r="K50" s="81">
        <f>Source!F418</f>
        <v>5.2866957000000001</v>
      </c>
      <c r="L50" s="20" t="s">
        <v>428</v>
      </c>
    </row>
    <row r="51" spans="1:12" ht="14.25" customHeight="1" x14ac:dyDescent="0.2">
      <c r="A51" s="17"/>
      <c r="B51" s="33" t="s">
        <v>709</v>
      </c>
      <c r="C51" s="109">
        <f>ROUND((Source!F404)/1000, 2)</f>
        <v>0</v>
      </c>
      <c r="D51" s="110"/>
      <c r="E51" s="20" t="s">
        <v>701</v>
      </c>
      <c r="F51" s="15"/>
      <c r="G51" s="20"/>
      <c r="H51" s="20"/>
      <c r="I51" s="20"/>
      <c r="J51" s="20"/>
      <c r="K51" s="15"/>
      <c r="L51" s="20"/>
    </row>
    <row r="52" spans="1:12" ht="14.25" customHeight="1" x14ac:dyDescent="0.2">
      <c r="A52" s="17"/>
      <c r="B52" s="33" t="s">
        <v>710</v>
      </c>
      <c r="C52" s="109">
        <f>ROUND((Source!F414)/1000, 2)</f>
        <v>0</v>
      </c>
      <c r="D52" s="110"/>
      <c r="E52" s="20" t="s">
        <v>701</v>
      </c>
      <c r="F52" s="15"/>
      <c r="G52" s="20"/>
      <c r="H52" s="20"/>
      <c r="I52" s="20"/>
      <c r="J52" s="20"/>
      <c r="K52" s="15"/>
      <c r="L52" s="20"/>
    </row>
    <row r="53" spans="1:12" ht="14.25" customHeight="1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2" ht="12.75" customHeight="1" x14ac:dyDescent="0.2">
      <c r="A54" s="126" t="s">
        <v>711</v>
      </c>
      <c r="B54" s="126" t="s">
        <v>712</v>
      </c>
      <c r="C54" s="126" t="s">
        <v>713</v>
      </c>
      <c r="D54" s="126" t="s">
        <v>714</v>
      </c>
      <c r="E54" s="114" t="s">
        <v>715</v>
      </c>
      <c r="F54" s="115"/>
      <c r="G54" s="116"/>
      <c r="H54" s="114" t="s">
        <v>716</v>
      </c>
      <c r="I54" s="115"/>
      <c r="J54" s="115"/>
      <c r="K54" s="115"/>
      <c r="L54" s="116"/>
    </row>
    <row r="55" spans="1:12" ht="12.75" customHeight="1" x14ac:dyDescent="0.2">
      <c r="A55" s="127"/>
      <c r="B55" s="127"/>
      <c r="C55" s="127"/>
      <c r="D55" s="127"/>
      <c r="E55" s="117"/>
      <c r="F55" s="118"/>
      <c r="G55" s="119"/>
      <c r="H55" s="117"/>
      <c r="I55" s="118"/>
      <c r="J55" s="118"/>
      <c r="K55" s="118"/>
      <c r="L55" s="119"/>
    </row>
    <row r="56" spans="1:12" ht="12.75" customHeight="1" x14ac:dyDescent="0.2">
      <c r="A56" s="127"/>
      <c r="B56" s="127"/>
      <c r="C56" s="127"/>
      <c r="D56" s="127"/>
      <c r="E56" s="117"/>
      <c r="F56" s="118"/>
      <c r="G56" s="119"/>
      <c r="H56" s="117"/>
      <c r="I56" s="118"/>
      <c r="J56" s="118"/>
      <c r="K56" s="118"/>
      <c r="L56" s="119"/>
    </row>
    <row r="57" spans="1:12" ht="12.75" customHeight="1" x14ac:dyDescent="0.2">
      <c r="A57" s="127"/>
      <c r="B57" s="127"/>
      <c r="C57" s="127"/>
      <c r="D57" s="127"/>
      <c r="E57" s="120"/>
      <c r="F57" s="121"/>
      <c r="G57" s="122"/>
      <c r="H57" s="120"/>
      <c r="I57" s="121"/>
      <c r="J57" s="121"/>
      <c r="K57" s="121"/>
      <c r="L57" s="122"/>
    </row>
    <row r="58" spans="1:12" ht="51" customHeight="1" x14ac:dyDescent="0.2">
      <c r="A58" s="128"/>
      <c r="B58" s="128"/>
      <c r="C58" s="128"/>
      <c r="D58" s="128"/>
      <c r="E58" s="39" t="s">
        <v>717</v>
      </c>
      <c r="F58" s="39" t="s">
        <v>718</v>
      </c>
      <c r="G58" s="40" t="s">
        <v>719</v>
      </c>
      <c r="H58" s="39" t="s">
        <v>720</v>
      </c>
      <c r="I58" s="39" t="s">
        <v>721</v>
      </c>
      <c r="J58" s="39" t="s">
        <v>722</v>
      </c>
      <c r="K58" s="39" t="s">
        <v>718</v>
      </c>
      <c r="L58" s="39" t="s">
        <v>723</v>
      </c>
    </row>
    <row r="59" spans="1:12" ht="14.25" customHeight="1" x14ac:dyDescent="0.2">
      <c r="A59" s="41">
        <v>1</v>
      </c>
      <c r="B59" s="41">
        <v>2</v>
      </c>
      <c r="C59" s="41">
        <v>3</v>
      </c>
      <c r="D59" s="41">
        <v>4</v>
      </c>
      <c r="E59" s="41">
        <v>5</v>
      </c>
      <c r="F59" s="41">
        <v>6</v>
      </c>
      <c r="G59" s="41">
        <v>7</v>
      </c>
      <c r="H59" s="41">
        <v>8</v>
      </c>
      <c r="I59" s="41">
        <v>9</v>
      </c>
      <c r="J59" s="41">
        <v>10</v>
      </c>
      <c r="K59" s="43">
        <v>11</v>
      </c>
      <c r="L59" s="43">
        <v>12</v>
      </c>
    </row>
    <row r="61" spans="1:12" ht="16.5" x14ac:dyDescent="0.2">
      <c r="A61" s="123" t="s">
        <v>728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</row>
    <row r="62" spans="1:12" ht="28.5" x14ac:dyDescent="0.2">
      <c r="A62" s="46" t="s">
        <v>17</v>
      </c>
      <c r="B62" s="48" t="s">
        <v>729</v>
      </c>
      <c r="C62" s="48" t="str">
        <f>Source!G28</f>
        <v>Разборка покрытий полов: из керамогранитных плит</v>
      </c>
      <c r="D62" s="49" t="str">
        <f>Source!H28</f>
        <v>100 м2</v>
      </c>
      <c r="E62" s="50">
        <f>Source!K28</f>
        <v>2.5499999999999998E-2</v>
      </c>
      <c r="F62" s="50"/>
      <c r="G62" s="50">
        <f>Source!I28</f>
        <v>2.5499999999999998E-2</v>
      </c>
      <c r="H62" s="52"/>
      <c r="I62" s="51"/>
      <c r="J62" s="52"/>
      <c r="K62" s="51"/>
      <c r="L62" s="52"/>
    </row>
    <row r="63" spans="1:12" x14ac:dyDescent="0.2">
      <c r="C63" s="53" t="str">
        <f>"Объем: "&amp;Source!I28&amp;"=1,5*"&amp;"1,7/"&amp;"100"</f>
        <v>Объем: 0,0255=1,5*1,7/100</v>
      </c>
    </row>
    <row r="64" spans="1:12" ht="15" x14ac:dyDescent="0.2">
      <c r="A64" s="47"/>
      <c r="B64" s="50">
        <v>1</v>
      </c>
      <c r="C64" s="47" t="s">
        <v>730</v>
      </c>
      <c r="D64" s="49" t="s">
        <v>428</v>
      </c>
      <c r="E64" s="54"/>
      <c r="F64" s="50"/>
      <c r="G64" s="50">
        <f>Source!U28</f>
        <v>2.00787</v>
      </c>
      <c r="H64" s="50"/>
      <c r="I64" s="50"/>
      <c r="J64" s="50"/>
      <c r="K64" s="50"/>
      <c r="L64" s="55">
        <f>SUM(L65:L65)-SUMIF(CE65:CE65, 1, L65:L65)</f>
        <v>1265.8399999999999</v>
      </c>
    </row>
    <row r="65" spans="1:83" ht="14.25" x14ac:dyDescent="0.2">
      <c r="A65" s="48"/>
      <c r="B65" s="48" t="s">
        <v>426</v>
      </c>
      <c r="C65" s="48" t="s">
        <v>427</v>
      </c>
      <c r="D65" s="49" t="s">
        <v>428</v>
      </c>
      <c r="E65" s="50">
        <v>78.739999999999995</v>
      </c>
      <c r="F65" s="50"/>
      <c r="G65" s="50">
        <f>SmtRes!CX1</f>
        <v>2.00787</v>
      </c>
      <c r="H65" s="52">
        <f>SmtRes!CZ1</f>
        <v>630.44000000000005</v>
      </c>
      <c r="I65" s="51"/>
      <c r="J65" s="52"/>
      <c r="K65" s="51"/>
      <c r="L65" s="52">
        <f>SmtRes!DI1</f>
        <v>1265.8399999999999</v>
      </c>
    </row>
    <row r="66" spans="1:83" ht="15" x14ac:dyDescent="0.2">
      <c r="A66" s="47"/>
      <c r="B66" s="50">
        <v>2</v>
      </c>
      <c r="C66" s="47" t="s">
        <v>731</v>
      </c>
      <c r="D66" s="49"/>
      <c r="E66" s="54"/>
      <c r="F66" s="50"/>
      <c r="G66" s="50"/>
      <c r="H66" s="50"/>
      <c r="I66" s="50"/>
      <c r="J66" s="50"/>
      <c r="K66" s="50"/>
      <c r="L66" s="55">
        <f>SUM(L67:L69)-SUMIF(CE67:CE69, 1, L67:L69)</f>
        <v>1.1799999999999997</v>
      </c>
    </row>
    <row r="67" spans="1:83" ht="15" x14ac:dyDescent="0.2">
      <c r="A67" s="47"/>
      <c r="B67" s="50"/>
      <c r="C67" s="47" t="s">
        <v>733</v>
      </c>
      <c r="D67" s="49" t="s">
        <v>428</v>
      </c>
      <c r="E67" s="54"/>
      <c r="F67" s="50"/>
      <c r="G67" s="50">
        <f>Source!V28</f>
        <v>2.0145E-2</v>
      </c>
      <c r="H67" s="50"/>
      <c r="I67" s="50"/>
      <c r="J67" s="50"/>
      <c r="K67" s="50"/>
      <c r="L67" s="55">
        <f>SUMIF(CE68:CE69, 1, L68:L69)</f>
        <v>13.08</v>
      </c>
      <c r="CE67">
        <v>1</v>
      </c>
    </row>
    <row r="68" spans="1:83" ht="42.75" x14ac:dyDescent="0.2">
      <c r="A68" s="48"/>
      <c r="B68" s="48" t="s">
        <v>431</v>
      </c>
      <c r="C68" s="48" t="s">
        <v>433</v>
      </c>
      <c r="D68" s="49" t="s">
        <v>434</v>
      </c>
      <c r="E68" s="50">
        <v>0.79</v>
      </c>
      <c r="F68" s="50"/>
      <c r="G68" s="50">
        <f>SmtRes!CX3</f>
        <v>2.0145E-2</v>
      </c>
      <c r="H68" s="52">
        <f>SmtRes!CZ3</f>
        <v>37.32</v>
      </c>
      <c r="I68" s="51">
        <f>SmtRes!AJ3</f>
        <v>1.57</v>
      </c>
      <c r="J68" s="52">
        <f>ROUND(H68*I68, 2)</f>
        <v>58.59</v>
      </c>
      <c r="K68" s="51"/>
      <c r="L68" s="52">
        <f>SmtRes!DG3</f>
        <v>1.18</v>
      </c>
    </row>
    <row r="69" spans="1:83" ht="28.5" x14ac:dyDescent="0.2">
      <c r="A69" s="48"/>
      <c r="B69" s="48" t="s">
        <v>435</v>
      </c>
      <c r="C69" s="56" t="s">
        <v>732</v>
      </c>
      <c r="D69" s="57" t="s">
        <v>428</v>
      </c>
      <c r="E69" s="58">
        <f>SmtRes!DO3*SmtRes!AT3</f>
        <v>0.79</v>
      </c>
      <c r="F69" s="58"/>
      <c r="G69" s="58">
        <f>ROUND(E69*G62, 7)</f>
        <v>2.0145E-2</v>
      </c>
      <c r="H69" s="59"/>
      <c r="I69" s="60"/>
      <c r="J69" s="59">
        <f>ROUND(SmtRes!AG3/SmtRes!DO3, 2)</f>
        <v>649.24</v>
      </c>
      <c r="K69" s="60"/>
      <c r="L69" s="59">
        <f>SmtRes!DH3</f>
        <v>13.08</v>
      </c>
      <c r="CE69">
        <v>1</v>
      </c>
    </row>
    <row r="70" spans="1:83" ht="15" x14ac:dyDescent="0.2">
      <c r="A70" s="48"/>
      <c r="B70" s="48"/>
      <c r="C70" s="63" t="s">
        <v>734</v>
      </c>
      <c r="D70" s="49"/>
      <c r="E70" s="50"/>
      <c r="F70" s="50"/>
      <c r="G70" s="50"/>
      <c r="H70" s="52"/>
      <c r="I70" s="51"/>
      <c r="J70" s="52"/>
      <c r="K70" s="51"/>
      <c r="L70" s="52">
        <f>L64+L66+L67</f>
        <v>1280.0999999999999</v>
      </c>
    </row>
    <row r="71" spans="1:83" ht="14.25" x14ac:dyDescent="0.2">
      <c r="A71" s="46" t="s">
        <v>641</v>
      </c>
      <c r="B71" s="48" t="str">
        <f>Source!F29</f>
        <v>999-9900</v>
      </c>
      <c r="C71" s="48" t="str">
        <f>Source!G29</f>
        <v>Строительный мусор</v>
      </c>
      <c r="D71" s="49" t="str">
        <f>Source!H29</f>
        <v>т</v>
      </c>
      <c r="E71" s="50">
        <f>SmtRes!AT4</f>
        <v>4.3</v>
      </c>
      <c r="F71" s="50"/>
      <c r="G71" s="50">
        <f>Source!I29</f>
        <v>0.10964999999999998</v>
      </c>
      <c r="H71" s="52">
        <f>Source!AL29+Source!AO29+Source!AM29+Source!AN29</f>
        <v>0</v>
      </c>
      <c r="I71" s="51"/>
      <c r="J71" s="52"/>
      <c r="K71" s="51"/>
      <c r="L71" s="52">
        <f>Source!P29</f>
        <v>0</v>
      </c>
      <c r="AD71">
        <f>ROUND((Source!AT29/100)*((ROUND(ROUND(Source!AO29,2)*Source!I29, 2)+ROUND(ROUND(Source!AN29,2)*Source!I29, 2))), 2)</f>
        <v>0</v>
      </c>
      <c r="AE71">
        <f>ROUND((Source!AU29/100)*((ROUND(ROUND(Source!AO29,2)*Source!I29, 2)+ROUND(ROUND(Source!AN29,2)*Source!I29, 2))), 2)</f>
        <v>0</v>
      </c>
      <c r="AN71">
        <f>L71</f>
        <v>0</v>
      </c>
      <c r="AW71">
        <f>L71</f>
        <v>0</v>
      </c>
      <c r="AZ71">
        <f>Source!X29</f>
        <v>0</v>
      </c>
      <c r="BA71">
        <f>Source!Y29</f>
        <v>0</v>
      </c>
      <c r="CD71">
        <v>1</v>
      </c>
    </row>
    <row r="72" spans="1:83" ht="14.25" x14ac:dyDescent="0.2">
      <c r="A72" s="48"/>
      <c r="B72" s="48"/>
      <c r="C72" s="48" t="s">
        <v>735</v>
      </c>
      <c r="D72" s="49"/>
      <c r="E72" s="50"/>
      <c r="F72" s="50"/>
      <c r="G72" s="50"/>
      <c r="H72" s="52"/>
      <c r="I72" s="51"/>
      <c r="J72" s="52"/>
      <c r="K72" s="51"/>
      <c r="L72" s="52">
        <f>SUM(AR62:AR75)+SUM(AS62:AS75)+SUM(AT62:AT75)+SUM(AU62:AU75)+SUM(AV62:AV75)</f>
        <v>1278.9199999999998</v>
      </c>
    </row>
    <row r="73" spans="1:83" ht="14.25" x14ac:dyDescent="0.2">
      <c r="A73" s="48"/>
      <c r="B73" s="48" t="s">
        <v>25</v>
      </c>
      <c r="C73" s="48" t="s">
        <v>736</v>
      </c>
      <c r="D73" s="49" t="s">
        <v>737</v>
      </c>
      <c r="E73" s="50">
        <f>Source!BZ28</f>
        <v>89</v>
      </c>
      <c r="F73" s="50"/>
      <c r="G73" s="50">
        <f>Source!AT28</f>
        <v>89</v>
      </c>
      <c r="H73" s="52"/>
      <c r="I73" s="51"/>
      <c r="J73" s="52"/>
      <c r="K73" s="51"/>
      <c r="L73" s="52">
        <f>SUM(AZ62:AZ75)</f>
        <v>1138.24</v>
      </c>
    </row>
    <row r="74" spans="1:83" ht="14.25" x14ac:dyDescent="0.2">
      <c r="A74" s="56"/>
      <c r="B74" s="56" t="s">
        <v>26</v>
      </c>
      <c r="C74" s="56" t="s">
        <v>738</v>
      </c>
      <c r="D74" s="57" t="s">
        <v>737</v>
      </c>
      <c r="E74" s="58">
        <f>Source!CA28</f>
        <v>49</v>
      </c>
      <c r="F74" s="58"/>
      <c r="G74" s="58">
        <f>Source!AU28</f>
        <v>49</v>
      </c>
      <c r="H74" s="59"/>
      <c r="I74" s="60"/>
      <c r="J74" s="59"/>
      <c r="K74" s="60"/>
      <c r="L74" s="59">
        <f>SUM(BA62:BA75)</f>
        <v>626.66999999999996</v>
      </c>
    </row>
    <row r="75" spans="1:83" ht="15" x14ac:dyDescent="0.2">
      <c r="C75" s="124" t="s">
        <v>739</v>
      </c>
      <c r="D75" s="124"/>
      <c r="E75" s="124"/>
      <c r="F75" s="124"/>
      <c r="G75" s="124"/>
      <c r="H75" s="124"/>
      <c r="I75" s="125">
        <f>IF(E62&lt;&gt;0,K75/E62, 0)</f>
        <v>119412.15686274512</v>
      </c>
      <c r="J75" s="125"/>
      <c r="K75" s="125">
        <f>L64+L66+L73+L74+L67+SUM(L71:L71)</f>
        <v>3045.01</v>
      </c>
      <c r="L75" s="125"/>
      <c r="AD75">
        <f>ROUND((Source!AT28/100)*((ROUND(SUMIF(SmtRes!AQ1:'SmtRes'!AQ4,"=1",SmtRes!AD1:'SmtRes'!AD4)*Source!I28, 2)+ROUND(SUMIF(SmtRes!AQ1:'SmtRes'!AQ4,"=1",SmtRes!AC1:'SmtRes'!AC4)*Source!I28, 2))), 2)</f>
        <v>29.05</v>
      </c>
      <c r="AE75">
        <f>ROUND((Source!AU28/100)*((ROUND(SUMIF(SmtRes!AQ1:'SmtRes'!AQ4,"=1",SmtRes!AD1:'SmtRes'!AD4)*Source!I28, 2)+ROUND(SUMIF(SmtRes!AQ1:'SmtRes'!AQ4,"=1",SmtRes!AC1:'SmtRes'!AC4)*Source!I28, 2))), 2)</f>
        <v>15.99</v>
      </c>
      <c r="AN75" s="61">
        <f>L64+L66+L73+L74+L67</f>
        <v>3045.01</v>
      </c>
      <c r="AO75" s="61">
        <f>L66</f>
        <v>1.1799999999999997</v>
      </c>
      <c r="AQ75" t="s">
        <v>740</v>
      </c>
      <c r="AR75" s="61">
        <f>L64</f>
        <v>1265.8399999999999</v>
      </c>
      <c r="AT75" s="61">
        <f>L67</f>
        <v>13.08</v>
      </c>
      <c r="AV75" t="s">
        <v>740</v>
      </c>
      <c r="AW75">
        <f>0</f>
        <v>0</v>
      </c>
      <c r="AZ75">
        <f>Source!X28</f>
        <v>1138.24</v>
      </c>
      <c r="BA75">
        <f>Source!Y28</f>
        <v>626.66999999999996</v>
      </c>
      <c r="CD75">
        <v>1</v>
      </c>
    </row>
    <row r="76" spans="1:83" ht="57" x14ac:dyDescent="0.2">
      <c r="A76" s="46" t="s">
        <v>31</v>
      </c>
      <c r="B76" s="48" t="s">
        <v>741</v>
      </c>
      <c r="C76" s="48" t="str">
        <f>Source!G30</f>
        <v>Разборка горизонтальных поверхностей железобетонных конструкций при помощи отбойных молотков, бетон марки: 150</v>
      </c>
      <c r="D76" s="49" t="str">
        <f>Source!H30</f>
        <v>м3</v>
      </c>
      <c r="E76" s="50">
        <f>Source!K30</f>
        <v>0.15</v>
      </c>
      <c r="F76" s="50"/>
      <c r="G76" s="50">
        <f>Source!I30</f>
        <v>0.15</v>
      </c>
      <c r="H76" s="52"/>
      <c r="I76" s="51"/>
      <c r="J76" s="52"/>
      <c r="K76" s="51"/>
      <c r="L76" s="52"/>
    </row>
    <row r="77" spans="1:83" ht="15" x14ac:dyDescent="0.2">
      <c r="A77" s="47"/>
      <c r="B77" s="50">
        <v>1</v>
      </c>
      <c r="C77" s="47" t="s">
        <v>730</v>
      </c>
      <c r="D77" s="49" t="s">
        <v>428</v>
      </c>
      <c r="E77" s="54"/>
      <c r="F77" s="50"/>
      <c r="G77" s="50">
        <f>Source!U30</f>
        <v>2.9714999999999998</v>
      </c>
      <c r="H77" s="50"/>
      <c r="I77" s="50"/>
      <c r="J77" s="50"/>
      <c r="K77" s="50"/>
      <c r="L77" s="55">
        <f>SUM(L78:L78)-SUMIF(CE78:CE78, 1, L78:L78)</f>
        <v>1929.22</v>
      </c>
    </row>
    <row r="78" spans="1:83" ht="14.25" x14ac:dyDescent="0.2">
      <c r="A78" s="48"/>
      <c r="B78" s="48" t="s">
        <v>436</v>
      </c>
      <c r="C78" s="48" t="s">
        <v>437</v>
      </c>
      <c r="D78" s="49" t="s">
        <v>428</v>
      </c>
      <c r="E78" s="50">
        <v>19.809999999999999</v>
      </c>
      <c r="F78" s="50"/>
      <c r="G78" s="50">
        <f>SmtRes!CX5</f>
        <v>2.9714999999999998</v>
      </c>
      <c r="H78" s="52"/>
      <c r="I78" s="51"/>
      <c r="J78" s="52">
        <f>SmtRes!CZ5</f>
        <v>649.24</v>
      </c>
      <c r="K78" s="51"/>
      <c r="L78" s="52">
        <f>SmtRes!DI5</f>
        <v>1929.22</v>
      </c>
    </row>
    <row r="79" spans="1:83" ht="15" x14ac:dyDescent="0.2">
      <c r="A79" s="47"/>
      <c r="B79" s="50">
        <v>2</v>
      </c>
      <c r="C79" s="47" t="s">
        <v>731</v>
      </c>
      <c r="D79" s="49"/>
      <c r="E79" s="54"/>
      <c r="F79" s="50"/>
      <c r="G79" s="50"/>
      <c r="H79" s="50"/>
      <c r="I79" s="50"/>
      <c r="J79" s="50"/>
      <c r="K79" s="50"/>
      <c r="L79" s="55">
        <f>SUM(L80:L83)-SUMIF(CE80:CE83, 1, L80:L83)</f>
        <v>122.02</v>
      </c>
    </row>
    <row r="80" spans="1:83" ht="15" hidden="1" x14ac:dyDescent="0.2">
      <c r="A80" s="47"/>
      <c r="B80" s="50"/>
      <c r="C80" s="47" t="s">
        <v>733</v>
      </c>
      <c r="D80" s="49" t="s">
        <v>428</v>
      </c>
      <c r="E80" s="54"/>
      <c r="F80" s="50"/>
      <c r="G80" s="50">
        <f>Source!V30</f>
        <v>0</v>
      </c>
      <c r="H80" s="50"/>
      <c r="I80" s="50"/>
      <c r="J80" s="50"/>
      <c r="K80" s="50"/>
      <c r="L80" s="55">
        <f>SUMIF(CE81:CE83, 1, L81:L83)</f>
        <v>0</v>
      </c>
      <c r="CE80">
        <v>1</v>
      </c>
    </row>
    <row r="81" spans="1:83" ht="14.25" x14ac:dyDescent="0.2">
      <c r="A81" s="48"/>
      <c r="B81" s="48" t="s">
        <v>438</v>
      </c>
      <c r="C81" s="48" t="s">
        <v>440</v>
      </c>
      <c r="D81" s="49" t="s">
        <v>434</v>
      </c>
      <c r="E81" s="50">
        <v>2.36</v>
      </c>
      <c r="F81" s="50"/>
      <c r="G81" s="50">
        <f>SmtRes!CX6</f>
        <v>0.35399999999999998</v>
      </c>
      <c r="H81" s="52">
        <f>SmtRes!CZ6</f>
        <v>4.3499999999999996</v>
      </c>
      <c r="I81" s="51">
        <f>SmtRes!AJ6</f>
        <v>1.23</v>
      </c>
      <c r="J81" s="52">
        <f>ROUND(H81*I81, 2)</f>
        <v>5.35</v>
      </c>
      <c r="K81" s="51"/>
      <c r="L81" s="52">
        <f>SmtRes!DG6</f>
        <v>1.89</v>
      </c>
    </row>
    <row r="82" spans="1:83" ht="57" x14ac:dyDescent="0.2">
      <c r="A82" s="48"/>
      <c r="B82" s="48" t="s">
        <v>441</v>
      </c>
      <c r="C82" s="48" t="s">
        <v>443</v>
      </c>
      <c r="D82" s="49" t="s">
        <v>434</v>
      </c>
      <c r="E82" s="50">
        <v>8.15</v>
      </c>
      <c r="F82" s="50"/>
      <c r="G82" s="50">
        <f>SmtRes!CX7</f>
        <v>1.2224999999999999</v>
      </c>
      <c r="H82" s="52">
        <f>SmtRes!CZ7</f>
        <v>67.2</v>
      </c>
      <c r="I82" s="51">
        <f>SmtRes!AJ7</f>
        <v>1.36</v>
      </c>
      <c r="J82" s="52">
        <f>ROUND(H82*I82, 2)</f>
        <v>91.39</v>
      </c>
      <c r="K82" s="51"/>
      <c r="L82" s="52">
        <f>SmtRes!DG7</f>
        <v>111.72</v>
      </c>
    </row>
    <row r="83" spans="1:83" ht="42.75" x14ac:dyDescent="0.2">
      <c r="A83" s="48"/>
      <c r="B83" s="48" t="s">
        <v>444</v>
      </c>
      <c r="C83" s="48" t="s">
        <v>446</v>
      </c>
      <c r="D83" s="49" t="s">
        <v>434</v>
      </c>
      <c r="E83" s="50">
        <v>16.3</v>
      </c>
      <c r="F83" s="50"/>
      <c r="G83" s="50">
        <f>SmtRes!CX8</f>
        <v>2.4449999999999998</v>
      </c>
      <c r="H83" s="52">
        <f>SmtRes!CZ8</f>
        <v>2.11</v>
      </c>
      <c r="I83" s="51">
        <f>SmtRes!AJ8</f>
        <v>1.63</v>
      </c>
      <c r="J83" s="52">
        <f>ROUND(H83*I83, 2)</f>
        <v>3.44</v>
      </c>
      <c r="K83" s="51"/>
      <c r="L83" s="52">
        <f>SmtRes!DG8</f>
        <v>8.41</v>
      </c>
    </row>
    <row r="84" spans="1:83" ht="15" x14ac:dyDescent="0.2">
      <c r="A84" s="47"/>
      <c r="B84" s="50">
        <v>4</v>
      </c>
      <c r="C84" s="47" t="s">
        <v>742</v>
      </c>
      <c r="D84" s="49"/>
      <c r="E84" s="54"/>
      <c r="F84" s="50"/>
      <c r="G84" s="50"/>
      <c r="H84" s="50"/>
      <c r="I84" s="50"/>
      <c r="J84" s="50"/>
      <c r="K84" s="50"/>
      <c r="L84" s="55">
        <f>SUM(L85:L86)-SUMIF(CE85:CE86, 1, L85:L86)</f>
        <v>50.819999999999993</v>
      </c>
    </row>
    <row r="85" spans="1:83" ht="14.25" x14ac:dyDescent="0.2">
      <c r="A85" s="48"/>
      <c r="B85" s="48" t="s">
        <v>447</v>
      </c>
      <c r="C85" s="48" t="s">
        <v>449</v>
      </c>
      <c r="D85" s="49" t="s">
        <v>34</v>
      </c>
      <c r="E85" s="50">
        <v>0.26</v>
      </c>
      <c r="F85" s="50"/>
      <c r="G85" s="50">
        <f>SmtRes!CX9</f>
        <v>3.9E-2</v>
      </c>
      <c r="H85" s="52">
        <f>SmtRes!CZ9</f>
        <v>340.41</v>
      </c>
      <c r="I85" s="51">
        <f>SmtRes!AI9</f>
        <v>1.6</v>
      </c>
      <c r="J85" s="52">
        <f>ROUND(H85*I85, 2)</f>
        <v>544.66</v>
      </c>
      <c r="K85" s="51"/>
      <c r="L85" s="52">
        <f>SmtRes!DF9</f>
        <v>21.24</v>
      </c>
    </row>
    <row r="86" spans="1:83" ht="14.25" x14ac:dyDescent="0.2">
      <c r="A86" s="48"/>
      <c r="B86" s="48" t="s">
        <v>450</v>
      </c>
      <c r="C86" s="56" t="s">
        <v>452</v>
      </c>
      <c r="D86" s="57" t="s">
        <v>34</v>
      </c>
      <c r="E86" s="58">
        <v>2</v>
      </c>
      <c r="F86" s="58"/>
      <c r="G86" s="58">
        <f>SmtRes!CX10</f>
        <v>0.3</v>
      </c>
      <c r="H86" s="59">
        <f>SmtRes!CZ10</f>
        <v>114.64</v>
      </c>
      <c r="I86" s="60">
        <f>SmtRes!AI10</f>
        <v>0.86</v>
      </c>
      <c r="J86" s="59">
        <f>ROUND(H86*I86, 2)</f>
        <v>98.59</v>
      </c>
      <c r="K86" s="60"/>
      <c r="L86" s="59">
        <f>SmtRes!DF10</f>
        <v>29.58</v>
      </c>
    </row>
    <row r="87" spans="1:83" ht="15" x14ac:dyDescent="0.2">
      <c r="A87" s="48"/>
      <c r="B87" s="48"/>
      <c r="C87" s="63" t="s">
        <v>734</v>
      </c>
      <c r="D87" s="49"/>
      <c r="E87" s="50"/>
      <c r="F87" s="50"/>
      <c r="G87" s="50"/>
      <c r="H87" s="52"/>
      <c r="I87" s="51"/>
      <c r="J87" s="52"/>
      <c r="K87" s="51"/>
      <c r="L87" s="52">
        <f>L77+L79+L80+L84</f>
        <v>2102.0600000000004</v>
      </c>
    </row>
    <row r="88" spans="1:83" ht="14.25" x14ac:dyDescent="0.2">
      <c r="A88" s="48"/>
      <c r="B88" s="48"/>
      <c r="C88" s="48" t="s">
        <v>735</v>
      </c>
      <c r="D88" s="49"/>
      <c r="E88" s="50"/>
      <c r="F88" s="50"/>
      <c r="G88" s="50"/>
      <c r="H88" s="52"/>
      <c r="I88" s="51"/>
      <c r="J88" s="52"/>
      <c r="K88" s="51"/>
      <c r="L88" s="52">
        <f>SUM(AR76:AR91)+SUM(AS76:AS91)+SUM(AT76:AT91)+SUM(AU76:AU91)+SUM(AV76:AV91)</f>
        <v>1929.22</v>
      </c>
    </row>
    <row r="89" spans="1:83" ht="28.5" x14ac:dyDescent="0.2">
      <c r="A89" s="48"/>
      <c r="B89" s="48" t="s">
        <v>38</v>
      </c>
      <c r="C89" s="48" t="s">
        <v>743</v>
      </c>
      <c r="D89" s="49" t="s">
        <v>737</v>
      </c>
      <c r="E89" s="50">
        <f>Source!BZ30</f>
        <v>92</v>
      </c>
      <c r="F89" s="50"/>
      <c r="G89" s="50">
        <f>Source!AT30</f>
        <v>92</v>
      </c>
      <c r="H89" s="52"/>
      <c r="I89" s="51"/>
      <c r="J89" s="52"/>
      <c r="K89" s="51"/>
      <c r="L89" s="52">
        <f>SUM(AZ76:AZ91)</f>
        <v>1774.88</v>
      </c>
    </row>
    <row r="90" spans="1:83" ht="28.5" x14ac:dyDescent="0.2">
      <c r="A90" s="56"/>
      <c r="B90" s="56" t="s">
        <v>39</v>
      </c>
      <c r="C90" s="56" t="s">
        <v>744</v>
      </c>
      <c r="D90" s="57" t="s">
        <v>737</v>
      </c>
      <c r="E90" s="58">
        <f>Source!CA30</f>
        <v>44</v>
      </c>
      <c r="F90" s="58"/>
      <c r="G90" s="58">
        <f>Source!AU30</f>
        <v>44</v>
      </c>
      <c r="H90" s="59"/>
      <c r="I90" s="60"/>
      <c r="J90" s="59"/>
      <c r="K90" s="60"/>
      <c r="L90" s="59">
        <f>SUM(BA76:BA91)</f>
        <v>848.86</v>
      </c>
    </row>
    <row r="91" spans="1:83" ht="15" x14ac:dyDescent="0.2">
      <c r="C91" s="124" t="s">
        <v>739</v>
      </c>
      <c r="D91" s="124"/>
      <c r="E91" s="124"/>
      <c r="F91" s="124"/>
      <c r="G91" s="124"/>
      <c r="H91" s="124"/>
      <c r="I91" s="125">
        <f>IF(E76&lt;&gt;0,K91/E76, 0)</f>
        <v>31505.333333333336</v>
      </c>
      <c r="J91" s="125"/>
      <c r="K91" s="125">
        <f>L77+L79+L84+L89+L90+L80</f>
        <v>4725.8</v>
      </c>
      <c r="L91" s="125"/>
      <c r="AD91">
        <f>ROUND((Source!AT30/100)*((ROUND(SUMIF(SmtRes!AQ5:'SmtRes'!AQ10,"=1",SmtRes!AD5:'SmtRes'!AD10)*Source!I30, 2)+ROUND(SUMIF(SmtRes!AQ5:'SmtRes'!AQ10,"=1",SmtRes!AC5:'SmtRes'!AC10)*Source!I30, 2))), 2)</f>
        <v>89.6</v>
      </c>
      <c r="AE91">
        <f>ROUND((Source!AU30/100)*((ROUND(SUMIF(SmtRes!AQ5:'SmtRes'!AQ10,"=1",SmtRes!AD5:'SmtRes'!AD10)*Source!I30, 2)+ROUND(SUMIF(SmtRes!AQ5:'SmtRes'!AQ10,"=1",SmtRes!AC5:'SmtRes'!AC10)*Source!I30, 2))), 2)</f>
        <v>42.85</v>
      </c>
      <c r="AN91" s="61">
        <f>L77+L79+L84+L89+L90+L80</f>
        <v>4725.8</v>
      </c>
      <c r="AO91" s="61">
        <f>L79</f>
        <v>122.02</v>
      </c>
      <c r="AQ91" t="s">
        <v>740</v>
      </c>
      <c r="AR91" s="61">
        <f>L77</f>
        <v>1929.22</v>
      </c>
      <c r="AT91" s="61">
        <f>L80</f>
        <v>0</v>
      </c>
      <c r="AV91" t="s">
        <v>740</v>
      </c>
      <c r="AW91" s="61">
        <f>L84</f>
        <v>50.819999999999993</v>
      </c>
      <c r="AZ91">
        <f>Source!X30</f>
        <v>1774.88</v>
      </c>
      <c r="BA91">
        <f>Source!Y30</f>
        <v>848.86</v>
      </c>
      <c r="CD91">
        <v>1</v>
      </c>
    </row>
    <row r="92" spans="1:83" ht="14.25" x14ac:dyDescent="0.2">
      <c r="A92" s="46" t="s">
        <v>40</v>
      </c>
      <c r="B92" s="48" t="s">
        <v>745</v>
      </c>
      <c r="C92" s="48" t="str">
        <f>Source!G31</f>
        <v>Устройство: железобетонных крылец</v>
      </c>
      <c r="D92" s="49" t="str">
        <f>Source!H31</f>
        <v>м3</v>
      </c>
      <c r="E92" s="50">
        <f>Source!K31</f>
        <v>0.15</v>
      </c>
      <c r="F92" s="50"/>
      <c r="G92" s="50">
        <f>Source!I31</f>
        <v>0.15</v>
      </c>
      <c r="H92" s="52"/>
      <c r="I92" s="51"/>
      <c r="J92" s="52"/>
      <c r="K92" s="51"/>
      <c r="L92" s="52"/>
    </row>
    <row r="93" spans="1:83" ht="15" x14ac:dyDescent="0.2">
      <c r="A93" s="47"/>
      <c r="B93" s="50">
        <v>1</v>
      </c>
      <c r="C93" s="47" t="s">
        <v>730</v>
      </c>
      <c r="D93" s="49" t="s">
        <v>428</v>
      </c>
      <c r="E93" s="54"/>
      <c r="F93" s="50"/>
      <c r="G93" s="50">
        <f>Source!U31</f>
        <v>0.72750000000000004</v>
      </c>
      <c r="H93" s="50"/>
      <c r="I93" s="50"/>
      <c r="J93" s="50"/>
      <c r="K93" s="50"/>
      <c r="L93" s="55">
        <f>SUM(L94:L94)-SUMIF(CE94:CE94, 1, L94:L94)</f>
        <v>466.49</v>
      </c>
    </row>
    <row r="94" spans="1:83" ht="14.25" x14ac:dyDescent="0.2">
      <c r="A94" s="48"/>
      <c r="B94" s="48" t="s">
        <v>436</v>
      </c>
      <c r="C94" s="48" t="s">
        <v>437</v>
      </c>
      <c r="D94" s="49" t="s">
        <v>428</v>
      </c>
      <c r="E94" s="50">
        <v>4.8499999999999996</v>
      </c>
      <c r="F94" s="50"/>
      <c r="G94" s="50">
        <f>SmtRes!CX11</f>
        <v>0.72750000000000004</v>
      </c>
      <c r="H94" s="52">
        <f>SmtRes!CZ11</f>
        <v>641.22</v>
      </c>
      <c r="I94" s="51"/>
      <c r="J94" s="52"/>
      <c r="K94" s="51"/>
      <c r="L94" s="52">
        <f>SmtRes!DI11</f>
        <v>466.49</v>
      </c>
    </row>
    <row r="95" spans="1:83" ht="15" x14ac:dyDescent="0.2">
      <c r="A95" s="47"/>
      <c r="B95" s="50">
        <v>2</v>
      </c>
      <c r="C95" s="47" t="s">
        <v>731</v>
      </c>
      <c r="D95" s="49"/>
      <c r="E95" s="54"/>
      <c r="F95" s="50"/>
      <c r="G95" s="50"/>
      <c r="H95" s="50"/>
      <c r="I95" s="50"/>
      <c r="J95" s="50"/>
      <c r="K95" s="50"/>
      <c r="L95" s="55">
        <f>SUM(L96:L102)-SUMIF(CE96:CE102, 1, L96:L102)</f>
        <v>11.880000000000003</v>
      </c>
    </row>
    <row r="96" spans="1:83" ht="15" x14ac:dyDescent="0.2">
      <c r="A96" s="47"/>
      <c r="B96" s="50"/>
      <c r="C96" s="47" t="s">
        <v>733</v>
      </c>
      <c r="D96" s="49" t="s">
        <v>428</v>
      </c>
      <c r="E96" s="54"/>
      <c r="F96" s="50"/>
      <c r="G96" s="50">
        <f>Source!V31</f>
        <v>1.8000000000000002E-2</v>
      </c>
      <c r="H96" s="50"/>
      <c r="I96" s="50"/>
      <c r="J96" s="50"/>
      <c r="K96" s="50"/>
      <c r="L96" s="55">
        <f>SUMIF(CE97:CE102, 1, L97:L102)</f>
        <v>13.530000000000001</v>
      </c>
      <c r="CE96">
        <v>1</v>
      </c>
    </row>
    <row r="97" spans="1:83" ht="28.5" x14ac:dyDescent="0.2">
      <c r="A97" s="48"/>
      <c r="B97" s="48" t="s">
        <v>453</v>
      </c>
      <c r="C97" s="48" t="s">
        <v>455</v>
      </c>
      <c r="D97" s="49" t="s">
        <v>434</v>
      </c>
      <c r="E97" s="50">
        <v>0.01</v>
      </c>
      <c r="F97" s="50"/>
      <c r="G97" s="50">
        <f>SmtRes!CX13</f>
        <v>1.5E-3</v>
      </c>
      <c r="H97" s="52"/>
      <c r="I97" s="51"/>
      <c r="J97" s="52">
        <f>SmtRes!CZ13</f>
        <v>1585.56</v>
      </c>
      <c r="K97" s="51"/>
      <c r="L97" s="52">
        <f>SmtRes!DG13</f>
        <v>2.38</v>
      </c>
    </row>
    <row r="98" spans="1:83" ht="28.5" x14ac:dyDescent="0.2">
      <c r="A98" s="48"/>
      <c r="B98" s="48" t="s">
        <v>456</v>
      </c>
      <c r="C98" s="48" t="s">
        <v>746</v>
      </c>
      <c r="D98" s="49" t="s">
        <v>428</v>
      </c>
      <c r="E98" s="50">
        <f>SmtRes!DO13*SmtRes!AT13</f>
        <v>0.01</v>
      </c>
      <c r="F98" s="50"/>
      <c r="G98" s="50">
        <f>ROUND(E98*G92, 7)</f>
        <v>1.5E-3</v>
      </c>
      <c r="H98" s="52"/>
      <c r="I98" s="51"/>
      <c r="J98" s="52">
        <f>ROUND(SmtRes!AG13/SmtRes!DO13, 2)</f>
        <v>982.04</v>
      </c>
      <c r="K98" s="51"/>
      <c r="L98" s="52">
        <f>SmtRes!DH13</f>
        <v>1.47</v>
      </c>
      <c r="CE98">
        <v>1</v>
      </c>
    </row>
    <row r="99" spans="1:83" ht="14.25" x14ac:dyDescent="0.2">
      <c r="A99" s="48"/>
      <c r="B99" s="48" t="s">
        <v>457</v>
      </c>
      <c r="C99" s="48" t="s">
        <v>459</v>
      </c>
      <c r="D99" s="49" t="s">
        <v>434</v>
      </c>
      <c r="E99" s="50">
        <v>0.17</v>
      </c>
      <c r="F99" s="50"/>
      <c r="G99" s="50">
        <f>SmtRes!CX14</f>
        <v>2.5499999999999998E-2</v>
      </c>
      <c r="H99" s="52">
        <f>SmtRes!CZ14</f>
        <v>10.37</v>
      </c>
      <c r="I99" s="51">
        <f>SmtRes!AJ14</f>
        <v>1.2</v>
      </c>
      <c r="J99" s="52">
        <f>ROUND(H99*I99, 2)</f>
        <v>12.44</v>
      </c>
      <c r="K99" s="51"/>
      <c r="L99" s="52">
        <f>SmtRes!DG14</f>
        <v>0.32</v>
      </c>
    </row>
    <row r="100" spans="1:83" ht="14.25" x14ac:dyDescent="0.2">
      <c r="A100" s="48"/>
      <c r="B100" s="48" t="s">
        <v>460</v>
      </c>
      <c r="C100" s="48" t="s">
        <v>462</v>
      </c>
      <c r="D100" s="49" t="s">
        <v>434</v>
      </c>
      <c r="E100" s="50">
        <v>0.1</v>
      </c>
      <c r="F100" s="50"/>
      <c r="G100" s="50">
        <f>SmtRes!CX15</f>
        <v>1.4999999999999999E-2</v>
      </c>
      <c r="H100" s="52">
        <f>SmtRes!CZ15</f>
        <v>8.5399999999999991</v>
      </c>
      <c r="I100" s="51">
        <f>SmtRes!AJ15</f>
        <v>1.46</v>
      </c>
      <c r="J100" s="52">
        <f>ROUND(H100*I100, 2)</f>
        <v>12.47</v>
      </c>
      <c r="K100" s="51"/>
      <c r="L100" s="52">
        <f>SmtRes!DG15</f>
        <v>0.19</v>
      </c>
    </row>
    <row r="101" spans="1:83" ht="28.5" x14ac:dyDescent="0.2">
      <c r="A101" s="48"/>
      <c r="B101" s="48" t="s">
        <v>463</v>
      </c>
      <c r="C101" s="48" t="s">
        <v>465</v>
      </c>
      <c r="D101" s="49" t="s">
        <v>434</v>
      </c>
      <c r="E101" s="50">
        <v>0.11</v>
      </c>
      <c r="F101" s="50"/>
      <c r="G101" s="50">
        <f>SmtRes!CX16</f>
        <v>1.6500000000000001E-2</v>
      </c>
      <c r="H101" s="52"/>
      <c r="I101" s="51"/>
      <c r="J101" s="52">
        <f>SmtRes!CZ16</f>
        <v>544.91999999999996</v>
      </c>
      <c r="K101" s="51"/>
      <c r="L101" s="52">
        <f>SmtRes!DG16</f>
        <v>8.99</v>
      </c>
    </row>
    <row r="102" spans="1:83" ht="28.5" x14ac:dyDescent="0.2">
      <c r="A102" s="48"/>
      <c r="B102" s="48" t="s">
        <v>466</v>
      </c>
      <c r="C102" s="48" t="s">
        <v>747</v>
      </c>
      <c r="D102" s="49" t="s">
        <v>428</v>
      </c>
      <c r="E102" s="50">
        <f>SmtRes!DO16*SmtRes!AT16</f>
        <v>0.11</v>
      </c>
      <c r="F102" s="50"/>
      <c r="G102" s="50">
        <f>ROUND(E102*G92, 7)</f>
        <v>1.6500000000000001E-2</v>
      </c>
      <c r="H102" s="52"/>
      <c r="I102" s="51"/>
      <c r="J102" s="52">
        <f>ROUND(SmtRes!AG16/SmtRes!DO16, 2)</f>
        <v>731.08</v>
      </c>
      <c r="K102" s="51"/>
      <c r="L102" s="52">
        <f>SmtRes!DH16</f>
        <v>12.06</v>
      </c>
      <c r="CE102">
        <v>1</v>
      </c>
    </row>
    <row r="103" spans="1:83" ht="15" x14ac:dyDescent="0.2">
      <c r="A103" s="47"/>
      <c r="B103" s="50">
        <v>4</v>
      </c>
      <c r="C103" s="47" t="s">
        <v>742</v>
      </c>
      <c r="D103" s="49"/>
      <c r="E103" s="54"/>
      <c r="F103" s="50"/>
      <c r="G103" s="50"/>
      <c r="H103" s="50"/>
      <c r="I103" s="50"/>
      <c r="J103" s="50"/>
      <c r="K103" s="50"/>
      <c r="L103" s="55">
        <f>SUM(L104:L108)-SUMIF(CE104:CE108, 1, L104:L108)</f>
        <v>248.13</v>
      </c>
    </row>
    <row r="104" spans="1:83" ht="14.25" x14ac:dyDescent="0.2">
      <c r="A104" s="48"/>
      <c r="B104" s="48" t="s">
        <v>467</v>
      </c>
      <c r="C104" s="48" t="s">
        <v>469</v>
      </c>
      <c r="D104" s="49" t="s">
        <v>34</v>
      </c>
      <c r="E104" s="50">
        <v>8.3999999999999995E-3</v>
      </c>
      <c r="F104" s="50"/>
      <c r="G104" s="50">
        <f>SmtRes!CX17</f>
        <v>1.2600000000000001E-3</v>
      </c>
      <c r="H104" s="52">
        <f>SmtRes!CZ17</f>
        <v>35.71</v>
      </c>
      <c r="I104" s="51">
        <f>SmtRes!AI17</f>
        <v>1.53</v>
      </c>
      <c r="J104" s="52">
        <f>ROUND(H104*I104, 2)</f>
        <v>54.64</v>
      </c>
      <c r="K104" s="51"/>
      <c r="L104" s="52">
        <f>SmtRes!DF17</f>
        <v>7.0000000000000007E-2</v>
      </c>
    </row>
    <row r="105" spans="1:83" ht="42.75" x14ac:dyDescent="0.2">
      <c r="A105" s="48"/>
      <c r="B105" s="48" t="s">
        <v>470</v>
      </c>
      <c r="C105" s="48" t="s">
        <v>472</v>
      </c>
      <c r="D105" s="49" t="s">
        <v>60</v>
      </c>
      <c r="E105" s="50">
        <v>0.23</v>
      </c>
      <c r="F105" s="50"/>
      <c r="G105" s="50">
        <f>SmtRes!CX18</f>
        <v>3.4500000000000003E-2</v>
      </c>
      <c r="H105" s="52">
        <f>SmtRes!CZ18</f>
        <v>28.13</v>
      </c>
      <c r="I105" s="51">
        <f>SmtRes!AI18</f>
        <v>1.1100000000000001</v>
      </c>
      <c r="J105" s="52">
        <f>ROUND(H105*I105, 2)</f>
        <v>31.22</v>
      </c>
      <c r="K105" s="51"/>
      <c r="L105" s="52">
        <f>SmtRes!DF18</f>
        <v>1.08</v>
      </c>
    </row>
    <row r="106" spans="1:83" ht="14.25" x14ac:dyDescent="0.2">
      <c r="A106" s="48"/>
      <c r="B106" s="48" t="s">
        <v>473</v>
      </c>
      <c r="C106" s="48" t="s">
        <v>475</v>
      </c>
      <c r="D106" s="49" t="s">
        <v>96</v>
      </c>
      <c r="E106" s="50">
        <v>0.3</v>
      </c>
      <c r="F106" s="50"/>
      <c r="G106" s="50">
        <f>SmtRes!CX21</f>
        <v>4.4999999999999998E-2</v>
      </c>
      <c r="H106" s="52">
        <f>SmtRes!CZ21</f>
        <v>83.06</v>
      </c>
      <c r="I106" s="51">
        <f>SmtRes!AI21</f>
        <v>0.84</v>
      </c>
      <c r="J106" s="52">
        <f>ROUND(H106*I106, 2)</f>
        <v>69.77</v>
      </c>
      <c r="K106" s="51"/>
      <c r="L106" s="52">
        <f>SmtRes!DF21</f>
        <v>3.14</v>
      </c>
    </row>
    <row r="107" spans="1:83" ht="57" x14ac:dyDescent="0.2">
      <c r="A107" s="48"/>
      <c r="B107" s="48" t="s">
        <v>476</v>
      </c>
      <c r="C107" s="48" t="s">
        <v>478</v>
      </c>
      <c r="D107" s="49" t="s">
        <v>34</v>
      </c>
      <c r="E107" s="50">
        <v>1.7999999999999999E-2</v>
      </c>
      <c r="F107" s="50"/>
      <c r="G107" s="50">
        <f>SmtRes!CX22</f>
        <v>2.7000000000000001E-3</v>
      </c>
      <c r="H107" s="52">
        <f>SmtRes!CZ22</f>
        <v>16496.03</v>
      </c>
      <c r="I107" s="51">
        <f>SmtRes!AI22</f>
        <v>0.84</v>
      </c>
      <c r="J107" s="52">
        <f>ROUND(H107*I107, 2)</f>
        <v>13856.67</v>
      </c>
      <c r="K107" s="51"/>
      <c r="L107" s="52">
        <f>SmtRes!DF22</f>
        <v>37.409999999999997</v>
      </c>
    </row>
    <row r="108" spans="1:83" ht="57" x14ac:dyDescent="0.2">
      <c r="A108" s="48"/>
      <c r="B108" s="48" t="s">
        <v>479</v>
      </c>
      <c r="C108" s="48" t="s">
        <v>481</v>
      </c>
      <c r="D108" s="49" t="s">
        <v>34</v>
      </c>
      <c r="E108" s="50">
        <v>0.13800000000000001</v>
      </c>
      <c r="F108" s="50"/>
      <c r="G108" s="50">
        <f>SmtRes!CX24</f>
        <v>2.07E-2</v>
      </c>
      <c r="H108" s="52">
        <f>SmtRes!CZ24</f>
        <v>5764.42</v>
      </c>
      <c r="I108" s="51">
        <f>SmtRes!AI24</f>
        <v>1.73</v>
      </c>
      <c r="J108" s="52">
        <f>ROUND(H108*I108, 2)</f>
        <v>9972.4500000000007</v>
      </c>
      <c r="K108" s="51"/>
      <c r="L108" s="52">
        <f>SmtRes!DF24</f>
        <v>206.43</v>
      </c>
    </row>
    <row r="109" spans="1:83" ht="14.25" x14ac:dyDescent="0.2">
      <c r="A109" s="48"/>
      <c r="B109" s="48" t="str">
        <f>EtalonRes!I19</f>
        <v>01.7.16.04</v>
      </c>
      <c r="C109" s="48" t="str">
        <f>EtalonRes!K19</f>
        <v>Опалубка инвентарная (амортизация)</v>
      </c>
      <c r="D109" s="49" t="str">
        <f>EtalonRes!O19</f>
        <v>КОМПЛ</v>
      </c>
      <c r="E109" s="50">
        <f>EtalonRes!X19</f>
        <v>0</v>
      </c>
      <c r="F109" s="50"/>
      <c r="G109" s="50">
        <f>ROUND(EtalonRes!AG19*Source!I31, 7)</f>
        <v>0</v>
      </c>
      <c r="H109" s="52"/>
      <c r="I109" s="51"/>
      <c r="J109" s="52"/>
      <c r="K109" s="51"/>
      <c r="L109" s="52"/>
    </row>
    <row r="110" spans="1:83" ht="14.25" x14ac:dyDescent="0.2">
      <c r="A110" s="48"/>
      <c r="B110" s="48" t="str">
        <f>EtalonRes!I20</f>
        <v>04.1.02.05</v>
      </c>
      <c r="C110" s="48" t="str">
        <f>EtalonRes!K20</f>
        <v>Смеси бетонные тяжелого бетона</v>
      </c>
      <c r="D110" s="49" t="str">
        <f>EtalonRes!O20</f>
        <v>м3</v>
      </c>
      <c r="E110" s="50">
        <f>EtalonRes!X20</f>
        <v>1.0149999999999999</v>
      </c>
      <c r="F110" s="50"/>
      <c r="G110" s="50">
        <f>ROUND(EtalonRes!AG20*Source!I31, 7)</f>
        <v>0.15225</v>
      </c>
      <c r="H110" s="52"/>
      <c r="I110" s="51"/>
      <c r="J110" s="52"/>
      <c r="K110" s="51"/>
      <c r="L110" s="52"/>
    </row>
    <row r="111" spans="1:83" ht="14.25" x14ac:dyDescent="0.2">
      <c r="A111" s="48"/>
      <c r="B111" s="48" t="str">
        <f>EtalonRes!I22</f>
        <v>08.4.03.03</v>
      </c>
      <c r="C111" s="56" t="str">
        <f>EtalonRes!K22</f>
        <v>Заготовки арматурные</v>
      </c>
      <c r="D111" s="57" t="str">
        <f>EtalonRes!O22</f>
        <v>т</v>
      </c>
      <c r="E111" s="58">
        <f>EtalonRes!X22</f>
        <v>0.03</v>
      </c>
      <c r="F111" s="58"/>
      <c r="G111" s="58">
        <f>ROUND(EtalonRes!AG22*Source!I31, 7)</f>
        <v>4.4999999999999997E-3</v>
      </c>
      <c r="H111" s="59"/>
      <c r="I111" s="60"/>
      <c r="J111" s="59"/>
      <c r="K111" s="60"/>
      <c r="L111" s="59"/>
    </row>
    <row r="112" spans="1:83" ht="15" x14ac:dyDescent="0.2">
      <c r="A112" s="48"/>
      <c r="B112" s="48"/>
      <c r="C112" s="63" t="s">
        <v>734</v>
      </c>
      <c r="D112" s="49"/>
      <c r="E112" s="50"/>
      <c r="F112" s="50"/>
      <c r="G112" s="50"/>
      <c r="H112" s="52"/>
      <c r="I112" s="51"/>
      <c r="J112" s="52"/>
      <c r="K112" s="51"/>
      <c r="L112" s="52">
        <f>L93+L95+L96+L103</f>
        <v>740.03</v>
      </c>
    </row>
    <row r="113" spans="1:83" ht="42.75" x14ac:dyDescent="0.2">
      <c r="A113" s="46" t="s">
        <v>748</v>
      </c>
      <c r="B113" s="48" t="str">
        <f>Source!F32</f>
        <v>04.1.02.05-0128</v>
      </c>
      <c r="C113" s="48" t="str">
        <f>Source!G32</f>
        <v>Смеси бетонные тяжелого бетона (БСТ) на щебне из гравия, класс В12,5, F(1)100, W4</v>
      </c>
      <c r="D113" s="49" t="str">
        <f>Source!H32</f>
        <v>м3</v>
      </c>
      <c r="E113" s="50">
        <f>SmtRes!AT19</f>
        <v>1.0149999999999999</v>
      </c>
      <c r="F113" s="50"/>
      <c r="G113" s="50">
        <f>Source!I32</f>
        <v>0.15225000000000002</v>
      </c>
      <c r="H113" s="52"/>
      <c r="I113" s="51"/>
      <c r="J113" s="52">
        <f>Source!AK32</f>
        <v>6056.81</v>
      </c>
      <c r="K113" s="51"/>
      <c r="L113" s="52">
        <f>Source!P32</f>
        <v>922.15</v>
      </c>
      <c r="AD113">
        <f>ROUND((Source!AT32/100)*((ROUND(ROUND(Source!AO32,2)*Source!I32, 2)+ROUND(ROUND(Source!AN32,2)*Source!I32, 2))), 2)</f>
        <v>0</v>
      </c>
      <c r="AE113">
        <f>ROUND((Source!AU32/100)*((ROUND(ROUND(Source!AO32,2)*Source!I32, 2)+ROUND(ROUND(Source!AN32,2)*Source!I32, 2))), 2)</f>
        <v>0</v>
      </c>
      <c r="AN113">
        <f>L113</f>
        <v>922.15</v>
      </c>
      <c r="AW113">
        <f>L113</f>
        <v>922.15</v>
      </c>
      <c r="AZ113">
        <f>Source!X32</f>
        <v>0</v>
      </c>
      <c r="BA113">
        <f>Source!Y32</f>
        <v>0</v>
      </c>
      <c r="CD113">
        <v>1</v>
      </c>
    </row>
    <row r="114" spans="1:83" ht="57" x14ac:dyDescent="0.2">
      <c r="A114" s="46" t="s">
        <v>749</v>
      </c>
      <c r="B114" s="48" t="str">
        <f>Source!F33</f>
        <v>11.1.03.05-0064</v>
      </c>
      <c r="C114" s="48" t="str">
        <f>Source!G33</f>
        <v>Доска необрезная хвойных пород, естественной влажности, длина 2-6,5 м, ширина 100-250, толщина 30-50 мм, сорт II</v>
      </c>
      <c r="D114" s="49" t="str">
        <f>Source!H33</f>
        <v>м3</v>
      </c>
      <c r="E114" s="50">
        <f>SmtRes!AT23</f>
        <v>8.6666699999999999E-2</v>
      </c>
      <c r="F114" s="50"/>
      <c r="G114" s="50">
        <f>Source!I33</f>
        <v>1.2999999999999999E-2</v>
      </c>
      <c r="H114" s="52">
        <f>Source!AL33+Source!AO33+Source!AM33+Source!AN33</f>
        <v>7555</v>
      </c>
      <c r="I114" s="51">
        <f>IF(Source!BC33&lt;&gt; 0, Source!BC33, 1)</f>
        <v>1.35</v>
      </c>
      <c r="J114" s="52">
        <f>ROUND(H114*I114, 2)</f>
        <v>10199.25</v>
      </c>
      <c r="K114" s="51"/>
      <c r="L114" s="52">
        <f>Source!P33</f>
        <v>132.59</v>
      </c>
      <c r="AD114">
        <f>ROUND((Source!AT33/100)*((ROUND(ROUND(Source!AO33,2)*Source!I33, 2)+ROUND(ROUND(Source!AN33,2)*Source!I33, 2))), 2)</f>
        <v>0</v>
      </c>
      <c r="AE114">
        <f>ROUND((Source!AU33/100)*((ROUND(ROUND(Source!AO33,2)*Source!I33, 2)+ROUND(ROUND(Source!AN33,2)*Source!I33, 2))), 2)</f>
        <v>0</v>
      </c>
      <c r="AN114">
        <f>L114</f>
        <v>132.59</v>
      </c>
      <c r="AW114">
        <f>L114</f>
        <v>132.59</v>
      </c>
      <c r="AZ114">
        <f>Source!X33</f>
        <v>0</v>
      </c>
      <c r="BA114">
        <f>Source!Y33</f>
        <v>0</v>
      </c>
      <c r="CD114">
        <v>1</v>
      </c>
    </row>
    <row r="115" spans="1:83" ht="57" x14ac:dyDescent="0.2">
      <c r="A115" s="46" t="s">
        <v>750</v>
      </c>
      <c r="B115" s="48" t="str">
        <f>Source!F34</f>
        <v>08.1.02.17-0091</v>
      </c>
      <c r="C115" s="48" t="str">
        <f>Source!G34</f>
        <v>Сетка стальная сварная из арматурной проволоки без покрытия, диаметр проволоки 4 мм размер ячейки 100х100 мм</v>
      </c>
      <c r="D115" s="49" t="str">
        <f>Source!H34</f>
        <v>м2</v>
      </c>
      <c r="E115" s="50">
        <f>SmtRes!AT20</f>
        <v>6.8627450999999997</v>
      </c>
      <c r="F115" s="50"/>
      <c r="G115" s="50">
        <f>Source!I34</f>
        <v>1.0294118000000001</v>
      </c>
      <c r="H115" s="52">
        <f>Source!AL34+Source!AO34+Source!AM34+Source!AN34</f>
        <v>93.45</v>
      </c>
      <c r="I115" s="51">
        <f>IF(Source!BC34&lt;&gt; 0, Source!BC34, 1)</f>
        <v>1.03</v>
      </c>
      <c r="J115" s="52">
        <f>ROUND(H115*I115, 2)</f>
        <v>96.25</v>
      </c>
      <c r="K115" s="51"/>
      <c r="L115" s="52">
        <f>Source!P34</f>
        <v>99.08</v>
      </c>
      <c r="AD115">
        <f>ROUND((Source!AT34/100)*((ROUND(ROUND(Source!AO34,2)*Source!I34, 2)+ROUND(ROUND(Source!AN34,2)*Source!I34, 2))), 2)</f>
        <v>0</v>
      </c>
      <c r="AE115">
        <f>ROUND((Source!AU34/100)*((ROUND(ROUND(Source!AO34,2)*Source!I34, 2)+ROUND(ROUND(Source!AN34,2)*Source!I34, 2))), 2)</f>
        <v>0</v>
      </c>
      <c r="AN115">
        <f>L115</f>
        <v>99.08</v>
      </c>
      <c r="AW115">
        <f>L115</f>
        <v>99.08</v>
      </c>
      <c r="AZ115">
        <f>Source!X34</f>
        <v>0</v>
      </c>
      <c r="BA115">
        <f>Source!Y34</f>
        <v>0</v>
      </c>
      <c r="CD115">
        <v>1</v>
      </c>
    </row>
    <row r="116" spans="1:83" ht="14.25" x14ac:dyDescent="0.2">
      <c r="A116" s="48"/>
      <c r="B116" s="48"/>
      <c r="C116" s="48" t="s">
        <v>735</v>
      </c>
      <c r="D116" s="49"/>
      <c r="E116" s="50"/>
      <c r="F116" s="50"/>
      <c r="G116" s="50"/>
      <c r="H116" s="52"/>
      <c r="I116" s="51"/>
      <c r="J116" s="52"/>
      <c r="K116" s="51"/>
      <c r="L116" s="52">
        <f>SUM(AR92:AR119)+SUM(AS92:AS119)+SUM(AT92:AT119)+SUM(AU92:AU119)+SUM(AV92:AV119)</f>
        <v>480.02</v>
      </c>
    </row>
    <row r="117" spans="1:83" ht="42.75" x14ac:dyDescent="0.2">
      <c r="A117" s="48"/>
      <c r="B117" s="48" t="s">
        <v>47</v>
      </c>
      <c r="C117" s="48" t="s">
        <v>751</v>
      </c>
      <c r="D117" s="49" t="s">
        <v>737</v>
      </c>
      <c r="E117" s="50">
        <f>Source!BZ31</f>
        <v>102</v>
      </c>
      <c r="F117" s="50"/>
      <c r="G117" s="50">
        <f>Source!AT31</f>
        <v>102</v>
      </c>
      <c r="H117" s="52"/>
      <c r="I117" s="51"/>
      <c r="J117" s="52"/>
      <c r="K117" s="51"/>
      <c r="L117" s="52">
        <f>SUM(AZ92:AZ119)</f>
        <v>489.62</v>
      </c>
    </row>
    <row r="118" spans="1:83" ht="42.75" x14ac:dyDescent="0.2">
      <c r="A118" s="56"/>
      <c r="B118" s="56" t="s">
        <v>48</v>
      </c>
      <c r="C118" s="56" t="s">
        <v>752</v>
      </c>
      <c r="D118" s="57" t="s">
        <v>737</v>
      </c>
      <c r="E118" s="58">
        <f>Source!CA31</f>
        <v>58</v>
      </c>
      <c r="F118" s="58"/>
      <c r="G118" s="58">
        <f>Source!AU31</f>
        <v>58</v>
      </c>
      <c r="H118" s="59"/>
      <c r="I118" s="60"/>
      <c r="J118" s="59"/>
      <c r="K118" s="60"/>
      <c r="L118" s="59">
        <f>SUM(BA92:BA119)</f>
        <v>278.41000000000003</v>
      </c>
    </row>
    <row r="119" spans="1:83" ht="15" x14ac:dyDescent="0.2">
      <c r="C119" s="124" t="s">
        <v>739</v>
      </c>
      <c r="D119" s="124"/>
      <c r="E119" s="124"/>
      <c r="F119" s="124"/>
      <c r="G119" s="124"/>
      <c r="H119" s="124"/>
      <c r="I119" s="125">
        <f>IF(E92&lt;&gt;0,K119/E92, 0)</f>
        <v>17745.866666666669</v>
      </c>
      <c r="J119" s="125"/>
      <c r="K119" s="125">
        <f>L93+L95+L103+L117+L118+L96+SUM(L113:L115)</f>
        <v>2661.88</v>
      </c>
      <c r="L119" s="125"/>
      <c r="AD119">
        <f>ROUND((Source!AT31/100)*((ROUND(SUMIF(SmtRes!AQ11:'SmtRes'!AQ24,"=1",SmtRes!AD11:'SmtRes'!AD24)*Source!I31, 2)+ROUND(SUMIF(SmtRes!AQ11:'SmtRes'!AQ24,"=1",SmtRes!AC11:'SmtRes'!AC24)*Source!I31, 2))), 2)</f>
        <v>360.21</v>
      </c>
      <c r="AE119">
        <f>ROUND((Source!AU31/100)*((ROUND(SUMIF(SmtRes!AQ11:'SmtRes'!AQ24,"=1",SmtRes!AD11:'SmtRes'!AD24)*Source!I31, 2)+ROUND(SUMIF(SmtRes!AQ11:'SmtRes'!AQ24,"=1",SmtRes!AC11:'SmtRes'!AC24)*Source!I31, 2))), 2)</f>
        <v>204.83</v>
      </c>
      <c r="AN119" s="61">
        <f>L93+L95+L103+L117+L118+L96</f>
        <v>1508.06</v>
      </c>
      <c r="AO119" s="61">
        <f>L95</f>
        <v>11.880000000000003</v>
      </c>
      <c r="AQ119" t="s">
        <v>740</v>
      </c>
      <c r="AR119" s="61">
        <f>L93</f>
        <v>466.49</v>
      </c>
      <c r="AT119" s="61">
        <f>L96</f>
        <v>13.530000000000001</v>
      </c>
      <c r="AV119" t="s">
        <v>740</v>
      </c>
      <c r="AW119" s="61">
        <f>L103</f>
        <v>248.13</v>
      </c>
      <c r="AZ119">
        <f>Source!X31</f>
        <v>489.62</v>
      </c>
      <c r="BA119">
        <f>Source!Y31</f>
        <v>278.41000000000003</v>
      </c>
      <c r="CD119">
        <v>1</v>
      </c>
    </row>
    <row r="120" spans="1:83" ht="42.75" x14ac:dyDescent="0.2">
      <c r="A120" s="46" t="s">
        <v>62</v>
      </c>
      <c r="B120" s="48" t="s">
        <v>753</v>
      </c>
      <c r="C120" s="48" t="str">
        <f>Source!G35</f>
        <v>Установка анкерных болтов: при бетонировании со связями из арматуры</v>
      </c>
      <c r="D120" s="49" t="str">
        <f>Source!H35</f>
        <v>т</v>
      </c>
      <c r="E120" s="50">
        <f>Source!K35</f>
        <v>5.9999999999999995E-4</v>
      </c>
      <c r="F120" s="50"/>
      <c r="G120" s="50">
        <f>Source!I35</f>
        <v>5.9999999999999995E-4</v>
      </c>
      <c r="H120" s="52"/>
      <c r="I120" s="51"/>
      <c r="J120" s="52"/>
      <c r="K120" s="51"/>
      <c r="L120" s="52"/>
    </row>
    <row r="121" spans="1:83" ht="15" x14ac:dyDescent="0.2">
      <c r="A121" s="47"/>
      <c r="B121" s="50">
        <v>1</v>
      </c>
      <c r="C121" s="47" t="s">
        <v>730</v>
      </c>
      <c r="D121" s="49" t="s">
        <v>428</v>
      </c>
      <c r="E121" s="54"/>
      <c r="F121" s="50"/>
      <c r="G121" s="50">
        <f>Source!U35</f>
        <v>7.0800000000000002E-2</v>
      </c>
      <c r="H121" s="50"/>
      <c r="I121" s="50"/>
      <c r="J121" s="50"/>
      <c r="K121" s="50"/>
      <c r="L121" s="55">
        <f>SUM(L122:L122)-SUMIF(CE122:CE122, 1, L122:L122)</f>
        <v>48.86</v>
      </c>
    </row>
    <row r="122" spans="1:83" ht="14.25" x14ac:dyDescent="0.2">
      <c r="A122" s="48"/>
      <c r="B122" s="48" t="s">
        <v>482</v>
      </c>
      <c r="C122" s="48" t="s">
        <v>483</v>
      </c>
      <c r="D122" s="49" t="s">
        <v>428</v>
      </c>
      <c r="E122" s="50">
        <v>118</v>
      </c>
      <c r="F122" s="50"/>
      <c r="G122" s="50">
        <f>SmtRes!CX25</f>
        <v>7.0800000000000002E-2</v>
      </c>
      <c r="H122" s="52"/>
      <c r="I122" s="51"/>
      <c r="J122" s="52">
        <f>SmtRes!CZ25</f>
        <v>690.16</v>
      </c>
      <c r="K122" s="51"/>
      <c r="L122" s="52">
        <f>SmtRes!DI25</f>
        <v>48.86</v>
      </c>
    </row>
    <row r="123" spans="1:83" ht="15" x14ac:dyDescent="0.2">
      <c r="A123" s="47"/>
      <c r="B123" s="50">
        <v>2</v>
      </c>
      <c r="C123" s="47" t="s">
        <v>731</v>
      </c>
      <c r="D123" s="49"/>
      <c r="E123" s="54"/>
      <c r="F123" s="50"/>
      <c r="G123" s="50"/>
      <c r="H123" s="50"/>
      <c r="I123" s="50"/>
      <c r="J123" s="50"/>
      <c r="K123" s="50"/>
      <c r="L123" s="55">
        <f>SUM(L124:L129)-SUMIF(CE124:CE129, 1, L124:L129)</f>
        <v>0.32999999999999996</v>
      </c>
    </row>
    <row r="124" spans="1:83" ht="15" x14ac:dyDescent="0.2">
      <c r="A124" s="47"/>
      <c r="B124" s="50"/>
      <c r="C124" s="47" t="s">
        <v>733</v>
      </c>
      <c r="D124" s="49" t="s">
        <v>428</v>
      </c>
      <c r="E124" s="54"/>
      <c r="F124" s="50"/>
      <c r="G124" s="50">
        <f>Source!V35</f>
        <v>3.0000000000000003E-4</v>
      </c>
      <c r="H124" s="50"/>
      <c r="I124" s="50"/>
      <c r="J124" s="50"/>
      <c r="K124" s="50"/>
      <c r="L124" s="55">
        <f>SUMIF(CE125:CE129, 1, L125:L129)</f>
        <v>0.25</v>
      </c>
      <c r="CE124">
        <v>1</v>
      </c>
    </row>
    <row r="125" spans="1:83" ht="28.5" x14ac:dyDescent="0.2">
      <c r="A125" s="48"/>
      <c r="B125" s="48" t="s">
        <v>453</v>
      </c>
      <c r="C125" s="48" t="s">
        <v>455</v>
      </c>
      <c r="D125" s="49" t="s">
        <v>434</v>
      </c>
      <c r="E125" s="50">
        <v>0.22</v>
      </c>
      <c r="F125" s="50"/>
      <c r="G125" s="50">
        <f>SmtRes!CX27</f>
        <v>1.3200000000000001E-4</v>
      </c>
      <c r="H125" s="52"/>
      <c r="I125" s="51"/>
      <c r="J125" s="52">
        <f>SmtRes!CZ27</f>
        <v>1585.56</v>
      </c>
      <c r="K125" s="51"/>
      <c r="L125" s="52">
        <f>SmtRes!DG27</f>
        <v>0.21</v>
      </c>
    </row>
    <row r="126" spans="1:83" ht="28.5" x14ac:dyDescent="0.2">
      <c r="A126" s="48"/>
      <c r="B126" s="48" t="s">
        <v>456</v>
      </c>
      <c r="C126" s="48" t="s">
        <v>746</v>
      </c>
      <c r="D126" s="49" t="s">
        <v>428</v>
      </c>
      <c r="E126" s="50">
        <f>SmtRes!DO27*SmtRes!AT27</f>
        <v>0.22</v>
      </c>
      <c r="F126" s="50"/>
      <c r="G126" s="50">
        <f>ROUND(E126*G120, 7)</f>
        <v>1.3200000000000001E-4</v>
      </c>
      <c r="H126" s="52"/>
      <c r="I126" s="51"/>
      <c r="J126" s="52">
        <f>ROUND(SmtRes!AG27/SmtRes!DO27, 2)</f>
        <v>982.04</v>
      </c>
      <c r="K126" s="51"/>
      <c r="L126" s="52">
        <f>SmtRes!DH27</f>
        <v>0.13</v>
      </c>
      <c r="CE126">
        <v>1</v>
      </c>
    </row>
    <row r="127" spans="1:83" ht="28.5" x14ac:dyDescent="0.2">
      <c r="A127" s="48"/>
      <c r="B127" s="48" t="s">
        <v>463</v>
      </c>
      <c r="C127" s="48" t="s">
        <v>465</v>
      </c>
      <c r="D127" s="49" t="s">
        <v>434</v>
      </c>
      <c r="E127" s="50">
        <v>0.28000000000000003</v>
      </c>
      <c r="F127" s="50"/>
      <c r="G127" s="50">
        <f>SmtRes!CX28</f>
        <v>1.6799999999999999E-4</v>
      </c>
      <c r="H127" s="52"/>
      <c r="I127" s="51"/>
      <c r="J127" s="52">
        <f>SmtRes!CZ28</f>
        <v>544.91999999999996</v>
      </c>
      <c r="K127" s="51"/>
      <c r="L127" s="52">
        <f>SmtRes!DG28</f>
        <v>0.09</v>
      </c>
    </row>
    <row r="128" spans="1:83" ht="28.5" x14ac:dyDescent="0.2">
      <c r="A128" s="48"/>
      <c r="B128" s="48" t="s">
        <v>466</v>
      </c>
      <c r="C128" s="48" t="s">
        <v>747</v>
      </c>
      <c r="D128" s="49" t="s">
        <v>428</v>
      </c>
      <c r="E128" s="50">
        <f>SmtRes!DO28*SmtRes!AT28</f>
        <v>0.28000000000000003</v>
      </c>
      <c r="F128" s="50"/>
      <c r="G128" s="50">
        <f>ROUND(E128*G120, 7)</f>
        <v>1.6799999999999999E-4</v>
      </c>
      <c r="H128" s="52"/>
      <c r="I128" s="51"/>
      <c r="J128" s="52">
        <f>ROUND(SmtRes!AG28/SmtRes!DO28, 2)</f>
        <v>731.08</v>
      </c>
      <c r="K128" s="51"/>
      <c r="L128" s="52">
        <f>SmtRes!DH28</f>
        <v>0.12</v>
      </c>
      <c r="CE128">
        <v>1</v>
      </c>
    </row>
    <row r="129" spans="1:82" ht="42.75" x14ac:dyDescent="0.2">
      <c r="A129" s="48"/>
      <c r="B129" s="48" t="s">
        <v>484</v>
      </c>
      <c r="C129" s="48" t="s">
        <v>486</v>
      </c>
      <c r="D129" s="49" t="s">
        <v>434</v>
      </c>
      <c r="E129" s="50">
        <v>1.49</v>
      </c>
      <c r="F129" s="50"/>
      <c r="G129" s="50">
        <f>SmtRes!CX29</f>
        <v>8.9400000000000005E-4</v>
      </c>
      <c r="H129" s="52"/>
      <c r="I129" s="51"/>
      <c r="J129" s="52">
        <f>SmtRes!CZ29</f>
        <v>32.24</v>
      </c>
      <c r="K129" s="51"/>
      <c r="L129" s="52">
        <f>SmtRes!DG29</f>
        <v>0.03</v>
      </c>
    </row>
    <row r="130" spans="1:82" ht="15" x14ac:dyDescent="0.2">
      <c r="A130" s="47"/>
      <c r="B130" s="50">
        <v>4</v>
      </c>
      <c r="C130" s="47" t="s">
        <v>742</v>
      </c>
      <c r="D130" s="49"/>
      <c r="E130" s="54"/>
      <c r="F130" s="50"/>
      <c r="G130" s="50"/>
      <c r="H130" s="50"/>
      <c r="I130" s="50"/>
      <c r="J130" s="50"/>
      <c r="K130" s="50"/>
      <c r="L130" s="55">
        <f>SUM(L131:L133)-SUMIF(CE131:CE133, 1, L131:L133)</f>
        <v>2.73</v>
      </c>
    </row>
    <row r="131" spans="1:82" ht="57" x14ac:dyDescent="0.2">
      <c r="A131" s="48"/>
      <c r="B131" s="48" t="s">
        <v>487</v>
      </c>
      <c r="C131" s="48" t="s">
        <v>489</v>
      </c>
      <c r="D131" s="49" t="s">
        <v>96</v>
      </c>
      <c r="E131" s="50">
        <v>2</v>
      </c>
      <c r="F131" s="50"/>
      <c r="G131" s="50">
        <f>SmtRes!CX30</f>
        <v>1.1999999999999999E-3</v>
      </c>
      <c r="H131" s="52">
        <f>SmtRes!CZ30</f>
        <v>155.63</v>
      </c>
      <c r="I131" s="51">
        <f>SmtRes!AI30</f>
        <v>0.77</v>
      </c>
      <c r="J131" s="52">
        <f>ROUND(H131*I131, 2)</f>
        <v>119.84</v>
      </c>
      <c r="K131" s="51"/>
      <c r="L131" s="52">
        <f>SmtRes!DF30</f>
        <v>0.14000000000000001</v>
      </c>
    </row>
    <row r="132" spans="1:82" ht="28.5" x14ac:dyDescent="0.2">
      <c r="A132" s="48"/>
      <c r="B132" s="48" t="s">
        <v>490</v>
      </c>
      <c r="C132" s="48" t="s">
        <v>492</v>
      </c>
      <c r="D132" s="49" t="s">
        <v>279</v>
      </c>
      <c r="E132" s="50">
        <v>0.01</v>
      </c>
      <c r="F132" s="50"/>
      <c r="G132" s="50">
        <f>SmtRes!CX31</f>
        <v>6.0000000000000002E-6</v>
      </c>
      <c r="H132" s="52">
        <f>SmtRes!CZ31</f>
        <v>61015.76</v>
      </c>
      <c r="I132" s="51">
        <f>SmtRes!AI31</f>
        <v>1.28</v>
      </c>
      <c r="J132" s="52">
        <f>ROUND(H132*I132, 2)</f>
        <v>78100.17</v>
      </c>
      <c r="K132" s="51"/>
      <c r="L132" s="52">
        <f>SmtRes!DF31</f>
        <v>0.47</v>
      </c>
    </row>
    <row r="133" spans="1:82" ht="28.5" x14ac:dyDescent="0.2">
      <c r="A133" s="48"/>
      <c r="B133" s="48" t="s">
        <v>493</v>
      </c>
      <c r="C133" s="48" t="s">
        <v>495</v>
      </c>
      <c r="D133" s="49" t="s">
        <v>30</v>
      </c>
      <c r="E133" s="50">
        <v>0.09</v>
      </c>
      <c r="F133" s="50"/>
      <c r="G133" s="50">
        <f>SmtRes!CX33</f>
        <v>5.3999999999999998E-5</v>
      </c>
      <c r="H133" s="52"/>
      <c r="I133" s="51"/>
      <c r="J133" s="52">
        <f>SmtRes!CZ33</f>
        <v>39346.92</v>
      </c>
      <c r="K133" s="51"/>
      <c r="L133" s="52">
        <f>SmtRes!DF33</f>
        <v>2.12</v>
      </c>
    </row>
    <row r="134" spans="1:82" ht="14.25" x14ac:dyDescent="0.2">
      <c r="A134" s="48"/>
      <c r="B134" s="48" t="str">
        <f>EtalonRes!I32</f>
        <v>08.4.01.01</v>
      </c>
      <c r="C134" s="56" t="str">
        <f>EtalonRes!K32</f>
        <v>Анкеры стальные фундаментные</v>
      </c>
      <c r="D134" s="57" t="str">
        <f>EtalonRes!O32</f>
        <v>т</v>
      </c>
      <c r="E134" s="58">
        <f>EtalonRes!X32</f>
        <v>1</v>
      </c>
      <c r="F134" s="58"/>
      <c r="G134" s="58">
        <f>ROUND(EtalonRes!AG32*Source!I35, 7)</f>
        <v>5.9999999999999995E-4</v>
      </c>
      <c r="H134" s="59"/>
      <c r="I134" s="60"/>
      <c r="J134" s="59"/>
      <c r="K134" s="60"/>
      <c r="L134" s="59"/>
    </row>
    <row r="135" spans="1:82" ht="15" x14ac:dyDescent="0.2">
      <c r="A135" s="48"/>
      <c r="B135" s="48"/>
      <c r="C135" s="63" t="s">
        <v>734</v>
      </c>
      <c r="D135" s="49"/>
      <c r="E135" s="50"/>
      <c r="F135" s="50"/>
      <c r="G135" s="50"/>
      <c r="H135" s="52"/>
      <c r="I135" s="51"/>
      <c r="J135" s="52"/>
      <c r="K135" s="51"/>
      <c r="L135" s="52">
        <f>L121+L123+L124+L130</f>
        <v>52.169999999999995</v>
      </c>
    </row>
    <row r="136" spans="1:82" ht="57" x14ac:dyDescent="0.2">
      <c r="A136" s="46" t="s">
        <v>754</v>
      </c>
      <c r="B136" s="48" t="str">
        <f>Source!F36</f>
        <v>08.4.01.01-0025</v>
      </c>
      <c r="C136" s="48" t="str">
        <f>Source!G36</f>
        <v>Болты анкерные фундаментные стальные в комплекте с двумя гайками М12 и шайбами М12, тип 1, диаметр М12</v>
      </c>
      <c r="D136" s="49" t="str">
        <f>Source!H36</f>
        <v>т</v>
      </c>
      <c r="E136" s="50">
        <f>SmtRes!AT32</f>
        <v>1</v>
      </c>
      <c r="F136" s="50"/>
      <c r="G136" s="50">
        <f>Source!I36</f>
        <v>5.9999999999999995E-4</v>
      </c>
      <c r="H136" s="52">
        <f>Source!AL36+Source!AO36+Source!AM36+Source!AN36</f>
        <v>191710.91</v>
      </c>
      <c r="I136" s="51">
        <f>IF(Source!BC36&lt;&gt; 0, Source!BC36, 1)</f>
        <v>1.08</v>
      </c>
      <c r="J136" s="52">
        <f>ROUND(H136*I136, 2)</f>
        <v>207047.78</v>
      </c>
      <c r="K136" s="51"/>
      <c r="L136" s="52">
        <f>Source!P36</f>
        <v>124.23</v>
      </c>
      <c r="AD136">
        <f>ROUND((Source!AT36/100)*((ROUND(ROUND(Source!AO36,2)*Source!I36, 2)+ROUND(ROUND(Source!AN36,2)*Source!I36, 2))), 2)</f>
        <v>0</v>
      </c>
      <c r="AE136">
        <f>ROUND((Source!AU36/100)*((ROUND(ROUND(Source!AO36,2)*Source!I36, 2)+ROUND(ROUND(Source!AN36,2)*Source!I36, 2))), 2)</f>
        <v>0</v>
      </c>
      <c r="AN136">
        <f>L136</f>
        <v>124.23</v>
      </c>
      <c r="AW136">
        <f>L136</f>
        <v>124.23</v>
      </c>
      <c r="AZ136">
        <f>Source!X36</f>
        <v>0</v>
      </c>
      <c r="BA136">
        <f>Source!Y36</f>
        <v>0</v>
      </c>
      <c r="CD136">
        <v>1</v>
      </c>
    </row>
    <row r="137" spans="1:82" ht="14.25" x14ac:dyDescent="0.2">
      <c r="A137" s="48"/>
      <c r="B137" s="48"/>
      <c r="C137" s="48" t="s">
        <v>735</v>
      </c>
      <c r="D137" s="49"/>
      <c r="E137" s="50"/>
      <c r="F137" s="50"/>
      <c r="G137" s="50"/>
      <c r="H137" s="52"/>
      <c r="I137" s="51"/>
      <c r="J137" s="52"/>
      <c r="K137" s="51"/>
      <c r="L137" s="52">
        <f>SUM(AR120:AR140)+SUM(AS120:AS140)+SUM(AT120:AT140)+SUM(AU120:AU140)+SUM(AV120:AV140)</f>
        <v>49.11</v>
      </c>
    </row>
    <row r="138" spans="1:82" ht="42.75" x14ac:dyDescent="0.2">
      <c r="A138" s="48"/>
      <c r="B138" s="48" t="s">
        <v>47</v>
      </c>
      <c r="C138" s="48" t="s">
        <v>751</v>
      </c>
      <c r="D138" s="49" t="s">
        <v>737</v>
      </c>
      <c r="E138" s="50">
        <f>Source!BZ35</f>
        <v>102</v>
      </c>
      <c r="F138" s="50"/>
      <c r="G138" s="50">
        <f>Source!AT35</f>
        <v>102</v>
      </c>
      <c r="H138" s="52"/>
      <c r="I138" s="51"/>
      <c r="J138" s="52"/>
      <c r="K138" s="51"/>
      <c r="L138" s="52">
        <f>SUM(AZ120:AZ140)</f>
        <v>50.09</v>
      </c>
    </row>
    <row r="139" spans="1:82" ht="42.75" x14ac:dyDescent="0.2">
      <c r="A139" s="56"/>
      <c r="B139" s="56" t="s">
        <v>48</v>
      </c>
      <c r="C139" s="56" t="s">
        <v>752</v>
      </c>
      <c r="D139" s="57" t="s">
        <v>737</v>
      </c>
      <c r="E139" s="58">
        <f>Source!CA35</f>
        <v>58</v>
      </c>
      <c r="F139" s="58"/>
      <c r="G139" s="58">
        <f>Source!AU35</f>
        <v>58</v>
      </c>
      <c r="H139" s="59"/>
      <c r="I139" s="60"/>
      <c r="J139" s="59"/>
      <c r="K139" s="60"/>
      <c r="L139" s="59">
        <f>SUM(BA120:BA140)</f>
        <v>28.48</v>
      </c>
    </row>
    <row r="140" spans="1:82" ht="15" x14ac:dyDescent="0.2">
      <c r="C140" s="124" t="s">
        <v>739</v>
      </c>
      <c r="D140" s="124"/>
      <c r="E140" s="124"/>
      <c r="F140" s="124"/>
      <c r="G140" s="124"/>
      <c r="H140" s="124"/>
      <c r="I140" s="125">
        <f>IF(E120&lt;&gt;0,K140/E120, 0)</f>
        <v>424950</v>
      </c>
      <c r="J140" s="125"/>
      <c r="K140" s="125">
        <f>L121+L123+L130+L138+L139+L124+SUM(L136:L136)</f>
        <v>254.96999999999997</v>
      </c>
      <c r="L140" s="125"/>
      <c r="AD140">
        <f>ROUND((Source!AT35/100)*((ROUND(SUMIF(SmtRes!AQ25:'SmtRes'!AQ33,"=1",SmtRes!AD25:'SmtRes'!AD33)*Source!I35, 2)+ROUND(SUMIF(SmtRes!AQ25:'SmtRes'!AQ33,"=1",SmtRes!AC25:'SmtRes'!AC33)*Source!I35, 2))), 2)</f>
        <v>1.47</v>
      </c>
      <c r="AE140">
        <f>ROUND((Source!AU35/100)*((ROUND(SUMIF(SmtRes!AQ25:'SmtRes'!AQ33,"=1",SmtRes!AD25:'SmtRes'!AD33)*Source!I35, 2)+ROUND(SUMIF(SmtRes!AQ25:'SmtRes'!AQ33,"=1",SmtRes!AC25:'SmtRes'!AC33)*Source!I35, 2))), 2)</f>
        <v>0.84</v>
      </c>
      <c r="AN140" s="61">
        <f>L121+L123+L130+L138+L139+L124</f>
        <v>130.73999999999998</v>
      </c>
      <c r="AO140" s="61">
        <f>L123</f>
        <v>0.32999999999999996</v>
      </c>
      <c r="AQ140" t="s">
        <v>740</v>
      </c>
      <c r="AR140" s="61">
        <f>L121</f>
        <v>48.86</v>
      </c>
      <c r="AT140" s="61">
        <f>L124</f>
        <v>0.25</v>
      </c>
      <c r="AV140" t="s">
        <v>740</v>
      </c>
      <c r="AW140" s="61">
        <f>L130</f>
        <v>2.73</v>
      </c>
      <c r="AZ140">
        <f>Source!X35</f>
        <v>50.09</v>
      </c>
      <c r="BA140">
        <f>Source!Y35</f>
        <v>28.48</v>
      </c>
      <c r="CD140">
        <v>1</v>
      </c>
    </row>
    <row r="141" spans="1:82" ht="42.75" x14ac:dyDescent="0.2">
      <c r="A141" s="46" t="s">
        <v>70</v>
      </c>
      <c r="B141" s="48" t="s">
        <v>755</v>
      </c>
      <c r="C141" s="48" t="str">
        <f>Source!G37</f>
        <v>Устройство гидроизоляции обмазочной: в один слой толщиной 2 мм</v>
      </c>
      <c r="D141" s="49" t="str">
        <f>Source!H37</f>
        <v>100 м2</v>
      </c>
      <c r="E141" s="50">
        <f>Source!K37</f>
        <v>1.8499999999999999E-2</v>
      </c>
      <c r="F141" s="50"/>
      <c r="G141" s="50">
        <f>Source!I37</f>
        <v>1.8499999999999999E-2</v>
      </c>
      <c r="H141" s="52"/>
      <c r="I141" s="51"/>
      <c r="J141" s="52"/>
      <c r="K141" s="51"/>
      <c r="L141" s="52"/>
    </row>
    <row r="142" spans="1:82" x14ac:dyDescent="0.2">
      <c r="C142" s="53" t="str">
        <f>"Объем: "&amp;Source!I37&amp;"=1,85/"&amp;"100"</f>
        <v>Объем: 0,0185=1,85/100</v>
      </c>
    </row>
    <row r="143" spans="1:82" ht="15" x14ac:dyDescent="0.2">
      <c r="A143" s="47"/>
      <c r="B143" s="50">
        <v>1</v>
      </c>
      <c r="C143" s="47" t="s">
        <v>730</v>
      </c>
      <c r="D143" s="49" t="s">
        <v>428</v>
      </c>
      <c r="E143" s="54"/>
      <c r="F143" s="50"/>
      <c r="G143" s="50">
        <f>Source!U37</f>
        <v>0.44955000000000001</v>
      </c>
      <c r="H143" s="50"/>
      <c r="I143" s="50"/>
      <c r="J143" s="50"/>
      <c r="K143" s="50"/>
      <c r="L143" s="55">
        <f>SUM(L144:L144)-SUMIF(CE144:CE144, 1, L144:L144)</f>
        <v>372.8</v>
      </c>
    </row>
    <row r="144" spans="1:82" ht="14.25" x14ac:dyDescent="0.2">
      <c r="A144" s="48"/>
      <c r="B144" s="48" t="s">
        <v>496</v>
      </c>
      <c r="C144" s="48" t="s">
        <v>497</v>
      </c>
      <c r="D144" s="49" t="s">
        <v>428</v>
      </c>
      <c r="E144" s="50">
        <v>24.3</v>
      </c>
      <c r="F144" s="50"/>
      <c r="G144" s="50">
        <f>SmtRes!CX34</f>
        <v>0.44955000000000001</v>
      </c>
      <c r="H144" s="52"/>
      <c r="I144" s="51"/>
      <c r="J144" s="52">
        <f>SmtRes!CZ34</f>
        <v>829.28</v>
      </c>
      <c r="K144" s="51"/>
      <c r="L144" s="52">
        <f>SmtRes!DI34</f>
        <v>372.8</v>
      </c>
    </row>
    <row r="145" spans="1:83" ht="15" x14ac:dyDescent="0.2">
      <c r="A145" s="47"/>
      <c r="B145" s="50">
        <v>2</v>
      </c>
      <c r="C145" s="47" t="s">
        <v>731</v>
      </c>
      <c r="D145" s="49"/>
      <c r="E145" s="54"/>
      <c r="F145" s="50"/>
      <c r="G145" s="50"/>
      <c r="H145" s="50"/>
      <c r="I145" s="50"/>
      <c r="J145" s="50"/>
      <c r="K145" s="50"/>
      <c r="L145" s="55">
        <f>SUM(L146:L152)-SUMIF(CE146:CE152, 1, L146:L152)</f>
        <v>14.629999999999997</v>
      </c>
    </row>
    <row r="146" spans="1:83" ht="15" x14ac:dyDescent="0.2">
      <c r="A146" s="47"/>
      <c r="B146" s="50"/>
      <c r="C146" s="47" t="s">
        <v>733</v>
      </c>
      <c r="D146" s="49" t="s">
        <v>428</v>
      </c>
      <c r="E146" s="54"/>
      <c r="F146" s="50"/>
      <c r="G146" s="50">
        <f>Source!V37</f>
        <v>7.9550000000000003E-3</v>
      </c>
      <c r="H146" s="50"/>
      <c r="I146" s="50"/>
      <c r="J146" s="50"/>
      <c r="K146" s="50"/>
      <c r="L146" s="55">
        <f>SUMIF(CE147:CE152, 1, L147:L152)</f>
        <v>5.54</v>
      </c>
      <c r="CE146">
        <v>1</v>
      </c>
    </row>
    <row r="147" spans="1:83" ht="42.75" x14ac:dyDescent="0.2">
      <c r="A147" s="48"/>
      <c r="B147" s="48" t="s">
        <v>431</v>
      </c>
      <c r="C147" s="48" t="s">
        <v>433</v>
      </c>
      <c r="D147" s="49" t="s">
        <v>434</v>
      </c>
      <c r="E147" s="50">
        <v>0.18</v>
      </c>
      <c r="F147" s="50"/>
      <c r="G147" s="50">
        <f>SmtRes!CX36</f>
        <v>3.3300000000000001E-3</v>
      </c>
      <c r="H147" s="52">
        <f>SmtRes!CZ36</f>
        <v>37.32</v>
      </c>
      <c r="I147" s="51">
        <f>SmtRes!AJ36</f>
        <v>1.57</v>
      </c>
      <c r="J147" s="52">
        <f>ROUND(H147*I147, 2)</f>
        <v>58.59</v>
      </c>
      <c r="K147" s="51"/>
      <c r="L147" s="52">
        <f>SmtRes!DG36</f>
        <v>0.2</v>
      </c>
    </row>
    <row r="148" spans="1:83" ht="28.5" x14ac:dyDescent="0.2">
      <c r="A148" s="48"/>
      <c r="B148" s="48" t="s">
        <v>435</v>
      </c>
      <c r="C148" s="48" t="s">
        <v>732</v>
      </c>
      <c r="D148" s="49" t="s">
        <v>428</v>
      </c>
      <c r="E148" s="50">
        <f>SmtRes!DO36*SmtRes!AT36</f>
        <v>0.18</v>
      </c>
      <c r="F148" s="50"/>
      <c r="G148" s="50">
        <f>ROUND(E148*G141, 7)</f>
        <v>3.3300000000000001E-3</v>
      </c>
      <c r="H148" s="52"/>
      <c r="I148" s="51"/>
      <c r="J148" s="52">
        <f>ROUND(SmtRes!AG36/SmtRes!DO36, 2)</f>
        <v>649.24</v>
      </c>
      <c r="K148" s="51"/>
      <c r="L148" s="52">
        <f>SmtRes!DH36</f>
        <v>2.16</v>
      </c>
      <c r="CE148">
        <v>1</v>
      </c>
    </row>
    <row r="149" spans="1:83" ht="57" x14ac:dyDescent="0.2">
      <c r="A149" s="48"/>
      <c r="B149" s="48" t="s">
        <v>498</v>
      </c>
      <c r="C149" s="48" t="s">
        <v>500</v>
      </c>
      <c r="D149" s="49" t="s">
        <v>434</v>
      </c>
      <c r="E149" s="50">
        <v>4.37</v>
      </c>
      <c r="F149" s="50"/>
      <c r="G149" s="50">
        <f>SmtRes!CX37</f>
        <v>8.0845E-2</v>
      </c>
      <c r="H149" s="52">
        <f>SmtRes!CZ37</f>
        <v>95.25</v>
      </c>
      <c r="I149" s="51">
        <f>SmtRes!AJ37</f>
        <v>1.43</v>
      </c>
      <c r="J149" s="52">
        <f>ROUND(H149*I149, 2)</f>
        <v>136.21</v>
      </c>
      <c r="K149" s="51"/>
      <c r="L149" s="52">
        <f>SmtRes!DG37</f>
        <v>11.01</v>
      </c>
    </row>
    <row r="150" spans="1:83" ht="28.5" x14ac:dyDescent="0.2">
      <c r="A150" s="48"/>
      <c r="B150" s="48" t="s">
        <v>463</v>
      </c>
      <c r="C150" s="48" t="s">
        <v>465</v>
      </c>
      <c r="D150" s="49" t="s">
        <v>434</v>
      </c>
      <c r="E150" s="50">
        <v>0.25</v>
      </c>
      <c r="F150" s="50"/>
      <c r="G150" s="50">
        <f>SmtRes!CX38</f>
        <v>4.6249999999999998E-3</v>
      </c>
      <c r="H150" s="52"/>
      <c r="I150" s="51"/>
      <c r="J150" s="52">
        <f>SmtRes!CZ38</f>
        <v>544.91999999999996</v>
      </c>
      <c r="K150" s="51"/>
      <c r="L150" s="52">
        <f>SmtRes!DG38</f>
        <v>2.52</v>
      </c>
    </row>
    <row r="151" spans="1:83" ht="28.5" x14ac:dyDescent="0.2">
      <c r="A151" s="48"/>
      <c r="B151" s="48" t="s">
        <v>466</v>
      </c>
      <c r="C151" s="48" t="s">
        <v>747</v>
      </c>
      <c r="D151" s="49" t="s">
        <v>428</v>
      </c>
      <c r="E151" s="50">
        <f>SmtRes!DO38*SmtRes!AT38</f>
        <v>0.25</v>
      </c>
      <c r="F151" s="50"/>
      <c r="G151" s="50">
        <f>ROUND(E151*G141, 7)</f>
        <v>4.6249999999999998E-3</v>
      </c>
      <c r="H151" s="52"/>
      <c r="I151" s="51"/>
      <c r="J151" s="52">
        <f>ROUND(SmtRes!AG38/SmtRes!DO38, 2)</f>
        <v>731.08</v>
      </c>
      <c r="K151" s="51"/>
      <c r="L151" s="52">
        <f>SmtRes!DH38</f>
        <v>3.38</v>
      </c>
      <c r="CE151">
        <v>1</v>
      </c>
    </row>
    <row r="152" spans="1:83" ht="14.25" x14ac:dyDescent="0.2">
      <c r="A152" s="48"/>
      <c r="B152" s="48" t="s">
        <v>501</v>
      </c>
      <c r="C152" s="48" t="s">
        <v>503</v>
      </c>
      <c r="D152" s="49" t="s">
        <v>434</v>
      </c>
      <c r="E152" s="50">
        <v>1.5</v>
      </c>
      <c r="F152" s="50"/>
      <c r="G152" s="50">
        <f>SmtRes!CX39</f>
        <v>2.775E-2</v>
      </c>
      <c r="H152" s="52">
        <f>SmtRes!CZ39</f>
        <v>26.26</v>
      </c>
      <c r="I152" s="51">
        <f>SmtRes!AJ39</f>
        <v>1.23</v>
      </c>
      <c r="J152" s="52">
        <f>ROUND(H152*I152, 2)</f>
        <v>32.299999999999997</v>
      </c>
      <c r="K152" s="51"/>
      <c r="L152" s="52">
        <f>SmtRes!DG39</f>
        <v>0.9</v>
      </c>
    </row>
    <row r="153" spans="1:83" ht="15" x14ac:dyDescent="0.2">
      <c r="A153" s="47"/>
      <c r="B153" s="50">
        <v>4</v>
      </c>
      <c r="C153" s="47" t="s">
        <v>742</v>
      </c>
      <c r="D153" s="49"/>
      <c r="E153" s="54"/>
      <c r="F153" s="50"/>
      <c r="G153" s="50"/>
      <c r="H153" s="50"/>
      <c r="I153" s="50"/>
      <c r="J153" s="50"/>
      <c r="K153" s="50"/>
      <c r="L153" s="55">
        <f>SUM(L154:L159)-SUMIF(CE154:CE159, 1, L154:L159)</f>
        <v>339.96999999999997</v>
      </c>
    </row>
    <row r="154" spans="1:83" ht="42.75" x14ac:dyDescent="0.2">
      <c r="A154" s="48"/>
      <c r="B154" s="48" t="s">
        <v>504</v>
      </c>
      <c r="C154" s="48" t="s">
        <v>506</v>
      </c>
      <c r="D154" s="49" t="s">
        <v>30</v>
      </c>
      <c r="E154" s="50">
        <v>8.0000000000000002E-3</v>
      </c>
      <c r="F154" s="50"/>
      <c r="G154" s="50">
        <f>SmtRes!CX40</f>
        <v>1.4799999999999999E-4</v>
      </c>
      <c r="H154" s="52">
        <f>SmtRes!CZ40</f>
        <v>21588.35</v>
      </c>
      <c r="I154" s="51">
        <f>SmtRes!AI40</f>
        <v>1.18</v>
      </c>
      <c r="J154" s="52">
        <f>ROUND(H154*I154, 2)</f>
        <v>25474.25</v>
      </c>
      <c r="K154" s="51"/>
      <c r="L154" s="52">
        <f>SmtRes!DF40</f>
        <v>3.77</v>
      </c>
    </row>
    <row r="155" spans="1:83" ht="28.5" x14ac:dyDescent="0.2">
      <c r="A155" s="48"/>
      <c r="B155" s="48" t="s">
        <v>507</v>
      </c>
      <c r="C155" s="48" t="s">
        <v>509</v>
      </c>
      <c r="D155" s="49" t="s">
        <v>30</v>
      </c>
      <c r="E155" s="50">
        <v>1.9E-2</v>
      </c>
      <c r="F155" s="50"/>
      <c r="G155" s="50">
        <f>SmtRes!CX41</f>
        <v>3.5149999999999998E-4</v>
      </c>
      <c r="H155" s="52"/>
      <c r="I155" s="51"/>
      <c r="J155" s="52">
        <f>SmtRes!CZ41</f>
        <v>25697.86</v>
      </c>
      <c r="K155" s="51"/>
      <c r="L155" s="52">
        <f>SmtRes!DF41</f>
        <v>9.0299999999999994</v>
      </c>
    </row>
    <row r="156" spans="1:83" ht="28.5" x14ac:dyDescent="0.2">
      <c r="A156" s="48"/>
      <c r="B156" s="48" t="s">
        <v>510</v>
      </c>
      <c r="C156" s="48" t="s">
        <v>512</v>
      </c>
      <c r="D156" s="49" t="s">
        <v>30</v>
      </c>
      <c r="E156" s="50">
        <v>0.157</v>
      </c>
      <c r="F156" s="50"/>
      <c r="G156" s="50">
        <f>SmtRes!CX42</f>
        <v>2.9045E-3</v>
      </c>
      <c r="H156" s="52">
        <f>SmtRes!CZ42</f>
        <v>22965.21</v>
      </c>
      <c r="I156" s="51">
        <f>SmtRes!AI42</f>
        <v>0.88</v>
      </c>
      <c r="J156" s="52">
        <f>ROUND(H156*I156, 2)</f>
        <v>20209.38</v>
      </c>
      <c r="K156" s="51"/>
      <c r="L156" s="52">
        <f>SmtRes!DF42</f>
        <v>58.7</v>
      </c>
    </row>
    <row r="157" spans="1:83" ht="14.25" x14ac:dyDescent="0.2">
      <c r="A157" s="48"/>
      <c r="B157" s="48" t="s">
        <v>513</v>
      </c>
      <c r="C157" s="48" t="s">
        <v>515</v>
      </c>
      <c r="D157" s="49" t="s">
        <v>96</v>
      </c>
      <c r="E157" s="50">
        <v>57</v>
      </c>
      <c r="F157" s="50"/>
      <c r="G157" s="50">
        <f>SmtRes!CX43</f>
        <v>1.0545</v>
      </c>
      <c r="H157" s="52">
        <f>SmtRes!CZ43</f>
        <v>160.27000000000001</v>
      </c>
      <c r="I157" s="51">
        <f>SmtRes!AI43</f>
        <v>1.29</v>
      </c>
      <c r="J157" s="52">
        <f>ROUND(H157*I157, 2)</f>
        <v>206.75</v>
      </c>
      <c r="K157" s="51"/>
      <c r="L157" s="52">
        <f>SmtRes!DF43</f>
        <v>218.02</v>
      </c>
    </row>
    <row r="158" spans="1:83" ht="28.5" x14ac:dyDescent="0.2">
      <c r="A158" s="48"/>
      <c r="B158" s="48" t="s">
        <v>516</v>
      </c>
      <c r="C158" s="48" t="s">
        <v>518</v>
      </c>
      <c r="D158" s="49" t="s">
        <v>30</v>
      </c>
      <c r="E158" s="50">
        <v>0.125</v>
      </c>
      <c r="F158" s="50"/>
      <c r="G158" s="50">
        <f>SmtRes!CX44</f>
        <v>2.3124999999999999E-3</v>
      </c>
      <c r="H158" s="52">
        <f>SmtRes!CZ44</f>
        <v>10415.31</v>
      </c>
      <c r="I158" s="51">
        <f>SmtRes!AI44</f>
        <v>2.06</v>
      </c>
      <c r="J158" s="52">
        <f>ROUND(H158*I158, 2)</f>
        <v>21455.54</v>
      </c>
      <c r="K158" s="51"/>
      <c r="L158" s="52">
        <f>SmtRes!DF44</f>
        <v>49.62</v>
      </c>
    </row>
    <row r="159" spans="1:83" ht="14.25" x14ac:dyDescent="0.2">
      <c r="A159" s="48"/>
      <c r="B159" s="48" t="s">
        <v>519</v>
      </c>
      <c r="C159" s="56" t="s">
        <v>521</v>
      </c>
      <c r="D159" s="57" t="s">
        <v>96</v>
      </c>
      <c r="E159" s="58">
        <v>0.5</v>
      </c>
      <c r="F159" s="58"/>
      <c r="G159" s="58">
        <f>SmtRes!CX45</f>
        <v>9.2499999999999995E-3</v>
      </c>
      <c r="H159" s="59">
        <f>SmtRes!CZ45</f>
        <v>56.11</v>
      </c>
      <c r="I159" s="60">
        <f>SmtRes!AI45</f>
        <v>1.6</v>
      </c>
      <c r="J159" s="59">
        <f>ROUND(H159*I159, 2)</f>
        <v>89.78</v>
      </c>
      <c r="K159" s="60"/>
      <c r="L159" s="59">
        <f>SmtRes!DF45</f>
        <v>0.83</v>
      </c>
    </row>
    <row r="160" spans="1:83" ht="15" x14ac:dyDescent="0.2">
      <c r="A160" s="48"/>
      <c r="B160" s="48"/>
      <c r="C160" s="63" t="s">
        <v>734</v>
      </c>
      <c r="D160" s="49"/>
      <c r="E160" s="50"/>
      <c r="F160" s="50"/>
      <c r="G160" s="50"/>
      <c r="H160" s="52"/>
      <c r="I160" s="51"/>
      <c r="J160" s="52"/>
      <c r="K160" s="51"/>
      <c r="L160" s="52">
        <f>L143+L145+L146+L153</f>
        <v>732.94</v>
      </c>
    </row>
    <row r="161" spans="1:83" ht="14.25" x14ac:dyDescent="0.2">
      <c r="A161" s="48"/>
      <c r="B161" s="48"/>
      <c r="C161" s="48" t="s">
        <v>735</v>
      </c>
      <c r="D161" s="49"/>
      <c r="E161" s="50"/>
      <c r="F161" s="50"/>
      <c r="G161" s="50"/>
      <c r="H161" s="52"/>
      <c r="I161" s="51"/>
      <c r="J161" s="52"/>
      <c r="K161" s="51"/>
      <c r="L161" s="52">
        <f>SUM(AR141:AR164)+SUM(AS141:AS164)+SUM(AT141:AT164)+SUM(AU141:AU164)+SUM(AV141:AV164)</f>
        <v>378.34000000000003</v>
      </c>
    </row>
    <row r="162" spans="1:83" ht="14.25" x14ac:dyDescent="0.2">
      <c r="A162" s="48"/>
      <c r="B162" s="48" t="s">
        <v>75</v>
      </c>
      <c r="C162" s="48" t="s">
        <v>736</v>
      </c>
      <c r="D162" s="49" t="s">
        <v>737</v>
      </c>
      <c r="E162" s="50">
        <f>Source!BZ37</f>
        <v>112</v>
      </c>
      <c r="F162" s="50"/>
      <c r="G162" s="50">
        <f>Source!AT37</f>
        <v>112</v>
      </c>
      <c r="H162" s="52"/>
      <c r="I162" s="51"/>
      <c r="J162" s="52"/>
      <c r="K162" s="51"/>
      <c r="L162" s="52">
        <f>SUM(AZ141:AZ164)</f>
        <v>423.74</v>
      </c>
    </row>
    <row r="163" spans="1:83" ht="14.25" x14ac:dyDescent="0.2">
      <c r="A163" s="56"/>
      <c r="B163" s="56" t="s">
        <v>76</v>
      </c>
      <c r="C163" s="56" t="s">
        <v>738</v>
      </c>
      <c r="D163" s="57" t="s">
        <v>737</v>
      </c>
      <c r="E163" s="58">
        <f>Source!CA37</f>
        <v>65</v>
      </c>
      <c r="F163" s="58"/>
      <c r="G163" s="58">
        <f>Source!AU37</f>
        <v>65</v>
      </c>
      <c r="H163" s="59"/>
      <c r="I163" s="60"/>
      <c r="J163" s="59"/>
      <c r="K163" s="60"/>
      <c r="L163" s="59">
        <f>SUM(BA141:BA164)</f>
        <v>245.92</v>
      </c>
    </row>
    <row r="164" spans="1:83" ht="15" x14ac:dyDescent="0.2">
      <c r="C164" s="124" t="s">
        <v>739</v>
      </c>
      <c r="D164" s="124"/>
      <c r="E164" s="124"/>
      <c r="F164" s="124"/>
      <c r="G164" s="124"/>
      <c r="H164" s="124"/>
      <c r="I164" s="125">
        <f>IF(E141&lt;&gt;0,K164/E141, 0)</f>
        <v>75816.216216216213</v>
      </c>
      <c r="J164" s="125"/>
      <c r="K164" s="125">
        <f>L143+L145+L153+L162+L163+L146</f>
        <v>1402.6</v>
      </c>
      <c r="L164" s="125"/>
      <c r="AD164">
        <f>ROUND((Source!AT37/100)*((ROUND(SUMIF(SmtRes!AQ34:'SmtRes'!AQ45,"=1",SmtRes!AD34:'SmtRes'!AD45)*Source!I37, 2)+ROUND(SUMIF(SmtRes!AQ34:'SmtRes'!AQ45,"=1",SmtRes!AC34:'SmtRes'!AC45)*Source!I37, 2))), 2)</f>
        <v>45.79</v>
      </c>
      <c r="AE164">
        <f>ROUND((Source!AU37/100)*((ROUND(SUMIF(SmtRes!AQ34:'SmtRes'!AQ45,"=1",SmtRes!AD34:'SmtRes'!AD45)*Source!I37, 2)+ROUND(SUMIF(SmtRes!AQ34:'SmtRes'!AQ45,"=1",SmtRes!AC34:'SmtRes'!AC45)*Source!I37, 2))), 2)</f>
        <v>26.57</v>
      </c>
      <c r="AN164" s="61">
        <f>L143+L145+L153+L162+L163+L146</f>
        <v>1402.6</v>
      </c>
      <c r="AO164" s="61">
        <f>L145</f>
        <v>14.629999999999997</v>
      </c>
      <c r="AQ164" t="s">
        <v>740</v>
      </c>
      <c r="AR164" s="61">
        <f>L143</f>
        <v>372.8</v>
      </c>
      <c r="AT164" s="61">
        <f>L146</f>
        <v>5.54</v>
      </c>
      <c r="AV164" t="s">
        <v>740</v>
      </c>
      <c r="AW164" s="61">
        <f>L153</f>
        <v>339.96999999999997</v>
      </c>
      <c r="AZ164">
        <f>Source!X37</f>
        <v>423.74</v>
      </c>
      <c r="BA164">
        <f>Source!Y37</f>
        <v>245.92</v>
      </c>
      <c r="CD164">
        <v>1</v>
      </c>
    </row>
    <row r="165" spans="1:83" ht="28.5" x14ac:dyDescent="0.2">
      <c r="A165" s="46" t="s">
        <v>77</v>
      </c>
      <c r="B165" s="48" t="s">
        <v>756</v>
      </c>
      <c r="C165" s="48" t="str">
        <f>Source!G38</f>
        <v>Устройство покрытий из плит керамогранитных размером: 40х40 см</v>
      </c>
      <c r="D165" s="49" t="str">
        <f>Source!H38</f>
        <v>100 м2</v>
      </c>
      <c r="E165" s="50">
        <f>Source!K38</f>
        <v>1.8499999999999999E-2</v>
      </c>
      <c r="F165" s="50"/>
      <c r="G165" s="50">
        <f>Source!I38</f>
        <v>1.8499999999999999E-2</v>
      </c>
      <c r="H165" s="52"/>
      <c r="I165" s="51"/>
      <c r="J165" s="52"/>
      <c r="K165" s="51"/>
      <c r="L165" s="52"/>
    </row>
    <row r="166" spans="1:83" ht="25.5" x14ac:dyDescent="0.2">
      <c r="C166" s="53" t="str">
        <f>"Объем: "&amp;Source!I38&amp;"=1,5*"&amp;"1/"&amp;"100+"&amp;"(1,5*"&amp;"0,1+"&amp;"1*"&amp;"0,1*"&amp;"2)/"&amp;"100"</f>
        <v>Объем: 0,0185=1,5*1/100+(1,5*0,1+1*0,1*2)/100</v>
      </c>
    </row>
    <row r="167" spans="1:83" ht="15" x14ac:dyDescent="0.2">
      <c r="A167" s="47"/>
      <c r="B167" s="50">
        <v>1</v>
      </c>
      <c r="C167" s="47" t="s">
        <v>730</v>
      </c>
      <c r="D167" s="49" t="s">
        <v>428</v>
      </c>
      <c r="E167" s="54"/>
      <c r="F167" s="50"/>
      <c r="G167" s="50">
        <f>Source!U38</f>
        <v>5.7427700000000002</v>
      </c>
      <c r="H167" s="50"/>
      <c r="I167" s="50"/>
      <c r="J167" s="50"/>
      <c r="K167" s="50"/>
      <c r="L167" s="55">
        <f>SUM(L168:L168)-SUMIF(CE168:CE168, 1, L168:L168)</f>
        <v>3775.18</v>
      </c>
    </row>
    <row r="168" spans="1:83" ht="14.25" x14ac:dyDescent="0.2">
      <c r="A168" s="48"/>
      <c r="B168" s="48" t="s">
        <v>522</v>
      </c>
      <c r="C168" s="48" t="s">
        <v>523</v>
      </c>
      <c r="D168" s="49" t="s">
        <v>428</v>
      </c>
      <c r="E168" s="50">
        <v>310.42</v>
      </c>
      <c r="F168" s="50"/>
      <c r="G168" s="50">
        <f>SmtRes!CX46</f>
        <v>5.7427700000000002</v>
      </c>
      <c r="H168" s="52">
        <f>SmtRes!CZ46</f>
        <v>657.38</v>
      </c>
      <c r="I168" s="51"/>
      <c r="J168" s="52"/>
      <c r="K168" s="51"/>
      <c r="L168" s="52">
        <f>SmtRes!DI46</f>
        <v>3775.18</v>
      </c>
    </row>
    <row r="169" spans="1:83" ht="15" x14ac:dyDescent="0.2">
      <c r="A169" s="47"/>
      <c r="B169" s="50">
        <v>2</v>
      </c>
      <c r="C169" s="47" t="s">
        <v>731</v>
      </c>
      <c r="D169" s="49"/>
      <c r="E169" s="54"/>
      <c r="F169" s="50"/>
      <c r="G169" s="50"/>
      <c r="H169" s="50"/>
      <c r="I169" s="50"/>
      <c r="J169" s="50"/>
      <c r="K169" s="50"/>
      <c r="L169" s="55">
        <f>SUM(L170:L178)-SUMIF(CE170:CE178, 1, L170:L178)</f>
        <v>0.65000000000000568</v>
      </c>
    </row>
    <row r="170" spans="1:83" ht="15" x14ac:dyDescent="0.2">
      <c r="A170" s="47"/>
      <c r="B170" s="50"/>
      <c r="C170" s="47" t="s">
        <v>733</v>
      </c>
      <c r="D170" s="49" t="s">
        <v>428</v>
      </c>
      <c r="E170" s="54"/>
      <c r="F170" s="50"/>
      <c r="G170" s="50">
        <f>Source!V38</f>
        <v>3.2004999999999999E-2</v>
      </c>
      <c r="H170" s="50"/>
      <c r="I170" s="50"/>
      <c r="J170" s="50"/>
      <c r="K170" s="50"/>
      <c r="L170" s="55">
        <f>SUMIF(CE171:CE178, 1, L171:L178)</f>
        <v>20.98</v>
      </c>
      <c r="CE170">
        <v>1</v>
      </c>
    </row>
    <row r="171" spans="1:83" ht="28.5" x14ac:dyDescent="0.2">
      <c r="A171" s="48"/>
      <c r="B171" s="48" t="s">
        <v>524</v>
      </c>
      <c r="C171" s="48" t="s">
        <v>526</v>
      </c>
      <c r="D171" s="49" t="s">
        <v>434</v>
      </c>
      <c r="E171" s="50">
        <v>0.02</v>
      </c>
      <c r="F171" s="50"/>
      <c r="G171" s="50">
        <f>SmtRes!CX48</f>
        <v>3.6999999999999999E-4</v>
      </c>
      <c r="H171" s="52">
        <f>SmtRes!CZ48</f>
        <v>251.77</v>
      </c>
      <c r="I171" s="51">
        <f>SmtRes!AJ48</f>
        <v>1.48</v>
      </c>
      <c r="J171" s="52">
        <f>ROUND(H171*I171, 2)</f>
        <v>372.62</v>
      </c>
      <c r="K171" s="51"/>
      <c r="L171" s="52">
        <f>SmtRes!DG48</f>
        <v>0.14000000000000001</v>
      </c>
    </row>
    <row r="172" spans="1:83" ht="28.5" x14ac:dyDescent="0.2">
      <c r="A172" s="48"/>
      <c r="B172" s="48" t="s">
        <v>456</v>
      </c>
      <c r="C172" s="48" t="s">
        <v>746</v>
      </c>
      <c r="D172" s="49" t="s">
        <v>428</v>
      </c>
      <c r="E172" s="50">
        <f>SmtRes!DO48*SmtRes!AT48</f>
        <v>0.02</v>
      </c>
      <c r="F172" s="50"/>
      <c r="G172" s="50">
        <f>ROUND(E172*G165, 7)</f>
        <v>3.6999999999999999E-4</v>
      </c>
      <c r="H172" s="52"/>
      <c r="I172" s="51"/>
      <c r="J172" s="52">
        <f>ROUND(SmtRes!AG48/SmtRes!DO48, 2)</f>
        <v>982.04</v>
      </c>
      <c r="K172" s="51"/>
      <c r="L172" s="52">
        <f>SmtRes!DH48</f>
        <v>0.36</v>
      </c>
      <c r="CE172">
        <v>1</v>
      </c>
    </row>
    <row r="173" spans="1:83" ht="28.5" x14ac:dyDescent="0.2">
      <c r="A173" s="48"/>
      <c r="B173" s="48" t="s">
        <v>453</v>
      </c>
      <c r="C173" s="48" t="s">
        <v>455</v>
      </c>
      <c r="D173" s="49" t="s">
        <v>434</v>
      </c>
      <c r="E173" s="50">
        <v>0.01</v>
      </c>
      <c r="F173" s="50"/>
      <c r="G173" s="50">
        <f>SmtRes!CX49</f>
        <v>1.85E-4</v>
      </c>
      <c r="H173" s="52"/>
      <c r="I173" s="51"/>
      <c r="J173" s="52">
        <f>SmtRes!CZ49</f>
        <v>1585.56</v>
      </c>
      <c r="K173" s="51"/>
      <c r="L173" s="52">
        <f>SmtRes!DG49</f>
        <v>0.28999999999999998</v>
      </c>
    </row>
    <row r="174" spans="1:83" ht="28.5" x14ac:dyDescent="0.2">
      <c r="A174" s="48"/>
      <c r="B174" s="48" t="s">
        <v>456</v>
      </c>
      <c r="C174" s="48" t="s">
        <v>746</v>
      </c>
      <c r="D174" s="49" t="s">
        <v>428</v>
      </c>
      <c r="E174" s="50">
        <f>SmtRes!DO49*SmtRes!AT49</f>
        <v>0.01</v>
      </c>
      <c r="F174" s="50"/>
      <c r="G174" s="50">
        <f>ROUND(E174*G165, 7)</f>
        <v>1.85E-4</v>
      </c>
      <c r="H174" s="52"/>
      <c r="I174" s="51"/>
      <c r="J174" s="52">
        <f>ROUND(SmtRes!AG49/SmtRes!DO49, 2)</f>
        <v>982.04</v>
      </c>
      <c r="K174" s="51"/>
      <c r="L174" s="52">
        <f>SmtRes!DH49</f>
        <v>0.18</v>
      </c>
      <c r="CE174">
        <v>1</v>
      </c>
    </row>
    <row r="175" spans="1:83" ht="28.5" x14ac:dyDescent="0.2">
      <c r="A175" s="48"/>
      <c r="B175" s="48" t="s">
        <v>527</v>
      </c>
      <c r="C175" s="48" t="s">
        <v>529</v>
      </c>
      <c r="D175" s="49" t="s">
        <v>434</v>
      </c>
      <c r="E175" s="50">
        <v>1.69</v>
      </c>
      <c r="F175" s="50"/>
      <c r="G175" s="50">
        <f>SmtRes!CX50</f>
        <v>3.1265000000000001E-2</v>
      </c>
      <c r="H175" s="52">
        <f>SmtRes!CZ50</f>
        <v>2.31</v>
      </c>
      <c r="I175" s="51">
        <f>SmtRes!AJ50</f>
        <v>1.65</v>
      </c>
      <c r="J175" s="52">
        <f>ROUND(H175*I175, 2)</f>
        <v>3.81</v>
      </c>
      <c r="K175" s="51"/>
      <c r="L175" s="52">
        <f>SmtRes!DG50</f>
        <v>0.12</v>
      </c>
    </row>
    <row r="176" spans="1:83" ht="28.5" x14ac:dyDescent="0.2">
      <c r="A176" s="48"/>
      <c r="B176" s="48" t="s">
        <v>435</v>
      </c>
      <c r="C176" s="48" t="s">
        <v>732</v>
      </c>
      <c r="D176" s="49" t="s">
        <v>428</v>
      </c>
      <c r="E176" s="50">
        <f>SmtRes!DO50*SmtRes!AT50</f>
        <v>1.69</v>
      </c>
      <c r="F176" s="50"/>
      <c r="G176" s="50">
        <f>ROUND(E176*G165, 7)</f>
        <v>3.1265000000000001E-2</v>
      </c>
      <c r="H176" s="52"/>
      <c r="I176" s="51"/>
      <c r="J176" s="52">
        <f>ROUND(SmtRes!AG50/SmtRes!DO50, 2)</f>
        <v>649.24</v>
      </c>
      <c r="K176" s="51"/>
      <c r="L176" s="52">
        <f>SmtRes!DH50</f>
        <v>20.3</v>
      </c>
      <c r="CE176">
        <v>1</v>
      </c>
    </row>
    <row r="177" spans="1:83" ht="28.5" x14ac:dyDescent="0.2">
      <c r="A177" s="48"/>
      <c r="B177" s="48" t="s">
        <v>463</v>
      </c>
      <c r="C177" s="48" t="s">
        <v>465</v>
      </c>
      <c r="D177" s="49" t="s">
        <v>434</v>
      </c>
      <c r="E177" s="50">
        <v>0.01</v>
      </c>
      <c r="F177" s="50"/>
      <c r="G177" s="50">
        <f>SmtRes!CX51</f>
        <v>1.85E-4</v>
      </c>
      <c r="H177" s="52"/>
      <c r="I177" s="51"/>
      <c r="J177" s="52">
        <f>SmtRes!CZ51</f>
        <v>544.91999999999996</v>
      </c>
      <c r="K177" s="51"/>
      <c r="L177" s="52">
        <f>SmtRes!DG51</f>
        <v>0.1</v>
      </c>
    </row>
    <row r="178" spans="1:83" ht="28.5" x14ac:dyDescent="0.2">
      <c r="A178" s="48"/>
      <c r="B178" s="48" t="s">
        <v>466</v>
      </c>
      <c r="C178" s="48" t="s">
        <v>747</v>
      </c>
      <c r="D178" s="49" t="s">
        <v>428</v>
      </c>
      <c r="E178" s="50">
        <f>SmtRes!DO51*SmtRes!AT51</f>
        <v>0.01</v>
      </c>
      <c r="F178" s="50"/>
      <c r="G178" s="50">
        <f>ROUND(E178*G165, 7)</f>
        <v>1.85E-4</v>
      </c>
      <c r="H178" s="52"/>
      <c r="I178" s="51"/>
      <c r="J178" s="52">
        <f>ROUND(SmtRes!AG51/SmtRes!DO51, 2)</f>
        <v>731.08</v>
      </c>
      <c r="K178" s="51"/>
      <c r="L178" s="52">
        <f>SmtRes!DH51</f>
        <v>0.14000000000000001</v>
      </c>
      <c r="CE178">
        <v>1</v>
      </c>
    </row>
    <row r="179" spans="1:83" ht="15" x14ac:dyDescent="0.2">
      <c r="A179" s="47"/>
      <c r="B179" s="50">
        <v>4</v>
      </c>
      <c r="C179" s="47" t="s">
        <v>742</v>
      </c>
      <c r="D179" s="49"/>
      <c r="E179" s="54"/>
      <c r="F179" s="50"/>
      <c r="G179" s="50"/>
      <c r="H179" s="50"/>
      <c r="I179" s="50"/>
      <c r="J179" s="50"/>
      <c r="K179" s="50"/>
      <c r="L179" s="55">
        <f>SUM(L180:L182)-SUMIF(CE180:CE182, 1, L180:L182)</f>
        <v>18.21</v>
      </c>
    </row>
    <row r="180" spans="1:83" ht="14.25" x14ac:dyDescent="0.2">
      <c r="A180" s="48"/>
      <c r="B180" s="48" t="s">
        <v>467</v>
      </c>
      <c r="C180" s="48" t="s">
        <v>469</v>
      </c>
      <c r="D180" s="49" t="s">
        <v>34</v>
      </c>
      <c r="E180" s="50">
        <v>0.44</v>
      </c>
      <c r="F180" s="50"/>
      <c r="G180" s="50">
        <f>SmtRes!CX52</f>
        <v>8.1399999999999997E-3</v>
      </c>
      <c r="H180" s="52">
        <f>SmtRes!CZ52</f>
        <v>35.71</v>
      </c>
      <c r="I180" s="51">
        <f>SmtRes!AI52</f>
        <v>1.53</v>
      </c>
      <c r="J180" s="52">
        <f>ROUND(H180*I180, 2)</f>
        <v>54.64</v>
      </c>
      <c r="K180" s="51"/>
      <c r="L180" s="52">
        <f>SmtRes!DF52</f>
        <v>0.44</v>
      </c>
    </row>
    <row r="181" spans="1:83" ht="14.25" x14ac:dyDescent="0.2">
      <c r="A181" s="48"/>
      <c r="B181" s="48" t="s">
        <v>530</v>
      </c>
      <c r="C181" s="48" t="s">
        <v>532</v>
      </c>
      <c r="D181" s="49" t="s">
        <v>533</v>
      </c>
      <c r="E181" s="50">
        <v>3.2500000000000001E-2</v>
      </c>
      <c r="F181" s="50"/>
      <c r="G181" s="50">
        <f>SmtRes!CX53</f>
        <v>6.0130000000000003E-4</v>
      </c>
      <c r="H181" s="52"/>
      <c r="I181" s="51"/>
      <c r="J181" s="52">
        <f>SmtRes!CZ53</f>
        <v>6.92</v>
      </c>
      <c r="K181" s="51"/>
      <c r="L181" s="52">
        <f>SmtRes!DF53</f>
        <v>0</v>
      </c>
    </row>
    <row r="182" spans="1:83" ht="42.75" x14ac:dyDescent="0.2">
      <c r="A182" s="48"/>
      <c r="B182" s="48" t="s">
        <v>261</v>
      </c>
      <c r="C182" s="48" t="s">
        <v>262</v>
      </c>
      <c r="D182" s="49" t="s">
        <v>30</v>
      </c>
      <c r="E182" s="50">
        <v>1.2999999999999999E-2</v>
      </c>
      <c r="F182" s="50"/>
      <c r="G182" s="50">
        <f>SmtRes!CX54</f>
        <v>2.4049999999999999E-4</v>
      </c>
      <c r="H182" s="52"/>
      <c r="I182" s="51"/>
      <c r="J182" s="52">
        <f>SmtRes!CZ54</f>
        <v>73889</v>
      </c>
      <c r="K182" s="51"/>
      <c r="L182" s="52">
        <f>SmtRes!DF54</f>
        <v>17.77</v>
      </c>
    </row>
    <row r="183" spans="1:83" ht="14.25" x14ac:dyDescent="0.2">
      <c r="A183" s="48"/>
      <c r="B183" s="48" t="str">
        <f>EtalonRes!I55</f>
        <v>06.2.05.03</v>
      </c>
      <c r="C183" s="48" t="str">
        <f>EtalonRes!K55</f>
        <v>Плиты керамогранитные 400х400 мм</v>
      </c>
      <c r="D183" s="49" t="str">
        <f>EtalonRes!O55</f>
        <v>м2</v>
      </c>
      <c r="E183" s="50">
        <f>EtalonRes!X55</f>
        <v>102</v>
      </c>
      <c r="F183" s="50"/>
      <c r="G183" s="50">
        <f>ROUND(EtalonRes!AG55*Source!I38, 7)</f>
        <v>1.887</v>
      </c>
      <c r="H183" s="52"/>
      <c r="I183" s="51"/>
      <c r="J183" s="52"/>
      <c r="K183" s="51"/>
      <c r="L183" s="52"/>
    </row>
    <row r="184" spans="1:83" ht="14.25" x14ac:dyDescent="0.2">
      <c r="A184" s="48"/>
      <c r="B184" s="48" t="str">
        <f>EtalonRes!I56</f>
        <v>11.2.04.05</v>
      </c>
      <c r="C184" s="48" t="str">
        <f>EtalonRes!K56</f>
        <v>Рейки деревянные</v>
      </c>
      <c r="D184" s="49" t="str">
        <f>EtalonRes!O56</f>
        <v>м3</v>
      </c>
      <c r="E184" s="50">
        <f>EtalonRes!X56</f>
        <v>0.01</v>
      </c>
      <c r="F184" s="50"/>
      <c r="G184" s="50">
        <f>ROUND(EtalonRes!AG56*Source!I38, 7)</f>
        <v>1.85E-4</v>
      </c>
      <c r="H184" s="52"/>
      <c r="I184" s="51"/>
      <c r="J184" s="52"/>
      <c r="K184" s="51"/>
      <c r="L184" s="52"/>
    </row>
    <row r="185" spans="1:83" ht="28.5" x14ac:dyDescent="0.2">
      <c r="A185" s="48"/>
      <c r="B185" s="48" t="str">
        <f>EtalonRes!I57</f>
        <v>14.1.06.02</v>
      </c>
      <c r="C185" s="48" t="str">
        <f>EtalonRes!K57</f>
        <v>Клей для облицовочных работ (сухая смесь)</v>
      </c>
      <c r="D185" s="49" t="str">
        <f>EtalonRes!O57</f>
        <v>т</v>
      </c>
      <c r="E185" s="50">
        <f>EtalonRes!X57</f>
        <v>1.2</v>
      </c>
      <c r="F185" s="50"/>
      <c r="G185" s="50">
        <f>ROUND(EtalonRes!AG57*Source!I38, 7)</f>
        <v>2.2200000000000001E-2</v>
      </c>
      <c r="H185" s="52"/>
      <c r="I185" s="51"/>
      <c r="J185" s="52"/>
      <c r="K185" s="51"/>
      <c r="L185" s="52"/>
    </row>
    <row r="186" spans="1:83" ht="14.25" x14ac:dyDescent="0.2">
      <c r="A186" s="48"/>
      <c r="B186" s="48" t="str">
        <f>EtalonRes!I58</f>
        <v>14.4.01.21</v>
      </c>
      <c r="C186" s="56" t="str">
        <f>EtalonRes!K58</f>
        <v>Грунтовка</v>
      </c>
      <c r="D186" s="57" t="str">
        <f>EtalonRes!O58</f>
        <v>т</v>
      </c>
      <c r="E186" s="58">
        <f>EtalonRes!X58</f>
        <v>0</v>
      </c>
      <c r="F186" s="58"/>
      <c r="G186" s="58">
        <f>ROUND(EtalonRes!AG58*Source!I38, 7)</f>
        <v>0</v>
      </c>
      <c r="H186" s="59"/>
      <c r="I186" s="60"/>
      <c r="J186" s="59"/>
      <c r="K186" s="60"/>
      <c r="L186" s="59"/>
    </row>
    <row r="187" spans="1:83" ht="15" x14ac:dyDescent="0.2">
      <c r="A187" s="48"/>
      <c r="B187" s="48"/>
      <c r="C187" s="63" t="s">
        <v>734</v>
      </c>
      <c r="D187" s="49"/>
      <c r="E187" s="50"/>
      <c r="F187" s="50"/>
      <c r="G187" s="50"/>
      <c r="H187" s="52"/>
      <c r="I187" s="51"/>
      <c r="J187" s="52"/>
      <c r="K187" s="51"/>
      <c r="L187" s="52">
        <f>L167+L169+L170+L179</f>
        <v>3815.02</v>
      </c>
    </row>
    <row r="188" spans="1:83" ht="42.75" x14ac:dyDescent="0.2">
      <c r="A188" s="46" t="s">
        <v>757</v>
      </c>
      <c r="B188" s="48" t="str">
        <f>Source!F39</f>
        <v>06.2.05.03-0003</v>
      </c>
      <c r="C188" s="48" t="str">
        <f>Source!G39</f>
        <v>Плитка керамогранитная, неполированная, многоцветная, толщина 9 мм</v>
      </c>
      <c r="D188" s="49" t="str">
        <f>Source!H39</f>
        <v>м2</v>
      </c>
      <c r="E188" s="50">
        <f>SmtRes!AT55</f>
        <v>102</v>
      </c>
      <c r="F188" s="50"/>
      <c r="G188" s="50">
        <f>Source!I39</f>
        <v>1.887</v>
      </c>
      <c r="H188" s="52"/>
      <c r="I188" s="51"/>
      <c r="J188" s="52">
        <f>Source!AK39</f>
        <v>908.39</v>
      </c>
      <c r="K188" s="51"/>
      <c r="L188" s="52">
        <f>Source!P39</f>
        <v>1714.13</v>
      </c>
      <c r="AD188">
        <f>ROUND((Source!AT39/100)*((ROUND(ROUND(Source!AO39,2)*Source!I39, 2)+ROUND(ROUND(Source!AN39,2)*Source!I39, 2))), 2)</f>
        <v>0</v>
      </c>
      <c r="AE188">
        <f>ROUND((Source!AU39/100)*((ROUND(ROUND(Source!AO39,2)*Source!I39, 2)+ROUND(ROUND(Source!AN39,2)*Source!I39, 2))), 2)</f>
        <v>0</v>
      </c>
      <c r="AN188">
        <f>L188</f>
        <v>1714.13</v>
      </c>
      <c r="AW188">
        <f>L188</f>
        <v>1714.13</v>
      </c>
      <c r="AZ188">
        <f>Source!X39</f>
        <v>0</v>
      </c>
      <c r="BA188">
        <f>Source!Y39</f>
        <v>0</v>
      </c>
      <c r="CD188">
        <v>1</v>
      </c>
    </row>
    <row r="189" spans="1:83" ht="42.75" x14ac:dyDescent="0.2">
      <c r="A189" s="46" t="s">
        <v>758</v>
      </c>
      <c r="B189" s="48" t="str">
        <f>Source!F40</f>
        <v>11.2.04.05-0001</v>
      </c>
      <c r="C189" s="48" t="str">
        <f>Source!G40</f>
        <v>Рейка строганная сухая хвойных пород (ель, сосна), длина 2-3 м, размеры 8х18 мм</v>
      </c>
      <c r="D189" s="49" t="str">
        <f>Source!H40</f>
        <v>м3</v>
      </c>
      <c r="E189" s="50">
        <f>SmtRes!AT56</f>
        <v>0.01</v>
      </c>
      <c r="F189" s="50"/>
      <c r="G189" s="50">
        <f>Source!I40</f>
        <v>1.85E-4</v>
      </c>
      <c r="H189" s="52">
        <f>Source!AL40+Source!AO40+Source!AM40+Source!AN40</f>
        <v>23139.16</v>
      </c>
      <c r="I189" s="51">
        <f>IF(Source!BC40&lt;&gt; 0, Source!BC40, 1)</f>
        <v>1.73</v>
      </c>
      <c r="J189" s="52">
        <f>ROUND(H189*I189, 2)</f>
        <v>40030.75</v>
      </c>
      <c r="K189" s="51"/>
      <c r="L189" s="52">
        <f>Source!P40</f>
        <v>7.41</v>
      </c>
      <c r="AD189">
        <f>ROUND((Source!AT40/100)*((ROUND(ROUND(Source!AO40,2)*Source!I40, 2)+ROUND(ROUND(Source!AN40,2)*Source!I40, 2))), 2)</f>
        <v>0</v>
      </c>
      <c r="AE189">
        <f>ROUND((Source!AU40/100)*((ROUND(ROUND(Source!AO40,2)*Source!I40, 2)+ROUND(ROUND(Source!AN40,2)*Source!I40, 2))), 2)</f>
        <v>0</v>
      </c>
      <c r="AN189">
        <f>L189</f>
        <v>7.41</v>
      </c>
      <c r="AW189">
        <f>L189</f>
        <v>7.41</v>
      </c>
      <c r="AZ189">
        <f>Source!X40</f>
        <v>0</v>
      </c>
      <c r="BA189">
        <f>Source!Y40</f>
        <v>0</v>
      </c>
      <c r="CD189">
        <v>1</v>
      </c>
    </row>
    <row r="190" spans="1:83" ht="42.75" x14ac:dyDescent="0.2">
      <c r="A190" s="46" t="s">
        <v>759</v>
      </c>
      <c r="B190" s="48" t="str">
        <f>Source!F41</f>
        <v>14.1.06.02-0002</v>
      </c>
      <c r="C190" s="48" t="str">
        <f>Source!G41</f>
        <v>Клей монтажный сухой для внутренних и наружных работ на основе цементного вяжущего, для плитки</v>
      </c>
      <c r="D190" s="49" t="str">
        <f>Source!H41</f>
        <v>т</v>
      </c>
      <c r="E190" s="50">
        <f>SmtRes!AT57</f>
        <v>1.2</v>
      </c>
      <c r="F190" s="50"/>
      <c r="G190" s="50">
        <f>Source!I41</f>
        <v>2.2200000000000001E-2</v>
      </c>
      <c r="H190" s="52">
        <f>Source!AL41+Source!AO41+Source!AM41+Source!AN41</f>
        <v>33998.35</v>
      </c>
      <c r="I190" s="51">
        <f>IF(Source!BC41&lt;&gt; 0, Source!BC41, 1)</f>
        <v>1.01</v>
      </c>
      <c r="J190" s="52">
        <f>ROUND(H190*I190, 2)</f>
        <v>34338.33</v>
      </c>
      <c r="K190" s="51"/>
      <c r="L190" s="52">
        <f>Source!P41</f>
        <v>762.31</v>
      </c>
      <c r="AD190">
        <f>ROUND((Source!AT41/100)*((ROUND(ROUND(Source!AO41,2)*Source!I41, 2)+ROUND(ROUND(Source!AN41,2)*Source!I41, 2))), 2)</f>
        <v>0</v>
      </c>
      <c r="AE190">
        <f>ROUND((Source!AU41/100)*((ROUND(ROUND(Source!AO41,2)*Source!I41, 2)+ROUND(ROUND(Source!AN41,2)*Source!I41, 2))), 2)</f>
        <v>0</v>
      </c>
      <c r="AN190">
        <f>L190</f>
        <v>762.31</v>
      </c>
      <c r="AW190">
        <f>L190</f>
        <v>762.31</v>
      </c>
      <c r="AZ190">
        <f>Source!X41</f>
        <v>0</v>
      </c>
      <c r="BA190">
        <f>Source!Y41</f>
        <v>0</v>
      </c>
      <c r="CD190">
        <v>1</v>
      </c>
    </row>
    <row r="191" spans="1:83" ht="42.75" x14ac:dyDescent="0.2">
      <c r="A191" s="46" t="s">
        <v>760</v>
      </c>
      <c r="B191" s="48" t="str">
        <f>Source!F42</f>
        <v>14.4.01.21-0314</v>
      </c>
      <c r="C191" s="48" t="str">
        <f>Source!G42</f>
        <v>Грунтовка с высокой степенью проникновения для укрепления бетонных поверхностей</v>
      </c>
      <c r="D191" s="49" t="str">
        <f>Source!H42</f>
        <v>кг</v>
      </c>
      <c r="E191" s="50">
        <f>SmtRes!AT58</f>
        <v>15.6682028</v>
      </c>
      <c r="F191" s="50"/>
      <c r="G191" s="50">
        <f>Source!I42</f>
        <v>0.2898618</v>
      </c>
      <c r="H191" s="52">
        <f>Source!AL42+Source!AO42+Source!AM42+Source!AN42</f>
        <v>1284.05</v>
      </c>
      <c r="I191" s="51">
        <f>IF(Source!BC42&lt;&gt; 0, Source!BC42, 1)</f>
        <v>1.25</v>
      </c>
      <c r="J191" s="52">
        <f>ROUND(H191*I191, 2)</f>
        <v>1605.06</v>
      </c>
      <c r="K191" s="51"/>
      <c r="L191" s="52">
        <f>Source!P42</f>
        <v>465.25</v>
      </c>
      <c r="AD191">
        <f>ROUND((Source!AT42/100)*((ROUND(ROUND(Source!AO42,2)*Source!I42, 2)+ROUND(ROUND(Source!AN42,2)*Source!I42, 2))), 2)</f>
        <v>0</v>
      </c>
      <c r="AE191">
        <f>ROUND((Source!AU42/100)*((ROUND(ROUND(Source!AO42,2)*Source!I42, 2)+ROUND(ROUND(Source!AN42,2)*Source!I42, 2))), 2)</f>
        <v>0</v>
      </c>
      <c r="AN191">
        <f>L191</f>
        <v>465.25</v>
      </c>
      <c r="AW191">
        <f>L191</f>
        <v>465.25</v>
      </c>
      <c r="AZ191">
        <f>Source!X42</f>
        <v>0</v>
      </c>
      <c r="BA191">
        <f>Source!Y42</f>
        <v>0</v>
      </c>
      <c r="CD191">
        <v>1</v>
      </c>
    </row>
    <row r="192" spans="1:83" ht="14.25" x14ac:dyDescent="0.2">
      <c r="A192" s="48"/>
      <c r="B192" s="48"/>
      <c r="C192" s="48" t="s">
        <v>735</v>
      </c>
      <c r="D192" s="49"/>
      <c r="E192" s="50"/>
      <c r="F192" s="50"/>
      <c r="G192" s="50"/>
      <c r="H192" s="52"/>
      <c r="I192" s="51"/>
      <c r="J192" s="52"/>
      <c r="K192" s="51"/>
      <c r="L192" s="52">
        <f>SUM(AR165:AR195)+SUM(AS165:AS195)+SUM(AT165:AT195)+SUM(AU165:AU195)+SUM(AV165:AV195)</f>
        <v>3796.16</v>
      </c>
    </row>
    <row r="193" spans="1:82" ht="14.25" x14ac:dyDescent="0.2">
      <c r="A193" s="48"/>
      <c r="B193" s="48" t="s">
        <v>75</v>
      </c>
      <c r="C193" s="48" t="s">
        <v>736</v>
      </c>
      <c r="D193" s="49" t="s">
        <v>737</v>
      </c>
      <c r="E193" s="50">
        <f>Source!BZ38</f>
        <v>112</v>
      </c>
      <c r="F193" s="50"/>
      <c r="G193" s="50">
        <f>Source!AT38</f>
        <v>112</v>
      </c>
      <c r="H193" s="52"/>
      <c r="I193" s="51"/>
      <c r="J193" s="52"/>
      <c r="K193" s="51"/>
      <c r="L193" s="52">
        <f>SUM(AZ165:AZ195)</f>
        <v>4251.7</v>
      </c>
    </row>
    <row r="194" spans="1:82" ht="14.25" x14ac:dyDescent="0.2">
      <c r="A194" s="56"/>
      <c r="B194" s="56" t="s">
        <v>76</v>
      </c>
      <c r="C194" s="56" t="s">
        <v>738</v>
      </c>
      <c r="D194" s="57" t="s">
        <v>737</v>
      </c>
      <c r="E194" s="58">
        <f>Source!CA38</f>
        <v>65</v>
      </c>
      <c r="F194" s="58"/>
      <c r="G194" s="58">
        <f>Source!AU38</f>
        <v>65</v>
      </c>
      <c r="H194" s="59"/>
      <c r="I194" s="60"/>
      <c r="J194" s="59"/>
      <c r="K194" s="60"/>
      <c r="L194" s="59">
        <f>SUM(BA165:BA195)</f>
        <v>2467.5</v>
      </c>
    </row>
    <row r="195" spans="1:82" ht="15" x14ac:dyDescent="0.2">
      <c r="C195" s="124" t="s">
        <v>739</v>
      </c>
      <c r="D195" s="124"/>
      <c r="E195" s="124"/>
      <c r="F195" s="124"/>
      <c r="G195" s="124"/>
      <c r="H195" s="124"/>
      <c r="I195" s="125">
        <f>IF(E165&lt;&gt;0,K195/E165, 0)</f>
        <v>728828.10810810816</v>
      </c>
      <c r="J195" s="125"/>
      <c r="K195" s="125">
        <f>L167+L169+L179+L193+L194+L170+SUM(L188:L191)</f>
        <v>13483.32</v>
      </c>
      <c r="L195" s="125"/>
      <c r="AD195">
        <f>ROUND((Source!AT38/100)*((ROUND(SUMIF(SmtRes!AQ46:'SmtRes'!AQ58,"=1",SmtRes!AD46:'SmtRes'!AD58)*Source!I38, 2)+ROUND(SUMIF(SmtRes!AQ46:'SmtRes'!AQ58,"=1",SmtRes!AC46:'SmtRes'!AC58)*Source!I38, 2))), 2)</f>
        <v>82.91</v>
      </c>
      <c r="AE195">
        <f>ROUND((Source!AU38/100)*((ROUND(SUMIF(SmtRes!AQ46:'SmtRes'!AQ58,"=1",SmtRes!AD46:'SmtRes'!AD58)*Source!I38, 2)+ROUND(SUMIF(SmtRes!AQ46:'SmtRes'!AQ58,"=1",SmtRes!AC46:'SmtRes'!AC58)*Source!I38, 2))), 2)</f>
        <v>48.12</v>
      </c>
      <c r="AN195" s="61">
        <f>L167+L169+L179+L193+L194+L170</f>
        <v>10534.22</v>
      </c>
      <c r="AO195" s="61">
        <f>L169</f>
        <v>0.65000000000000568</v>
      </c>
      <c r="AQ195" t="s">
        <v>740</v>
      </c>
      <c r="AR195" s="61">
        <f>L167</f>
        <v>3775.18</v>
      </c>
      <c r="AT195" s="61">
        <f>L170</f>
        <v>20.98</v>
      </c>
      <c r="AV195" t="s">
        <v>740</v>
      </c>
      <c r="AW195" s="61">
        <f>L179</f>
        <v>18.21</v>
      </c>
      <c r="AZ195">
        <f>Source!X38</f>
        <v>4251.7</v>
      </c>
      <c r="BA195">
        <f>Source!Y38</f>
        <v>2467.5</v>
      </c>
      <c r="CD195">
        <v>1</v>
      </c>
    </row>
    <row r="196" spans="1:82" ht="28.5" x14ac:dyDescent="0.2">
      <c r="A196" s="46" t="s">
        <v>98</v>
      </c>
      <c r="B196" s="48" t="s">
        <v>761</v>
      </c>
      <c r="C196" s="48" t="str">
        <f>Source!G43</f>
        <v>Укладка металлического накладного профиля (порога)</v>
      </c>
      <c r="D196" s="49" t="str">
        <f>Source!H43</f>
        <v>100 м</v>
      </c>
      <c r="E196" s="50">
        <f>Source!K43</f>
        <v>3.5000000000000003E-2</v>
      </c>
      <c r="F196" s="50"/>
      <c r="G196" s="50">
        <f>Source!I43</f>
        <v>3.5000000000000003E-2</v>
      </c>
      <c r="H196" s="52"/>
      <c r="I196" s="51"/>
      <c r="J196" s="52"/>
      <c r="K196" s="51"/>
      <c r="L196" s="52"/>
    </row>
    <row r="197" spans="1:82" x14ac:dyDescent="0.2">
      <c r="C197" s="53" t="str">
        <f>"Объем: "&amp;Source!I43&amp;"=(1,5+"&amp;"1*"&amp;"2)/"&amp;"100"</f>
        <v>Объем: 0,035=(1,5+1*2)/100</v>
      </c>
    </row>
    <row r="198" spans="1:82" ht="15" x14ac:dyDescent="0.2">
      <c r="A198" s="47"/>
      <c r="B198" s="50">
        <v>1</v>
      </c>
      <c r="C198" s="47" t="s">
        <v>730</v>
      </c>
      <c r="D198" s="49" t="s">
        <v>428</v>
      </c>
      <c r="E198" s="54"/>
      <c r="F198" s="50"/>
      <c r="G198" s="50">
        <f>Source!U43</f>
        <v>0.58240000000000003</v>
      </c>
      <c r="H198" s="50"/>
      <c r="I198" s="50"/>
      <c r="J198" s="50"/>
      <c r="K198" s="50"/>
      <c r="L198" s="55">
        <f>SUM(L199:L199)-SUMIF(CE199:CE199, 1, L199:L199)</f>
        <v>378.12</v>
      </c>
    </row>
    <row r="199" spans="1:82" ht="14.25" x14ac:dyDescent="0.2">
      <c r="A199" s="48"/>
      <c r="B199" s="48" t="s">
        <v>436</v>
      </c>
      <c r="C199" s="48" t="s">
        <v>437</v>
      </c>
      <c r="D199" s="49" t="s">
        <v>428</v>
      </c>
      <c r="E199" s="50">
        <v>16.64</v>
      </c>
      <c r="F199" s="50"/>
      <c r="G199" s="50">
        <f>SmtRes!CX59</f>
        <v>0.58240000000000003</v>
      </c>
      <c r="H199" s="52"/>
      <c r="I199" s="51"/>
      <c r="J199" s="52">
        <f>SmtRes!CZ59</f>
        <v>649.24</v>
      </c>
      <c r="K199" s="51"/>
      <c r="L199" s="52">
        <f>SmtRes!DI59</f>
        <v>378.12</v>
      </c>
    </row>
    <row r="200" spans="1:82" ht="15" x14ac:dyDescent="0.2">
      <c r="A200" s="47"/>
      <c r="B200" s="50">
        <v>4</v>
      </c>
      <c r="C200" s="47" t="s">
        <v>742</v>
      </c>
      <c r="D200" s="49"/>
      <c r="E200" s="54"/>
      <c r="F200" s="50"/>
      <c r="G200" s="50"/>
      <c r="H200" s="50"/>
      <c r="I200" s="50"/>
      <c r="J200" s="50"/>
      <c r="K200" s="50"/>
      <c r="L200" s="55">
        <f>SUM(L201:L202)-SUMIF(CE201:CE202, 1, L201:L202)</f>
        <v>28.97</v>
      </c>
    </row>
    <row r="201" spans="1:82" ht="14.25" x14ac:dyDescent="0.2">
      <c r="A201" s="48"/>
      <c r="B201" s="48" t="s">
        <v>530</v>
      </c>
      <c r="C201" s="48" t="s">
        <v>532</v>
      </c>
      <c r="D201" s="49" t="s">
        <v>533</v>
      </c>
      <c r="E201" s="50">
        <v>6.8760000000000003</v>
      </c>
      <c r="F201" s="50"/>
      <c r="G201" s="50">
        <f>SmtRes!CX60</f>
        <v>0.24066000000000001</v>
      </c>
      <c r="H201" s="52"/>
      <c r="I201" s="51"/>
      <c r="J201" s="52">
        <f>SmtRes!CZ60</f>
        <v>6.92</v>
      </c>
      <c r="K201" s="51"/>
      <c r="L201" s="52">
        <f>SmtRes!DF60</f>
        <v>1.67</v>
      </c>
    </row>
    <row r="202" spans="1:82" ht="71.25" x14ac:dyDescent="0.2">
      <c r="A202" s="48"/>
      <c r="B202" s="48" t="s">
        <v>534</v>
      </c>
      <c r="C202" s="48" t="s">
        <v>536</v>
      </c>
      <c r="D202" s="49" t="s">
        <v>537</v>
      </c>
      <c r="E202" s="50">
        <v>6.7</v>
      </c>
      <c r="F202" s="50"/>
      <c r="G202" s="50">
        <f>SmtRes!CX61</f>
        <v>0.23449999999999999</v>
      </c>
      <c r="H202" s="52">
        <f>SmtRes!CZ61</f>
        <v>88.86</v>
      </c>
      <c r="I202" s="51">
        <f>SmtRes!AI61</f>
        <v>1.31</v>
      </c>
      <c r="J202" s="52">
        <f>ROUND(H202*I202, 2)</f>
        <v>116.41</v>
      </c>
      <c r="K202" s="51"/>
      <c r="L202" s="52">
        <f>SmtRes!DF61</f>
        <v>27.3</v>
      </c>
    </row>
    <row r="203" spans="1:82" ht="42.75" x14ac:dyDescent="0.2">
      <c r="A203" s="48"/>
      <c r="B203" s="48" t="str">
        <f>EtalonRes!I62</f>
        <v>09.2.03.02</v>
      </c>
      <c r="C203" s="56" t="str">
        <f>EtalonRes!K62</f>
        <v>Профили стыкоперекрывающие из алюминиевых сплавов (порожки) с покрытием</v>
      </c>
      <c r="D203" s="57" t="str">
        <f>EtalonRes!O62</f>
        <v>м</v>
      </c>
      <c r="E203" s="58">
        <f>EtalonRes!X62</f>
        <v>105</v>
      </c>
      <c r="F203" s="58"/>
      <c r="G203" s="58">
        <f>ROUND(EtalonRes!AG62*Source!I43, 7)</f>
        <v>3.6749999999999998</v>
      </c>
      <c r="H203" s="59"/>
      <c r="I203" s="60"/>
      <c r="J203" s="59"/>
      <c r="K203" s="60"/>
      <c r="L203" s="59"/>
    </row>
    <row r="204" spans="1:82" ht="15" x14ac:dyDescent="0.2">
      <c r="A204" s="48"/>
      <c r="B204" s="48"/>
      <c r="C204" s="63" t="s">
        <v>734</v>
      </c>
      <c r="D204" s="49"/>
      <c r="E204" s="50"/>
      <c r="F204" s="50"/>
      <c r="G204" s="50"/>
      <c r="H204" s="52"/>
      <c r="I204" s="51"/>
      <c r="J204" s="52"/>
      <c r="K204" s="51"/>
      <c r="L204" s="52">
        <f>L198+L200</f>
        <v>407.09000000000003</v>
      </c>
    </row>
    <row r="205" spans="1:82" ht="14.25" x14ac:dyDescent="0.2">
      <c r="A205" s="46" t="s">
        <v>762</v>
      </c>
      <c r="B205" s="48" t="str">
        <f>Source!F44</f>
        <v>09.2.01.05-0096</v>
      </c>
      <c r="C205" s="48" t="str">
        <f>Source!G44</f>
        <v>Уголок противоскользящий, прим</v>
      </c>
      <c r="D205" s="49" t="str">
        <f>Source!H44</f>
        <v>м</v>
      </c>
      <c r="E205" s="50">
        <f>SmtRes!AT62</f>
        <v>105</v>
      </c>
      <c r="F205" s="50"/>
      <c r="G205" s="50">
        <f>Source!I44</f>
        <v>3.6749999999999998</v>
      </c>
      <c r="H205" s="52">
        <f>Source!AL44+Source!AO44+Source!AM44+Source!AN44</f>
        <v>290.74</v>
      </c>
      <c r="I205" s="51">
        <f>IF(Source!BC44&lt;&gt; 0, Source!BC44, 1)</f>
        <v>1.62</v>
      </c>
      <c r="J205" s="52">
        <f>ROUND(H205*I205, 2)</f>
        <v>471</v>
      </c>
      <c r="K205" s="51"/>
      <c r="L205" s="52">
        <f>Source!P44</f>
        <v>1730.93</v>
      </c>
      <c r="AD205">
        <f>ROUND((Source!AT44/100)*((ROUND(ROUND(Source!AO44,2)*Source!I44, 2)+ROUND(ROUND(Source!AN44,2)*Source!I44, 2))), 2)</f>
        <v>0</v>
      </c>
      <c r="AE205">
        <f>ROUND((Source!AU44/100)*((ROUND(ROUND(Source!AO44,2)*Source!I44, 2)+ROUND(ROUND(Source!AN44,2)*Source!I44, 2))), 2)</f>
        <v>0</v>
      </c>
      <c r="AN205">
        <f>L205</f>
        <v>1730.93</v>
      </c>
      <c r="AW205">
        <f>L205</f>
        <v>1730.93</v>
      </c>
      <c r="AZ205">
        <f>Source!X44</f>
        <v>0</v>
      </c>
      <c r="BA205">
        <f>Source!Y44</f>
        <v>0</v>
      </c>
      <c r="CD205">
        <v>1</v>
      </c>
    </row>
    <row r="206" spans="1:82" ht="14.25" x14ac:dyDescent="0.2">
      <c r="A206" s="48"/>
      <c r="B206" s="48"/>
      <c r="C206" s="48" t="s">
        <v>735</v>
      </c>
      <c r="D206" s="49"/>
      <c r="E206" s="50"/>
      <c r="F206" s="50"/>
      <c r="G206" s="50"/>
      <c r="H206" s="52"/>
      <c r="I206" s="51"/>
      <c r="J206" s="52"/>
      <c r="K206" s="51"/>
      <c r="L206" s="52">
        <f>SUM(AR196:AR209)+SUM(AS196:AS209)+SUM(AT196:AT209)+SUM(AU196:AU209)+SUM(AV196:AV209)</f>
        <v>378.12</v>
      </c>
    </row>
    <row r="207" spans="1:82" ht="14.25" x14ac:dyDescent="0.2">
      <c r="A207" s="48"/>
      <c r="B207" s="48" t="s">
        <v>75</v>
      </c>
      <c r="C207" s="48" t="s">
        <v>736</v>
      </c>
      <c r="D207" s="49" t="s">
        <v>737</v>
      </c>
      <c r="E207" s="50">
        <f>Source!BZ43</f>
        <v>112</v>
      </c>
      <c r="F207" s="50"/>
      <c r="G207" s="50">
        <f>Source!AT43</f>
        <v>112</v>
      </c>
      <c r="H207" s="52"/>
      <c r="I207" s="51"/>
      <c r="J207" s="52"/>
      <c r="K207" s="51"/>
      <c r="L207" s="52">
        <f>SUM(AZ196:AZ209)</f>
        <v>423.49</v>
      </c>
    </row>
    <row r="208" spans="1:82" ht="14.25" x14ac:dyDescent="0.2">
      <c r="A208" s="56"/>
      <c r="B208" s="56" t="s">
        <v>76</v>
      </c>
      <c r="C208" s="56" t="s">
        <v>738</v>
      </c>
      <c r="D208" s="57" t="s">
        <v>737</v>
      </c>
      <c r="E208" s="58">
        <f>Source!CA43</f>
        <v>65</v>
      </c>
      <c r="F208" s="58"/>
      <c r="G208" s="58">
        <f>Source!AU43</f>
        <v>65</v>
      </c>
      <c r="H208" s="59"/>
      <c r="I208" s="60"/>
      <c r="J208" s="59"/>
      <c r="K208" s="60"/>
      <c r="L208" s="59">
        <f>SUM(BA196:BA209)</f>
        <v>245.78</v>
      </c>
    </row>
    <row r="209" spans="1:83" ht="15" x14ac:dyDescent="0.2">
      <c r="C209" s="124" t="s">
        <v>739</v>
      </c>
      <c r="D209" s="124"/>
      <c r="E209" s="124"/>
      <c r="F209" s="124"/>
      <c r="G209" s="124"/>
      <c r="H209" s="124"/>
      <c r="I209" s="125">
        <f>IF(E196&lt;&gt;0,K209/E196, 0)</f>
        <v>80208.28571428571</v>
      </c>
      <c r="J209" s="125"/>
      <c r="K209" s="125">
        <f>L198+L200+L207+L208+SUM(L205:L205)</f>
        <v>2807.29</v>
      </c>
      <c r="L209" s="125"/>
      <c r="AD209">
        <f>ROUND((Source!AT43/100)*((ROUND(SUMIF(SmtRes!AQ59:'SmtRes'!AQ62,"=1",SmtRes!AD59:'SmtRes'!AD62)*Source!I43, 2)+ROUND(SUMIF(SmtRes!AQ59:'SmtRes'!AQ62,"=1",SmtRes!AC59:'SmtRes'!AC62)*Source!I43, 2))), 2)</f>
        <v>25.45</v>
      </c>
      <c r="AE209">
        <f>ROUND((Source!AU43/100)*((ROUND(SUMIF(SmtRes!AQ59:'SmtRes'!AQ62,"=1",SmtRes!AD59:'SmtRes'!AD62)*Source!I43, 2)+ROUND(SUMIF(SmtRes!AQ59:'SmtRes'!AQ62,"=1",SmtRes!AC59:'SmtRes'!AC62)*Source!I43, 2))), 2)</f>
        <v>14.77</v>
      </c>
      <c r="AN209" s="61">
        <f>L198+L200+L207+L208</f>
        <v>1076.3600000000001</v>
      </c>
      <c r="AO209">
        <f>0</f>
        <v>0</v>
      </c>
      <c r="AQ209" t="s">
        <v>740</v>
      </c>
      <c r="AR209" s="61">
        <f>L198</f>
        <v>378.12</v>
      </c>
      <c r="AT209">
        <f>0</f>
        <v>0</v>
      </c>
      <c r="AV209" t="s">
        <v>740</v>
      </c>
      <c r="AW209" s="61">
        <f>L200</f>
        <v>28.97</v>
      </c>
      <c r="AZ209">
        <f>Source!X43</f>
        <v>423.49</v>
      </c>
      <c r="BA209">
        <f>Source!Y43</f>
        <v>245.78</v>
      </c>
      <c r="CD209">
        <v>1</v>
      </c>
    </row>
    <row r="210" spans="1:83" ht="71.25" x14ac:dyDescent="0.2">
      <c r="A210" s="46" t="s">
        <v>108</v>
      </c>
      <c r="B210" s="48" t="s">
        <v>763</v>
      </c>
      <c r="C210" s="48" t="str">
        <f>Source!G45</f>
        <v>Ремонт штукатурки гладких фасадов по камню и бетону с земли и лесов: цементно-известковым раствором площадью отдельных мест более 5 м2 толщиной слоя до 20 мм</v>
      </c>
      <c r="D210" s="49" t="str">
        <f>Source!H45</f>
        <v>100 м2</v>
      </c>
      <c r="E210" s="50">
        <f>Source!K45</f>
        <v>9.0999999999999998E-2</v>
      </c>
      <c r="F210" s="50"/>
      <c r="G210" s="50">
        <f>Source!I45</f>
        <v>9.0999999999999998E-2</v>
      </c>
      <c r="H210" s="52"/>
      <c r="I210" s="51"/>
      <c r="J210" s="52"/>
      <c r="K210" s="51"/>
      <c r="L210" s="52"/>
    </row>
    <row r="211" spans="1:83" x14ac:dyDescent="0.2">
      <c r="C211" s="53" t="str">
        <f>"Объем: "&amp;Source!I45&amp;"=(13*"&amp;"0,5+"&amp;"13*"&amp;"0,2)/"&amp;"100"</f>
        <v>Объем: 0,091=(13*0,5+13*0,2)/100</v>
      </c>
    </row>
    <row r="212" spans="1:83" ht="15" x14ac:dyDescent="0.2">
      <c r="A212" s="47"/>
      <c r="B212" s="50">
        <v>1</v>
      </c>
      <c r="C212" s="47" t="s">
        <v>730</v>
      </c>
      <c r="D212" s="49" t="s">
        <v>428</v>
      </c>
      <c r="E212" s="54"/>
      <c r="F212" s="50"/>
      <c r="G212" s="50">
        <f>Source!U45</f>
        <v>15.5792</v>
      </c>
      <c r="H212" s="50"/>
      <c r="I212" s="50"/>
      <c r="J212" s="50"/>
      <c r="K212" s="50"/>
      <c r="L212" s="55">
        <f>SUM(L213:L213)-SUMIF(CE213:CE213, 1, L213:L213)</f>
        <v>10241.450000000001</v>
      </c>
    </row>
    <row r="213" spans="1:83" ht="14.25" x14ac:dyDescent="0.2">
      <c r="A213" s="48"/>
      <c r="B213" s="48" t="s">
        <v>522</v>
      </c>
      <c r="C213" s="48" t="s">
        <v>523</v>
      </c>
      <c r="D213" s="49" t="s">
        <v>428</v>
      </c>
      <c r="E213" s="50">
        <v>171.2</v>
      </c>
      <c r="F213" s="50"/>
      <c r="G213" s="50">
        <f>SmtRes!CX63</f>
        <v>15.5792</v>
      </c>
      <c r="H213" s="52">
        <f>SmtRes!CZ63</f>
        <v>657.38</v>
      </c>
      <c r="I213" s="51"/>
      <c r="J213" s="52"/>
      <c r="K213" s="51"/>
      <c r="L213" s="52">
        <f>SmtRes!DI63</f>
        <v>10241.450000000001</v>
      </c>
    </row>
    <row r="214" spans="1:83" ht="15" x14ac:dyDescent="0.2">
      <c r="A214" s="47"/>
      <c r="B214" s="50">
        <v>2</v>
      </c>
      <c r="C214" s="47" t="s">
        <v>731</v>
      </c>
      <c r="D214" s="49"/>
      <c r="E214" s="54"/>
      <c r="F214" s="50"/>
      <c r="G214" s="50"/>
      <c r="H214" s="50"/>
      <c r="I214" s="50"/>
      <c r="J214" s="50"/>
      <c r="K214" s="50"/>
      <c r="L214" s="55">
        <f>SUM(L215:L218)-SUMIF(CE215:CE218, 1, L215:L218)</f>
        <v>73.19</v>
      </c>
    </row>
    <row r="215" spans="1:83" ht="15" x14ac:dyDescent="0.2">
      <c r="A215" s="47"/>
      <c r="B215" s="50"/>
      <c r="C215" s="47" t="s">
        <v>733</v>
      </c>
      <c r="D215" s="49" t="s">
        <v>428</v>
      </c>
      <c r="E215" s="54"/>
      <c r="F215" s="50"/>
      <c r="G215" s="50">
        <f>Source!V45</f>
        <v>0.12012</v>
      </c>
      <c r="H215" s="50"/>
      <c r="I215" s="50"/>
      <c r="J215" s="50"/>
      <c r="K215" s="50"/>
      <c r="L215" s="55">
        <f>SUMIF(CE216:CE218, 1, L216:L218)</f>
        <v>87.82</v>
      </c>
      <c r="CE215">
        <v>1</v>
      </c>
    </row>
    <row r="216" spans="1:83" ht="28.5" x14ac:dyDescent="0.2">
      <c r="A216" s="48"/>
      <c r="B216" s="48" t="s">
        <v>538</v>
      </c>
      <c r="C216" s="48" t="s">
        <v>540</v>
      </c>
      <c r="D216" s="49" t="s">
        <v>434</v>
      </c>
      <c r="E216" s="50">
        <v>0.71</v>
      </c>
      <c r="F216" s="50"/>
      <c r="G216" s="50">
        <f>SmtRes!CX65</f>
        <v>6.4610000000000001E-2</v>
      </c>
      <c r="H216" s="52">
        <f>SmtRes!CZ65</f>
        <v>6.62</v>
      </c>
      <c r="I216" s="51">
        <f>SmtRes!AJ65</f>
        <v>1.5</v>
      </c>
      <c r="J216" s="52">
        <f>ROUND(H216*I216, 2)</f>
        <v>9.93</v>
      </c>
      <c r="K216" s="51"/>
      <c r="L216" s="52">
        <f>SmtRes!DG65</f>
        <v>0.64</v>
      </c>
    </row>
    <row r="217" spans="1:83" ht="71.25" x14ac:dyDescent="0.2">
      <c r="A217" s="48"/>
      <c r="B217" s="48" t="s">
        <v>541</v>
      </c>
      <c r="C217" s="48" t="s">
        <v>543</v>
      </c>
      <c r="D217" s="49" t="s">
        <v>434</v>
      </c>
      <c r="E217" s="50">
        <v>1.32</v>
      </c>
      <c r="F217" s="50"/>
      <c r="G217" s="50">
        <f>SmtRes!CX66</f>
        <v>0.12012</v>
      </c>
      <c r="H217" s="52"/>
      <c r="I217" s="51"/>
      <c r="J217" s="52">
        <f>SmtRes!CZ66</f>
        <v>603.94000000000005</v>
      </c>
      <c r="K217" s="51"/>
      <c r="L217" s="52">
        <f>SmtRes!DG66</f>
        <v>72.55</v>
      </c>
    </row>
    <row r="218" spans="1:83" ht="28.5" x14ac:dyDescent="0.2">
      <c r="A218" s="48"/>
      <c r="B218" s="48" t="s">
        <v>466</v>
      </c>
      <c r="C218" s="48" t="s">
        <v>747</v>
      </c>
      <c r="D218" s="49" t="s">
        <v>428</v>
      </c>
      <c r="E218" s="50">
        <f>SmtRes!DO66*SmtRes!AT66</f>
        <v>1.32</v>
      </c>
      <c r="F218" s="50"/>
      <c r="G218" s="50">
        <f>ROUND(E218*G210, 7)</f>
        <v>0.12012</v>
      </c>
      <c r="H218" s="52"/>
      <c r="I218" s="51"/>
      <c r="J218" s="52">
        <f>ROUND(SmtRes!AG66/SmtRes!DO66, 2)</f>
        <v>731.08</v>
      </c>
      <c r="K218" s="51"/>
      <c r="L218" s="52">
        <f>SmtRes!DH66</f>
        <v>87.82</v>
      </c>
      <c r="CE218">
        <v>1</v>
      </c>
    </row>
    <row r="219" spans="1:83" ht="15" x14ac:dyDescent="0.2">
      <c r="A219" s="47"/>
      <c r="B219" s="50">
        <v>4</v>
      </c>
      <c r="C219" s="47" t="s">
        <v>742</v>
      </c>
      <c r="D219" s="49"/>
      <c r="E219" s="54"/>
      <c r="F219" s="50"/>
      <c r="G219" s="50"/>
      <c r="H219" s="50"/>
      <c r="I219" s="50"/>
      <c r="J219" s="50"/>
      <c r="K219" s="50"/>
      <c r="L219" s="55">
        <f>SUM(L220:L221)-SUMIF(CE220:CE221, 1, L220:L221)</f>
        <v>952.55</v>
      </c>
    </row>
    <row r="220" spans="1:83" ht="14.25" x14ac:dyDescent="0.2">
      <c r="A220" s="48"/>
      <c r="B220" s="48" t="s">
        <v>467</v>
      </c>
      <c r="C220" s="48" t="s">
        <v>469</v>
      </c>
      <c r="D220" s="49" t="s">
        <v>34</v>
      </c>
      <c r="E220" s="50">
        <v>0.35</v>
      </c>
      <c r="F220" s="50"/>
      <c r="G220" s="50">
        <f>SmtRes!CX67</f>
        <v>3.1850000000000003E-2</v>
      </c>
      <c r="H220" s="52">
        <f>SmtRes!CZ67</f>
        <v>35.71</v>
      </c>
      <c r="I220" s="51">
        <f>SmtRes!AI67</f>
        <v>1.53</v>
      </c>
      <c r="J220" s="52">
        <f>ROUND(H220*I220, 2)</f>
        <v>54.64</v>
      </c>
      <c r="K220" s="51"/>
      <c r="L220" s="52">
        <f>SmtRes!DF67</f>
        <v>1.74</v>
      </c>
    </row>
    <row r="221" spans="1:83" ht="28.5" x14ac:dyDescent="0.2">
      <c r="A221" s="48"/>
      <c r="B221" s="48" t="s">
        <v>544</v>
      </c>
      <c r="C221" s="56" t="s">
        <v>546</v>
      </c>
      <c r="D221" s="57" t="s">
        <v>34</v>
      </c>
      <c r="E221" s="58">
        <v>2.2000000000000002</v>
      </c>
      <c r="F221" s="58"/>
      <c r="G221" s="58">
        <f>SmtRes!CX68</f>
        <v>0.20019999999999999</v>
      </c>
      <c r="H221" s="59">
        <f>SmtRes!CZ68</f>
        <v>3392.36</v>
      </c>
      <c r="I221" s="60">
        <f>SmtRes!AI68</f>
        <v>1.4</v>
      </c>
      <c r="J221" s="59">
        <f>ROUND(H221*I221, 2)</f>
        <v>4749.3</v>
      </c>
      <c r="K221" s="60"/>
      <c r="L221" s="59">
        <f>SmtRes!DF68</f>
        <v>950.81</v>
      </c>
    </row>
    <row r="222" spans="1:83" ht="15" x14ac:dyDescent="0.2">
      <c r="A222" s="48"/>
      <c r="B222" s="48"/>
      <c r="C222" s="63" t="s">
        <v>734</v>
      </c>
      <c r="D222" s="49"/>
      <c r="E222" s="50"/>
      <c r="F222" s="50"/>
      <c r="G222" s="50"/>
      <c r="H222" s="52"/>
      <c r="I222" s="51"/>
      <c r="J222" s="52"/>
      <c r="K222" s="51"/>
      <c r="L222" s="52">
        <f>L212+L214+L215+L219</f>
        <v>11355.01</v>
      </c>
    </row>
    <row r="223" spans="1:83" ht="14.25" x14ac:dyDescent="0.2">
      <c r="A223" s="46" t="s">
        <v>764</v>
      </c>
      <c r="B223" s="48" t="str">
        <f>Source!F46</f>
        <v>999-9900</v>
      </c>
      <c r="C223" s="48" t="str">
        <f>Source!G46</f>
        <v>Строительный мусор</v>
      </c>
      <c r="D223" s="49" t="str">
        <f>Source!H46</f>
        <v>т</v>
      </c>
      <c r="E223" s="50">
        <f>SmtRes!AT69</f>
        <v>4.84</v>
      </c>
      <c r="F223" s="50"/>
      <c r="G223" s="50">
        <f>Source!I46</f>
        <v>0.44044</v>
      </c>
      <c r="H223" s="52">
        <f>Source!AL46+Source!AO46+Source!AM46+Source!AN46</f>
        <v>0</v>
      </c>
      <c r="I223" s="51"/>
      <c r="J223" s="52"/>
      <c r="K223" s="51"/>
      <c r="L223" s="52">
        <f>Source!P46</f>
        <v>0</v>
      </c>
      <c r="AD223">
        <f>ROUND((Source!AT46/100)*((ROUND(ROUND(Source!AO46,2)*Source!I46, 2)+ROUND(ROUND(Source!AN46,2)*Source!I46, 2))), 2)</f>
        <v>0</v>
      </c>
      <c r="AE223">
        <f>ROUND((Source!AU46/100)*((ROUND(ROUND(Source!AO46,2)*Source!I46, 2)+ROUND(ROUND(Source!AN46,2)*Source!I46, 2))), 2)</f>
        <v>0</v>
      </c>
      <c r="AN223">
        <f>L223</f>
        <v>0</v>
      </c>
      <c r="AW223">
        <f>L223</f>
        <v>0</v>
      </c>
      <c r="AZ223">
        <f>Source!X46</f>
        <v>0</v>
      </c>
      <c r="BA223">
        <f>Source!Y46</f>
        <v>0</v>
      </c>
      <c r="CD223">
        <v>1</v>
      </c>
    </row>
    <row r="224" spans="1:83" ht="14.25" x14ac:dyDescent="0.2">
      <c r="A224" s="48"/>
      <c r="B224" s="48"/>
      <c r="C224" s="48" t="s">
        <v>735</v>
      </c>
      <c r="D224" s="49"/>
      <c r="E224" s="50"/>
      <c r="F224" s="50"/>
      <c r="G224" s="50"/>
      <c r="H224" s="52"/>
      <c r="I224" s="51"/>
      <c r="J224" s="52"/>
      <c r="K224" s="51"/>
      <c r="L224" s="52">
        <f>SUM(AR210:AR227)+SUM(AS210:AS227)+SUM(AT210:AT227)+SUM(AU210:AU227)+SUM(AV210:AV227)</f>
        <v>10329.27</v>
      </c>
    </row>
    <row r="225" spans="1:83" ht="14.25" x14ac:dyDescent="0.2">
      <c r="A225" s="48"/>
      <c r="B225" s="48" t="s">
        <v>114</v>
      </c>
      <c r="C225" s="48" t="s">
        <v>765</v>
      </c>
      <c r="D225" s="49" t="s">
        <v>737</v>
      </c>
      <c r="E225" s="50">
        <f>Source!BZ45</f>
        <v>89</v>
      </c>
      <c r="F225" s="50"/>
      <c r="G225" s="50">
        <f>Source!AT45</f>
        <v>89</v>
      </c>
      <c r="H225" s="52"/>
      <c r="I225" s="51"/>
      <c r="J225" s="52"/>
      <c r="K225" s="51"/>
      <c r="L225" s="52">
        <f>SUM(AZ210:AZ227)</f>
        <v>9193.0499999999993</v>
      </c>
    </row>
    <row r="226" spans="1:83" ht="14.25" x14ac:dyDescent="0.2">
      <c r="A226" s="56"/>
      <c r="B226" s="56" t="s">
        <v>115</v>
      </c>
      <c r="C226" s="56" t="s">
        <v>766</v>
      </c>
      <c r="D226" s="57" t="s">
        <v>737</v>
      </c>
      <c r="E226" s="58">
        <f>Source!CA45</f>
        <v>44</v>
      </c>
      <c r="F226" s="58"/>
      <c r="G226" s="58">
        <f>Source!AU45</f>
        <v>44</v>
      </c>
      <c r="H226" s="59"/>
      <c r="I226" s="60"/>
      <c r="J226" s="59"/>
      <c r="K226" s="60"/>
      <c r="L226" s="59">
        <f>SUM(BA210:BA227)</f>
        <v>4544.88</v>
      </c>
    </row>
    <row r="227" spans="1:83" ht="15" x14ac:dyDescent="0.2">
      <c r="C227" s="124" t="s">
        <v>739</v>
      </c>
      <c r="D227" s="124"/>
      <c r="E227" s="124"/>
      <c r="F227" s="124"/>
      <c r="G227" s="124"/>
      <c r="H227" s="124"/>
      <c r="I227" s="125">
        <f>IF(E210&lt;&gt;0,K227/E210, 0)</f>
        <v>275746.59340659343</v>
      </c>
      <c r="J227" s="125"/>
      <c r="K227" s="125">
        <f>L212+L214+L219+L225+L226+L215+SUM(L223:L223)</f>
        <v>25092.94</v>
      </c>
      <c r="L227" s="125"/>
      <c r="AD227">
        <f>ROUND((Source!AT45/100)*((ROUND(SUMIF(SmtRes!AQ63:'SmtRes'!AQ69,"=1",SmtRes!AD63:'SmtRes'!AD69)*Source!I45, 2)+ROUND(SUMIF(SmtRes!AQ63:'SmtRes'!AQ69,"=1",SmtRes!AC63:'SmtRes'!AC69)*Source!I45, 2))), 2)</f>
        <v>112.45</v>
      </c>
      <c r="AE227">
        <f>ROUND((Source!AU45/100)*((ROUND(SUMIF(SmtRes!AQ63:'SmtRes'!AQ69,"=1",SmtRes!AD63:'SmtRes'!AD69)*Source!I45, 2)+ROUND(SUMIF(SmtRes!AQ63:'SmtRes'!AQ69,"=1",SmtRes!AC63:'SmtRes'!AC69)*Source!I45, 2))), 2)</f>
        <v>55.59</v>
      </c>
      <c r="AN227" s="61">
        <f>L212+L214+L219+L225+L226+L215</f>
        <v>25092.94</v>
      </c>
      <c r="AO227" s="61">
        <f>L214</f>
        <v>73.19</v>
      </c>
      <c r="AQ227" t="s">
        <v>740</v>
      </c>
      <c r="AR227" s="61">
        <f>L212</f>
        <v>10241.450000000001</v>
      </c>
      <c r="AT227" s="61">
        <f>L215</f>
        <v>87.82</v>
      </c>
      <c r="AV227" t="s">
        <v>740</v>
      </c>
      <c r="AW227" s="61">
        <f>L219</f>
        <v>952.55</v>
      </c>
      <c r="AZ227">
        <f>Source!X45</f>
        <v>9193.0499999999993</v>
      </c>
      <c r="BA227">
        <f>Source!Y45</f>
        <v>4544.88</v>
      </c>
      <c r="CD227">
        <v>1</v>
      </c>
    </row>
    <row r="228" spans="1:83" ht="57" x14ac:dyDescent="0.2">
      <c r="A228" s="46" t="s">
        <v>117</v>
      </c>
      <c r="B228" s="48" t="s">
        <v>767</v>
      </c>
      <c r="C228" s="48" t="str">
        <f>Source!G47</f>
        <v>Окраска перхлорвиниловыми красками по подготовленной поверхности фасадов: сложных за 1 раз с земли и лесов</v>
      </c>
      <c r="D228" s="49" t="str">
        <f>Source!H47</f>
        <v>100 м2</v>
      </c>
      <c r="E228" s="50">
        <f>Source!K47</f>
        <v>9.0999999999999998E-2</v>
      </c>
      <c r="F228" s="50"/>
      <c r="G228" s="50">
        <f>Source!I47</f>
        <v>9.0999999999999998E-2</v>
      </c>
      <c r="H228" s="52"/>
      <c r="I228" s="51"/>
      <c r="J228" s="52"/>
      <c r="K228" s="51"/>
      <c r="L228" s="52"/>
    </row>
    <row r="229" spans="1:83" x14ac:dyDescent="0.2">
      <c r="C229" s="53" t="str">
        <f>"Объем: "&amp;Source!I47&amp;"=9,1/"&amp;"100"</f>
        <v>Объем: 0,091=9,1/100</v>
      </c>
    </row>
    <row r="230" spans="1:83" ht="15" x14ac:dyDescent="0.2">
      <c r="A230" s="47"/>
      <c r="B230" s="50">
        <v>1</v>
      </c>
      <c r="C230" s="47" t="s">
        <v>730</v>
      </c>
      <c r="D230" s="49" t="s">
        <v>428</v>
      </c>
      <c r="E230" s="54"/>
      <c r="F230" s="50"/>
      <c r="G230" s="50">
        <f>Source!U47</f>
        <v>0.67613000000000001</v>
      </c>
      <c r="H230" s="50"/>
      <c r="I230" s="50"/>
      <c r="J230" s="50"/>
      <c r="K230" s="50"/>
      <c r="L230" s="55">
        <f>SUM(L231:L231)-SUMIF(CE231:CE231, 1, L231:L231)</f>
        <v>444.5</v>
      </c>
    </row>
    <row r="231" spans="1:83" ht="14.25" x14ac:dyDescent="0.2">
      <c r="A231" s="48"/>
      <c r="B231" s="48" t="s">
        <v>547</v>
      </c>
      <c r="C231" s="48" t="s">
        <v>548</v>
      </c>
      <c r="D231" s="49" t="s">
        <v>428</v>
      </c>
      <c r="E231" s="50">
        <v>7.43</v>
      </c>
      <c r="F231" s="50"/>
      <c r="G231" s="50">
        <f>SmtRes!CX70</f>
        <v>0.67613000000000001</v>
      </c>
      <c r="H231" s="52"/>
      <c r="I231" s="51"/>
      <c r="J231" s="52">
        <f>SmtRes!CZ70</f>
        <v>657.42</v>
      </c>
      <c r="K231" s="51"/>
      <c r="L231" s="52">
        <f>SmtRes!DI70</f>
        <v>444.5</v>
      </c>
    </row>
    <row r="232" spans="1:83" ht="15" x14ac:dyDescent="0.2">
      <c r="A232" s="47"/>
      <c r="B232" s="50">
        <v>2</v>
      </c>
      <c r="C232" s="47" t="s">
        <v>731</v>
      </c>
      <c r="D232" s="49"/>
      <c r="E232" s="54"/>
      <c r="F232" s="50"/>
      <c r="G232" s="50"/>
      <c r="H232" s="50"/>
      <c r="I232" s="50"/>
      <c r="J232" s="50"/>
      <c r="K232" s="50"/>
      <c r="L232" s="55">
        <f>SUM(L233:L238)-SUMIF(CE233:CE238, 1, L233:L238)</f>
        <v>12.21</v>
      </c>
    </row>
    <row r="233" spans="1:83" ht="15" x14ac:dyDescent="0.2">
      <c r="A233" s="47"/>
      <c r="B233" s="50"/>
      <c r="C233" s="47" t="s">
        <v>733</v>
      </c>
      <c r="D233" s="49" t="s">
        <v>428</v>
      </c>
      <c r="E233" s="54"/>
      <c r="F233" s="50"/>
      <c r="G233" s="50">
        <f>Source!V47</f>
        <v>7.28E-3</v>
      </c>
      <c r="H233" s="50"/>
      <c r="I233" s="50"/>
      <c r="J233" s="50"/>
      <c r="K233" s="50"/>
      <c r="L233" s="55">
        <f>SUMIF(CE234:CE238, 1, L234:L238)</f>
        <v>5.32</v>
      </c>
      <c r="CE233">
        <v>1</v>
      </c>
    </row>
    <row r="234" spans="1:83" ht="28.5" x14ac:dyDescent="0.2">
      <c r="A234" s="48"/>
      <c r="B234" s="48" t="s">
        <v>538</v>
      </c>
      <c r="C234" s="48" t="s">
        <v>540</v>
      </c>
      <c r="D234" s="49" t="s">
        <v>434</v>
      </c>
      <c r="E234" s="50">
        <v>0.09</v>
      </c>
      <c r="F234" s="50"/>
      <c r="G234" s="50">
        <f>SmtRes!CX72</f>
        <v>8.1899999999999994E-3</v>
      </c>
      <c r="H234" s="52">
        <f>SmtRes!CZ72</f>
        <v>6.62</v>
      </c>
      <c r="I234" s="51">
        <f>SmtRes!AJ72</f>
        <v>1.5</v>
      </c>
      <c r="J234" s="52">
        <f>ROUND(H234*I234, 2)</f>
        <v>9.93</v>
      </c>
      <c r="K234" s="51"/>
      <c r="L234" s="52">
        <f>SmtRes!DG72</f>
        <v>0.08</v>
      </c>
    </row>
    <row r="235" spans="1:83" ht="28.5" x14ac:dyDescent="0.2">
      <c r="A235" s="48"/>
      <c r="B235" s="48" t="s">
        <v>463</v>
      </c>
      <c r="C235" s="48" t="s">
        <v>465</v>
      </c>
      <c r="D235" s="49" t="s">
        <v>434</v>
      </c>
      <c r="E235" s="50">
        <v>0.08</v>
      </c>
      <c r="F235" s="50"/>
      <c r="G235" s="50">
        <f>SmtRes!CX73</f>
        <v>7.28E-3</v>
      </c>
      <c r="H235" s="52"/>
      <c r="I235" s="51"/>
      <c r="J235" s="52">
        <f>SmtRes!CZ73</f>
        <v>544.91999999999996</v>
      </c>
      <c r="K235" s="51"/>
      <c r="L235" s="52">
        <f>SmtRes!DG73</f>
        <v>3.97</v>
      </c>
    </row>
    <row r="236" spans="1:83" ht="28.5" x14ac:dyDescent="0.2">
      <c r="A236" s="48"/>
      <c r="B236" s="48" t="s">
        <v>466</v>
      </c>
      <c r="C236" s="48" t="s">
        <v>747</v>
      </c>
      <c r="D236" s="49" t="s">
        <v>428</v>
      </c>
      <c r="E236" s="50">
        <f>SmtRes!DO73*SmtRes!AT73</f>
        <v>0.08</v>
      </c>
      <c r="F236" s="50"/>
      <c r="G236" s="50">
        <f>ROUND(E236*G228, 7)</f>
        <v>7.28E-3</v>
      </c>
      <c r="H236" s="52"/>
      <c r="I236" s="51"/>
      <c r="J236" s="52">
        <f>ROUND(SmtRes!AG73/SmtRes!DO73, 2)</f>
        <v>731.08</v>
      </c>
      <c r="K236" s="51"/>
      <c r="L236" s="52">
        <f>SmtRes!DH73</f>
        <v>5.32</v>
      </c>
      <c r="CE236">
        <v>1</v>
      </c>
    </row>
    <row r="237" spans="1:83" ht="57" x14ac:dyDescent="0.2">
      <c r="A237" s="48"/>
      <c r="B237" s="48" t="s">
        <v>549</v>
      </c>
      <c r="C237" s="48" t="s">
        <v>551</v>
      </c>
      <c r="D237" s="49" t="s">
        <v>434</v>
      </c>
      <c r="E237" s="50">
        <v>3.32</v>
      </c>
      <c r="F237" s="50"/>
      <c r="G237" s="50">
        <f>SmtRes!CX74</f>
        <v>0.30212</v>
      </c>
      <c r="H237" s="52">
        <f>SmtRes!CZ74</f>
        <v>11.85</v>
      </c>
      <c r="I237" s="51">
        <f>SmtRes!AJ74</f>
        <v>1.3</v>
      </c>
      <c r="J237" s="52">
        <f>ROUND(H237*I237, 2)</f>
        <v>15.41</v>
      </c>
      <c r="K237" s="51"/>
      <c r="L237" s="52">
        <f>SmtRes!DG74</f>
        <v>4.66</v>
      </c>
    </row>
    <row r="238" spans="1:83" ht="42.75" x14ac:dyDescent="0.2">
      <c r="A238" s="48"/>
      <c r="B238" s="48" t="s">
        <v>552</v>
      </c>
      <c r="C238" s="48" t="s">
        <v>554</v>
      </c>
      <c r="D238" s="49" t="s">
        <v>434</v>
      </c>
      <c r="E238" s="50">
        <v>6.65</v>
      </c>
      <c r="F238" s="50"/>
      <c r="G238" s="50">
        <f>SmtRes!CX75</f>
        <v>0.60514999999999997</v>
      </c>
      <c r="H238" s="52">
        <f>SmtRes!CZ75</f>
        <v>4.5199999999999996</v>
      </c>
      <c r="I238" s="51">
        <f>SmtRes!AJ75</f>
        <v>1.28</v>
      </c>
      <c r="J238" s="52">
        <f>ROUND(H238*I238, 2)</f>
        <v>5.79</v>
      </c>
      <c r="K238" s="51"/>
      <c r="L238" s="52">
        <f>SmtRes!DG75</f>
        <v>3.5</v>
      </c>
    </row>
    <row r="239" spans="1:83" ht="15" x14ac:dyDescent="0.2">
      <c r="A239" s="47"/>
      <c r="B239" s="50">
        <v>4</v>
      </c>
      <c r="C239" s="47" t="s">
        <v>742</v>
      </c>
      <c r="D239" s="49"/>
      <c r="E239" s="54"/>
      <c r="F239" s="50"/>
      <c r="G239" s="50"/>
      <c r="H239" s="50"/>
      <c r="I239" s="50"/>
      <c r="J239" s="50"/>
      <c r="K239" s="50"/>
      <c r="L239" s="55">
        <f>SUM(L240:L241)-SUMIF(CE240:CE241, 1, L240:L241)</f>
        <v>12.08</v>
      </c>
    </row>
    <row r="240" spans="1:83" ht="14.25" x14ac:dyDescent="0.2">
      <c r="A240" s="48"/>
      <c r="B240" s="48" t="s">
        <v>519</v>
      </c>
      <c r="C240" s="48" t="s">
        <v>521</v>
      </c>
      <c r="D240" s="49" t="s">
        <v>96</v>
      </c>
      <c r="E240" s="50">
        <v>0.41</v>
      </c>
      <c r="F240" s="50"/>
      <c r="G240" s="50">
        <f>SmtRes!CX76</f>
        <v>3.7310000000000003E-2</v>
      </c>
      <c r="H240" s="52">
        <f>SmtRes!CZ76</f>
        <v>56.11</v>
      </c>
      <c r="I240" s="51">
        <f>SmtRes!AI76</f>
        <v>1.6</v>
      </c>
      <c r="J240" s="52">
        <f>ROUND(H240*I240, 2)</f>
        <v>89.78</v>
      </c>
      <c r="K240" s="51"/>
      <c r="L240" s="52">
        <f>SmtRes!DF76</f>
        <v>3.35</v>
      </c>
    </row>
    <row r="241" spans="1:82" ht="14.25" x14ac:dyDescent="0.2">
      <c r="A241" s="48"/>
      <c r="B241" s="48" t="s">
        <v>555</v>
      </c>
      <c r="C241" s="48" t="s">
        <v>557</v>
      </c>
      <c r="D241" s="49" t="s">
        <v>96</v>
      </c>
      <c r="E241" s="50">
        <v>1.1000000000000001</v>
      </c>
      <c r="F241" s="50"/>
      <c r="G241" s="50">
        <f>SmtRes!CX78</f>
        <v>0.10009999999999999</v>
      </c>
      <c r="H241" s="52">
        <f>SmtRes!CZ78</f>
        <v>60.6</v>
      </c>
      <c r="I241" s="51">
        <f>SmtRes!AI78</f>
        <v>1.44</v>
      </c>
      <c r="J241" s="52">
        <f>ROUND(H241*I241, 2)</f>
        <v>87.26</v>
      </c>
      <c r="K241" s="51"/>
      <c r="L241" s="52">
        <f>SmtRes!DF78</f>
        <v>8.73</v>
      </c>
    </row>
    <row r="242" spans="1:82" ht="14.25" x14ac:dyDescent="0.2">
      <c r="A242" s="48"/>
      <c r="B242" s="48" t="str">
        <f>EtalonRes!I77</f>
        <v>14.4.02.07</v>
      </c>
      <c r="C242" s="56" t="str">
        <f>EtalonRes!K77</f>
        <v>Краски перхлорвиниловые</v>
      </c>
      <c r="D242" s="57" t="str">
        <f>EtalonRes!O77</f>
        <v>т</v>
      </c>
      <c r="E242" s="58">
        <f>EtalonRes!X77</f>
        <v>3.2300000000000002E-2</v>
      </c>
      <c r="F242" s="58"/>
      <c r="G242" s="58">
        <f>ROUND(EtalonRes!AG77*Source!I47, 7)</f>
        <v>2.9393000000000002E-3</v>
      </c>
      <c r="H242" s="59"/>
      <c r="I242" s="60"/>
      <c r="J242" s="59"/>
      <c r="K242" s="60"/>
      <c r="L242" s="59"/>
    </row>
    <row r="243" spans="1:82" ht="15" x14ac:dyDescent="0.2">
      <c r="A243" s="48"/>
      <c r="B243" s="48"/>
      <c r="C243" s="63" t="s">
        <v>734</v>
      </c>
      <c r="D243" s="49"/>
      <c r="E243" s="50"/>
      <c r="F243" s="50"/>
      <c r="G243" s="50"/>
      <c r="H243" s="52"/>
      <c r="I243" s="51"/>
      <c r="J243" s="52"/>
      <c r="K243" s="51"/>
      <c r="L243" s="52">
        <f>L230+L232+L233+L239</f>
        <v>474.10999999999996</v>
      </c>
    </row>
    <row r="244" spans="1:82" ht="14.25" x14ac:dyDescent="0.2">
      <c r="A244" s="46" t="s">
        <v>768</v>
      </c>
      <c r="B244" s="48" t="str">
        <f>Source!F48</f>
        <v>14.4.02.07-0002</v>
      </c>
      <c r="C244" s="48" t="str">
        <f>Source!G48</f>
        <v>Эмаль ХВ-161</v>
      </c>
      <c r="D244" s="49" t="str">
        <f>Source!H48</f>
        <v>т</v>
      </c>
      <c r="E244" s="50">
        <f>SmtRes!AT77</f>
        <v>3.2300000000000002E-2</v>
      </c>
      <c r="F244" s="50"/>
      <c r="G244" s="50">
        <f>Source!I48</f>
        <v>2.9393000000000002E-3</v>
      </c>
      <c r="H244" s="52">
        <f>Source!AL48+Source!AO48+Source!AM48+Source!AN48</f>
        <v>119850.13</v>
      </c>
      <c r="I244" s="51">
        <f>IF(Source!BC48&lt;&gt; 0, Source!BC48, 1)</f>
        <v>1.0900000000000001</v>
      </c>
      <c r="J244" s="52">
        <f>ROUND(H244*I244, 2)</f>
        <v>130636.64</v>
      </c>
      <c r="K244" s="51"/>
      <c r="L244" s="52">
        <f>Source!P48</f>
        <v>383.98</v>
      </c>
      <c r="AD244">
        <f>ROUND((Source!AT48/100)*((ROUND(ROUND(Source!AO48,2)*Source!I48, 2)+ROUND(ROUND(Source!AN48,2)*Source!I48, 2))), 2)</f>
        <v>0</v>
      </c>
      <c r="AE244">
        <f>ROUND((Source!AU48/100)*((ROUND(ROUND(Source!AO48,2)*Source!I48, 2)+ROUND(ROUND(Source!AN48,2)*Source!I48, 2))), 2)</f>
        <v>0</v>
      </c>
      <c r="AN244">
        <f>L244</f>
        <v>383.98</v>
      </c>
      <c r="AW244">
        <f>L244</f>
        <v>383.98</v>
      </c>
      <c r="AZ244">
        <f>Source!X48</f>
        <v>0</v>
      </c>
      <c r="BA244">
        <f>Source!Y48</f>
        <v>0</v>
      </c>
      <c r="CD244">
        <v>1</v>
      </c>
    </row>
    <row r="245" spans="1:82" ht="14.25" x14ac:dyDescent="0.2">
      <c r="A245" s="48"/>
      <c r="B245" s="48"/>
      <c r="C245" s="48" t="s">
        <v>735</v>
      </c>
      <c r="D245" s="49"/>
      <c r="E245" s="50"/>
      <c r="F245" s="50"/>
      <c r="G245" s="50"/>
      <c r="H245" s="52"/>
      <c r="I245" s="51"/>
      <c r="J245" s="52"/>
      <c r="K245" s="51"/>
      <c r="L245" s="52">
        <f>SUM(AR228:AR248)+SUM(AS228:AS248)+SUM(AT228:AT248)+SUM(AU228:AU248)+SUM(AV228:AV248)</f>
        <v>449.82</v>
      </c>
    </row>
    <row r="246" spans="1:82" ht="14.25" x14ac:dyDescent="0.2">
      <c r="A246" s="48"/>
      <c r="B246" s="48" t="s">
        <v>123</v>
      </c>
      <c r="C246" s="48" t="s">
        <v>769</v>
      </c>
      <c r="D246" s="49" t="s">
        <v>737</v>
      </c>
      <c r="E246" s="50">
        <f>Source!BZ47</f>
        <v>90</v>
      </c>
      <c r="F246" s="50"/>
      <c r="G246" s="50">
        <f>Source!AT47</f>
        <v>90</v>
      </c>
      <c r="H246" s="52"/>
      <c r="I246" s="51"/>
      <c r="J246" s="52"/>
      <c r="K246" s="51"/>
      <c r="L246" s="52">
        <f>SUM(AZ228:AZ248)</f>
        <v>404.84</v>
      </c>
    </row>
    <row r="247" spans="1:82" ht="14.25" x14ac:dyDescent="0.2">
      <c r="A247" s="56"/>
      <c r="B247" s="56" t="s">
        <v>124</v>
      </c>
      <c r="C247" s="56" t="s">
        <v>770</v>
      </c>
      <c r="D247" s="57" t="s">
        <v>737</v>
      </c>
      <c r="E247" s="58">
        <f>Source!CA47</f>
        <v>46</v>
      </c>
      <c r="F247" s="58"/>
      <c r="G247" s="58">
        <f>Source!AU47</f>
        <v>46</v>
      </c>
      <c r="H247" s="59"/>
      <c r="I247" s="60"/>
      <c r="J247" s="59"/>
      <c r="K247" s="60"/>
      <c r="L247" s="59">
        <f>SUM(BA228:BA248)</f>
        <v>206.92</v>
      </c>
    </row>
    <row r="248" spans="1:82" ht="15" x14ac:dyDescent="0.2">
      <c r="C248" s="124" t="s">
        <v>739</v>
      </c>
      <c r="D248" s="124"/>
      <c r="E248" s="124"/>
      <c r="F248" s="124"/>
      <c r="G248" s="124"/>
      <c r="H248" s="124"/>
      <c r="I248" s="125">
        <f>IF(E228&lt;&gt;0,K248/E228, 0)</f>
        <v>16152.197802197801</v>
      </c>
      <c r="J248" s="125"/>
      <c r="K248" s="125">
        <f>L230+L232+L239+L246+L247+L233+SUM(L244:L244)</f>
        <v>1469.85</v>
      </c>
      <c r="L248" s="125"/>
      <c r="AD248">
        <f>ROUND((Source!AT47/100)*((ROUND(SUMIF(SmtRes!AQ70:'SmtRes'!AQ78,"=1",SmtRes!AD70:'SmtRes'!AD78)*Source!I47, 2)+ROUND(SUMIF(SmtRes!AQ70:'SmtRes'!AQ78,"=1",SmtRes!AC70:'SmtRes'!AC78)*Source!I47, 2))), 2)</f>
        <v>113.72</v>
      </c>
      <c r="AE248">
        <f>ROUND((Source!AU47/100)*((ROUND(SUMIF(SmtRes!AQ70:'SmtRes'!AQ78,"=1",SmtRes!AD70:'SmtRes'!AD78)*Source!I47, 2)+ROUND(SUMIF(SmtRes!AQ70:'SmtRes'!AQ78,"=1",SmtRes!AC70:'SmtRes'!AC78)*Source!I47, 2))), 2)</f>
        <v>58.13</v>
      </c>
      <c r="AN248" s="61">
        <f>L230+L232+L239+L246+L247+L233</f>
        <v>1085.8699999999999</v>
      </c>
      <c r="AO248" s="61">
        <f>L232</f>
        <v>12.21</v>
      </c>
      <c r="AQ248" t="s">
        <v>740</v>
      </c>
      <c r="AR248" s="61">
        <f>L230</f>
        <v>444.5</v>
      </c>
      <c r="AT248" s="61">
        <f>L233</f>
        <v>5.32</v>
      </c>
      <c r="AV248" t="s">
        <v>740</v>
      </c>
      <c r="AW248" s="61">
        <f>L239</f>
        <v>12.08</v>
      </c>
      <c r="AZ248">
        <f>Source!X47</f>
        <v>404.84</v>
      </c>
      <c r="BA248">
        <f>Source!Y47</f>
        <v>206.92</v>
      </c>
      <c r="CD248">
        <v>1</v>
      </c>
    </row>
    <row r="249" spans="1:82" ht="42.75" x14ac:dyDescent="0.2">
      <c r="A249" s="65" t="s">
        <v>129</v>
      </c>
      <c r="B249" s="56" t="s">
        <v>130</v>
      </c>
      <c r="C249" s="56" t="str">
        <f>Source!G49</f>
        <v>Погрузка в автотранспортное средство: мусор строительный с погрузкой вручную</v>
      </c>
      <c r="D249" s="57" t="str">
        <f>Source!H49</f>
        <v>1т груза</v>
      </c>
      <c r="E249" s="58">
        <f>Source!K49</f>
        <v>1.1200000000000001</v>
      </c>
      <c r="F249" s="58"/>
      <c r="G249" s="58">
        <f>Source!I49</f>
        <v>1.1200000000000001</v>
      </c>
      <c r="H249" s="59"/>
      <c r="I249" s="60"/>
      <c r="J249" s="59">
        <f>Source!AK49</f>
        <v>1490.12</v>
      </c>
      <c r="K249" s="60"/>
      <c r="L249" s="59">
        <f>Source!HD49</f>
        <v>1668.93</v>
      </c>
    </row>
    <row r="250" spans="1:82" ht="15" x14ac:dyDescent="0.2">
      <c r="C250" s="124" t="s">
        <v>739</v>
      </c>
      <c r="D250" s="124"/>
      <c r="E250" s="124"/>
      <c r="F250" s="124"/>
      <c r="G250" s="124"/>
      <c r="H250" s="124"/>
      <c r="I250" s="125">
        <f>IF(E249&lt;&gt;0,K250/E249, 0)</f>
        <v>1490.1160714285713</v>
      </c>
      <c r="J250" s="125"/>
      <c r="K250" s="125">
        <f>L249</f>
        <v>1668.93</v>
      </c>
      <c r="L250" s="125"/>
      <c r="AD250">
        <f>ROUND((Source!AT49/100)*((ROUND(0*Source!I49, 2)+ROUND(0*Source!I49, 2))), 2)</f>
        <v>0</v>
      </c>
      <c r="AE250">
        <f>ROUND((Source!AU49/100)*((ROUND(0*Source!I49, 2)+ROUND(0*Source!I49, 2))), 2)</f>
        <v>0</v>
      </c>
      <c r="AN250" s="61">
        <f>L249</f>
        <v>1668.93</v>
      </c>
      <c r="AP250">
        <f>0</f>
        <v>0</v>
      </c>
      <c r="AQ250" t="s">
        <v>740</v>
      </c>
      <c r="AS250">
        <f>0</f>
        <v>0</v>
      </c>
      <c r="AU250">
        <f>0</f>
        <v>0</v>
      </c>
      <c r="AV250" t="s">
        <v>740</v>
      </c>
      <c r="AZ250">
        <f>Source!X49</f>
        <v>0</v>
      </c>
      <c r="BA250">
        <f>Source!Y49</f>
        <v>0</v>
      </c>
      <c r="BB250" s="61">
        <f>L249</f>
        <v>1668.93</v>
      </c>
      <c r="CD250">
        <v>1</v>
      </c>
    </row>
    <row r="251" spans="1:82" ht="128.25" x14ac:dyDescent="0.2">
      <c r="A251" s="65" t="s">
        <v>137</v>
      </c>
      <c r="B251" s="56" t="s">
        <v>138</v>
      </c>
      <c r="C251" s="56" t="str">
        <f>Source!G50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36 км</v>
      </c>
      <c r="D251" s="57" t="str">
        <f>Source!H50</f>
        <v>1т груза</v>
      </c>
      <c r="E251" s="58">
        <f>Source!K50</f>
        <v>1.1200000000000001</v>
      </c>
      <c r="F251" s="58"/>
      <c r="G251" s="58">
        <f>Source!I50</f>
        <v>1.1200000000000001</v>
      </c>
      <c r="H251" s="59"/>
      <c r="I251" s="60"/>
      <c r="J251" s="59">
        <f>Source!AK50</f>
        <v>519.79</v>
      </c>
      <c r="K251" s="60"/>
      <c r="L251" s="59">
        <f>Source!HD50</f>
        <v>582.16</v>
      </c>
    </row>
    <row r="252" spans="1:82" ht="15" x14ac:dyDescent="0.2">
      <c r="C252" s="124" t="s">
        <v>739</v>
      </c>
      <c r="D252" s="124"/>
      <c r="E252" s="124"/>
      <c r="F252" s="124"/>
      <c r="G252" s="124"/>
      <c r="H252" s="124"/>
      <c r="I252" s="125">
        <f>IF(E251&lt;&gt;0,K252/E251, 0)</f>
        <v>519.78571428571422</v>
      </c>
      <c r="J252" s="125"/>
      <c r="K252" s="125">
        <f>L251</f>
        <v>582.16</v>
      </c>
      <c r="L252" s="125"/>
      <c r="AD252">
        <f>ROUND((Source!AT50/100)*((ROUND(0*Source!I50, 2)+ROUND(0*Source!I50, 2))), 2)</f>
        <v>0</v>
      </c>
      <c r="AE252">
        <f>ROUND((Source!AU50/100)*((ROUND(0*Source!I50, 2)+ROUND(0*Source!I50, 2))), 2)</f>
        <v>0</v>
      </c>
      <c r="AN252" s="61">
        <f>L251</f>
        <v>582.16</v>
      </c>
      <c r="AP252">
        <f>0</f>
        <v>0</v>
      </c>
      <c r="AQ252" t="s">
        <v>740</v>
      </c>
      <c r="AS252">
        <f>0</f>
        <v>0</v>
      </c>
      <c r="AU252">
        <f>0</f>
        <v>0</v>
      </c>
      <c r="AV252" t="s">
        <v>740</v>
      </c>
      <c r="AZ252">
        <f>Source!X50</f>
        <v>0</v>
      </c>
      <c r="BA252">
        <f>Source!Y50</f>
        <v>0</v>
      </c>
      <c r="BB252" s="61">
        <f>L251</f>
        <v>582.16</v>
      </c>
      <c r="CD252">
        <v>1</v>
      </c>
    </row>
    <row r="254" spans="1:82" ht="15" x14ac:dyDescent="0.2">
      <c r="A254" s="67"/>
      <c r="B254" s="68"/>
      <c r="C254" s="129" t="s">
        <v>771</v>
      </c>
      <c r="D254" s="129"/>
      <c r="E254" s="129"/>
      <c r="F254" s="129"/>
      <c r="G254" s="129"/>
      <c r="H254" s="129"/>
      <c r="I254" s="55"/>
      <c r="J254" s="67"/>
      <c r="K254" s="69"/>
      <c r="L254" s="55">
        <f>L256+L257+L263+L267</f>
        <v>29551.68</v>
      </c>
    </row>
    <row r="255" spans="1:82" ht="14.25" x14ac:dyDescent="0.2">
      <c r="A255" s="64"/>
      <c r="B255" s="66"/>
      <c r="C255" s="130" t="s">
        <v>772</v>
      </c>
      <c r="D255" s="131"/>
      <c r="E255" s="131"/>
      <c r="F255" s="131"/>
      <c r="G255" s="131"/>
      <c r="H255" s="131"/>
      <c r="I255" s="52"/>
      <c r="J255" s="64"/>
      <c r="K255" s="50"/>
      <c r="L255" s="52"/>
    </row>
    <row r="256" spans="1:82" ht="14.25" x14ac:dyDescent="0.2">
      <c r="A256" s="64"/>
      <c r="B256" s="66"/>
      <c r="C256" s="131" t="s">
        <v>773</v>
      </c>
      <c r="D256" s="131"/>
      <c r="E256" s="131"/>
      <c r="F256" s="131"/>
      <c r="G256" s="131"/>
      <c r="H256" s="131"/>
      <c r="I256" s="52"/>
      <c r="J256" s="64"/>
      <c r="K256" s="50"/>
      <c r="L256" s="52">
        <f>SUM(AR61:AR252)</f>
        <v>18922.46</v>
      </c>
    </row>
    <row r="257" spans="1:12" ht="14.25" hidden="1" x14ac:dyDescent="0.2">
      <c r="A257" s="64"/>
      <c r="B257" s="66"/>
      <c r="C257" s="131" t="s">
        <v>774</v>
      </c>
      <c r="D257" s="131"/>
      <c r="E257" s="131"/>
      <c r="F257" s="131"/>
      <c r="G257" s="131"/>
      <c r="H257" s="131"/>
      <c r="I257" s="52"/>
      <c r="J257" s="64"/>
      <c r="K257" s="50"/>
      <c r="L257" s="52">
        <f>L259+L262+L261</f>
        <v>382.61</v>
      </c>
    </row>
    <row r="258" spans="1:12" ht="14.25" hidden="1" x14ac:dyDescent="0.2">
      <c r="A258" s="64"/>
      <c r="B258" s="66"/>
      <c r="C258" s="130" t="s">
        <v>775</v>
      </c>
      <c r="D258" s="131"/>
      <c r="E258" s="131"/>
      <c r="F258" s="131"/>
      <c r="G258" s="131"/>
      <c r="H258" s="131"/>
      <c r="I258" s="52"/>
      <c r="J258" s="64"/>
      <c r="K258" s="50"/>
      <c r="L258" s="52"/>
    </row>
    <row r="259" spans="1:12" ht="14.25" x14ac:dyDescent="0.2">
      <c r="A259" s="64"/>
      <c r="B259" s="66"/>
      <c r="C259" s="131" t="s">
        <v>774</v>
      </c>
      <c r="D259" s="131"/>
      <c r="E259" s="131"/>
      <c r="F259" s="131"/>
      <c r="G259" s="131"/>
      <c r="H259" s="131"/>
      <c r="I259" s="52"/>
      <c r="J259" s="64"/>
      <c r="K259" s="50"/>
      <c r="L259" s="52">
        <f>SUM(AO61:AO252)</f>
        <v>236.09</v>
      </c>
    </row>
    <row r="260" spans="1:12" ht="14.25" hidden="1" x14ac:dyDescent="0.2">
      <c r="A260" s="64"/>
      <c r="B260" s="66"/>
      <c r="C260" s="130" t="s">
        <v>776</v>
      </c>
      <c r="D260" s="131"/>
      <c r="E260" s="131"/>
      <c r="F260" s="131"/>
      <c r="G260" s="131"/>
      <c r="H260" s="131"/>
      <c r="I260" s="52"/>
      <c r="J260" s="64"/>
      <c r="K260" s="50"/>
      <c r="L260" s="52"/>
    </row>
    <row r="261" spans="1:12" ht="14.25" x14ac:dyDescent="0.2">
      <c r="A261" s="64"/>
      <c r="B261" s="66"/>
      <c r="C261" s="131" t="s">
        <v>796</v>
      </c>
      <c r="D261" s="131"/>
      <c r="E261" s="131"/>
      <c r="F261" s="131"/>
      <c r="G261" s="131"/>
      <c r="H261" s="131"/>
      <c r="I261" s="52"/>
      <c r="J261" s="64"/>
      <c r="K261" s="50"/>
      <c r="L261" s="52">
        <f>SUM(AT61:AT252)</f>
        <v>146.51999999999998</v>
      </c>
    </row>
    <row r="262" spans="1:12" ht="14.25" hidden="1" x14ac:dyDescent="0.2">
      <c r="A262" s="64"/>
      <c r="B262" s="66"/>
      <c r="C262" s="131" t="s">
        <v>777</v>
      </c>
      <c r="D262" s="131"/>
      <c r="E262" s="131"/>
      <c r="F262" s="131"/>
      <c r="G262" s="131"/>
      <c r="H262" s="131"/>
      <c r="I262" s="52"/>
      <c r="J262" s="64"/>
      <c r="K262" s="50"/>
      <c r="L262" s="52">
        <f>SUM(AV61:AV252)</f>
        <v>0</v>
      </c>
    </row>
    <row r="263" spans="1:12" ht="14.25" x14ac:dyDescent="0.2">
      <c r="A263" s="64"/>
      <c r="B263" s="66"/>
      <c r="C263" s="131" t="s">
        <v>778</v>
      </c>
      <c r="D263" s="131"/>
      <c r="E263" s="131"/>
      <c r="F263" s="131"/>
      <c r="G263" s="131"/>
      <c r="H263" s="131"/>
      <c r="I263" s="52"/>
      <c r="J263" s="64"/>
      <c r="K263" s="50"/>
      <c r="L263" s="52">
        <f>L265+L266</f>
        <v>7995.52</v>
      </c>
    </row>
    <row r="264" spans="1:12" ht="14.25" x14ac:dyDescent="0.2">
      <c r="A264" s="64"/>
      <c r="B264" s="66"/>
      <c r="C264" s="130" t="s">
        <v>775</v>
      </c>
      <c r="D264" s="131"/>
      <c r="E264" s="131"/>
      <c r="F264" s="131"/>
      <c r="G264" s="131"/>
      <c r="H264" s="131"/>
      <c r="I264" s="52"/>
      <c r="J264" s="64"/>
      <c r="K264" s="50"/>
      <c r="L264" s="52"/>
    </row>
    <row r="265" spans="1:12" ht="14.25" x14ac:dyDescent="0.2">
      <c r="A265" s="64"/>
      <c r="B265" s="66"/>
      <c r="C265" s="131" t="s">
        <v>779</v>
      </c>
      <c r="D265" s="131"/>
      <c r="E265" s="131"/>
      <c r="F265" s="131"/>
      <c r="G265" s="131"/>
      <c r="H265" s="131"/>
      <c r="I265" s="52"/>
      <c r="J265" s="64"/>
      <c r="K265" s="50"/>
      <c r="L265" s="52">
        <f>SUM(AW61:AW252)-SUM(BK61:BK252)</f>
        <v>7995.52</v>
      </c>
    </row>
    <row r="266" spans="1:12" ht="14.25" hidden="1" x14ac:dyDescent="0.2">
      <c r="A266" s="64"/>
      <c r="B266" s="66"/>
      <c r="C266" s="131" t="s">
        <v>780</v>
      </c>
      <c r="D266" s="131"/>
      <c r="E266" s="131"/>
      <c r="F266" s="131"/>
      <c r="G266" s="131"/>
      <c r="H266" s="131"/>
      <c r="I266" s="52"/>
      <c r="J266" s="64"/>
      <c r="K266" s="50"/>
      <c r="L266" s="52">
        <f>SUM(BC61:BC252)</f>
        <v>0</v>
      </c>
    </row>
    <row r="267" spans="1:12" ht="14.25" x14ac:dyDescent="0.2">
      <c r="A267" s="64"/>
      <c r="B267" s="66"/>
      <c r="C267" s="131" t="s">
        <v>781</v>
      </c>
      <c r="D267" s="131"/>
      <c r="E267" s="131"/>
      <c r="F267" s="131"/>
      <c r="G267" s="131"/>
      <c r="H267" s="131"/>
      <c r="I267" s="52"/>
      <c r="J267" s="64"/>
      <c r="K267" s="50"/>
      <c r="L267" s="52">
        <f>SUM(BB61:BB252)</f>
        <v>2251.09</v>
      </c>
    </row>
    <row r="268" spans="1:12" ht="14.25" x14ac:dyDescent="0.2">
      <c r="A268" s="64"/>
      <c r="B268" s="66"/>
      <c r="C268" s="131" t="s">
        <v>782</v>
      </c>
      <c r="D268" s="131"/>
      <c r="E268" s="131"/>
      <c r="F268" s="131"/>
      <c r="G268" s="131"/>
      <c r="H268" s="131"/>
      <c r="I268" s="52"/>
      <c r="J268" s="64"/>
      <c r="K268" s="50"/>
      <c r="L268" s="52">
        <f>SUM(AR61:AR252)+SUM(AT61:AT252)+SUM(AV61:AV252)</f>
        <v>19068.98</v>
      </c>
    </row>
    <row r="269" spans="1:12" ht="14.25" x14ac:dyDescent="0.2">
      <c r="A269" s="64"/>
      <c r="B269" s="66"/>
      <c r="C269" s="131" t="s">
        <v>783</v>
      </c>
      <c r="D269" s="131"/>
      <c r="E269" s="131"/>
      <c r="F269" s="131"/>
      <c r="G269" s="131"/>
      <c r="H269" s="131"/>
      <c r="I269" s="52"/>
      <c r="J269" s="64"/>
      <c r="K269" s="50"/>
      <c r="L269" s="52">
        <f>SUM(AZ61:AZ252)</f>
        <v>18149.649999999998</v>
      </c>
    </row>
    <row r="270" spans="1:12" ht="14.25" x14ac:dyDescent="0.2">
      <c r="A270" s="64"/>
      <c r="B270" s="66"/>
      <c r="C270" s="131" t="s">
        <v>784</v>
      </c>
      <c r="D270" s="131"/>
      <c r="E270" s="131"/>
      <c r="F270" s="131"/>
      <c r="G270" s="131"/>
      <c r="H270" s="131"/>
      <c r="I270" s="52"/>
      <c r="J270" s="64"/>
      <c r="K270" s="50"/>
      <c r="L270" s="52">
        <f>SUM(BA61:BA252)</f>
        <v>9493.42</v>
      </c>
    </row>
    <row r="271" spans="1:12" ht="14.25" hidden="1" x14ac:dyDescent="0.2">
      <c r="A271" s="64"/>
      <c r="B271" s="66"/>
      <c r="C271" s="131" t="s">
        <v>785</v>
      </c>
      <c r="D271" s="131"/>
      <c r="E271" s="131"/>
      <c r="F271" s="131"/>
      <c r="G271" s="131"/>
      <c r="H271" s="131"/>
      <c r="I271" s="52"/>
      <c r="J271" s="64"/>
      <c r="K271" s="50"/>
      <c r="L271" s="52">
        <f>L273+L274</f>
        <v>0</v>
      </c>
    </row>
    <row r="272" spans="1:12" ht="14.25" hidden="1" x14ac:dyDescent="0.2">
      <c r="A272" s="64"/>
      <c r="B272" s="66"/>
      <c r="C272" s="130" t="s">
        <v>772</v>
      </c>
      <c r="D272" s="131"/>
      <c r="E272" s="131"/>
      <c r="F272" s="131"/>
      <c r="G272" s="131"/>
      <c r="H272" s="131"/>
      <c r="I272" s="52"/>
      <c r="J272" s="64"/>
      <c r="K272" s="50"/>
      <c r="L272" s="52"/>
    </row>
    <row r="273" spans="1:83" ht="14.25" hidden="1" x14ac:dyDescent="0.2">
      <c r="A273" s="64"/>
      <c r="B273" s="66"/>
      <c r="C273" s="131" t="s">
        <v>786</v>
      </c>
      <c r="D273" s="131"/>
      <c r="E273" s="131"/>
      <c r="F273" s="131"/>
      <c r="G273" s="131"/>
      <c r="H273" s="131"/>
      <c r="I273" s="52"/>
      <c r="J273" s="64"/>
      <c r="K273" s="50"/>
      <c r="L273" s="52">
        <f>SUM(BK61:BK252)</f>
        <v>0</v>
      </c>
    </row>
    <row r="274" spans="1:83" ht="14.25" hidden="1" x14ac:dyDescent="0.2">
      <c r="A274" s="64"/>
      <c r="B274" s="66"/>
      <c r="C274" s="131" t="s">
        <v>787</v>
      </c>
      <c r="D274" s="131"/>
      <c r="E274" s="131"/>
      <c r="F274" s="131"/>
      <c r="G274" s="131"/>
      <c r="H274" s="131"/>
      <c r="I274" s="52"/>
      <c r="J274" s="64"/>
      <c r="K274" s="50"/>
      <c r="L274" s="52">
        <f>SUM(BD61:BD252)</f>
        <v>0</v>
      </c>
    </row>
    <row r="275" spans="1:83" ht="14.25" hidden="1" x14ac:dyDescent="0.2">
      <c r="A275" s="64"/>
      <c r="B275" s="66"/>
      <c r="C275" s="131" t="s">
        <v>788</v>
      </c>
      <c r="D275" s="131"/>
      <c r="E275" s="131"/>
      <c r="F275" s="131"/>
      <c r="G275" s="131"/>
      <c r="H275" s="131"/>
      <c r="I275" s="52"/>
      <c r="J275" s="64"/>
      <c r="K275" s="50"/>
      <c r="L275" s="52"/>
    </row>
    <row r="276" spans="1:83" ht="14.25" hidden="1" x14ac:dyDescent="0.2">
      <c r="A276" s="64"/>
      <c r="B276" s="66"/>
      <c r="C276" s="131" t="s">
        <v>788</v>
      </c>
      <c r="D276" s="131"/>
      <c r="E276" s="131"/>
      <c r="F276" s="131"/>
      <c r="G276" s="131"/>
      <c r="H276" s="131"/>
      <c r="I276" s="52"/>
      <c r="J276" s="64"/>
      <c r="K276" s="50"/>
      <c r="L276" s="52">
        <f>SUM(BQ61:BQ252)</f>
        <v>0</v>
      </c>
    </row>
    <row r="277" spans="1:83" ht="14.25" hidden="1" x14ac:dyDescent="0.2">
      <c r="A277" s="64"/>
      <c r="B277" s="66"/>
      <c r="C277" s="131" t="s">
        <v>789</v>
      </c>
      <c r="D277" s="131"/>
      <c r="E277" s="131"/>
      <c r="F277" s="131"/>
      <c r="G277" s="131"/>
      <c r="H277" s="131"/>
      <c r="I277" s="52"/>
      <c r="J277" s="64"/>
      <c r="K277" s="50"/>
      <c r="L277" s="52">
        <f>SUM(BO61:BO252)</f>
        <v>0</v>
      </c>
    </row>
    <row r="278" spans="1:83" ht="15" x14ac:dyDescent="0.2">
      <c r="A278" s="67"/>
      <c r="B278" s="68"/>
      <c r="C278" s="129" t="s">
        <v>790</v>
      </c>
      <c r="D278" s="129"/>
      <c r="E278" s="129"/>
      <c r="F278" s="129"/>
      <c r="G278" s="129"/>
      <c r="H278" s="129"/>
      <c r="I278" s="55"/>
      <c r="J278" s="67"/>
      <c r="K278" s="69"/>
      <c r="L278" s="55">
        <f>L254+L269+L270+L271+L276+L277</f>
        <v>57194.75</v>
      </c>
    </row>
    <row r="280" spans="1:83" ht="16.5" x14ac:dyDescent="0.2">
      <c r="A280" s="123" t="s">
        <v>797</v>
      </c>
      <c r="B280" s="123"/>
      <c r="C280" s="123"/>
      <c r="D280" s="123"/>
      <c r="E280" s="123"/>
      <c r="F280" s="123"/>
      <c r="G280" s="123"/>
      <c r="H280" s="123"/>
      <c r="I280" s="123"/>
      <c r="J280" s="123"/>
      <c r="K280" s="123"/>
      <c r="L280" s="123"/>
    </row>
    <row r="282" spans="1:83" ht="16.5" x14ac:dyDescent="0.2">
      <c r="A282" s="123" t="s">
        <v>798</v>
      </c>
      <c r="B282" s="123"/>
      <c r="C282" s="123"/>
      <c r="D282" s="123"/>
      <c r="E282" s="123"/>
      <c r="F282" s="123"/>
      <c r="G282" s="123"/>
      <c r="H282" s="123"/>
      <c r="I282" s="123"/>
      <c r="J282" s="123"/>
      <c r="K282" s="123"/>
      <c r="L282" s="123"/>
    </row>
    <row r="283" spans="1:83" ht="28.5" x14ac:dyDescent="0.2">
      <c r="A283" s="46" t="s">
        <v>208</v>
      </c>
      <c r="B283" s="48" t="s">
        <v>729</v>
      </c>
      <c r="C283" s="48" t="str">
        <f>Source!G93</f>
        <v>Разборка покрытий полов: из керамогранитных плит</v>
      </c>
      <c r="D283" s="49" t="str">
        <f>Source!H93</f>
        <v>100 м2</v>
      </c>
      <c r="E283" s="50">
        <f>Source!K93</f>
        <v>2.5499999999999998E-2</v>
      </c>
      <c r="F283" s="50"/>
      <c r="G283" s="50">
        <f>Source!I93</f>
        <v>2.5499999999999998E-2</v>
      </c>
      <c r="H283" s="52"/>
      <c r="I283" s="51"/>
      <c r="J283" s="52"/>
      <c r="K283" s="51"/>
      <c r="L283" s="52"/>
    </row>
    <row r="284" spans="1:83" x14ac:dyDescent="0.2">
      <c r="C284" s="53" t="str">
        <f>"Объем: "&amp;Source!I93&amp;"=1,5*"&amp;"1,7/"&amp;"100"</f>
        <v>Объем: 0,0255=1,5*1,7/100</v>
      </c>
    </row>
    <row r="285" spans="1:83" ht="15" x14ac:dyDescent="0.2">
      <c r="A285" s="47"/>
      <c r="B285" s="50">
        <v>1</v>
      </c>
      <c r="C285" s="47" t="s">
        <v>730</v>
      </c>
      <c r="D285" s="49" t="s">
        <v>428</v>
      </c>
      <c r="E285" s="54"/>
      <c r="F285" s="50"/>
      <c r="G285" s="50">
        <f>Source!U93</f>
        <v>2.00787</v>
      </c>
      <c r="H285" s="50"/>
      <c r="I285" s="50"/>
      <c r="J285" s="50"/>
      <c r="K285" s="50"/>
      <c r="L285" s="55">
        <f>SUM(L286:L286)-SUMIF(CE286:CE286, 1, L286:L286)</f>
        <v>1265.8399999999999</v>
      </c>
    </row>
    <row r="286" spans="1:83" ht="14.25" x14ac:dyDescent="0.2">
      <c r="A286" s="48"/>
      <c r="B286" s="48" t="s">
        <v>426</v>
      </c>
      <c r="C286" s="48" t="s">
        <v>427</v>
      </c>
      <c r="D286" s="49" t="s">
        <v>428</v>
      </c>
      <c r="E286" s="50">
        <v>78.739999999999995</v>
      </c>
      <c r="F286" s="50"/>
      <c r="G286" s="50">
        <f>SmtRes!CX79</f>
        <v>2.00787</v>
      </c>
      <c r="H286" s="52">
        <f>SmtRes!CZ79</f>
        <v>630.44000000000005</v>
      </c>
      <c r="I286" s="51"/>
      <c r="J286" s="52"/>
      <c r="K286" s="51"/>
      <c r="L286" s="52">
        <f>SmtRes!DI79</f>
        <v>1265.8399999999999</v>
      </c>
    </row>
    <row r="287" spans="1:83" ht="15" x14ac:dyDescent="0.2">
      <c r="A287" s="47"/>
      <c r="B287" s="50">
        <v>2</v>
      </c>
      <c r="C287" s="47" t="s">
        <v>731</v>
      </c>
      <c r="D287" s="49"/>
      <c r="E287" s="54"/>
      <c r="F287" s="50"/>
      <c r="G287" s="50"/>
      <c r="H287" s="50"/>
      <c r="I287" s="50"/>
      <c r="J287" s="50"/>
      <c r="K287" s="50"/>
      <c r="L287" s="55">
        <f>SUM(L288:L290)-SUMIF(CE288:CE290, 1, L288:L290)</f>
        <v>1.1799999999999997</v>
      </c>
    </row>
    <row r="288" spans="1:83" ht="15" x14ac:dyDescent="0.2">
      <c r="A288" s="47"/>
      <c r="B288" s="50"/>
      <c r="C288" s="47" t="s">
        <v>733</v>
      </c>
      <c r="D288" s="49" t="s">
        <v>428</v>
      </c>
      <c r="E288" s="54"/>
      <c r="F288" s="50"/>
      <c r="G288" s="50">
        <f>Source!V93</f>
        <v>2.0145E-2</v>
      </c>
      <c r="H288" s="50"/>
      <c r="I288" s="50"/>
      <c r="J288" s="50"/>
      <c r="K288" s="50"/>
      <c r="L288" s="55">
        <f>SUMIF(CE289:CE290, 1, L289:L290)</f>
        <v>13.08</v>
      </c>
      <c r="CE288">
        <v>1</v>
      </c>
    </row>
    <row r="289" spans="1:83" ht="42.75" x14ac:dyDescent="0.2">
      <c r="A289" s="48"/>
      <c r="B289" s="48" t="s">
        <v>431</v>
      </c>
      <c r="C289" s="48" t="s">
        <v>433</v>
      </c>
      <c r="D289" s="49" t="s">
        <v>434</v>
      </c>
      <c r="E289" s="50">
        <v>0.79</v>
      </c>
      <c r="F289" s="50"/>
      <c r="G289" s="50">
        <f>SmtRes!CX81</f>
        <v>2.0145E-2</v>
      </c>
      <c r="H289" s="52">
        <f>SmtRes!CZ81</f>
        <v>37.32</v>
      </c>
      <c r="I289" s="51">
        <f>SmtRes!AJ81</f>
        <v>1.57</v>
      </c>
      <c r="J289" s="52">
        <f>ROUND(H289*I289, 2)</f>
        <v>58.59</v>
      </c>
      <c r="K289" s="51"/>
      <c r="L289" s="52">
        <f>SmtRes!DG81</f>
        <v>1.18</v>
      </c>
    </row>
    <row r="290" spans="1:83" ht="28.5" x14ac:dyDescent="0.2">
      <c r="A290" s="48"/>
      <c r="B290" s="48" t="s">
        <v>435</v>
      </c>
      <c r="C290" s="56" t="s">
        <v>732</v>
      </c>
      <c r="D290" s="57" t="s">
        <v>428</v>
      </c>
      <c r="E290" s="58">
        <f>SmtRes!DO81*SmtRes!AT81</f>
        <v>0.79</v>
      </c>
      <c r="F290" s="58"/>
      <c r="G290" s="58">
        <f>ROUND(E290*G283, 7)</f>
        <v>2.0145E-2</v>
      </c>
      <c r="H290" s="59"/>
      <c r="I290" s="60"/>
      <c r="J290" s="59">
        <f>ROUND(SmtRes!AG81/SmtRes!DO81, 2)</f>
        <v>649.24</v>
      </c>
      <c r="K290" s="60"/>
      <c r="L290" s="59">
        <f>SmtRes!DH81</f>
        <v>13.08</v>
      </c>
      <c r="CE290">
        <v>1</v>
      </c>
    </row>
    <row r="291" spans="1:83" ht="15" x14ac:dyDescent="0.2">
      <c r="A291" s="48"/>
      <c r="B291" s="48"/>
      <c r="C291" s="63" t="s">
        <v>734</v>
      </c>
      <c r="D291" s="49"/>
      <c r="E291" s="50"/>
      <c r="F291" s="50"/>
      <c r="G291" s="50"/>
      <c r="H291" s="52"/>
      <c r="I291" s="51"/>
      <c r="J291" s="52"/>
      <c r="K291" s="51"/>
      <c r="L291" s="52">
        <f>L285+L287+L288</f>
        <v>1280.0999999999999</v>
      </c>
    </row>
    <row r="292" spans="1:83" ht="14.25" x14ac:dyDescent="0.2">
      <c r="A292" s="46" t="s">
        <v>799</v>
      </c>
      <c r="B292" s="48" t="str">
        <f>Source!F94</f>
        <v>999-9900</v>
      </c>
      <c r="C292" s="48" t="str">
        <f>Source!G94</f>
        <v>Строительный мусор</v>
      </c>
      <c r="D292" s="49" t="str">
        <f>Source!H94</f>
        <v>т</v>
      </c>
      <c r="E292" s="50">
        <f>SmtRes!AT82</f>
        <v>4.3</v>
      </c>
      <c r="F292" s="50"/>
      <c r="G292" s="50">
        <f>Source!I94</f>
        <v>0.10964999999999998</v>
      </c>
      <c r="H292" s="52">
        <f>Source!AL94+Source!AO94+Source!AM94+Source!AN94</f>
        <v>0</v>
      </c>
      <c r="I292" s="51"/>
      <c r="J292" s="52"/>
      <c r="K292" s="51"/>
      <c r="L292" s="52">
        <f>Source!P94</f>
        <v>0</v>
      </c>
      <c r="AD292">
        <f>ROUND((Source!AT94/100)*((ROUND(ROUND(Source!AO94,2)*Source!I94, 2)+ROUND(ROUND(Source!AN94,2)*Source!I94, 2))), 2)</f>
        <v>0</v>
      </c>
      <c r="AE292">
        <f>ROUND((Source!AU94/100)*((ROUND(ROUND(Source!AO94,2)*Source!I94, 2)+ROUND(ROUND(Source!AN94,2)*Source!I94, 2))), 2)</f>
        <v>0</v>
      </c>
      <c r="AN292">
        <f>L292</f>
        <v>0</v>
      </c>
      <c r="AW292">
        <f>L292</f>
        <v>0</v>
      </c>
      <c r="AZ292">
        <f>Source!X94</f>
        <v>0</v>
      </c>
      <c r="BA292">
        <f>Source!Y94</f>
        <v>0</v>
      </c>
      <c r="CD292">
        <v>1</v>
      </c>
    </row>
    <row r="293" spans="1:83" ht="14.25" x14ac:dyDescent="0.2">
      <c r="A293" s="48"/>
      <c r="B293" s="48"/>
      <c r="C293" s="48" t="s">
        <v>735</v>
      </c>
      <c r="D293" s="49"/>
      <c r="E293" s="50"/>
      <c r="F293" s="50"/>
      <c r="G293" s="50"/>
      <c r="H293" s="52"/>
      <c r="I293" s="51"/>
      <c r="J293" s="52"/>
      <c r="K293" s="51"/>
      <c r="L293" s="52">
        <f>SUM(AR283:AR296)+SUM(AS283:AS296)+SUM(AT283:AT296)+SUM(AU283:AU296)+SUM(AV283:AV296)</f>
        <v>1278.9199999999998</v>
      </c>
    </row>
    <row r="294" spans="1:83" ht="14.25" x14ac:dyDescent="0.2">
      <c r="A294" s="48"/>
      <c r="B294" s="48" t="s">
        <v>25</v>
      </c>
      <c r="C294" s="48" t="s">
        <v>736</v>
      </c>
      <c r="D294" s="49" t="s">
        <v>737</v>
      </c>
      <c r="E294" s="50">
        <f>Source!BZ93</f>
        <v>89</v>
      </c>
      <c r="F294" s="50"/>
      <c r="G294" s="50">
        <f>Source!AT93</f>
        <v>89</v>
      </c>
      <c r="H294" s="52"/>
      <c r="I294" s="51"/>
      <c r="J294" s="52"/>
      <c r="K294" s="51"/>
      <c r="L294" s="52">
        <f>SUM(AZ283:AZ296)</f>
        <v>1138.24</v>
      </c>
    </row>
    <row r="295" spans="1:83" ht="14.25" x14ac:dyDescent="0.2">
      <c r="A295" s="56"/>
      <c r="B295" s="56" t="s">
        <v>26</v>
      </c>
      <c r="C295" s="56" t="s">
        <v>738</v>
      </c>
      <c r="D295" s="57" t="s">
        <v>737</v>
      </c>
      <c r="E295" s="58">
        <f>Source!CA93</f>
        <v>49</v>
      </c>
      <c r="F295" s="58"/>
      <c r="G295" s="58">
        <f>Source!AU93</f>
        <v>49</v>
      </c>
      <c r="H295" s="59"/>
      <c r="I295" s="60"/>
      <c r="J295" s="59"/>
      <c r="K295" s="60"/>
      <c r="L295" s="59">
        <f>SUM(BA283:BA296)</f>
        <v>626.66999999999996</v>
      </c>
    </row>
    <row r="296" spans="1:83" ht="15" x14ac:dyDescent="0.2">
      <c r="C296" s="124" t="s">
        <v>739</v>
      </c>
      <c r="D296" s="124"/>
      <c r="E296" s="124"/>
      <c r="F296" s="124"/>
      <c r="G296" s="124"/>
      <c r="H296" s="124"/>
      <c r="I296" s="125">
        <f>IF(E283&lt;&gt;0,K296/E283, 0)</f>
        <v>119412.15686274512</v>
      </c>
      <c r="J296" s="125"/>
      <c r="K296" s="125">
        <f>L285+L287+L294+L295+L288+SUM(L292:L292)</f>
        <v>3045.01</v>
      </c>
      <c r="L296" s="125"/>
      <c r="AD296">
        <f>ROUND((Source!AT93/100)*((ROUND(SUMIF(SmtRes!AQ79:'SmtRes'!AQ82,"=1",SmtRes!AD79:'SmtRes'!AD82)*Source!I93, 2)+ROUND(SUMIF(SmtRes!AQ79:'SmtRes'!AQ82,"=1",SmtRes!AC79:'SmtRes'!AC82)*Source!I93, 2))), 2)</f>
        <v>29.05</v>
      </c>
      <c r="AE296">
        <f>ROUND((Source!AU93/100)*((ROUND(SUMIF(SmtRes!AQ79:'SmtRes'!AQ82,"=1",SmtRes!AD79:'SmtRes'!AD82)*Source!I93, 2)+ROUND(SUMIF(SmtRes!AQ79:'SmtRes'!AQ82,"=1",SmtRes!AC79:'SmtRes'!AC82)*Source!I93, 2))), 2)</f>
        <v>15.99</v>
      </c>
      <c r="AN296" s="61">
        <f>L285+L287+L294+L295+L288</f>
        <v>3045.01</v>
      </c>
      <c r="AO296" s="61">
        <f>L287</f>
        <v>1.1799999999999997</v>
      </c>
      <c r="AQ296" t="s">
        <v>740</v>
      </c>
      <c r="AR296" s="61">
        <f>L285</f>
        <v>1265.8399999999999</v>
      </c>
      <c r="AT296" s="61">
        <f>L288</f>
        <v>13.08</v>
      </c>
      <c r="AV296" t="s">
        <v>740</v>
      </c>
      <c r="AW296">
        <f>0</f>
        <v>0</v>
      </c>
      <c r="AZ296">
        <f>Source!X93</f>
        <v>1138.24</v>
      </c>
      <c r="BA296">
        <f>Source!Y93</f>
        <v>626.66999999999996</v>
      </c>
      <c r="CD296">
        <v>1</v>
      </c>
    </row>
    <row r="297" spans="1:83" ht="57" x14ac:dyDescent="0.2">
      <c r="A297" s="46" t="s">
        <v>210</v>
      </c>
      <c r="B297" s="48" t="s">
        <v>741</v>
      </c>
      <c r="C297" s="48" t="str">
        <f>Source!G95</f>
        <v>Разборка горизонтальных поверхностей железобетонных конструкций при помощи отбойных молотков, бетон марки: 150</v>
      </c>
      <c r="D297" s="49" t="str">
        <f>Source!H95</f>
        <v>м3</v>
      </c>
      <c r="E297" s="50">
        <f>Source!K95</f>
        <v>0.38250000000000001</v>
      </c>
      <c r="F297" s="50"/>
      <c r="G297" s="50">
        <f>Source!I95</f>
        <v>0.38250000000000001</v>
      </c>
      <c r="H297" s="52"/>
      <c r="I297" s="51"/>
      <c r="J297" s="52"/>
      <c r="K297" s="51"/>
      <c r="L297" s="52"/>
    </row>
    <row r="298" spans="1:83" x14ac:dyDescent="0.2">
      <c r="C298" s="53" t="str">
        <f>"Объем: "&amp;Source!I95&amp;"=1,5*"&amp;"1,7*"&amp;"0,15"</f>
        <v>Объем: 0,3825=1,5*1,7*0,15</v>
      </c>
    </row>
    <row r="299" spans="1:83" ht="15" x14ac:dyDescent="0.2">
      <c r="A299" s="47"/>
      <c r="B299" s="50">
        <v>1</v>
      </c>
      <c r="C299" s="47" t="s">
        <v>730</v>
      </c>
      <c r="D299" s="49" t="s">
        <v>428</v>
      </c>
      <c r="E299" s="54"/>
      <c r="F299" s="50"/>
      <c r="G299" s="50">
        <f>Source!U95</f>
        <v>7.5773250000000001</v>
      </c>
      <c r="H299" s="50"/>
      <c r="I299" s="50"/>
      <c r="J299" s="50"/>
      <c r="K299" s="50"/>
      <c r="L299" s="55">
        <f>SUM(L300:L300)-SUMIF(CE300:CE300, 1, L300:L300)</f>
        <v>4858.7299999999996</v>
      </c>
    </row>
    <row r="300" spans="1:83" ht="14.25" x14ac:dyDescent="0.2">
      <c r="A300" s="48"/>
      <c r="B300" s="48" t="s">
        <v>436</v>
      </c>
      <c r="C300" s="48" t="s">
        <v>437</v>
      </c>
      <c r="D300" s="49" t="s">
        <v>428</v>
      </c>
      <c r="E300" s="50">
        <v>19.809999999999999</v>
      </c>
      <c r="F300" s="50"/>
      <c r="G300" s="50">
        <f>SmtRes!CX83</f>
        <v>7.5773250000000001</v>
      </c>
      <c r="H300" s="52">
        <f>SmtRes!CZ83</f>
        <v>641.22</v>
      </c>
      <c r="I300" s="51"/>
      <c r="J300" s="52"/>
      <c r="K300" s="51"/>
      <c r="L300" s="52">
        <f>SmtRes!DI83</f>
        <v>4858.7299999999996</v>
      </c>
    </row>
    <row r="301" spans="1:83" ht="15" x14ac:dyDescent="0.2">
      <c r="A301" s="47"/>
      <c r="B301" s="50">
        <v>2</v>
      </c>
      <c r="C301" s="47" t="s">
        <v>731</v>
      </c>
      <c r="D301" s="49"/>
      <c r="E301" s="54"/>
      <c r="F301" s="50"/>
      <c r="G301" s="50"/>
      <c r="H301" s="50"/>
      <c r="I301" s="50"/>
      <c r="J301" s="50"/>
      <c r="K301" s="50"/>
      <c r="L301" s="55">
        <f>SUM(L302:L305)-SUMIF(CE302:CE305, 1, L302:L305)</f>
        <v>311.17999999999995</v>
      </c>
    </row>
    <row r="302" spans="1:83" ht="15" hidden="1" x14ac:dyDescent="0.2">
      <c r="A302" s="47"/>
      <c r="B302" s="50"/>
      <c r="C302" s="47" t="s">
        <v>733</v>
      </c>
      <c r="D302" s="49" t="s">
        <v>428</v>
      </c>
      <c r="E302" s="54"/>
      <c r="F302" s="50"/>
      <c r="G302" s="50">
        <f>Source!V95</f>
        <v>0</v>
      </c>
      <c r="H302" s="50"/>
      <c r="I302" s="50"/>
      <c r="J302" s="50"/>
      <c r="K302" s="50"/>
      <c r="L302" s="55">
        <f>SUMIF(CE303:CE305, 1, L303:L305)</f>
        <v>0</v>
      </c>
      <c r="CE302">
        <v>1</v>
      </c>
    </row>
    <row r="303" spans="1:83" ht="14.25" x14ac:dyDescent="0.2">
      <c r="A303" s="48"/>
      <c r="B303" s="48" t="s">
        <v>438</v>
      </c>
      <c r="C303" s="48" t="s">
        <v>440</v>
      </c>
      <c r="D303" s="49" t="s">
        <v>434</v>
      </c>
      <c r="E303" s="50">
        <v>2.36</v>
      </c>
      <c r="F303" s="50"/>
      <c r="G303" s="50">
        <f>SmtRes!CX84</f>
        <v>0.90269999999999995</v>
      </c>
      <c r="H303" s="52">
        <f>SmtRes!CZ84</f>
        <v>4.3499999999999996</v>
      </c>
      <c r="I303" s="51">
        <f>SmtRes!AJ84</f>
        <v>1.23</v>
      </c>
      <c r="J303" s="52">
        <f>ROUND(H303*I303, 2)</f>
        <v>5.35</v>
      </c>
      <c r="K303" s="51"/>
      <c r="L303" s="52">
        <f>SmtRes!DG84</f>
        <v>4.83</v>
      </c>
    </row>
    <row r="304" spans="1:83" ht="57" x14ac:dyDescent="0.2">
      <c r="A304" s="48"/>
      <c r="B304" s="48" t="s">
        <v>441</v>
      </c>
      <c r="C304" s="48" t="s">
        <v>443</v>
      </c>
      <c r="D304" s="49" t="s">
        <v>434</v>
      </c>
      <c r="E304" s="50">
        <v>8.15</v>
      </c>
      <c r="F304" s="50"/>
      <c r="G304" s="50">
        <f>SmtRes!CX85</f>
        <v>3.117375</v>
      </c>
      <c r="H304" s="52">
        <f>SmtRes!CZ85</f>
        <v>67.2</v>
      </c>
      <c r="I304" s="51">
        <f>SmtRes!AJ85</f>
        <v>1.36</v>
      </c>
      <c r="J304" s="52">
        <f>ROUND(H304*I304, 2)</f>
        <v>91.39</v>
      </c>
      <c r="K304" s="51"/>
      <c r="L304" s="52">
        <f>SmtRes!DG85</f>
        <v>284.89999999999998</v>
      </c>
    </row>
    <row r="305" spans="1:83" ht="42.75" x14ac:dyDescent="0.2">
      <c r="A305" s="48"/>
      <c r="B305" s="48" t="s">
        <v>444</v>
      </c>
      <c r="C305" s="48" t="s">
        <v>446</v>
      </c>
      <c r="D305" s="49" t="s">
        <v>434</v>
      </c>
      <c r="E305" s="50">
        <v>16.3</v>
      </c>
      <c r="F305" s="50"/>
      <c r="G305" s="50">
        <f>SmtRes!CX86</f>
        <v>6.23475</v>
      </c>
      <c r="H305" s="52">
        <f>SmtRes!CZ86</f>
        <v>2.11</v>
      </c>
      <c r="I305" s="51">
        <f>SmtRes!AJ86</f>
        <v>1.63</v>
      </c>
      <c r="J305" s="52">
        <f>ROUND(H305*I305, 2)</f>
        <v>3.44</v>
      </c>
      <c r="K305" s="51"/>
      <c r="L305" s="52">
        <f>SmtRes!DG86</f>
        <v>21.45</v>
      </c>
    </row>
    <row r="306" spans="1:83" ht="15" x14ac:dyDescent="0.2">
      <c r="A306" s="47"/>
      <c r="B306" s="50">
        <v>4</v>
      </c>
      <c r="C306" s="47" t="s">
        <v>742</v>
      </c>
      <c r="D306" s="49"/>
      <c r="E306" s="54"/>
      <c r="F306" s="50"/>
      <c r="G306" s="50"/>
      <c r="H306" s="50"/>
      <c r="I306" s="50"/>
      <c r="J306" s="50"/>
      <c r="K306" s="50"/>
      <c r="L306" s="55">
        <f>SUM(L307:L308)-SUMIF(CE307:CE308, 1, L307:L308)</f>
        <v>129.59</v>
      </c>
    </row>
    <row r="307" spans="1:83" ht="14.25" x14ac:dyDescent="0.2">
      <c r="A307" s="48"/>
      <c r="B307" s="48" t="s">
        <v>447</v>
      </c>
      <c r="C307" s="48" t="s">
        <v>449</v>
      </c>
      <c r="D307" s="49" t="s">
        <v>34</v>
      </c>
      <c r="E307" s="50">
        <v>0.26</v>
      </c>
      <c r="F307" s="50"/>
      <c r="G307" s="50">
        <f>SmtRes!CX87</f>
        <v>9.9449999999999997E-2</v>
      </c>
      <c r="H307" s="52">
        <f>SmtRes!CZ87</f>
        <v>340.41</v>
      </c>
      <c r="I307" s="51">
        <f>SmtRes!AI87</f>
        <v>1.6</v>
      </c>
      <c r="J307" s="52">
        <f>ROUND(H307*I307, 2)</f>
        <v>544.66</v>
      </c>
      <c r="K307" s="51"/>
      <c r="L307" s="52">
        <f>SmtRes!DF87</f>
        <v>54.17</v>
      </c>
    </row>
    <row r="308" spans="1:83" ht="14.25" x14ac:dyDescent="0.2">
      <c r="A308" s="48"/>
      <c r="B308" s="48" t="s">
        <v>450</v>
      </c>
      <c r="C308" s="56" t="s">
        <v>452</v>
      </c>
      <c r="D308" s="57" t="s">
        <v>34</v>
      </c>
      <c r="E308" s="58">
        <v>2</v>
      </c>
      <c r="F308" s="58"/>
      <c r="G308" s="58">
        <f>SmtRes!CX88</f>
        <v>0.76500000000000001</v>
      </c>
      <c r="H308" s="59">
        <f>SmtRes!CZ88</f>
        <v>114.64</v>
      </c>
      <c r="I308" s="60">
        <f>SmtRes!AI88</f>
        <v>0.86</v>
      </c>
      <c r="J308" s="59">
        <f>ROUND(H308*I308, 2)</f>
        <v>98.59</v>
      </c>
      <c r="K308" s="60"/>
      <c r="L308" s="59">
        <f>SmtRes!DF88</f>
        <v>75.42</v>
      </c>
    </row>
    <row r="309" spans="1:83" ht="15" x14ac:dyDescent="0.2">
      <c r="A309" s="48"/>
      <c r="B309" s="48"/>
      <c r="C309" s="63" t="s">
        <v>734</v>
      </c>
      <c r="D309" s="49"/>
      <c r="E309" s="50"/>
      <c r="F309" s="50"/>
      <c r="G309" s="50"/>
      <c r="H309" s="52"/>
      <c r="I309" s="51"/>
      <c r="J309" s="52"/>
      <c r="K309" s="51"/>
      <c r="L309" s="52">
        <f>L299+L301+L302+L306</f>
        <v>5299.5</v>
      </c>
    </row>
    <row r="310" spans="1:83" ht="14.25" x14ac:dyDescent="0.2">
      <c r="A310" s="48"/>
      <c r="B310" s="48"/>
      <c r="C310" s="48" t="s">
        <v>735</v>
      </c>
      <c r="D310" s="49"/>
      <c r="E310" s="50"/>
      <c r="F310" s="50"/>
      <c r="G310" s="50"/>
      <c r="H310" s="52"/>
      <c r="I310" s="51"/>
      <c r="J310" s="52"/>
      <c r="K310" s="51"/>
      <c r="L310" s="52">
        <f>SUM(AR297:AR313)+SUM(AS297:AS313)+SUM(AT297:AT313)+SUM(AU297:AU313)+SUM(AV297:AV313)</f>
        <v>4858.7299999999996</v>
      </c>
    </row>
    <row r="311" spans="1:83" ht="28.5" x14ac:dyDescent="0.2">
      <c r="A311" s="48"/>
      <c r="B311" s="48" t="s">
        <v>38</v>
      </c>
      <c r="C311" s="48" t="s">
        <v>743</v>
      </c>
      <c r="D311" s="49" t="s">
        <v>737</v>
      </c>
      <c r="E311" s="50">
        <f>Source!BZ95</f>
        <v>92</v>
      </c>
      <c r="F311" s="50"/>
      <c r="G311" s="50">
        <f>Source!AT95</f>
        <v>92</v>
      </c>
      <c r="H311" s="52"/>
      <c r="I311" s="51"/>
      <c r="J311" s="52"/>
      <c r="K311" s="51"/>
      <c r="L311" s="52">
        <f>SUM(AZ297:AZ313)</f>
        <v>4470.03</v>
      </c>
    </row>
    <row r="312" spans="1:83" ht="28.5" x14ac:dyDescent="0.2">
      <c r="A312" s="56"/>
      <c r="B312" s="56" t="s">
        <v>39</v>
      </c>
      <c r="C312" s="56" t="s">
        <v>744</v>
      </c>
      <c r="D312" s="57" t="s">
        <v>737</v>
      </c>
      <c r="E312" s="58">
        <f>Source!CA95</f>
        <v>44</v>
      </c>
      <c r="F312" s="58"/>
      <c r="G312" s="58">
        <f>Source!AU95</f>
        <v>44</v>
      </c>
      <c r="H312" s="59"/>
      <c r="I312" s="60"/>
      <c r="J312" s="59"/>
      <c r="K312" s="60"/>
      <c r="L312" s="59">
        <f>SUM(BA297:BA313)</f>
        <v>2137.84</v>
      </c>
    </row>
    <row r="313" spans="1:83" ht="15" x14ac:dyDescent="0.2">
      <c r="C313" s="124" t="s">
        <v>739</v>
      </c>
      <c r="D313" s="124"/>
      <c r="E313" s="124"/>
      <c r="F313" s="124"/>
      <c r="G313" s="124"/>
      <c r="H313" s="124"/>
      <c r="I313" s="125">
        <f>IF(E297&lt;&gt;0,K313/E297, 0)</f>
        <v>31130.379084967317</v>
      </c>
      <c r="J313" s="125"/>
      <c r="K313" s="125">
        <f>L299+L301+L306+L311+L312+L302</f>
        <v>11907.369999999999</v>
      </c>
      <c r="L313" s="125"/>
      <c r="AD313">
        <f>ROUND((Source!AT95/100)*((ROUND(SUMIF(SmtRes!AQ83:'SmtRes'!AQ88,"=1",SmtRes!AD83:'SmtRes'!AD88)*Source!I95, 2)+ROUND(SUMIF(SmtRes!AQ83:'SmtRes'!AQ88,"=1",SmtRes!AC83:'SmtRes'!AC88)*Source!I95, 2))), 2)</f>
        <v>225.65</v>
      </c>
      <c r="AE313">
        <f>ROUND((Source!AU95/100)*((ROUND(SUMIF(SmtRes!AQ83:'SmtRes'!AQ88,"=1",SmtRes!AD83:'SmtRes'!AD88)*Source!I95, 2)+ROUND(SUMIF(SmtRes!AQ83:'SmtRes'!AQ88,"=1",SmtRes!AC83:'SmtRes'!AC88)*Source!I95, 2))), 2)</f>
        <v>107.92</v>
      </c>
      <c r="AN313" s="61">
        <f>L299+L301+L306+L311+L312+L302</f>
        <v>11907.369999999999</v>
      </c>
      <c r="AO313" s="61">
        <f>L301</f>
        <v>311.17999999999995</v>
      </c>
      <c r="AQ313" t="s">
        <v>740</v>
      </c>
      <c r="AR313" s="61">
        <f>L299</f>
        <v>4858.7299999999996</v>
      </c>
      <c r="AT313" s="61">
        <f>L302</f>
        <v>0</v>
      </c>
      <c r="AV313" t="s">
        <v>740</v>
      </c>
      <c r="AW313" s="61">
        <f>L306</f>
        <v>129.59</v>
      </c>
      <c r="AZ313">
        <f>Source!X95</f>
        <v>4470.03</v>
      </c>
      <c r="BA313">
        <f>Source!Y95</f>
        <v>2137.84</v>
      </c>
      <c r="CD313">
        <v>1</v>
      </c>
    </row>
    <row r="314" spans="1:83" ht="14.25" x14ac:dyDescent="0.2">
      <c r="A314" s="46" t="s">
        <v>211</v>
      </c>
      <c r="B314" s="48" t="s">
        <v>745</v>
      </c>
      <c r="C314" s="48" t="str">
        <f>Source!G96</f>
        <v>Устройство: железобетонных крылец</v>
      </c>
      <c r="D314" s="49" t="str">
        <f>Source!H96</f>
        <v>м3</v>
      </c>
      <c r="E314" s="50">
        <f>Source!K96</f>
        <v>0.38250000000000001</v>
      </c>
      <c r="F314" s="50"/>
      <c r="G314" s="50">
        <f>Source!I96</f>
        <v>0.38250000000000001</v>
      </c>
      <c r="H314" s="52"/>
      <c r="I314" s="51"/>
      <c r="J314" s="52"/>
      <c r="K314" s="51"/>
      <c r="L314" s="52"/>
    </row>
    <row r="315" spans="1:83" ht="15" x14ac:dyDescent="0.2">
      <c r="A315" s="47"/>
      <c r="B315" s="50">
        <v>1</v>
      </c>
      <c r="C315" s="47" t="s">
        <v>730</v>
      </c>
      <c r="D315" s="49" t="s">
        <v>428</v>
      </c>
      <c r="E315" s="54"/>
      <c r="F315" s="50"/>
      <c r="G315" s="50">
        <f>Source!U96</f>
        <v>1.8551249999999999</v>
      </c>
      <c r="H315" s="50"/>
      <c r="I315" s="50"/>
      <c r="J315" s="50"/>
      <c r="K315" s="50"/>
      <c r="L315" s="55">
        <f>SUM(L316:L316)-SUMIF(CE316:CE316, 1, L316:L316)</f>
        <v>1204.42</v>
      </c>
    </row>
    <row r="316" spans="1:83" ht="14.25" x14ac:dyDescent="0.2">
      <c r="A316" s="48"/>
      <c r="B316" s="48" t="s">
        <v>436</v>
      </c>
      <c r="C316" s="48" t="s">
        <v>437</v>
      </c>
      <c r="D316" s="49" t="s">
        <v>428</v>
      </c>
      <c r="E316" s="50">
        <v>4.8499999999999996</v>
      </c>
      <c r="F316" s="50"/>
      <c r="G316" s="50">
        <f>SmtRes!CX89</f>
        <v>1.8551249999999999</v>
      </c>
      <c r="H316" s="52"/>
      <c r="I316" s="51"/>
      <c r="J316" s="52">
        <f>SmtRes!CZ89</f>
        <v>649.24</v>
      </c>
      <c r="K316" s="51"/>
      <c r="L316" s="52">
        <f>SmtRes!DI89</f>
        <v>1204.42</v>
      </c>
    </row>
    <row r="317" spans="1:83" ht="15" x14ac:dyDescent="0.2">
      <c r="A317" s="47"/>
      <c r="B317" s="50">
        <v>2</v>
      </c>
      <c r="C317" s="47" t="s">
        <v>731</v>
      </c>
      <c r="D317" s="49"/>
      <c r="E317" s="54"/>
      <c r="F317" s="50"/>
      <c r="G317" s="50"/>
      <c r="H317" s="50"/>
      <c r="I317" s="50"/>
      <c r="J317" s="50"/>
      <c r="K317" s="50"/>
      <c r="L317" s="55">
        <f>SUM(L318:L324)-SUMIF(CE318:CE324, 1, L318:L324)</f>
        <v>30.28</v>
      </c>
    </row>
    <row r="318" spans="1:83" ht="15" x14ac:dyDescent="0.2">
      <c r="A318" s="47"/>
      <c r="B318" s="50"/>
      <c r="C318" s="47" t="s">
        <v>733</v>
      </c>
      <c r="D318" s="49" t="s">
        <v>428</v>
      </c>
      <c r="E318" s="54"/>
      <c r="F318" s="50"/>
      <c r="G318" s="50">
        <f>Source!V96</f>
        <v>4.5900000000000003E-2</v>
      </c>
      <c r="H318" s="50"/>
      <c r="I318" s="50"/>
      <c r="J318" s="50"/>
      <c r="K318" s="50"/>
      <c r="L318" s="55">
        <f>SUMIF(CE319:CE324, 1, L319:L324)</f>
        <v>34.520000000000003</v>
      </c>
      <c r="CE318">
        <v>1</v>
      </c>
    </row>
    <row r="319" spans="1:83" ht="28.5" x14ac:dyDescent="0.2">
      <c r="A319" s="48"/>
      <c r="B319" s="48" t="s">
        <v>453</v>
      </c>
      <c r="C319" s="48" t="s">
        <v>455</v>
      </c>
      <c r="D319" s="49" t="s">
        <v>434</v>
      </c>
      <c r="E319" s="50">
        <v>0.01</v>
      </c>
      <c r="F319" s="50"/>
      <c r="G319" s="50">
        <f>SmtRes!CX91</f>
        <v>3.8249999999999998E-3</v>
      </c>
      <c r="H319" s="52"/>
      <c r="I319" s="51"/>
      <c r="J319" s="52">
        <f>SmtRes!CZ91</f>
        <v>1585.56</v>
      </c>
      <c r="K319" s="51"/>
      <c r="L319" s="52">
        <f>SmtRes!DG91</f>
        <v>6.06</v>
      </c>
    </row>
    <row r="320" spans="1:83" ht="28.5" x14ac:dyDescent="0.2">
      <c r="A320" s="48"/>
      <c r="B320" s="48" t="s">
        <v>456</v>
      </c>
      <c r="C320" s="48" t="s">
        <v>746</v>
      </c>
      <c r="D320" s="49" t="s">
        <v>428</v>
      </c>
      <c r="E320" s="50">
        <f>SmtRes!DO91*SmtRes!AT91</f>
        <v>0.01</v>
      </c>
      <c r="F320" s="50"/>
      <c r="G320" s="50">
        <f>ROUND(E320*G314, 7)</f>
        <v>3.8249999999999998E-3</v>
      </c>
      <c r="H320" s="52"/>
      <c r="I320" s="51"/>
      <c r="J320" s="52">
        <f>ROUND(SmtRes!AG91/SmtRes!DO91, 2)</f>
        <v>982.04</v>
      </c>
      <c r="K320" s="51"/>
      <c r="L320" s="52">
        <f>SmtRes!DH91</f>
        <v>3.76</v>
      </c>
      <c r="CE320">
        <v>1</v>
      </c>
    </row>
    <row r="321" spans="1:83" ht="14.25" x14ac:dyDescent="0.2">
      <c r="A321" s="48"/>
      <c r="B321" s="48" t="s">
        <v>457</v>
      </c>
      <c r="C321" s="48" t="s">
        <v>459</v>
      </c>
      <c r="D321" s="49" t="s">
        <v>434</v>
      </c>
      <c r="E321" s="50">
        <v>0.17</v>
      </c>
      <c r="F321" s="50"/>
      <c r="G321" s="50">
        <f>SmtRes!CX92</f>
        <v>6.5024999999999999E-2</v>
      </c>
      <c r="H321" s="52">
        <f>SmtRes!CZ92</f>
        <v>10.37</v>
      </c>
      <c r="I321" s="51">
        <f>SmtRes!AJ92</f>
        <v>1.2</v>
      </c>
      <c r="J321" s="52">
        <f>ROUND(H321*I321, 2)</f>
        <v>12.44</v>
      </c>
      <c r="K321" s="51"/>
      <c r="L321" s="52">
        <f>SmtRes!DG92</f>
        <v>0.81</v>
      </c>
    </row>
    <row r="322" spans="1:83" ht="14.25" x14ac:dyDescent="0.2">
      <c r="A322" s="48"/>
      <c r="B322" s="48" t="s">
        <v>460</v>
      </c>
      <c r="C322" s="48" t="s">
        <v>462</v>
      </c>
      <c r="D322" s="49" t="s">
        <v>434</v>
      </c>
      <c r="E322" s="50">
        <v>0.1</v>
      </c>
      <c r="F322" s="50"/>
      <c r="G322" s="50">
        <f>SmtRes!CX93</f>
        <v>3.8249999999999999E-2</v>
      </c>
      <c r="H322" s="52">
        <f>SmtRes!CZ93</f>
        <v>8.5399999999999991</v>
      </c>
      <c r="I322" s="51">
        <f>SmtRes!AJ93</f>
        <v>1.46</v>
      </c>
      <c r="J322" s="52">
        <f>ROUND(H322*I322, 2)</f>
        <v>12.47</v>
      </c>
      <c r="K322" s="51"/>
      <c r="L322" s="52">
        <f>SmtRes!DG93</f>
        <v>0.48</v>
      </c>
    </row>
    <row r="323" spans="1:83" ht="28.5" x14ac:dyDescent="0.2">
      <c r="A323" s="48"/>
      <c r="B323" s="48" t="s">
        <v>463</v>
      </c>
      <c r="C323" s="48" t="s">
        <v>465</v>
      </c>
      <c r="D323" s="49" t="s">
        <v>434</v>
      </c>
      <c r="E323" s="50">
        <v>0.11</v>
      </c>
      <c r="F323" s="50"/>
      <c r="G323" s="50">
        <f>SmtRes!CX94</f>
        <v>4.2075000000000001E-2</v>
      </c>
      <c r="H323" s="52"/>
      <c r="I323" s="51"/>
      <c r="J323" s="52">
        <f>SmtRes!CZ94</f>
        <v>544.91999999999996</v>
      </c>
      <c r="K323" s="51"/>
      <c r="L323" s="52">
        <f>SmtRes!DG94</f>
        <v>22.93</v>
      </c>
    </row>
    <row r="324" spans="1:83" ht="28.5" x14ac:dyDescent="0.2">
      <c r="A324" s="48"/>
      <c r="B324" s="48" t="s">
        <v>466</v>
      </c>
      <c r="C324" s="48" t="s">
        <v>747</v>
      </c>
      <c r="D324" s="49" t="s">
        <v>428</v>
      </c>
      <c r="E324" s="50">
        <f>SmtRes!DO94*SmtRes!AT94</f>
        <v>0.11</v>
      </c>
      <c r="F324" s="50"/>
      <c r="G324" s="50">
        <f>ROUND(E324*G314, 7)</f>
        <v>4.2075000000000001E-2</v>
      </c>
      <c r="H324" s="52"/>
      <c r="I324" s="51"/>
      <c r="J324" s="52">
        <f>ROUND(SmtRes!AG94/SmtRes!DO94, 2)</f>
        <v>731.08</v>
      </c>
      <c r="K324" s="51"/>
      <c r="L324" s="52">
        <f>SmtRes!DH94</f>
        <v>30.76</v>
      </c>
      <c r="CE324">
        <v>1</v>
      </c>
    </row>
    <row r="325" spans="1:83" ht="15" x14ac:dyDescent="0.2">
      <c r="A325" s="47"/>
      <c r="B325" s="50">
        <v>4</v>
      </c>
      <c r="C325" s="47" t="s">
        <v>742</v>
      </c>
      <c r="D325" s="49"/>
      <c r="E325" s="54"/>
      <c r="F325" s="50"/>
      <c r="G325" s="50"/>
      <c r="H325" s="50"/>
      <c r="I325" s="50"/>
      <c r="J325" s="50"/>
      <c r="K325" s="50"/>
      <c r="L325" s="55">
        <f>SUM(L326:L330)-SUMIF(CE326:CE330, 1, L326:L330)</f>
        <v>632.74</v>
      </c>
    </row>
    <row r="326" spans="1:83" ht="14.25" x14ac:dyDescent="0.2">
      <c r="A326" s="48"/>
      <c r="B326" s="48" t="s">
        <v>467</v>
      </c>
      <c r="C326" s="48" t="s">
        <v>469</v>
      </c>
      <c r="D326" s="49" t="s">
        <v>34</v>
      </c>
      <c r="E326" s="50">
        <v>8.3999999999999995E-3</v>
      </c>
      <c r="F326" s="50"/>
      <c r="G326" s="50">
        <f>SmtRes!CX95</f>
        <v>3.2130000000000001E-3</v>
      </c>
      <c r="H326" s="52">
        <f>SmtRes!CZ95</f>
        <v>35.71</v>
      </c>
      <c r="I326" s="51">
        <f>SmtRes!AI95</f>
        <v>1.53</v>
      </c>
      <c r="J326" s="52">
        <f>ROUND(H326*I326, 2)</f>
        <v>54.64</v>
      </c>
      <c r="K326" s="51"/>
      <c r="L326" s="52">
        <f>SmtRes!DF95</f>
        <v>0.18</v>
      </c>
    </row>
    <row r="327" spans="1:83" ht="42.75" x14ac:dyDescent="0.2">
      <c r="A327" s="48"/>
      <c r="B327" s="48" t="s">
        <v>470</v>
      </c>
      <c r="C327" s="48" t="s">
        <v>472</v>
      </c>
      <c r="D327" s="49" t="s">
        <v>60</v>
      </c>
      <c r="E327" s="50">
        <v>0.23</v>
      </c>
      <c r="F327" s="50"/>
      <c r="G327" s="50">
        <f>SmtRes!CX96</f>
        <v>8.7974999999999998E-2</v>
      </c>
      <c r="H327" s="52">
        <f>SmtRes!CZ96</f>
        <v>28.13</v>
      </c>
      <c r="I327" s="51">
        <f>SmtRes!AI96</f>
        <v>1.1100000000000001</v>
      </c>
      <c r="J327" s="52">
        <f>ROUND(H327*I327, 2)</f>
        <v>31.22</v>
      </c>
      <c r="K327" s="51"/>
      <c r="L327" s="52">
        <f>SmtRes!DF96</f>
        <v>2.75</v>
      </c>
    </row>
    <row r="328" spans="1:83" ht="14.25" x14ac:dyDescent="0.2">
      <c r="A328" s="48"/>
      <c r="B328" s="48" t="s">
        <v>473</v>
      </c>
      <c r="C328" s="48" t="s">
        <v>475</v>
      </c>
      <c r="D328" s="49" t="s">
        <v>96</v>
      </c>
      <c r="E328" s="50">
        <v>0.3</v>
      </c>
      <c r="F328" s="50"/>
      <c r="G328" s="50">
        <f>SmtRes!CX99</f>
        <v>0.11475</v>
      </c>
      <c r="H328" s="52">
        <f>SmtRes!CZ99</f>
        <v>83.06</v>
      </c>
      <c r="I328" s="51">
        <f>SmtRes!AI99</f>
        <v>0.84</v>
      </c>
      <c r="J328" s="52">
        <f>ROUND(H328*I328, 2)</f>
        <v>69.77</v>
      </c>
      <c r="K328" s="51"/>
      <c r="L328" s="52">
        <f>SmtRes!DF99</f>
        <v>8.01</v>
      </c>
    </row>
    <row r="329" spans="1:83" ht="57" x14ac:dyDescent="0.2">
      <c r="A329" s="48"/>
      <c r="B329" s="48" t="s">
        <v>476</v>
      </c>
      <c r="C329" s="48" t="s">
        <v>478</v>
      </c>
      <c r="D329" s="49" t="s">
        <v>34</v>
      </c>
      <c r="E329" s="50">
        <v>1.7999999999999999E-2</v>
      </c>
      <c r="F329" s="50"/>
      <c r="G329" s="50">
        <f>SmtRes!CX100</f>
        <v>6.8849999999999996E-3</v>
      </c>
      <c r="H329" s="52">
        <f>SmtRes!CZ100</f>
        <v>16496.03</v>
      </c>
      <c r="I329" s="51">
        <f>SmtRes!AI100</f>
        <v>0.84</v>
      </c>
      <c r="J329" s="52">
        <f>ROUND(H329*I329, 2)</f>
        <v>13856.67</v>
      </c>
      <c r="K329" s="51"/>
      <c r="L329" s="52">
        <f>SmtRes!DF100</f>
        <v>95.4</v>
      </c>
    </row>
    <row r="330" spans="1:83" ht="57" x14ac:dyDescent="0.2">
      <c r="A330" s="48"/>
      <c r="B330" s="48" t="s">
        <v>479</v>
      </c>
      <c r="C330" s="48" t="s">
        <v>481</v>
      </c>
      <c r="D330" s="49" t="s">
        <v>34</v>
      </c>
      <c r="E330" s="50">
        <v>0.13800000000000001</v>
      </c>
      <c r="F330" s="50"/>
      <c r="G330" s="50">
        <f>SmtRes!CX102</f>
        <v>5.2784999999999999E-2</v>
      </c>
      <c r="H330" s="52">
        <f>SmtRes!CZ102</f>
        <v>5764.42</v>
      </c>
      <c r="I330" s="51">
        <f>SmtRes!AI102</f>
        <v>1.73</v>
      </c>
      <c r="J330" s="52">
        <f>ROUND(H330*I330, 2)</f>
        <v>9972.4500000000007</v>
      </c>
      <c r="K330" s="51"/>
      <c r="L330" s="52">
        <f>SmtRes!DF102</f>
        <v>526.4</v>
      </c>
    </row>
    <row r="331" spans="1:83" ht="14.25" x14ac:dyDescent="0.2">
      <c r="A331" s="48"/>
      <c r="B331" s="48" t="str">
        <f>EtalonRes!I97</f>
        <v>01.7.16.04</v>
      </c>
      <c r="C331" s="48" t="str">
        <f>EtalonRes!K97</f>
        <v>Опалубка инвентарная (амортизация)</v>
      </c>
      <c r="D331" s="49" t="str">
        <f>EtalonRes!O97</f>
        <v>КОМПЛ</v>
      </c>
      <c r="E331" s="50">
        <f>EtalonRes!X97</f>
        <v>0</v>
      </c>
      <c r="F331" s="50"/>
      <c r="G331" s="50">
        <f>ROUND(EtalonRes!AG97*Source!I96, 7)</f>
        <v>0</v>
      </c>
      <c r="H331" s="52"/>
      <c r="I331" s="51"/>
      <c r="J331" s="52"/>
      <c r="K331" s="51"/>
      <c r="L331" s="52"/>
    </row>
    <row r="332" spans="1:83" ht="14.25" x14ac:dyDescent="0.2">
      <c r="A332" s="48"/>
      <c r="B332" s="48" t="str">
        <f>EtalonRes!I98</f>
        <v>04.1.02.05</v>
      </c>
      <c r="C332" s="48" t="str">
        <f>EtalonRes!K98</f>
        <v>Смеси бетонные тяжелого бетона</v>
      </c>
      <c r="D332" s="49" t="str">
        <f>EtalonRes!O98</f>
        <v>м3</v>
      </c>
      <c r="E332" s="50">
        <f>EtalonRes!X98</f>
        <v>1.0149999999999999</v>
      </c>
      <c r="F332" s="50"/>
      <c r="G332" s="50">
        <f>ROUND(EtalonRes!AG98*Source!I96, 7)</f>
        <v>0.38823750000000001</v>
      </c>
      <c r="H332" s="52"/>
      <c r="I332" s="51"/>
      <c r="J332" s="52"/>
      <c r="K332" s="51"/>
      <c r="L332" s="52"/>
    </row>
    <row r="333" spans="1:83" ht="14.25" x14ac:dyDescent="0.2">
      <c r="A333" s="48"/>
      <c r="B333" s="48" t="str">
        <f>EtalonRes!I100</f>
        <v>08.4.03.03</v>
      </c>
      <c r="C333" s="56" t="str">
        <f>EtalonRes!K100</f>
        <v>Заготовки арматурные</v>
      </c>
      <c r="D333" s="57" t="str">
        <f>EtalonRes!O100</f>
        <v>т</v>
      </c>
      <c r="E333" s="58">
        <f>EtalonRes!X100</f>
        <v>0.03</v>
      </c>
      <c r="F333" s="58"/>
      <c r="G333" s="58">
        <f>ROUND(EtalonRes!AG100*Source!I96, 7)</f>
        <v>1.1475000000000001E-2</v>
      </c>
      <c r="H333" s="59"/>
      <c r="I333" s="60"/>
      <c r="J333" s="59"/>
      <c r="K333" s="60"/>
      <c r="L333" s="59"/>
    </row>
    <row r="334" spans="1:83" ht="15" x14ac:dyDescent="0.2">
      <c r="A334" s="48"/>
      <c r="B334" s="48"/>
      <c r="C334" s="63" t="s">
        <v>734</v>
      </c>
      <c r="D334" s="49"/>
      <c r="E334" s="50"/>
      <c r="F334" s="50"/>
      <c r="G334" s="50"/>
      <c r="H334" s="52"/>
      <c r="I334" s="51"/>
      <c r="J334" s="52"/>
      <c r="K334" s="51"/>
      <c r="L334" s="52">
        <f>L315+L317+L318+L325</f>
        <v>1901.96</v>
      </c>
    </row>
    <row r="335" spans="1:83" ht="42.75" x14ac:dyDescent="0.2">
      <c r="A335" s="46" t="s">
        <v>800</v>
      </c>
      <c r="B335" s="48" t="str">
        <f>Source!F97</f>
        <v>04.1.02.05-0128</v>
      </c>
      <c r="C335" s="48" t="str">
        <f>Source!G97</f>
        <v>Смеси бетонные тяжелого бетона (БСТ) на щебне из гравия, класс В12,5, F(1)100, W4</v>
      </c>
      <c r="D335" s="49" t="str">
        <f>Source!H97</f>
        <v>м3</v>
      </c>
      <c r="E335" s="50">
        <f>SmtRes!AT97</f>
        <v>1.0149999999999999</v>
      </c>
      <c r="F335" s="50"/>
      <c r="G335" s="50">
        <f>Source!I97</f>
        <v>0.38823750000000007</v>
      </c>
      <c r="H335" s="52"/>
      <c r="I335" s="51"/>
      <c r="J335" s="52">
        <f>Source!AK97</f>
        <v>6056.81</v>
      </c>
      <c r="K335" s="51"/>
      <c r="L335" s="52">
        <f>Source!P97</f>
        <v>2351.48</v>
      </c>
      <c r="AD335">
        <f>ROUND((Source!AT97/100)*((ROUND(ROUND(Source!AO97,2)*Source!I97, 2)+ROUND(ROUND(Source!AN97,2)*Source!I97, 2))), 2)</f>
        <v>0</v>
      </c>
      <c r="AE335">
        <f>ROUND((Source!AU97/100)*((ROUND(ROUND(Source!AO97,2)*Source!I97, 2)+ROUND(ROUND(Source!AN97,2)*Source!I97, 2))), 2)</f>
        <v>0</v>
      </c>
      <c r="AN335">
        <f>L335</f>
        <v>2351.48</v>
      </c>
      <c r="AW335">
        <f>L335</f>
        <v>2351.48</v>
      </c>
      <c r="AZ335">
        <f>Source!X97</f>
        <v>0</v>
      </c>
      <c r="BA335">
        <f>Source!Y97</f>
        <v>0</v>
      </c>
      <c r="CD335">
        <v>1</v>
      </c>
    </row>
    <row r="336" spans="1:83" ht="57" x14ac:dyDescent="0.2">
      <c r="A336" s="46" t="s">
        <v>801</v>
      </c>
      <c r="B336" s="48" t="str">
        <f>Source!F98</f>
        <v>11.1.03.05-0064</v>
      </c>
      <c r="C336" s="48" t="str">
        <f>Source!G98</f>
        <v>Доска необрезная хвойных пород, естественной влажности, длина 2-6,5 м, ширина 100-250, толщина 30-50 мм, сорт II</v>
      </c>
      <c r="D336" s="49" t="str">
        <f>Source!H98</f>
        <v>м3</v>
      </c>
      <c r="E336" s="50">
        <f>SmtRes!AT101</f>
        <v>4.6013100000000001E-2</v>
      </c>
      <c r="F336" s="50"/>
      <c r="G336" s="50">
        <f>Source!I98</f>
        <v>1.7600000000000001E-2</v>
      </c>
      <c r="H336" s="52">
        <f>Source!AL98+Source!AO98+Source!AM98+Source!AN98</f>
        <v>7555</v>
      </c>
      <c r="I336" s="51">
        <f>IF(Source!BC98&lt;&gt; 0, Source!BC98, 1)</f>
        <v>1.35</v>
      </c>
      <c r="J336" s="52">
        <f>ROUND(H336*I336, 2)</f>
        <v>10199.25</v>
      </c>
      <c r="K336" s="51"/>
      <c r="L336" s="52">
        <f>Source!P98</f>
        <v>179.51</v>
      </c>
      <c r="AD336">
        <f>ROUND((Source!AT98/100)*((ROUND(ROUND(Source!AO98,2)*Source!I98, 2)+ROUND(ROUND(Source!AN98,2)*Source!I98, 2))), 2)</f>
        <v>0</v>
      </c>
      <c r="AE336">
        <f>ROUND((Source!AU98/100)*((ROUND(ROUND(Source!AO98,2)*Source!I98, 2)+ROUND(ROUND(Source!AN98,2)*Source!I98, 2))), 2)</f>
        <v>0</v>
      </c>
      <c r="AN336">
        <f>L336</f>
        <v>179.51</v>
      </c>
      <c r="AW336">
        <f>L336</f>
        <v>179.51</v>
      </c>
      <c r="AZ336">
        <f>Source!X98</f>
        <v>0</v>
      </c>
      <c r="BA336">
        <f>Source!Y98</f>
        <v>0</v>
      </c>
      <c r="CD336">
        <v>1</v>
      </c>
    </row>
    <row r="337" spans="1:83" ht="57" x14ac:dyDescent="0.2">
      <c r="A337" s="46" t="s">
        <v>802</v>
      </c>
      <c r="B337" s="48" t="str">
        <f>Source!F99</f>
        <v>08.1.02.17-0091</v>
      </c>
      <c r="C337" s="48" t="str">
        <f>Source!G99</f>
        <v>Сетка стальная сварная из арматурной проволоки без покрытия, диаметр проволоки 4 мм размер ячейки 100х100 мм</v>
      </c>
      <c r="D337" s="49" t="str">
        <f>Source!H99</f>
        <v>м2</v>
      </c>
      <c r="E337" s="50">
        <f>SmtRes!AT98</f>
        <v>6.8627450999999997</v>
      </c>
      <c r="F337" s="50"/>
      <c r="G337" s="50">
        <f>Source!I99</f>
        <v>2.625</v>
      </c>
      <c r="H337" s="52">
        <f>Source!AL99+Source!AO99+Source!AM99+Source!AN99</f>
        <v>93.45</v>
      </c>
      <c r="I337" s="51">
        <f>IF(Source!BC99&lt;&gt; 0, Source!BC99, 1)</f>
        <v>1.03</v>
      </c>
      <c r="J337" s="52">
        <f>ROUND(H337*I337, 2)</f>
        <v>96.25</v>
      </c>
      <c r="K337" s="51"/>
      <c r="L337" s="52">
        <f>Source!P99</f>
        <v>252.66</v>
      </c>
      <c r="AD337">
        <f>ROUND((Source!AT99/100)*((ROUND(ROUND(Source!AO99,2)*Source!I99, 2)+ROUND(ROUND(Source!AN99,2)*Source!I99, 2))), 2)</f>
        <v>0</v>
      </c>
      <c r="AE337">
        <f>ROUND((Source!AU99/100)*((ROUND(ROUND(Source!AO99,2)*Source!I99, 2)+ROUND(ROUND(Source!AN99,2)*Source!I99, 2))), 2)</f>
        <v>0</v>
      </c>
      <c r="AN337">
        <f>L337</f>
        <v>252.66</v>
      </c>
      <c r="AW337">
        <f>L337</f>
        <v>252.66</v>
      </c>
      <c r="AZ337">
        <f>Source!X99</f>
        <v>0</v>
      </c>
      <c r="BA337">
        <f>Source!Y99</f>
        <v>0</v>
      </c>
      <c r="CD337">
        <v>1</v>
      </c>
    </row>
    <row r="338" spans="1:83" ht="14.25" x14ac:dyDescent="0.2">
      <c r="A338" s="48"/>
      <c r="B338" s="48"/>
      <c r="C338" s="48" t="s">
        <v>735</v>
      </c>
      <c r="D338" s="49"/>
      <c r="E338" s="50"/>
      <c r="F338" s="50"/>
      <c r="G338" s="50"/>
      <c r="H338" s="52"/>
      <c r="I338" s="51"/>
      <c r="J338" s="52"/>
      <c r="K338" s="51"/>
      <c r="L338" s="52">
        <f>SUM(AR314:AR341)+SUM(AS314:AS341)+SUM(AT314:AT341)+SUM(AU314:AU341)+SUM(AV314:AV341)</f>
        <v>1238.94</v>
      </c>
    </row>
    <row r="339" spans="1:83" ht="42.75" x14ac:dyDescent="0.2">
      <c r="A339" s="48"/>
      <c r="B339" s="48" t="s">
        <v>47</v>
      </c>
      <c r="C339" s="48" t="s">
        <v>751</v>
      </c>
      <c r="D339" s="49" t="s">
        <v>737</v>
      </c>
      <c r="E339" s="50">
        <f>Source!BZ96</f>
        <v>102</v>
      </c>
      <c r="F339" s="50"/>
      <c r="G339" s="50">
        <f>Source!AT96</f>
        <v>102</v>
      </c>
      <c r="H339" s="52"/>
      <c r="I339" s="51"/>
      <c r="J339" s="52"/>
      <c r="K339" s="51"/>
      <c r="L339" s="52">
        <f>SUM(AZ314:AZ341)</f>
        <v>1263.72</v>
      </c>
    </row>
    <row r="340" spans="1:83" ht="42.75" x14ac:dyDescent="0.2">
      <c r="A340" s="56"/>
      <c r="B340" s="56" t="s">
        <v>48</v>
      </c>
      <c r="C340" s="56" t="s">
        <v>752</v>
      </c>
      <c r="D340" s="57" t="s">
        <v>737</v>
      </c>
      <c r="E340" s="58">
        <f>Source!CA96</f>
        <v>58</v>
      </c>
      <c r="F340" s="58"/>
      <c r="G340" s="58">
        <f>Source!AU96</f>
        <v>58</v>
      </c>
      <c r="H340" s="59"/>
      <c r="I340" s="60"/>
      <c r="J340" s="59"/>
      <c r="K340" s="60"/>
      <c r="L340" s="59">
        <f>SUM(BA314:BA341)</f>
        <v>718.59</v>
      </c>
    </row>
    <row r="341" spans="1:83" ht="15" x14ac:dyDescent="0.2">
      <c r="C341" s="124" t="s">
        <v>739</v>
      </c>
      <c r="D341" s="124"/>
      <c r="E341" s="124"/>
      <c r="F341" s="124"/>
      <c r="G341" s="124"/>
      <c r="H341" s="124"/>
      <c r="I341" s="125">
        <f>IF(E314&lt;&gt;0,K341/E314, 0)</f>
        <v>17432.470588235294</v>
      </c>
      <c r="J341" s="125"/>
      <c r="K341" s="125">
        <f>L315+L317+L325+L339+L340+L318+SUM(L335:L337)</f>
        <v>6667.92</v>
      </c>
      <c r="L341" s="125"/>
      <c r="AD341">
        <f>ROUND((Source!AT96/100)*((ROUND(SUMIF(SmtRes!AQ89:'SmtRes'!AQ102,"=1",SmtRes!AD89:'SmtRes'!AD102)*Source!I96, 2)+ROUND(SUMIF(SmtRes!AQ89:'SmtRes'!AQ102,"=1",SmtRes!AC89:'SmtRes'!AC102)*Source!I96, 2))), 2)</f>
        <v>921.67</v>
      </c>
      <c r="AE341">
        <f>ROUND((Source!AU96/100)*((ROUND(SUMIF(SmtRes!AQ89:'SmtRes'!AQ102,"=1",SmtRes!AD89:'SmtRes'!AD102)*Source!I96, 2)+ROUND(SUMIF(SmtRes!AQ89:'SmtRes'!AQ102,"=1",SmtRes!AC89:'SmtRes'!AC102)*Source!I96, 2))), 2)</f>
        <v>524.09</v>
      </c>
      <c r="AN341" s="61">
        <f>L315+L317+L325+L339+L340+L318</f>
        <v>3884.27</v>
      </c>
      <c r="AO341" s="61">
        <f>L317</f>
        <v>30.28</v>
      </c>
      <c r="AQ341" t="s">
        <v>740</v>
      </c>
      <c r="AR341" s="61">
        <f>L315</f>
        <v>1204.42</v>
      </c>
      <c r="AT341" s="61">
        <f>L318</f>
        <v>34.520000000000003</v>
      </c>
      <c r="AV341" t="s">
        <v>740</v>
      </c>
      <c r="AW341" s="61">
        <f>L325</f>
        <v>632.74</v>
      </c>
      <c r="AZ341">
        <f>Source!X96</f>
        <v>1263.72</v>
      </c>
      <c r="BA341">
        <f>Source!Y96</f>
        <v>718.59</v>
      </c>
      <c r="CD341">
        <v>1</v>
      </c>
    </row>
    <row r="342" spans="1:83" ht="42.75" x14ac:dyDescent="0.2">
      <c r="A342" s="46" t="s">
        <v>215</v>
      </c>
      <c r="B342" s="48" t="s">
        <v>753</v>
      </c>
      <c r="C342" s="48" t="str">
        <f>Source!G100</f>
        <v>Установка анкерных болтов: при бетонировании со связями из арматуры</v>
      </c>
      <c r="D342" s="49" t="str">
        <f>Source!H100</f>
        <v>т</v>
      </c>
      <c r="E342" s="50">
        <f>Source!K100</f>
        <v>8.0000000000000004E-4</v>
      </c>
      <c r="F342" s="50"/>
      <c r="G342" s="50">
        <f>Source!I100</f>
        <v>8.0000000000000004E-4</v>
      </c>
      <c r="H342" s="52"/>
      <c r="I342" s="51"/>
      <c r="J342" s="52"/>
      <c r="K342" s="51"/>
      <c r="L342" s="52"/>
    </row>
    <row r="343" spans="1:83" ht="15" x14ac:dyDescent="0.2">
      <c r="A343" s="47"/>
      <c r="B343" s="50">
        <v>1</v>
      </c>
      <c r="C343" s="47" t="s">
        <v>730</v>
      </c>
      <c r="D343" s="49" t="s">
        <v>428</v>
      </c>
      <c r="E343" s="54"/>
      <c r="F343" s="50"/>
      <c r="G343" s="50">
        <f>Source!U100</f>
        <v>9.4399999999999998E-2</v>
      </c>
      <c r="H343" s="50"/>
      <c r="I343" s="50"/>
      <c r="J343" s="50"/>
      <c r="K343" s="50"/>
      <c r="L343" s="55">
        <f>SUM(L344:L344)-SUMIF(CE344:CE344, 1, L344:L344)</f>
        <v>64.349999999999994</v>
      </c>
    </row>
    <row r="344" spans="1:83" ht="14.25" x14ac:dyDescent="0.2">
      <c r="A344" s="48"/>
      <c r="B344" s="48" t="s">
        <v>482</v>
      </c>
      <c r="C344" s="48" t="s">
        <v>483</v>
      </c>
      <c r="D344" s="49" t="s">
        <v>428</v>
      </c>
      <c r="E344" s="50">
        <v>118</v>
      </c>
      <c r="F344" s="50"/>
      <c r="G344" s="50">
        <f>SmtRes!CX103</f>
        <v>9.4399999999999998E-2</v>
      </c>
      <c r="H344" s="52">
        <f>SmtRes!CZ103</f>
        <v>681.63</v>
      </c>
      <c r="I344" s="51"/>
      <c r="J344" s="52"/>
      <c r="K344" s="51"/>
      <c r="L344" s="52">
        <f>SmtRes!DI103</f>
        <v>64.349999999999994</v>
      </c>
    </row>
    <row r="345" spans="1:83" ht="15" x14ac:dyDescent="0.2">
      <c r="A345" s="47"/>
      <c r="B345" s="50">
        <v>2</v>
      </c>
      <c r="C345" s="47" t="s">
        <v>731</v>
      </c>
      <c r="D345" s="49"/>
      <c r="E345" s="54"/>
      <c r="F345" s="50"/>
      <c r="G345" s="50"/>
      <c r="H345" s="50"/>
      <c r="I345" s="50"/>
      <c r="J345" s="50"/>
      <c r="K345" s="50"/>
      <c r="L345" s="55">
        <f>SUM(L346:L351)-SUMIF(CE346:CE351, 1, L346:L351)</f>
        <v>0.44000000000000006</v>
      </c>
    </row>
    <row r="346" spans="1:83" ht="15" x14ac:dyDescent="0.2">
      <c r="A346" s="47"/>
      <c r="B346" s="50"/>
      <c r="C346" s="47" t="s">
        <v>733</v>
      </c>
      <c r="D346" s="49" t="s">
        <v>428</v>
      </c>
      <c r="E346" s="54"/>
      <c r="F346" s="50"/>
      <c r="G346" s="50">
        <f>Source!V100</f>
        <v>3.9999999999999996E-4</v>
      </c>
      <c r="H346" s="50"/>
      <c r="I346" s="50"/>
      <c r="J346" s="50"/>
      <c r="K346" s="50"/>
      <c r="L346" s="55">
        <f>SUMIF(CE347:CE351, 1, L347:L351)</f>
        <v>0.33</v>
      </c>
      <c r="CE346">
        <v>1</v>
      </c>
    </row>
    <row r="347" spans="1:83" ht="28.5" x14ac:dyDescent="0.2">
      <c r="A347" s="48"/>
      <c r="B347" s="48" t="s">
        <v>453</v>
      </c>
      <c r="C347" s="48" t="s">
        <v>455</v>
      </c>
      <c r="D347" s="49" t="s">
        <v>434</v>
      </c>
      <c r="E347" s="50">
        <v>0.22</v>
      </c>
      <c r="F347" s="50"/>
      <c r="G347" s="50">
        <f>SmtRes!CX105</f>
        <v>1.76E-4</v>
      </c>
      <c r="H347" s="52"/>
      <c r="I347" s="51"/>
      <c r="J347" s="52">
        <f>SmtRes!CZ105</f>
        <v>1585.56</v>
      </c>
      <c r="K347" s="51"/>
      <c r="L347" s="52">
        <f>SmtRes!DG105</f>
        <v>0.28000000000000003</v>
      </c>
    </row>
    <row r="348" spans="1:83" ht="28.5" x14ac:dyDescent="0.2">
      <c r="A348" s="48"/>
      <c r="B348" s="48" t="s">
        <v>456</v>
      </c>
      <c r="C348" s="48" t="s">
        <v>746</v>
      </c>
      <c r="D348" s="49" t="s">
        <v>428</v>
      </c>
      <c r="E348" s="50">
        <f>SmtRes!DO105*SmtRes!AT105</f>
        <v>0.22</v>
      </c>
      <c r="F348" s="50"/>
      <c r="G348" s="50">
        <f>ROUND(E348*G342, 7)</f>
        <v>1.76E-4</v>
      </c>
      <c r="H348" s="52"/>
      <c r="I348" s="51"/>
      <c r="J348" s="52">
        <f>ROUND(SmtRes!AG105/SmtRes!DO105, 2)</f>
        <v>982.04</v>
      </c>
      <c r="K348" s="51"/>
      <c r="L348" s="52">
        <f>SmtRes!DH105</f>
        <v>0.17</v>
      </c>
      <c r="CE348">
        <v>1</v>
      </c>
    </row>
    <row r="349" spans="1:83" ht="28.5" x14ac:dyDescent="0.2">
      <c r="A349" s="48"/>
      <c r="B349" s="48" t="s">
        <v>463</v>
      </c>
      <c r="C349" s="48" t="s">
        <v>465</v>
      </c>
      <c r="D349" s="49" t="s">
        <v>434</v>
      </c>
      <c r="E349" s="50">
        <v>0.28000000000000003</v>
      </c>
      <c r="F349" s="50"/>
      <c r="G349" s="50">
        <f>SmtRes!CX106</f>
        <v>2.24E-4</v>
      </c>
      <c r="H349" s="52"/>
      <c r="I349" s="51"/>
      <c r="J349" s="52">
        <f>SmtRes!CZ106</f>
        <v>544.91999999999996</v>
      </c>
      <c r="K349" s="51"/>
      <c r="L349" s="52">
        <f>SmtRes!DG106</f>
        <v>0.12</v>
      </c>
    </row>
    <row r="350" spans="1:83" ht="28.5" x14ac:dyDescent="0.2">
      <c r="A350" s="48"/>
      <c r="B350" s="48" t="s">
        <v>466</v>
      </c>
      <c r="C350" s="48" t="s">
        <v>747</v>
      </c>
      <c r="D350" s="49" t="s">
        <v>428</v>
      </c>
      <c r="E350" s="50">
        <f>SmtRes!DO106*SmtRes!AT106</f>
        <v>0.28000000000000003</v>
      </c>
      <c r="F350" s="50"/>
      <c r="G350" s="50">
        <f>ROUND(E350*G342, 7)</f>
        <v>2.24E-4</v>
      </c>
      <c r="H350" s="52"/>
      <c r="I350" s="51"/>
      <c r="J350" s="52">
        <f>ROUND(SmtRes!AG106/SmtRes!DO106, 2)</f>
        <v>731.08</v>
      </c>
      <c r="K350" s="51"/>
      <c r="L350" s="52">
        <f>SmtRes!DH106</f>
        <v>0.16</v>
      </c>
      <c r="CE350">
        <v>1</v>
      </c>
    </row>
    <row r="351" spans="1:83" ht="42.75" x14ac:dyDescent="0.2">
      <c r="A351" s="48"/>
      <c r="B351" s="48" t="s">
        <v>484</v>
      </c>
      <c r="C351" s="48" t="s">
        <v>486</v>
      </c>
      <c r="D351" s="49" t="s">
        <v>434</v>
      </c>
      <c r="E351" s="50">
        <v>1.49</v>
      </c>
      <c r="F351" s="50"/>
      <c r="G351" s="50">
        <f>SmtRes!CX107</f>
        <v>1.1919999999999999E-3</v>
      </c>
      <c r="H351" s="52"/>
      <c r="I351" s="51"/>
      <c r="J351" s="52">
        <f>SmtRes!CZ107</f>
        <v>32.24</v>
      </c>
      <c r="K351" s="51"/>
      <c r="L351" s="52">
        <f>SmtRes!DG107</f>
        <v>0.04</v>
      </c>
    </row>
    <row r="352" spans="1:83" ht="15" x14ac:dyDescent="0.2">
      <c r="A352" s="47"/>
      <c r="B352" s="50">
        <v>4</v>
      </c>
      <c r="C352" s="47" t="s">
        <v>742</v>
      </c>
      <c r="D352" s="49"/>
      <c r="E352" s="54"/>
      <c r="F352" s="50"/>
      <c r="G352" s="50"/>
      <c r="H352" s="50"/>
      <c r="I352" s="50"/>
      <c r="J352" s="50"/>
      <c r="K352" s="50"/>
      <c r="L352" s="55">
        <f>SUM(L353:L355)-SUMIF(CE353:CE355, 1, L353:L355)</f>
        <v>3.64</v>
      </c>
    </row>
    <row r="353" spans="1:83" ht="57" x14ac:dyDescent="0.2">
      <c r="A353" s="48"/>
      <c r="B353" s="48" t="s">
        <v>487</v>
      </c>
      <c r="C353" s="48" t="s">
        <v>489</v>
      </c>
      <c r="D353" s="49" t="s">
        <v>96</v>
      </c>
      <c r="E353" s="50">
        <v>2</v>
      </c>
      <c r="F353" s="50"/>
      <c r="G353" s="50">
        <f>SmtRes!CX108</f>
        <v>1.6000000000000001E-3</v>
      </c>
      <c r="H353" s="52">
        <f>SmtRes!CZ108</f>
        <v>155.63</v>
      </c>
      <c r="I353" s="51">
        <f>SmtRes!AI108</f>
        <v>0.77</v>
      </c>
      <c r="J353" s="52">
        <f>ROUND(H353*I353, 2)</f>
        <v>119.84</v>
      </c>
      <c r="K353" s="51"/>
      <c r="L353" s="52">
        <f>SmtRes!DF108</f>
        <v>0.19</v>
      </c>
    </row>
    <row r="354" spans="1:83" ht="28.5" x14ac:dyDescent="0.2">
      <c r="A354" s="48"/>
      <c r="B354" s="48" t="s">
        <v>490</v>
      </c>
      <c r="C354" s="48" t="s">
        <v>492</v>
      </c>
      <c r="D354" s="49" t="s">
        <v>279</v>
      </c>
      <c r="E354" s="50">
        <v>0.01</v>
      </c>
      <c r="F354" s="50"/>
      <c r="G354" s="50">
        <f>SmtRes!CX109</f>
        <v>7.9999999999999996E-6</v>
      </c>
      <c r="H354" s="52">
        <f>SmtRes!CZ109</f>
        <v>61015.76</v>
      </c>
      <c r="I354" s="51">
        <f>SmtRes!AI109</f>
        <v>1.28</v>
      </c>
      <c r="J354" s="52">
        <f>ROUND(H354*I354, 2)</f>
        <v>78100.17</v>
      </c>
      <c r="K354" s="51"/>
      <c r="L354" s="52">
        <f>SmtRes!DF109</f>
        <v>0.62</v>
      </c>
    </row>
    <row r="355" spans="1:83" ht="28.5" x14ac:dyDescent="0.2">
      <c r="A355" s="48"/>
      <c r="B355" s="48" t="s">
        <v>493</v>
      </c>
      <c r="C355" s="48" t="s">
        <v>495</v>
      </c>
      <c r="D355" s="49" t="s">
        <v>30</v>
      </c>
      <c r="E355" s="50">
        <v>0.09</v>
      </c>
      <c r="F355" s="50"/>
      <c r="G355" s="50">
        <f>SmtRes!CX111</f>
        <v>7.2000000000000002E-5</v>
      </c>
      <c r="H355" s="52"/>
      <c r="I355" s="51"/>
      <c r="J355" s="52">
        <f>SmtRes!CZ111</f>
        <v>39346.92</v>
      </c>
      <c r="K355" s="51"/>
      <c r="L355" s="52">
        <f>SmtRes!DF111</f>
        <v>2.83</v>
      </c>
    </row>
    <row r="356" spans="1:83" ht="14.25" x14ac:dyDescent="0.2">
      <c r="A356" s="48"/>
      <c r="B356" s="48" t="str">
        <f>EtalonRes!I110</f>
        <v>08.4.01.01</v>
      </c>
      <c r="C356" s="56" t="str">
        <f>EtalonRes!K110</f>
        <v>Анкеры стальные фундаментные</v>
      </c>
      <c r="D356" s="57" t="str">
        <f>EtalonRes!O110</f>
        <v>т</v>
      </c>
      <c r="E356" s="58">
        <f>EtalonRes!X110</f>
        <v>1</v>
      </c>
      <c r="F356" s="58"/>
      <c r="G356" s="58">
        <f>ROUND(EtalonRes!AG110*Source!I100, 7)</f>
        <v>8.0000000000000004E-4</v>
      </c>
      <c r="H356" s="59"/>
      <c r="I356" s="60"/>
      <c r="J356" s="59"/>
      <c r="K356" s="60"/>
      <c r="L356" s="59"/>
    </row>
    <row r="357" spans="1:83" ht="15" x14ac:dyDescent="0.2">
      <c r="A357" s="48"/>
      <c r="B357" s="48"/>
      <c r="C357" s="63" t="s">
        <v>734</v>
      </c>
      <c r="D357" s="49"/>
      <c r="E357" s="50"/>
      <c r="F357" s="50"/>
      <c r="G357" s="50"/>
      <c r="H357" s="52"/>
      <c r="I357" s="51"/>
      <c r="J357" s="52"/>
      <c r="K357" s="51"/>
      <c r="L357" s="52">
        <f>L343+L345+L346+L352</f>
        <v>68.759999999999991</v>
      </c>
    </row>
    <row r="358" spans="1:83" ht="57" x14ac:dyDescent="0.2">
      <c r="A358" s="46" t="s">
        <v>803</v>
      </c>
      <c r="B358" s="48" t="str">
        <f>Source!F101</f>
        <v>08.4.01.01-0025</v>
      </c>
      <c r="C358" s="48" t="str">
        <f>Source!G101</f>
        <v>Болты анкерные фундаментные стальные в комплекте с двумя гайками М12 и шайбами М12, тип 1, диаметр М12</v>
      </c>
      <c r="D358" s="49" t="str">
        <f>Source!H101</f>
        <v>т</v>
      </c>
      <c r="E358" s="50">
        <f>SmtRes!AT110</f>
        <v>1</v>
      </c>
      <c r="F358" s="50"/>
      <c r="G358" s="50">
        <f>Source!I101</f>
        <v>8.0000000000000004E-4</v>
      </c>
      <c r="H358" s="52">
        <f>Source!AL101+Source!AO101+Source!AM101+Source!AN101</f>
        <v>191710.91</v>
      </c>
      <c r="I358" s="51">
        <f>IF(Source!BC101&lt;&gt; 0, Source!BC101, 1)</f>
        <v>1.08</v>
      </c>
      <c r="J358" s="52">
        <f>ROUND(H358*I358, 2)</f>
        <v>207047.78</v>
      </c>
      <c r="K358" s="51"/>
      <c r="L358" s="52">
        <f>Source!P101</f>
        <v>165.64</v>
      </c>
      <c r="AD358">
        <f>ROUND((Source!AT101/100)*((ROUND(ROUND(Source!AO101,2)*Source!I101, 2)+ROUND(ROUND(Source!AN101,2)*Source!I101, 2))), 2)</f>
        <v>0</v>
      </c>
      <c r="AE358">
        <f>ROUND((Source!AU101/100)*((ROUND(ROUND(Source!AO101,2)*Source!I101, 2)+ROUND(ROUND(Source!AN101,2)*Source!I101, 2))), 2)</f>
        <v>0</v>
      </c>
      <c r="AN358">
        <f>L358</f>
        <v>165.64</v>
      </c>
      <c r="AW358">
        <f>L358</f>
        <v>165.64</v>
      </c>
      <c r="AZ358">
        <f>Source!X101</f>
        <v>0</v>
      </c>
      <c r="BA358">
        <f>Source!Y101</f>
        <v>0</v>
      </c>
      <c r="CD358">
        <v>1</v>
      </c>
    </row>
    <row r="359" spans="1:83" ht="14.25" x14ac:dyDescent="0.2">
      <c r="A359" s="48"/>
      <c r="B359" s="48"/>
      <c r="C359" s="48" t="s">
        <v>735</v>
      </c>
      <c r="D359" s="49"/>
      <c r="E359" s="50"/>
      <c r="F359" s="50"/>
      <c r="G359" s="50"/>
      <c r="H359" s="52"/>
      <c r="I359" s="51"/>
      <c r="J359" s="52"/>
      <c r="K359" s="51"/>
      <c r="L359" s="52">
        <f>SUM(AR342:AR362)+SUM(AS342:AS362)+SUM(AT342:AT362)+SUM(AU342:AU362)+SUM(AV342:AV362)</f>
        <v>64.679999999999993</v>
      </c>
    </row>
    <row r="360" spans="1:83" ht="42.75" x14ac:dyDescent="0.2">
      <c r="A360" s="48"/>
      <c r="B360" s="48" t="s">
        <v>47</v>
      </c>
      <c r="C360" s="48" t="s">
        <v>751</v>
      </c>
      <c r="D360" s="49" t="s">
        <v>737</v>
      </c>
      <c r="E360" s="50">
        <f>Source!BZ100</f>
        <v>102</v>
      </c>
      <c r="F360" s="50"/>
      <c r="G360" s="50">
        <f>Source!AT100</f>
        <v>102</v>
      </c>
      <c r="H360" s="52"/>
      <c r="I360" s="51"/>
      <c r="J360" s="52"/>
      <c r="K360" s="51"/>
      <c r="L360" s="52">
        <f>SUM(AZ342:AZ362)</f>
        <v>65.97</v>
      </c>
    </row>
    <row r="361" spans="1:83" ht="42.75" x14ac:dyDescent="0.2">
      <c r="A361" s="56"/>
      <c r="B361" s="56" t="s">
        <v>48</v>
      </c>
      <c r="C361" s="56" t="s">
        <v>752</v>
      </c>
      <c r="D361" s="57" t="s">
        <v>737</v>
      </c>
      <c r="E361" s="58">
        <f>Source!CA100</f>
        <v>58</v>
      </c>
      <c r="F361" s="58"/>
      <c r="G361" s="58">
        <f>Source!AU100</f>
        <v>58</v>
      </c>
      <c r="H361" s="59"/>
      <c r="I361" s="60"/>
      <c r="J361" s="59"/>
      <c r="K361" s="60"/>
      <c r="L361" s="59">
        <f>SUM(BA342:BA362)</f>
        <v>37.51</v>
      </c>
    </row>
    <row r="362" spans="1:83" ht="15" x14ac:dyDescent="0.2">
      <c r="C362" s="124" t="s">
        <v>739</v>
      </c>
      <c r="D362" s="124"/>
      <c r="E362" s="124"/>
      <c r="F362" s="124"/>
      <c r="G362" s="124"/>
      <c r="H362" s="124"/>
      <c r="I362" s="125">
        <f>IF(E342&lt;&gt;0,K362/E342, 0)</f>
        <v>422350</v>
      </c>
      <c r="J362" s="125"/>
      <c r="K362" s="125">
        <f>L343+L345+L352+L360+L361+L346+SUM(L358:L358)</f>
        <v>337.88</v>
      </c>
      <c r="L362" s="125"/>
      <c r="AD362">
        <f>ROUND((Source!AT100/100)*((ROUND(SUMIF(SmtRes!AQ103:'SmtRes'!AQ111,"=1",SmtRes!AD103:'SmtRes'!AD111)*Source!I100, 2)+ROUND(SUMIF(SmtRes!AQ103:'SmtRes'!AQ111,"=1",SmtRes!AC103:'SmtRes'!AC111)*Source!I100, 2))), 2)</f>
        <v>1.96</v>
      </c>
      <c r="AE362">
        <f>ROUND((Source!AU100/100)*((ROUND(SUMIF(SmtRes!AQ103:'SmtRes'!AQ111,"=1",SmtRes!AD103:'SmtRes'!AD111)*Source!I100, 2)+ROUND(SUMIF(SmtRes!AQ103:'SmtRes'!AQ111,"=1",SmtRes!AC103:'SmtRes'!AC111)*Source!I100, 2))), 2)</f>
        <v>1.1100000000000001</v>
      </c>
      <c r="AN362" s="61">
        <f>L343+L345+L352+L360+L361+L346</f>
        <v>172.23999999999998</v>
      </c>
      <c r="AO362" s="61">
        <f>L345</f>
        <v>0.44000000000000006</v>
      </c>
      <c r="AQ362" t="s">
        <v>740</v>
      </c>
      <c r="AR362" s="61">
        <f>L343</f>
        <v>64.349999999999994</v>
      </c>
      <c r="AT362" s="61">
        <f>L346</f>
        <v>0.33</v>
      </c>
      <c r="AV362" t="s">
        <v>740</v>
      </c>
      <c r="AW362" s="61">
        <f>L352</f>
        <v>3.64</v>
      </c>
      <c r="AZ362">
        <f>Source!X100</f>
        <v>65.97</v>
      </c>
      <c r="BA362">
        <f>Source!Y100</f>
        <v>37.51</v>
      </c>
      <c r="CD362">
        <v>1</v>
      </c>
    </row>
    <row r="363" spans="1:83" ht="42.75" x14ac:dyDescent="0.2">
      <c r="A363" s="46" t="s">
        <v>217</v>
      </c>
      <c r="B363" s="48" t="s">
        <v>755</v>
      </c>
      <c r="C363" s="48" t="str">
        <f>Source!G102</f>
        <v>Устройство гидроизоляции обмазочной: в один слой толщиной 2 мм</v>
      </c>
      <c r="D363" s="49" t="str">
        <f>Source!H102</f>
        <v>100 м2</v>
      </c>
      <c r="E363" s="50">
        <f>Source!K102</f>
        <v>3.2550000000000003E-2</v>
      </c>
      <c r="F363" s="50"/>
      <c r="G363" s="50">
        <f>Source!I102</f>
        <v>3.2550000000000003E-2</v>
      </c>
      <c r="H363" s="52"/>
      <c r="I363" s="51"/>
      <c r="J363" s="52"/>
      <c r="K363" s="51"/>
      <c r="L363" s="52"/>
    </row>
    <row r="364" spans="1:83" x14ac:dyDescent="0.2">
      <c r="C364" s="53" t="str">
        <f>"Объем: "&amp;Source!I102&amp;"=3,255/"&amp;"100"</f>
        <v>Объем: 0,03255=3,255/100</v>
      </c>
    </row>
    <row r="365" spans="1:83" ht="15" x14ac:dyDescent="0.2">
      <c r="A365" s="47"/>
      <c r="B365" s="50">
        <v>1</v>
      </c>
      <c r="C365" s="47" t="s">
        <v>730</v>
      </c>
      <c r="D365" s="49" t="s">
        <v>428</v>
      </c>
      <c r="E365" s="54"/>
      <c r="F365" s="50"/>
      <c r="G365" s="50">
        <f>Source!U102</f>
        <v>0.79096500000000003</v>
      </c>
      <c r="H365" s="50"/>
      <c r="I365" s="50"/>
      <c r="J365" s="50"/>
      <c r="K365" s="50"/>
      <c r="L365" s="55">
        <f>SUM(L366:L366)-SUMIF(CE366:CE366, 1, L366:L366)</f>
        <v>647.83000000000004</v>
      </c>
    </row>
    <row r="366" spans="1:83" ht="14.25" x14ac:dyDescent="0.2">
      <c r="A366" s="48"/>
      <c r="B366" s="48" t="s">
        <v>496</v>
      </c>
      <c r="C366" s="48" t="s">
        <v>497</v>
      </c>
      <c r="D366" s="49" t="s">
        <v>428</v>
      </c>
      <c r="E366" s="50">
        <v>24.3</v>
      </c>
      <c r="F366" s="50"/>
      <c r="G366" s="50">
        <f>SmtRes!CX112</f>
        <v>0.79096500000000003</v>
      </c>
      <c r="H366" s="52">
        <f>SmtRes!CZ112</f>
        <v>819.04</v>
      </c>
      <c r="I366" s="51"/>
      <c r="J366" s="52"/>
      <c r="K366" s="51"/>
      <c r="L366" s="52">
        <f>SmtRes!DI112</f>
        <v>647.83000000000004</v>
      </c>
    </row>
    <row r="367" spans="1:83" ht="15" x14ac:dyDescent="0.2">
      <c r="A367" s="47"/>
      <c r="B367" s="50">
        <v>2</v>
      </c>
      <c r="C367" s="47" t="s">
        <v>731</v>
      </c>
      <c r="D367" s="49"/>
      <c r="E367" s="54"/>
      <c r="F367" s="50"/>
      <c r="G367" s="50"/>
      <c r="H367" s="50"/>
      <c r="I367" s="50"/>
      <c r="J367" s="50"/>
      <c r="K367" s="50"/>
      <c r="L367" s="55">
        <f>SUM(L368:L374)-SUMIF(CE368:CE374, 1, L368:L374)</f>
        <v>25.720000000000006</v>
      </c>
    </row>
    <row r="368" spans="1:83" ht="15" x14ac:dyDescent="0.2">
      <c r="A368" s="47"/>
      <c r="B368" s="50"/>
      <c r="C368" s="47" t="s">
        <v>733</v>
      </c>
      <c r="D368" s="49" t="s">
        <v>428</v>
      </c>
      <c r="E368" s="54"/>
      <c r="F368" s="50"/>
      <c r="G368" s="50">
        <f>Source!V102</f>
        <v>1.39965E-2</v>
      </c>
      <c r="H368" s="50"/>
      <c r="I368" s="50"/>
      <c r="J368" s="50"/>
      <c r="K368" s="50"/>
      <c r="L368" s="55">
        <f>SUMIF(CE369:CE374, 1, L369:L374)</f>
        <v>9.75</v>
      </c>
      <c r="CE368">
        <v>1</v>
      </c>
    </row>
    <row r="369" spans="1:83" ht="42.75" x14ac:dyDescent="0.2">
      <c r="A369" s="48"/>
      <c r="B369" s="48" t="s">
        <v>431</v>
      </c>
      <c r="C369" s="48" t="s">
        <v>433</v>
      </c>
      <c r="D369" s="49" t="s">
        <v>434</v>
      </c>
      <c r="E369" s="50">
        <v>0.18</v>
      </c>
      <c r="F369" s="50"/>
      <c r="G369" s="50">
        <f>SmtRes!CX114</f>
        <v>5.8589999999999996E-3</v>
      </c>
      <c r="H369" s="52">
        <f>SmtRes!CZ114</f>
        <v>37.32</v>
      </c>
      <c r="I369" s="51">
        <f>SmtRes!AJ114</f>
        <v>1.57</v>
      </c>
      <c r="J369" s="52">
        <f>ROUND(H369*I369, 2)</f>
        <v>58.59</v>
      </c>
      <c r="K369" s="51"/>
      <c r="L369" s="52">
        <f>SmtRes!DG114</f>
        <v>0.34</v>
      </c>
    </row>
    <row r="370" spans="1:83" ht="28.5" x14ac:dyDescent="0.2">
      <c r="A370" s="48"/>
      <c r="B370" s="48" t="s">
        <v>435</v>
      </c>
      <c r="C370" s="48" t="s">
        <v>732</v>
      </c>
      <c r="D370" s="49" t="s">
        <v>428</v>
      </c>
      <c r="E370" s="50">
        <f>SmtRes!DO114*SmtRes!AT114</f>
        <v>0.18</v>
      </c>
      <c r="F370" s="50"/>
      <c r="G370" s="50">
        <f>ROUND(E370*G363, 7)</f>
        <v>5.8589999999999996E-3</v>
      </c>
      <c r="H370" s="52"/>
      <c r="I370" s="51"/>
      <c r="J370" s="52">
        <f>ROUND(SmtRes!AG114/SmtRes!DO114, 2)</f>
        <v>649.24</v>
      </c>
      <c r="K370" s="51"/>
      <c r="L370" s="52">
        <f>SmtRes!DH114</f>
        <v>3.8</v>
      </c>
      <c r="CE370">
        <v>1</v>
      </c>
    </row>
    <row r="371" spans="1:83" ht="57" x14ac:dyDescent="0.2">
      <c r="A371" s="48"/>
      <c r="B371" s="48" t="s">
        <v>498</v>
      </c>
      <c r="C371" s="48" t="s">
        <v>500</v>
      </c>
      <c r="D371" s="49" t="s">
        <v>434</v>
      </c>
      <c r="E371" s="50">
        <v>4.37</v>
      </c>
      <c r="F371" s="50"/>
      <c r="G371" s="50">
        <f>SmtRes!CX115</f>
        <v>0.14224349999999999</v>
      </c>
      <c r="H371" s="52">
        <f>SmtRes!CZ115</f>
        <v>95.25</v>
      </c>
      <c r="I371" s="51">
        <f>SmtRes!AJ115</f>
        <v>1.43</v>
      </c>
      <c r="J371" s="52">
        <f>ROUND(H371*I371, 2)</f>
        <v>136.21</v>
      </c>
      <c r="K371" s="51"/>
      <c r="L371" s="52">
        <f>SmtRes!DG115</f>
        <v>19.37</v>
      </c>
    </row>
    <row r="372" spans="1:83" ht="28.5" x14ac:dyDescent="0.2">
      <c r="A372" s="48"/>
      <c r="B372" s="48" t="s">
        <v>463</v>
      </c>
      <c r="C372" s="48" t="s">
        <v>465</v>
      </c>
      <c r="D372" s="49" t="s">
        <v>434</v>
      </c>
      <c r="E372" s="50">
        <v>0.25</v>
      </c>
      <c r="F372" s="50"/>
      <c r="G372" s="50">
        <f>SmtRes!CX116</f>
        <v>8.1375000000000006E-3</v>
      </c>
      <c r="H372" s="52"/>
      <c r="I372" s="51"/>
      <c r="J372" s="52">
        <f>SmtRes!CZ116</f>
        <v>544.91999999999996</v>
      </c>
      <c r="K372" s="51"/>
      <c r="L372" s="52">
        <f>SmtRes!DG116</f>
        <v>4.43</v>
      </c>
    </row>
    <row r="373" spans="1:83" ht="28.5" x14ac:dyDescent="0.2">
      <c r="A373" s="48"/>
      <c r="B373" s="48" t="s">
        <v>466</v>
      </c>
      <c r="C373" s="48" t="s">
        <v>747</v>
      </c>
      <c r="D373" s="49" t="s">
        <v>428</v>
      </c>
      <c r="E373" s="50">
        <f>SmtRes!DO116*SmtRes!AT116</f>
        <v>0.25</v>
      </c>
      <c r="F373" s="50"/>
      <c r="G373" s="50">
        <f>ROUND(E373*G363, 7)</f>
        <v>8.1375000000000006E-3</v>
      </c>
      <c r="H373" s="52"/>
      <c r="I373" s="51"/>
      <c r="J373" s="52">
        <f>ROUND(SmtRes!AG116/SmtRes!DO116, 2)</f>
        <v>731.08</v>
      </c>
      <c r="K373" s="51"/>
      <c r="L373" s="52">
        <f>SmtRes!DH116</f>
        <v>5.95</v>
      </c>
      <c r="CE373">
        <v>1</v>
      </c>
    </row>
    <row r="374" spans="1:83" ht="14.25" x14ac:dyDescent="0.2">
      <c r="A374" s="48"/>
      <c r="B374" s="48" t="s">
        <v>501</v>
      </c>
      <c r="C374" s="48" t="s">
        <v>503</v>
      </c>
      <c r="D374" s="49" t="s">
        <v>434</v>
      </c>
      <c r="E374" s="50">
        <v>1.5</v>
      </c>
      <c r="F374" s="50"/>
      <c r="G374" s="50">
        <f>SmtRes!CX117</f>
        <v>4.8825E-2</v>
      </c>
      <c r="H374" s="52">
        <f>SmtRes!CZ117</f>
        <v>26.26</v>
      </c>
      <c r="I374" s="51">
        <f>SmtRes!AJ117</f>
        <v>1.23</v>
      </c>
      <c r="J374" s="52">
        <f>ROUND(H374*I374, 2)</f>
        <v>32.299999999999997</v>
      </c>
      <c r="K374" s="51"/>
      <c r="L374" s="52">
        <f>SmtRes!DG117</f>
        <v>1.58</v>
      </c>
    </row>
    <row r="375" spans="1:83" ht="15" x14ac:dyDescent="0.2">
      <c r="A375" s="47"/>
      <c r="B375" s="50">
        <v>4</v>
      </c>
      <c r="C375" s="47" t="s">
        <v>742</v>
      </c>
      <c r="D375" s="49"/>
      <c r="E375" s="54"/>
      <c r="F375" s="50"/>
      <c r="G375" s="50"/>
      <c r="H375" s="50"/>
      <c r="I375" s="50"/>
      <c r="J375" s="50"/>
      <c r="K375" s="50"/>
      <c r="L375" s="55">
        <f>SUM(L376:L381)-SUMIF(CE376:CE381, 1, L376:L381)</f>
        <v>598.15</v>
      </c>
    </row>
    <row r="376" spans="1:83" ht="42.75" x14ac:dyDescent="0.2">
      <c r="A376" s="48"/>
      <c r="B376" s="48" t="s">
        <v>504</v>
      </c>
      <c r="C376" s="48" t="s">
        <v>506</v>
      </c>
      <c r="D376" s="49" t="s">
        <v>30</v>
      </c>
      <c r="E376" s="50">
        <v>8.0000000000000002E-3</v>
      </c>
      <c r="F376" s="50"/>
      <c r="G376" s="50">
        <f>SmtRes!CX118</f>
        <v>2.6039999999999999E-4</v>
      </c>
      <c r="H376" s="52">
        <f>SmtRes!CZ118</f>
        <v>21588.35</v>
      </c>
      <c r="I376" s="51">
        <f>SmtRes!AI118</f>
        <v>1.18</v>
      </c>
      <c r="J376" s="52">
        <f>ROUND(H376*I376, 2)</f>
        <v>25474.25</v>
      </c>
      <c r="K376" s="51"/>
      <c r="L376" s="52">
        <f>SmtRes!DF118</f>
        <v>6.63</v>
      </c>
    </row>
    <row r="377" spans="1:83" ht="28.5" x14ac:dyDescent="0.2">
      <c r="A377" s="48"/>
      <c r="B377" s="48" t="s">
        <v>507</v>
      </c>
      <c r="C377" s="48" t="s">
        <v>509</v>
      </c>
      <c r="D377" s="49" t="s">
        <v>30</v>
      </c>
      <c r="E377" s="50">
        <v>1.9E-2</v>
      </c>
      <c r="F377" s="50"/>
      <c r="G377" s="50">
        <f>SmtRes!CX119</f>
        <v>6.1850000000000002E-4</v>
      </c>
      <c r="H377" s="52"/>
      <c r="I377" s="51"/>
      <c r="J377" s="52">
        <f>SmtRes!CZ119</f>
        <v>25697.86</v>
      </c>
      <c r="K377" s="51"/>
      <c r="L377" s="52">
        <f>SmtRes!DF119</f>
        <v>15.89</v>
      </c>
    </row>
    <row r="378" spans="1:83" ht="28.5" x14ac:dyDescent="0.2">
      <c r="A378" s="48"/>
      <c r="B378" s="48" t="s">
        <v>510</v>
      </c>
      <c r="C378" s="48" t="s">
        <v>512</v>
      </c>
      <c r="D378" s="49" t="s">
        <v>30</v>
      </c>
      <c r="E378" s="50">
        <v>0.157</v>
      </c>
      <c r="F378" s="50"/>
      <c r="G378" s="50">
        <f>SmtRes!CX120</f>
        <v>5.1104000000000002E-3</v>
      </c>
      <c r="H378" s="52">
        <f>SmtRes!CZ120</f>
        <v>22965.21</v>
      </c>
      <c r="I378" s="51">
        <f>SmtRes!AI120</f>
        <v>0.88</v>
      </c>
      <c r="J378" s="52">
        <f>ROUND(H378*I378, 2)</f>
        <v>20209.38</v>
      </c>
      <c r="K378" s="51"/>
      <c r="L378" s="52">
        <f>SmtRes!DF120</f>
        <v>103.28</v>
      </c>
    </row>
    <row r="379" spans="1:83" ht="14.25" x14ac:dyDescent="0.2">
      <c r="A379" s="48"/>
      <c r="B379" s="48" t="s">
        <v>513</v>
      </c>
      <c r="C379" s="48" t="s">
        <v>515</v>
      </c>
      <c r="D379" s="49" t="s">
        <v>96</v>
      </c>
      <c r="E379" s="50">
        <v>57</v>
      </c>
      <c r="F379" s="50"/>
      <c r="G379" s="50">
        <f>SmtRes!CX121</f>
        <v>1.8553500000000001</v>
      </c>
      <c r="H379" s="52">
        <f>SmtRes!CZ121</f>
        <v>160.27000000000001</v>
      </c>
      <c r="I379" s="51">
        <f>SmtRes!AI121</f>
        <v>1.29</v>
      </c>
      <c r="J379" s="52">
        <f>ROUND(H379*I379, 2)</f>
        <v>206.75</v>
      </c>
      <c r="K379" s="51"/>
      <c r="L379" s="52">
        <f>SmtRes!DF121</f>
        <v>383.59</v>
      </c>
    </row>
    <row r="380" spans="1:83" ht="28.5" x14ac:dyDescent="0.2">
      <c r="A380" s="48"/>
      <c r="B380" s="48" t="s">
        <v>516</v>
      </c>
      <c r="C380" s="48" t="s">
        <v>518</v>
      </c>
      <c r="D380" s="49" t="s">
        <v>30</v>
      </c>
      <c r="E380" s="50">
        <v>0.125</v>
      </c>
      <c r="F380" s="50"/>
      <c r="G380" s="50">
        <f>SmtRes!CX122</f>
        <v>4.0688E-3</v>
      </c>
      <c r="H380" s="52">
        <f>SmtRes!CZ122</f>
        <v>10415.31</v>
      </c>
      <c r="I380" s="51">
        <f>SmtRes!AI122</f>
        <v>2.06</v>
      </c>
      <c r="J380" s="52">
        <f>ROUND(H380*I380, 2)</f>
        <v>21455.54</v>
      </c>
      <c r="K380" s="51"/>
      <c r="L380" s="52">
        <f>SmtRes!DF122</f>
        <v>87.3</v>
      </c>
    </row>
    <row r="381" spans="1:83" ht="14.25" x14ac:dyDescent="0.2">
      <c r="A381" s="48"/>
      <c r="B381" s="48" t="s">
        <v>519</v>
      </c>
      <c r="C381" s="56" t="s">
        <v>521</v>
      </c>
      <c r="D381" s="57" t="s">
        <v>96</v>
      </c>
      <c r="E381" s="58">
        <v>0.5</v>
      </c>
      <c r="F381" s="58"/>
      <c r="G381" s="58">
        <f>SmtRes!CX123</f>
        <v>1.6275000000000001E-2</v>
      </c>
      <c r="H381" s="59">
        <f>SmtRes!CZ123</f>
        <v>56.11</v>
      </c>
      <c r="I381" s="60">
        <f>SmtRes!AI123</f>
        <v>1.6</v>
      </c>
      <c r="J381" s="59">
        <f>ROUND(H381*I381, 2)</f>
        <v>89.78</v>
      </c>
      <c r="K381" s="60"/>
      <c r="L381" s="59">
        <f>SmtRes!DF123</f>
        <v>1.46</v>
      </c>
    </row>
    <row r="382" spans="1:83" ht="15" x14ac:dyDescent="0.2">
      <c r="A382" s="48"/>
      <c r="B382" s="48"/>
      <c r="C382" s="63" t="s">
        <v>734</v>
      </c>
      <c r="D382" s="49"/>
      <c r="E382" s="50"/>
      <c r="F382" s="50"/>
      <c r="G382" s="50"/>
      <c r="H382" s="52"/>
      <c r="I382" s="51"/>
      <c r="J382" s="52"/>
      <c r="K382" s="51"/>
      <c r="L382" s="52">
        <f>L365+L367+L368+L375</f>
        <v>1281.45</v>
      </c>
    </row>
    <row r="383" spans="1:83" ht="14.25" x14ac:dyDescent="0.2">
      <c r="A383" s="48"/>
      <c r="B383" s="48"/>
      <c r="C383" s="48" t="s">
        <v>735</v>
      </c>
      <c r="D383" s="49"/>
      <c r="E383" s="50"/>
      <c r="F383" s="50"/>
      <c r="G383" s="50"/>
      <c r="H383" s="52"/>
      <c r="I383" s="51"/>
      <c r="J383" s="52"/>
      <c r="K383" s="51"/>
      <c r="L383" s="52">
        <f>SUM(AR363:AR386)+SUM(AS363:AS386)+SUM(AT363:AT386)+SUM(AU363:AU386)+SUM(AV363:AV386)</f>
        <v>657.58</v>
      </c>
    </row>
    <row r="384" spans="1:83" ht="14.25" x14ac:dyDescent="0.2">
      <c r="A384" s="48"/>
      <c r="B384" s="48" t="s">
        <v>75</v>
      </c>
      <c r="C384" s="48" t="s">
        <v>736</v>
      </c>
      <c r="D384" s="49" t="s">
        <v>737</v>
      </c>
      <c r="E384" s="50">
        <f>Source!BZ102</f>
        <v>112</v>
      </c>
      <c r="F384" s="50"/>
      <c r="G384" s="50">
        <f>Source!AT102</f>
        <v>112</v>
      </c>
      <c r="H384" s="52"/>
      <c r="I384" s="51"/>
      <c r="J384" s="52"/>
      <c r="K384" s="51"/>
      <c r="L384" s="52">
        <f>SUM(AZ363:AZ386)</f>
        <v>736.49</v>
      </c>
    </row>
    <row r="385" spans="1:83" ht="14.25" x14ac:dyDescent="0.2">
      <c r="A385" s="56"/>
      <c r="B385" s="56" t="s">
        <v>76</v>
      </c>
      <c r="C385" s="56" t="s">
        <v>738</v>
      </c>
      <c r="D385" s="57" t="s">
        <v>737</v>
      </c>
      <c r="E385" s="58">
        <f>Source!CA102</f>
        <v>65</v>
      </c>
      <c r="F385" s="58"/>
      <c r="G385" s="58">
        <f>Source!AU102</f>
        <v>65</v>
      </c>
      <c r="H385" s="59"/>
      <c r="I385" s="60"/>
      <c r="J385" s="59"/>
      <c r="K385" s="60"/>
      <c r="L385" s="59">
        <f>SUM(BA363:BA386)</f>
        <v>427.43</v>
      </c>
    </row>
    <row r="386" spans="1:83" ht="15" x14ac:dyDescent="0.2">
      <c r="C386" s="124" t="s">
        <v>739</v>
      </c>
      <c r="D386" s="124"/>
      <c r="E386" s="124"/>
      <c r="F386" s="124"/>
      <c r="G386" s="124"/>
      <c r="H386" s="124"/>
      <c r="I386" s="125">
        <f>IF(E363&lt;&gt;0,K386/E363, 0)</f>
        <v>75126.574500768038</v>
      </c>
      <c r="J386" s="125"/>
      <c r="K386" s="125">
        <f>L365+L367+L375+L384+L385+L368</f>
        <v>2445.37</v>
      </c>
      <c r="L386" s="125"/>
      <c r="AD386">
        <f>ROUND((Source!AT102/100)*((ROUND(SUMIF(SmtRes!AQ112:'SmtRes'!AQ123,"=1",SmtRes!AD112:'SmtRes'!AD123)*Source!I102, 2)+ROUND(SUMIF(SmtRes!AQ112:'SmtRes'!AQ123,"=1",SmtRes!AC112:'SmtRes'!AC123)*Source!I102, 2))), 2)</f>
        <v>80.180000000000007</v>
      </c>
      <c r="AE386">
        <f>ROUND((Source!AU102/100)*((ROUND(SUMIF(SmtRes!AQ112:'SmtRes'!AQ123,"=1",SmtRes!AD112:'SmtRes'!AD123)*Source!I102, 2)+ROUND(SUMIF(SmtRes!AQ112:'SmtRes'!AQ123,"=1",SmtRes!AC112:'SmtRes'!AC123)*Source!I102, 2))), 2)</f>
        <v>46.53</v>
      </c>
      <c r="AN386" s="61">
        <f>L365+L367+L375+L384+L385+L368</f>
        <v>2445.37</v>
      </c>
      <c r="AO386" s="61">
        <f>L367</f>
        <v>25.720000000000006</v>
      </c>
      <c r="AQ386" t="s">
        <v>740</v>
      </c>
      <c r="AR386" s="61">
        <f>L365</f>
        <v>647.83000000000004</v>
      </c>
      <c r="AT386" s="61">
        <f>L368</f>
        <v>9.75</v>
      </c>
      <c r="AV386" t="s">
        <v>740</v>
      </c>
      <c r="AW386" s="61">
        <f>L375</f>
        <v>598.15</v>
      </c>
      <c r="AZ386">
        <f>Source!X102</f>
        <v>736.49</v>
      </c>
      <c r="BA386">
        <f>Source!Y102</f>
        <v>427.43</v>
      </c>
      <c r="CD386">
        <v>1</v>
      </c>
    </row>
    <row r="387" spans="1:83" ht="28.5" x14ac:dyDescent="0.2">
      <c r="A387" s="46" t="s">
        <v>218</v>
      </c>
      <c r="B387" s="48" t="s">
        <v>756</v>
      </c>
      <c r="C387" s="48" t="str">
        <f>Source!G103</f>
        <v>Устройство покрытий из плит керамогранитных размером: 40х40 см</v>
      </c>
      <c r="D387" s="49" t="str">
        <f>Source!H103</f>
        <v>100 м2</v>
      </c>
      <c r="E387" s="50">
        <f>Source!K103</f>
        <v>3.2550000000000003E-2</v>
      </c>
      <c r="F387" s="50"/>
      <c r="G387" s="50">
        <f>Source!I103</f>
        <v>3.2550000000000003E-2</v>
      </c>
      <c r="H387" s="52"/>
      <c r="I387" s="51"/>
      <c r="J387" s="52"/>
      <c r="K387" s="51"/>
      <c r="L387" s="52"/>
    </row>
    <row r="388" spans="1:83" ht="38.25" x14ac:dyDescent="0.2">
      <c r="C388" s="53" t="str">
        <f>"Объем: "&amp;Source!I103&amp;"=1,5*"&amp;"1,7/"&amp;"100+"&amp;"(1,7*"&amp;"0,15+"&amp;"1,5*"&amp;"0,15*"&amp;"2)/"&amp;"100"</f>
        <v>Объем: 0,03255=1,5*1,7/100+(1,7*0,15+1,5*0,15*2)/100</v>
      </c>
    </row>
    <row r="389" spans="1:83" ht="15" x14ac:dyDescent="0.2">
      <c r="A389" s="47"/>
      <c r="B389" s="50">
        <v>1</v>
      </c>
      <c r="C389" s="47" t="s">
        <v>730</v>
      </c>
      <c r="D389" s="49" t="s">
        <v>428</v>
      </c>
      <c r="E389" s="54"/>
      <c r="F389" s="50"/>
      <c r="G389" s="50">
        <f>Source!U103</f>
        <v>10.104170999999999</v>
      </c>
      <c r="H389" s="50"/>
      <c r="I389" s="50"/>
      <c r="J389" s="50"/>
      <c r="K389" s="50"/>
      <c r="L389" s="55">
        <f>SUM(L390:L390)-SUMIF(CE390:CE390, 1, L390:L390)</f>
        <v>6725.44</v>
      </c>
    </row>
    <row r="390" spans="1:83" ht="14.25" x14ac:dyDescent="0.2">
      <c r="A390" s="48"/>
      <c r="B390" s="48" t="s">
        <v>522</v>
      </c>
      <c r="C390" s="48" t="s">
        <v>523</v>
      </c>
      <c r="D390" s="49" t="s">
        <v>428</v>
      </c>
      <c r="E390" s="50">
        <v>310.42</v>
      </c>
      <c r="F390" s="50"/>
      <c r="G390" s="50">
        <f>SmtRes!CX124</f>
        <v>10.104170999999999</v>
      </c>
      <c r="H390" s="52"/>
      <c r="I390" s="51"/>
      <c r="J390" s="52">
        <f>SmtRes!CZ124</f>
        <v>665.61</v>
      </c>
      <c r="K390" s="51"/>
      <c r="L390" s="52">
        <f>SmtRes!DI124</f>
        <v>6725.44</v>
      </c>
    </row>
    <row r="391" spans="1:83" ht="15" x14ac:dyDescent="0.2">
      <c r="A391" s="47"/>
      <c r="B391" s="50">
        <v>2</v>
      </c>
      <c r="C391" s="47" t="s">
        <v>731</v>
      </c>
      <c r="D391" s="49"/>
      <c r="E391" s="54"/>
      <c r="F391" s="50"/>
      <c r="G391" s="50"/>
      <c r="H391" s="50"/>
      <c r="I391" s="50"/>
      <c r="J391" s="50"/>
      <c r="K391" s="50"/>
      <c r="L391" s="55">
        <f>SUM(L392:L400)-SUMIF(CE392:CE400, 1, L392:L400)</f>
        <v>1.1500000000000057</v>
      </c>
    </row>
    <row r="392" spans="1:83" ht="15" x14ac:dyDescent="0.2">
      <c r="A392" s="47"/>
      <c r="B392" s="50"/>
      <c r="C392" s="47" t="s">
        <v>733</v>
      </c>
      <c r="D392" s="49" t="s">
        <v>428</v>
      </c>
      <c r="E392" s="54"/>
      <c r="F392" s="50"/>
      <c r="G392" s="50">
        <f>Source!V103</f>
        <v>5.63115E-2</v>
      </c>
      <c r="H392" s="50"/>
      <c r="I392" s="50"/>
      <c r="J392" s="50"/>
      <c r="K392" s="50"/>
      <c r="L392" s="55">
        <f>SUMIF(CE393:CE400, 1, L393:L400)</f>
        <v>36.910000000000004</v>
      </c>
      <c r="CE392">
        <v>1</v>
      </c>
    </row>
    <row r="393" spans="1:83" ht="28.5" x14ac:dyDescent="0.2">
      <c r="A393" s="48"/>
      <c r="B393" s="48" t="s">
        <v>524</v>
      </c>
      <c r="C393" s="48" t="s">
        <v>526</v>
      </c>
      <c r="D393" s="49" t="s">
        <v>434</v>
      </c>
      <c r="E393" s="50">
        <v>0.02</v>
      </c>
      <c r="F393" s="50"/>
      <c r="G393" s="50">
        <f>SmtRes!CX126</f>
        <v>6.5099999999999999E-4</v>
      </c>
      <c r="H393" s="52">
        <f>SmtRes!CZ126</f>
        <v>251.77</v>
      </c>
      <c r="I393" s="51">
        <f>SmtRes!AJ126</f>
        <v>1.48</v>
      </c>
      <c r="J393" s="52">
        <f>ROUND(H393*I393, 2)</f>
        <v>372.62</v>
      </c>
      <c r="K393" s="51"/>
      <c r="L393" s="52">
        <f>SmtRes!DG126</f>
        <v>0.24</v>
      </c>
    </row>
    <row r="394" spans="1:83" ht="28.5" x14ac:dyDescent="0.2">
      <c r="A394" s="48"/>
      <c r="B394" s="48" t="s">
        <v>456</v>
      </c>
      <c r="C394" s="48" t="s">
        <v>746</v>
      </c>
      <c r="D394" s="49" t="s">
        <v>428</v>
      </c>
      <c r="E394" s="50">
        <f>SmtRes!DO126*SmtRes!AT126</f>
        <v>0.02</v>
      </c>
      <c r="F394" s="50"/>
      <c r="G394" s="50">
        <f>ROUND(E394*G387, 7)</f>
        <v>6.5099999999999999E-4</v>
      </c>
      <c r="H394" s="52"/>
      <c r="I394" s="51"/>
      <c r="J394" s="52">
        <f>ROUND(SmtRes!AG126/SmtRes!DO126, 2)</f>
        <v>982.04</v>
      </c>
      <c r="K394" s="51"/>
      <c r="L394" s="52">
        <f>SmtRes!DH126</f>
        <v>0.64</v>
      </c>
      <c r="CE394">
        <v>1</v>
      </c>
    </row>
    <row r="395" spans="1:83" ht="28.5" x14ac:dyDescent="0.2">
      <c r="A395" s="48"/>
      <c r="B395" s="48" t="s">
        <v>453</v>
      </c>
      <c r="C395" s="48" t="s">
        <v>455</v>
      </c>
      <c r="D395" s="49" t="s">
        <v>434</v>
      </c>
      <c r="E395" s="50">
        <v>0.01</v>
      </c>
      <c r="F395" s="50"/>
      <c r="G395" s="50">
        <f>SmtRes!CX127</f>
        <v>3.255E-4</v>
      </c>
      <c r="H395" s="52"/>
      <c r="I395" s="51"/>
      <c r="J395" s="52">
        <f>SmtRes!CZ127</f>
        <v>1585.56</v>
      </c>
      <c r="K395" s="51"/>
      <c r="L395" s="52">
        <f>SmtRes!DG127</f>
        <v>0.52</v>
      </c>
    </row>
    <row r="396" spans="1:83" ht="28.5" x14ac:dyDescent="0.2">
      <c r="A396" s="48"/>
      <c r="B396" s="48" t="s">
        <v>456</v>
      </c>
      <c r="C396" s="48" t="s">
        <v>746</v>
      </c>
      <c r="D396" s="49" t="s">
        <v>428</v>
      </c>
      <c r="E396" s="50">
        <f>SmtRes!DO127*SmtRes!AT127</f>
        <v>0.01</v>
      </c>
      <c r="F396" s="50"/>
      <c r="G396" s="50">
        <f>ROUND(E396*G387, 7)</f>
        <v>3.255E-4</v>
      </c>
      <c r="H396" s="52"/>
      <c r="I396" s="51"/>
      <c r="J396" s="52">
        <f>ROUND(SmtRes!AG127/SmtRes!DO127, 2)</f>
        <v>982.04</v>
      </c>
      <c r="K396" s="51"/>
      <c r="L396" s="52">
        <f>SmtRes!DH127</f>
        <v>0.32</v>
      </c>
      <c r="CE396">
        <v>1</v>
      </c>
    </row>
    <row r="397" spans="1:83" ht="28.5" x14ac:dyDescent="0.2">
      <c r="A397" s="48"/>
      <c r="B397" s="48" t="s">
        <v>527</v>
      </c>
      <c r="C397" s="48" t="s">
        <v>529</v>
      </c>
      <c r="D397" s="49" t="s">
        <v>434</v>
      </c>
      <c r="E397" s="50">
        <v>1.69</v>
      </c>
      <c r="F397" s="50"/>
      <c r="G397" s="50">
        <f>SmtRes!CX128</f>
        <v>5.5009500000000003E-2</v>
      </c>
      <c r="H397" s="52">
        <f>SmtRes!CZ128</f>
        <v>2.31</v>
      </c>
      <c r="I397" s="51">
        <f>SmtRes!AJ128</f>
        <v>1.65</v>
      </c>
      <c r="J397" s="52">
        <f>ROUND(H397*I397, 2)</f>
        <v>3.81</v>
      </c>
      <c r="K397" s="51"/>
      <c r="L397" s="52">
        <f>SmtRes!DG128</f>
        <v>0.21</v>
      </c>
    </row>
    <row r="398" spans="1:83" ht="28.5" x14ac:dyDescent="0.2">
      <c r="A398" s="48"/>
      <c r="B398" s="48" t="s">
        <v>435</v>
      </c>
      <c r="C398" s="48" t="s">
        <v>732</v>
      </c>
      <c r="D398" s="49" t="s">
        <v>428</v>
      </c>
      <c r="E398" s="50">
        <f>SmtRes!DO128*SmtRes!AT128</f>
        <v>1.69</v>
      </c>
      <c r="F398" s="50"/>
      <c r="G398" s="50">
        <f>ROUND(E398*G387, 7)</f>
        <v>5.5009500000000003E-2</v>
      </c>
      <c r="H398" s="52"/>
      <c r="I398" s="51"/>
      <c r="J398" s="52">
        <f>ROUND(SmtRes!AG128/SmtRes!DO128, 2)</f>
        <v>649.24</v>
      </c>
      <c r="K398" s="51"/>
      <c r="L398" s="52">
        <f>SmtRes!DH128</f>
        <v>35.71</v>
      </c>
      <c r="CE398">
        <v>1</v>
      </c>
    </row>
    <row r="399" spans="1:83" ht="28.5" x14ac:dyDescent="0.2">
      <c r="A399" s="48"/>
      <c r="B399" s="48" t="s">
        <v>463</v>
      </c>
      <c r="C399" s="48" t="s">
        <v>465</v>
      </c>
      <c r="D399" s="49" t="s">
        <v>434</v>
      </c>
      <c r="E399" s="50">
        <v>0.01</v>
      </c>
      <c r="F399" s="50"/>
      <c r="G399" s="50">
        <f>SmtRes!CX129</f>
        <v>3.255E-4</v>
      </c>
      <c r="H399" s="52"/>
      <c r="I399" s="51"/>
      <c r="J399" s="52">
        <f>SmtRes!CZ129</f>
        <v>544.91999999999996</v>
      </c>
      <c r="K399" s="51"/>
      <c r="L399" s="52">
        <f>SmtRes!DG129</f>
        <v>0.18</v>
      </c>
    </row>
    <row r="400" spans="1:83" ht="28.5" x14ac:dyDescent="0.2">
      <c r="A400" s="48"/>
      <c r="B400" s="48" t="s">
        <v>466</v>
      </c>
      <c r="C400" s="48" t="s">
        <v>747</v>
      </c>
      <c r="D400" s="49" t="s">
        <v>428</v>
      </c>
      <c r="E400" s="50">
        <f>SmtRes!DO129*SmtRes!AT129</f>
        <v>0.01</v>
      </c>
      <c r="F400" s="50"/>
      <c r="G400" s="50">
        <f>ROUND(E400*G387, 7)</f>
        <v>3.255E-4</v>
      </c>
      <c r="H400" s="52"/>
      <c r="I400" s="51"/>
      <c r="J400" s="52">
        <f>ROUND(SmtRes!AG129/SmtRes!DO129, 2)</f>
        <v>731.08</v>
      </c>
      <c r="K400" s="51"/>
      <c r="L400" s="52">
        <f>SmtRes!DH129</f>
        <v>0.24</v>
      </c>
      <c r="CE400">
        <v>1</v>
      </c>
    </row>
    <row r="401" spans="1:82" ht="15" x14ac:dyDescent="0.2">
      <c r="A401" s="47"/>
      <c r="B401" s="50">
        <v>4</v>
      </c>
      <c r="C401" s="47" t="s">
        <v>742</v>
      </c>
      <c r="D401" s="49"/>
      <c r="E401" s="54"/>
      <c r="F401" s="50"/>
      <c r="G401" s="50"/>
      <c r="H401" s="50"/>
      <c r="I401" s="50"/>
      <c r="J401" s="50"/>
      <c r="K401" s="50"/>
      <c r="L401" s="55">
        <f>SUM(L402:L404)-SUMIF(CE402:CE404, 1, L402:L404)</f>
        <v>32.06</v>
      </c>
    </row>
    <row r="402" spans="1:82" ht="14.25" x14ac:dyDescent="0.2">
      <c r="A402" s="48"/>
      <c r="B402" s="48" t="s">
        <v>467</v>
      </c>
      <c r="C402" s="48" t="s">
        <v>469</v>
      </c>
      <c r="D402" s="49" t="s">
        <v>34</v>
      </c>
      <c r="E402" s="50">
        <v>0.44</v>
      </c>
      <c r="F402" s="50"/>
      <c r="G402" s="50">
        <f>SmtRes!CX130</f>
        <v>1.4322E-2</v>
      </c>
      <c r="H402" s="52">
        <f>SmtRes!CZ130</f>
        <v>35.71</v>
      </c>
      <c r="I402" s="51">
        <f>SmtRes!AI130</f>
        <v>1.53</v>
      </c>
      <c r="J402" s="52">
        <f>ROUND(H402*I402, 2)</f>
        <v>54.64</v>
      </c>
      <c r="K402" s="51"/>
      <c r="L402" s="52">
        <f>SmtRes!DF130</f>
        <v>0.78</v>
      </c>
    </row>
    <row r="403" spans="1:82" ht="14.25" x14ac:dyDescent="0.2">
      <c r="A403" s="48"/>
      <c r="B403" s="48" t="s">
        <v>530</v>
      </c>
      <c r="C403" s="48" t="s">
        <v>532</v>
      </c>
      <c r="D403" s="49" t="s">
        <v>533</v>
      </c>
      <c r="E403" s="50">
        <v>3.2500000000000001E-2</v>
      </c>
      <c r="F403" s="50"/>
      <c r="G403" s="50">
        <f>SmtRes!CX131</f>
        <v>1.0579000000000001E-3</v>
      </c>
      <c r="H403" s="52"/>
      <c r="I403" s="51"/>
      <c r="J403" s="52">
        <f>SmtRes!CZ131</f>
        <v>6.92</v>
      </c>
      <c r="K403" s="51"/>
      <c r="L403" s="52">
        <f>SmtRes!DF131</f>
        <v>0.01</v>
      </c>
    </row>
    <row r="404" spans="1:82" ht="42.75" x14ac:dyDescent="0.2">
      <c r="A404" s="48"/>
      <c r="B404" s="48" t="s">
        <v>261</v>
      </c>
      <c r="C404" s="48" t="s">
        <v>262</v>
      </c>
      <c r="D404" s="49" t="s">
        <v>30</v>
      </c>
      <c r="E404" s="50">
        <v>1.2999999999999999E-2</v>
      </c>
      <c r="F404" s="50"/>
      <c r="G404" s="50">
        <f>SmtRes!CX132</f>
        <v>4.2319999999999999E-4</v>
      </c>
      <c r="H404" s="52"/>
      <c r="I404" s="51"/>
      <c r="J404" s="52">
        <f>SmtRes!CZ132</f>
        <v>73889</v>
      </c>
      <c r="K404" s="51"/>
      <c r="L404" s="52">
        <f>SmtRes!DF132</f>
        <v>31.27</v>
      </c>
    </row>
    <row r="405" spans="1:82" ht="14.25" x14ac:dyDescent="0.2">
      <c r="A405" s="48"/>
      <c r="B405" s="48" t="str">
        <f>EtalonRes!I133</f>
        <v>06.2.05.03</v>
      </c>
      <c r="C405" s="48" t="str">
        <f>EtalonRes!K133</f>
        <v>Плиты керамогранитные 400х400 мм</v>
      </c>
      <c r="D405" s="49" t="str">
        <f>EtalonRes!O133</f>
        <v>м2</v>
      </c>
      <c r="E405" s="50">
        <f>EtalonRes!X133</f>
        <v>102</v>
      </c>
      <c r="F405" s="50"/>
      <c r="G405" s="50">
        <f>ROUND(EtalonRes!AG133*Source!I103, 7)</f>
        <v>3.3201000000000001</v>
      </c>
      <c r="H405" s="52"/>
      <c r="I405" s="51"/>
      <c r="J405" s="52"/>
      <c r="K405" s="51"/>
      <c r="L405" s="52"/>
    </row>
    <row r="406" spans="1:82" ht="14.25" x14ac:dyDescent="0.2">
      <c r="A406" s="48"/>
      <c r="B406" s="48" t="str">
        <f>EtalonRes!I134</f>
        <v>11.2.04.05</v>
      </c>
      <c r="C406" s="48" t="str">
        <f>EtalonRes!K134</f>
        <v>Рейки деревянные</v>
      </c>
      <c r="D406" s="49" t="str">
        <f>EtalonRes!O134</f>
        <v>м3</v>
      </c>
      <c r="E406" s="50">
        <f>EtalonRes!X134</f>
        <v>0.01</v>
      </c>
      <c r="F406" s="50"/>
      <c r="G406" s="50">
        <f>ROUND(EtalonRes!AG134*Source!I103, 7)</f>
        <v>3.255E-4</v>
      </c>
      <c r="H406" s="52"/>
      <c r="I406" s="51"/>
      <c r="J406" s="52"/>
      <c r="K406" s="51"/>
      <c r="L406" s="52"/>
    </row>
    <row r="407" spans="1:82" ht="28.5" x14ac:dyDescent="0.2">
      <c r="A407" s="48"/>
      <c r="B407" s="48" t="str">
        <f>EtalonRes!I135</f>
        <v>14.1.06.02</v>
      </c>
      <c r="C407" s="48" t="str">
        <f>EtalonRes!K135</f>
        <v>Клей для облицовочных работ (сухая смесь)</v>
      </c>
      <c r="D407" s="49" t="str">
        <f>EtalonRes!O135</f>
        <v>т</v>
      </c>
      <c r="E407" s="50">
        <f>EtalonRes!X135</f>
        <v>1.2</v>
      </c>
      <c r="F407" s="50"/>
      <c r="G407" s="50">
        <f>ROUND(EtalonRes!AG135*Source!I103, 7)</f>
        <v>3.9059999999999997E-2</v>
      </c>
      <c r="H407" s="52"/>
      <c r="I407" s="51"/>
      <c r="J407" s="52"/>
      <c r="K407" s="51"/>
      <c r="L407" s="52"/>
    </row>
    <row r="408" spans="1:82" ht="14.25" x14ac:dyDescent="0.2">
      <c r="A408" s="48"/>
      <c r="B408" s="48" t="str">
        <f>EtalonRes!I136</f>
        <v>14.4.01.21</v>
      </c>
      <c r="C408" s="56" t="str">
        <f>EtalonRes!K136</f>
        <v>Грунтовка</v>
      </c>
      <c r="D408" s="57" t="str">
        <f>EtalonRes!O136</f>
        <v>т</v>
      </c>
      <c r="E408" s="58">
        <f>EtalonRes!X136</f>
        <v>0</v>
      </c>
      <c r="F408" s="58"/>
      <c r="G408" s="58">
        <f>ROUND(EtalonRes!AG136*Source!I103, 7)</f>
        <v>0</v>
      </c>
      <c r="H408" s="59"/>
      <c r="I408" s="60"/>
      <c r="J408" s="59"/>
      <c r="K408" s="60"/>
      <c r="L408" s="59"/>
    </row>
    <row r="409" spans="1:82" ht="15" x14ac:dyDescent="0.2">
      <c r="A409" s="48"/>
      <c r="B409" s="48"/>
      <c r="C409" s="63" t="s">
        <v>734</v>
      </c>
      <c r="D409" s="49"/>
      <c r="E409" s="50"/>
      <c r="F409" s="50"/>
      <c r="G409" s="50"/>
      <c r="H409" s="52"/>
      <c r="I409" s="51"/>
      <c r="J409" s="52"/>
      <c r="K409" s="51"/>
      <c r="L409" s="52">
        <f>L389+L391+L392+L401</f>
        <v>6795.5599999999995</v>
      </c>
    </row>
    <row r="410" spans="1:82" ht="42.75" x14ac:dyDescent="0.2">
      <c r="A410" s="46" t="s">
        <v>804</v>
      </c>
      <c r="B410" s="48" t="str">
        <f>Source!F104</f>
        <v>06.2.05.03-0003</v>
      </c>
      <c r="C410" s="48" t="str">
        <f>Source!G104</f>
        <v>Плитка керамогранитная, неполированная, многоцветная, толщина 9 мм</v>
      </c>
      <c r="D410" s="49" t="str">
        <f>Source!H104</f>
        <v>м2</v>
      </c>
      <c r="E410" s="50">
        <f>SmtRes!AT133</f>
        <v>102</v>
      </c>
      <c r="F410" s="50"/>
      <c r="G410" s="50">
        <f>Source!I104</f>
        <v>3.3201000000000001</v>
      </c>
      <c r="H410" s="52"/>
      <c r="I410" s="51"/>
      <c r="J410" s="52">
        <f>Source!AK104</f>
        <v>908.39</v>
      </c>
      <c r="K410" s="51"/>
      <c r="L410" s="52">
        <f>Source!P104</f>
        <v>3015.95</v>
      </c>
      <c r="AD410">
        <f>ROUND((Source!AT104/100)*((ROUND(ROUND(Source!AO104,2)*Source!I104, 2)+ROUND(ROUND(Source!AN104,2)*Source!I104, 2))), 2)</f>
        <v>0</v>
      </c>
      <c r="AE410">
        <f>ROUND((Source!AU104/100)*((ROUND(ROUND(Source!AO104,2)*Source!I104, 2)+ROUND(ROUND(Source!AN104,2)*Source!I104, 2))), 2)</f>
        <v>0</v>
      </c>
      <c r="AN410">
        <f>L410</f>
        <v>3015.95</v>
      </c>
      <c r="AW410">
        <f>L410</f>
        <v>3015.95</v>
      </c>
      <c r="AZ410">
        <f>Source!X104</f>
        <v>0</v>
      </c>
      <c r="BA410">
        <f>Source!Y104</f>
        <v>0</v>
      </c>
      <c r="CD410">
        <v>1</v>
      </c>
    </row>
    <row r="411" spans="1:82" ht="42.75" x14ac:dyDescent="0.2">
      <c r="A411" s="46" t="s">
        <v>805</v>
      </c>
      <c r="B411" s="48" t="str">
        <f>Source!F105</f>
        <v>11.2.04.05-0001</v>
      </c>
      <c r="C411" s="48" t="str">
        <f>Source!G105</f>
        <v>Рейка строганная сухая хвойных пород (ель, сосна), длина 2-3 м, размеры 8х18 мм</v>
      </c>
      <c r="D411" s="49" t="str">
        <f>Source!H105</f>
        <v>м3</v>
      </c>
      <c r="E411" s="50">
        <f>SmtRes!AT134</f>
        <v>0.01</v>
      </c>
      <c r="F411" s="50"/>
      <c r="G411" s="50">
        <f>Source!I105</f>
        <v>3.255E-4</v>
      </c>
      <c r="H411" s="52">
        <f>Source!AL105+Source!AO105+Source!AM105+Source!AN105</f>
        <v>23139.16</v>
      </c>
      <c r="I411" s="51">
        <f>IF(Source!BC105&lt;&gt; 0, Source!BC105, 1)</f>
        <v>1.73</v>
      </c>
      <c r="J411" s="52">
        <f>ROUND(H411*I411, 2)</f>
        <v>40030.75</v>
      </c>
      <c r="K411" s="51"/>
      <c r="L411" s="52">
        <f>Source!P105</f>
        <v>13.03</v>
      </c>
      <c r="AD411">
        <f>ROUND((Source!AT105/100)*((ROUND(ROUND(Source!AO105,2)*Source!I105, 2)+ROUND(ROUND(Source!AN105,2)*Source!I105, 2))), 2)</f>
        <v>0</v>
      </c>
      <c r="AE411">
        <f>ROUND((Source!AU105/100)*((ROUND(ROUND(Source!AO105,2)*Source!I105, 2)+ROUND(ROUND(Source!AN105,2)*Source!I105, 2))), 2)</f>
        <v>0</v>
      </c>
      <c r="AN411">
        <f>L411</f>
        <v>13.03</v>
      </c>
      <c r="AW411">
        <f>L411</f>
        <v>13.03</v>
      </c>
      <c r="AZ411">
        <f>Source!X105</f>
        <v>0</v>
      </c>
      <c r="BA411">
        <f>Source!Y105</f>
        <v>0</v>
      </c>
      <c r="CD411">
        <v>1</v>
      </c>
    </row>
    <row r="412" spans="1:82" ht="42.75" x14ac:dyDescent="0.2">
      <c r="A412" s="46" t="s">
        <v>806</v>
      </c>
      <c r="B412" s="48" t="str">
        <f>Source!F106</f>
        <v>14.1.06.02-0002</v>
      </c>
      <c r="C412" s="48" t="str">
        <f>Source!G106</f>
        <v>Клей монтажный сухой для внутренних и наружных работ на основе цементного вяжущего, для плитки</v>
      </c>
      <c r="D412" s="49" t="str">
        <f>Source!H106</f>
        <v>т</v>
      </c>
      <c r="E412" s="50">
        <f>SmtRes!AT135</f>
        <v>1.2</v>
      </c>
      <c r="F412" s="50"/>
      <c r="G412" s="50">
        <f>Source!I106</f>
        <v>3.9059999999999997E-2</v>
      </c>
      <c r="H412" s="52">
        <f>Source!AL106+Source!AO106+Source!AM106+Source!AN106</f>
        <v>33998.35</v>
      </c>
      <c r="I412" s="51">
        <f>IF(Source!BC106&lt;&gt; 0, Source!BC106, 1)</f>
        <v>1.01</v>
      </c>
      <c r="J412" s="52">
        <f>ROUND(H412*I412, 2)</f>
        <v>34338.33</v>
      </c>
      <c r="K412" s="51"/>
      <c r="L412" s="52">
        <f>Source!P106</f>
        <v>1341.26</v>
      </c>
      <c r="AD412">
        <f>ROUND((Source!AT106/100)*((ROUND(ROUND(Source!AO106,2)*Source!I106, 2)+ROUND(ROUND(Source!AN106,2)*Source!I106, 2))), 2)</f>
        <v>0</v>
      </c>
      <c r="AE412">
        <f>ROUND((Source!AU106/100)*((ROUND(ROUND(Source!AO106,2)*Source!I106, 2)+ROUND(ROUND(Source!AN106,2)*Source!I106, 2))), 2)</f>
        <v>0</v>
      </c>
      <c r="AN412">
        <f>L412</f>
        <v>1341.26</v>
      </c>
      <c r="AW412">
        <f>L412</f>
        <v>1341.26</v>
      </c>
      <c r="AZ412">
        <f>Source!X106</f>
        <v>0</v>
      </c>
      <c r="BA412">
        <f>Source!Y106</f>
        <v>0</v>
      </c>
      <c r="CD412">
        <v>1</v>
      </c>
    </row>
    <row r="413" spans="1:82" ht="42.75" x14ac:dyDescent="0.2">
      <c r="A413" s="46" t="s">
        <v>807</v>
      </c>
      <c r="B413" s="48" t="str">
        <f>Source!F107</f>
        <v>14.4.01.21-0314</v>
      </c>
      <c r="C413" s="48" t="str">
        <f>Source!G107</f>
        <v>Грунтовка с высокой степенью проникновения для укрепления бетонных поверхностей</v>
      </c>
      <c r="D413" s="49" t="str">
        <f>Source!H107</f>
        <v>кг</v>
      </c>
      <c r="E413" s="50">
        <f>SmtRes!AT136</f>
        <v>15.6682028</v>
      </c>
      <c r="F413" s="50"/>
      <c r="G413" s="50">
        <f>Source!I107</f>
        <v>0.51</v>
      </c>
      <c r="H413" s="52">
        <f>Source!AL107+Source!AO107+Source!AM107+Source!AN107</f>
        <v>1284.05</v>
      </c>
      <c r="I413" s="51">
        <f>IF(Source!BC107&lt;&gt; 0, Source!BC107, 1)</f>
        <v>1.25</v>
      </c>
      <c r="J413" s="52">
        <f>ROUND(H413*I413, 2)</f>
        <v>1605.06</v>
      </c>
      <c r="K413" s="51"/>
      <c r="L413" s="52">
        <f>Source!P107</f>
        <v>818.58</v>
      </c>
      <c r="AD413">
        <f>ROUND((Source!AT107/100)*((ROUND(ROUND(Source!AO107,2)*Source!I107, 2)+ROUND(ROUND(Source!AN107,2)*Source!I107, 2))), 2)</f>
        <v>0</v>
      </c>
      <c r="AE413">
        <f>ROUND((Source!AU107/100)*((ROUND(ROUND(Source!AO107,2)*Source!I107, 2)+ROUND(ROUND(Source!AN107,2)*Source!I107, 2))), 2)</f>
        <v>0</v>
      </c>
      <c r="AN413">
        <f>L413</f>
        <v>818.58</v>
      </c>
      <c r="AW413">
        <f>L413</f>
        <v>818.58</v>
      </c>
      <c r="AZ413">
        <f>Source!X107</f>
        <v>0</v>
      </c>
      <c r="BA413">
        <f>Source!Y107</f>
        <v>0</v>
      </c>
      <c r="CD413">
        <v>1</v>
      </c>
    </row>
    <row r="414" spans="1:82" ht="14.25" x14ac:dyDescent="0.2">
      <c r="A414" s="48"/>
      <c r="B414" s="48"/>
      <c r="C414" s="48" t="s">
        <v>735</v>
      </c>
      <c r="D414" s="49"/>
      <c r="E414" s="50"/>
      <c r="F414" s="50"/>
      <c r="G414" s="50"/>
      <c r="H414" s="52"/>
      <c r="I414" s="51"/>
      <c r="J414" s="52"/>
      <c r="K414" s="51"/>
      <c r="L414" s="52">
        <f>SUM(AR387:AR417)+SUM(AS387:AS417)+SUM(AT387:AT417)+SUM(AU387:AU417)+SUM(AV387:AV417)</f>
        <v>6762.3499999999995</v>
      </c>
    </row>
    <row r="415" spans="1:82" ht="14.25" x14ac:dyDescent="0.2">
      <c r="A415" s="48"/>
      <c r="B415" s="48" t="s">
        <v>75</v>
      </c>
      <c r="C415" s="48" t="s">
        <v>736</v>
      </c>
      <c r="D415" s="49" t="s">
        <v>737</v>
      </c>
      <c r="E415" s="50">
        <f>Source!BZ103</f>
        <v>112</v>
      </c>
      <c r="F415" s="50"/>
      <c r="G415" s="50">
        <f>Source!AT103</f>
        <v>112</v>
      </c>
      <c r="H415" s="52"/>
      <c r="I415" s="51"/>
      <c r="J415" s="52"/>
      <c r="K415" s="51"/>
      <c r="L415" s="52">
        <f>SUM(AZ387:AZ417)</f>
        <v>7573.83</v>
      </c>
    </row>
    <row r="416" spans="1:82" ht="14.25" x14ac:dyDescent="0.2">
      <c r="A416" s="56"/>
      <c r="B416" s="56" t="s">
        <v>76</v>
      </c>
      <c r="C416" s="56" t="s">
        <v>738</v>
      </c>
      <c r="D416" s="57" t="s">
        <v>737</v>
      </c>
      <c r="E416" s="58">
        <f>Source!CA103</f>
        <v>65</v>
      </c>
      <c r="F416" s="58"/>
      <c r="G416" s="58">
        <f>Source!AU103</f>
        <v>65</v>
      </c>
      <c r="H416" s="59"/>
      <c r="I416" s="60"/>
      <c r="J416" s="59"/>
      <c r="K416" s="60"/>
      <c r="L416" s="59">
        <f>SUM(BA387:BA417)</f>
        <v>4395.53</v>
      </c>
    </row>
    <row r="417" spans="1:82" ht="15" x14ac:dyDescent="0.2">
      <c r="C417" s="124" t="s">
        <v>739</v>
      </c>
      <c r="D417" s="124"/>
      <c r="E417" s="124"/>
      <c r="F417" s="124"/>
      <c r="G417" s="124"/>
      <c r="H417" s="124"/>
      <c r="I417" s="125">
        <f>IF(E387&lt;&gt;0,K417/E387, 0)</f>
        <v>735905.99078341003</v>
      </c>
      <c r="J417" s="125"/>
      <c r="K417" s="125">
        <f>L389+L391+L401+L415+L416+L392+SUM(L410:L413)</f>
        <v>23953.739999999998</v>
      </c>
      <c r="L417" s="125"/>
      <c r="AD417">
        <f>ROUND((Source!AT103/100)*((ROUND(SUMIF(SmtRes!AQ124:'SmtRes'!AQ136,"=1",SmtRes!AD124:'SmtRes'!AD136)*Source!I103, 2)+ROUND(SUMIF(SmtRes!AQ124:'SmtRes'!AQ136,"=1",SmtRes!AC124:'SmtRes'!AC136)*Source!I103, 2))), 2)</f>
        <v>146.19</v>
      </c>
      <c r="AE417">
        <f>ROUND((Source!AU103/100)*((ROUND(SUMIF(SmtRes!AQ124:'SmtRes'!AQ136,"=1",SmtRes!AD124:'SmtRes'!AD136)*Source!I103, 2)+ROUND(SUMIF(SmtRes!AQ124:'SmtRes'!AQ136,"=1",SmtRes!AC124:'SmtRes'!AC136)*Source!I103, 2))), 2)</f>
        <v>84.84</v>
      </c>
      <c r="AN417" s="61">
        <f>L389+L391+L401+L415+L416+L392</f>
        <v>18764.919999999998</v>
      </c>
      <c r="AO417" s="61">
        <f>L391</f>
        <v>1.1500000000000057</v>
      </c>
      <c r="AQ417" t="s">
        <v>740</v>
      </c>
      <c r="AR417" s="61">
        <f>L389</f>
        <v>6725.44</v>
      </c>
      <c r="AT417" s="61">
        <f>L392</f>
        <v>36.910000000000004</v>
      </c>
      <c r="AV417" t="s">
        <v>740</v>
      </c>
      <c r="AW417" s="61">
        <f>L401</f>
        <v>32.06</v>
      </c>
      <c r="AZ417">
        <f>Source!X103</f>
        <v>7573.83</v>
      </c>
      <c r="BA417">
        <f>Source!Y103</f>
        <v>4395.53</v>
      </c>
      <c r="CD417">
        <v>1</v>
      </c>
    </row>
    <row r="418" spans="1:82" ht="28.5" x14ac:dyDescent="0.2">
      <c r="A418" s="46" t="s">
        <v>223</v>
      </c>
      <c r="B418" s="48" t="s">
        <v>761</v>
      </c>
      <c r="C418" s="48" t="str">
        <f>Source!G108</f>
        <v>Укладка металлического накладного профиля (порога)</v>
      </c>
      <c r="D418" s="49" t="str">
        <f>Source!H108</f>
        <v>100 м</v>
      </c>
      <c r="E418" s="50">
        <f>Source!K108</f>
        <v>4.7E-2</v>
      </c>
      <c r="F418" s="50"/>
      <c r="G418" s="50">
        <f>Source!I108</f>
        <v>4.7E-2</v>
      </c>
      <c r="H418" s="52"/>
      <c r="I418" s="51"/>
      <c r="J418" s="52"/>
      <c r="K418" s="51"/>
      <c r="L418" s="52"/>
    </row>
    <row r="419" spans="1:82" x14ac:dyDescent="0.2">
      <c r="C419" s="53" t="str">
        <f>"Объем: "&amp;Source!I108&amp;"=(1,5*"&amp;"2+"&amp;"1,7)/"&amp;"100"</f>
        <v>Объем: 0,047=(1,5*2+1,7)/100</v>
      </c>
    </row>
    <row r="420" spans="1:82" ht="15" x14ac:dyDescent="0.2">
      <c r="A420" s="47"/>
      <c r="B420" s="50">
        <v>1</v>
      </c>
      <c r="C420" s="47" t="s">
        <v>730</v>
      </c>
      <c r="D420" s="49" t="s">
        <v>428</v>
      </c>
      <c r="E420" s="54"/>
      <c r="F420" s="50"/>
      <c r="G420" s="50">
        <f>Source!U108</f>
        <v>0.78208</v>
      </c>
      <c r="H420" s="50"/>
      <c r="I420" s="50"/>
      <c r="J420" s="50"/>
      <c r="K420" s="50"/>
      <c r="L420" s="55">
        <f>SUM(L421:L421)-SUMIF(CE421:CE421, 1, L421:L421)</f>
        <v>501.49</v>
      </c>
    </row>
    <row r="421" spans="1:82" ht="14.25" x14ac:dyDescent="0.2">
      <c r="A421" s="48"/>
      <c r="B421" s="48" t="s">
        <v>436</v>
      </c>
      <c r="C421" s="48" t="s">
        <v>437</v>
      </c>
      <c r="D421" s="49" t="s">
        <v>428</v>
      </c>
      <c r="E421" s="50">
        <v>16.64</v>
      </c>
      <c r="F421" s="50"/>
      <c r="G421" s="50">
        <f>SmtRes!CX137</f>
        <v>0.78208</v>
      </c>
      <c r="H421" s="52">
        <f>SmtRes!CZ137</f>
        <v>641.22</v>
      </c>
      <c r="I421" s="51"/>
      <c r="J421" s="52"/>
      <c r="K421" s="51"/>
      <c r="L421" s="52">
        <f>SmtRes!DI137</f>
        <v>501.49</v>
      </c>
    </row>
    <row r="422" spans="1:82" ht="15" x14ac:dyDescent="0.2">
      <c r="A422" s="47"/>
      <c r="B422" s="50">
        <v>4</v>
      </c>
      <c r="C422" s="47" t="s">
        <v>742</v>
      </c>
      <c r="D422" s="49"/>
      <c r="E422" s="54"/>
      <c r="F422" s="50"/>
      <c r="G422" s="50"/>
      <c r="H422" s="50"/>
      <c r="I422" s="50"/>
      <c r="J422" s="50"/>
      <c r="K422" s="50"/>
      <c r="L422" s="55">
        <f>SUM(L423:L424)-SUMIF(CE423:CE424, 1, L423:L424)</f>
        <v>38.9</v>
      </c>
    </row>
    <row r="423" spans="1:82" ht="14.25" x14ac:dyDescent="0.2">
      <c r="A423" s="48"/>
      <c r="B423" s="48" t="s">
        <v>530</v>
      </c>
      <c r="C423" s="48" t="s">
        <v>532</v>
      </c>
      <c r="D423" s="49" t="s">
        <v>533</v>
      </c>
      <c r="E423" s="50">
        <v>6.8760000000000003</v>
      </c>
      <c r="F423" s="50"/>
      <c r="G423" s="50">
        <f>SmtRes!CX138</f>
        <v>0.32317200000000001</v>
      </c>
      <c r="H423" s="52"/>
      <c r="I423" s="51"/>
      <c r="J423" s="52">
        <f>SmtRes!CZ138</f>
        <v>6.92</v>
      </c>
      <c r="K423" s="51"/>
      <c r="L423" s="52">
        <f>SmtRes!DF138</f>
        <v>2.2400000000000002</v>
      </c>
    </row>
    <row r="424" spans="1:82" ht="71.25" x14ac:dyDescent="0.2">
      <c r="A424" s="48"/>
      <c r="B424" s="48" t="s">
        <v>534</v>
      </c>
      <c r="C424" s="48" t="s">
        <v>536</v>
      </c>
      <c r="D424" s="49" t="s">
        <v>537</v>
      </c>
      <c r="E424" s="50">
        <v>6.7</v>
      </c>
      <c r="F424" s="50"/>
      <c r="G424" s="50">
        <f>SmtRes!CX139</f>
        <v>0.31490000000000001</v>
      </c>
      <c r="H424" s="52">
        <f>SmtRes!CZ139</f>
        <v>88.86</v>
      </c>
      <c r="I424" s="51">
        <f>SmtRes!AI139</f>
        <v>1.31</v>
      </c>
      <c r="J424" s="52">
        <f>ROUND(H424*I424, 2)</f>
        <v>116.41</v>
      </c>
      <c r="K424" s="51"/>
      <c r="L424" s="52">
        <f>SmtRes!DF139</f>
        <v>36.659999999999997</v>
      </c>
    </row>
    <row r="425" spans="1:82" ht="42.75" x14ac:dyDescent="0.2">
      <c r="A425" s="48"/>
      <c r="B425" s="48" t="str">
        <f>EtalonRes!I140</f>
        <v>09.2.03.02</v>
      </c>
      <c r="C425" s="56" t="str">
        <f>EtalonRes!K140</f>
        <v>Профили стыкоперекрывающие из алюминиевых сплавов (порожки) с покрытием</v>
      </c>
      <c r="D425" s="57" t="str">
        <f>EtalonRes!O140</f>
        <v>м</v>
      </c>
      <c r="E425" s="58">
        <f>EtalonRes!X140</f>
        <v>105</v>
      </c>
      <c r="F425" s="58"/>
      <c r="G425" s="58">
        <f>ROUND(EtalonRes!AG140*Source!I108, 7)</f>
        <v>4.9349999999999996</v>
      </c>
      <c r="H425" s="59"/>
      <c r="I425" s="60"/>
      <c r="J425" s="59"/>
      <c r="K425" s="60"/>
      <c r="L425" s="59"/>
    </row>
    <row r="426" spans="1:82" ht="15" x14ac:dyDescent="0.2">
      <c r="A426" s="48"/>
      <c r="B426" s="48"/>
      <c r="C426" s="63" t="s">
        <v>734</v>
      </c>
      <c r="D426" s="49"/>
      <c r="E426" s="50"/>
      <c r="F426" s="50"/>
      <c r="G426" s="50"/>
      <c r="H426" s="52"/>
      <c r="I426" s="51"/>
      <c r="J426" s="52"/>
      <c r="K426" s="51"/>
      <c r="L426" s="52">
        <f>L420+L422</f>
        <v>540.39</v>
      </c>
    </row>
    <row r="427" spans="1:82" ht="14.25" x14ac:dyDescent="0.2">
      <c r="A427" s="46" t="s">
        <v>808</v>
      </c>
      <c r="B427" s="48" t="str">
        <f>Source!F109</f>
        <v>09.2.01.05-0096</v>
      </c>
      <c r="C427" s="48" t="str">
        <f>Source!G109</f>
        <v>Уголок противоскользящий, прим</v>
      </c>
      <c r="D427" s="49" t="str">
        <f>Source!H109</f>
        <v>м</v>
      </c>
      <c r="E427" s="50">
        <f>SmtRes!AT140</f>
        <v>105</v>
      </c>
      <c r="F427" s="50"/>
      <c r="G427" s="50">
        <f>Source!I109</f>
        <v>4.9349999999999996</v>
      </c>
      <c r="H427" s="52">
        <f>Source!AL109+Source!AO109+Source!AM109+Source!AN109</f>
        <v>290.74</v>
      </c>
      <c r="I427" s="51">
        <f>IF(Source!BC109&lt;&gt; 0, Source!BC109, 1)</f>
        <v>1.62</v>
      </c>
      <c r="J427" s="52">
        <f>ROUND(H427*I427, 2)</f>
        <v>471</v>
      </c>
      <c r="K427" s="51"/>
      <c r="L427" s="52">
        <f>Source!P109</f>
        <v>2324.39</v>
      </c>
      <c r="AD427">
        <f>ROUND((Source!AT109/100)*((ROUND(ROUND(Source!AO109,2)*Source!I109, 2)+ROUND(ROUND(Source!AN109,2)*Source!I109, 2))), 2)</f>
        <v>0</v>
      </c>
      <c r="AE427">
        <f>ROUND((Source!AU109/100)*((ROUND(ROUND(Source!AO109,2)*Source!I109, 2)+ROUND(ROUND(Source!AN109,2)*Source!I109, 2))), 2)</f>
        <v>0</v>
      </c>
      <c r="AN427">
        <f>L427</f>
        <v>2324.39</v>
      </c>
      <c r="AW427">
        <f>L427</f>
        <v>2324.39</v>
      </c>
      <c r="AZ427">
        <f>Source!X109</f>
        <v>0</v>
      </c>
      <c r="BA427">
        <f>Source!Y109</f>
        <v>0</v>
      </c>
      <c r="CD427">
        <v>1</v>
      </c>
    </row>
    <row r="428" spans="1:82" ht="14.25" x14ac:dyDescent="0.2">
      <c r="A428" s="48"/>
      <c r="B428" s="48"/>
      <c r="C428" s="48" t="s">
        <v>735</v>
      </c>
      <c r="D428" s="49"/>
      <c r="E428" s="50"/>
      <c r="F428" s="50"/>
      <c r="G428" s="50"/>
      <c r="H428" s="52"/>
      <c r="I428" s="51"/>
      <c r="J428" s="52"/>
      <c r="K428" s="51"/>
      <c r="L428" s="52">
        <f>SUM(AR418:AR431)+SUM(AS418:AS431)+SUM(AT418:AT431)+SUM(AU418:AU431)+SUM(AV418:AV431)</f>
        <v>501.49</v>
      </c>
    </row>
    <row r="429" spans="1:82" ht="14.25" x14ac:dyDescent="0.2">
      <c r="A429" s="48"/>
      <c r="B429" s="48" t="s">
        <v>75</v>
      </c>
      <c r="C429" s="48" t="s">
        <v>736</v>
      </c>
      <c r="D429" s="49" t="s">
        <v>737</v>
      </c>
      <c r="E429" s="50">
        <f>Source!BZ108</f>
        <v>112</v>
      </c>
      <c r="F429" s="50"/>
      <c r="G429" s="50">
        <f>Source!AT108</f>
        <v>112</v>
      </c>
      <c r="H429" s="52"/>
      <c r="I429" s="51"/>
      <c r="J429" s="52"/>
      <c r="K429" s="51"/>
      <c r="L429" s="52">
        <f>SUM(AZ418:AZ431)</f>
        <v>561.66999999999996</v>
      </c>
    </row>
    <row r="430" spans="1:82" ht="14.25" x14ac:dyDescent="0.2">
      <c r="A430" s="56"/>
      <c r="B430" s="56" t="s">
        <v>76</v>
      </c>
      <c r="C430" s="56" t="s">
        <v>738</v>
      </c>
      <c r="D430" s="57" t="s">
        <v>737</v>
      </c>
      <c r="E430" s="58">
        <f>Source!CA108</f>
        <v>65</v>
      </c>
      <c r="F430" s="58"/>
      <c r="G430" s="58">
        <f>Source!AU108</f>
        <v>65</v>
      </c>
      <c r="H430" s="59"/>
      <c r="I430" s="60"/>
      <c r="J430" s="59"/>
      <c r="K430" s="60"/>
      <c r="L430" s="59">
        <f>SUM(BA418:BA431)</f>
        <v>325.97000000000003</v>
      </c>
    </row>
    <row r="431" spans="1:82" ht="15" x14ac:dyDescent="0.2">
      <c r="C431" s="124" t="s">
        <v>739</v>
      </c>
      <c r="D431" s="124"/>
      <c r="E431" s="124"/>
      <c r="F431" s="124"/>
      <c r="G431" s="124"/>
      <c r="H431" s="124"/>
      <c r="I431" s="125">
        <f>IF(E418&lt;&gt;0,K431/E418, 0)</f>
        <v>79838.723404255317</v>
      </c>
      <c r="J431" s="125"/>
      <c r="K431" s="125">
        <f>L420+L422+L429+L430+SUM(L427:L427)</f>
        <v>3752.42</v>
      </c>
      <c r="L431" s="125"/>
      <c r="AD431">
        <f>ROUND((Source!AT108/100)*((ROUND(SUMIF(SmtRes!AQ137:'SmtRes'!AQ140,"=1",SmtRes!AD137:'SmtRes'!AD140)*Source!I108, 2)+ROUND(SUMIF(SmtRes!AQ137:'SmtRes'!AQ140,"=1",SmtRes!AC137:'SmtRes'!AC140)*Source!I108, 2))), 2)</f>
        <v>33.76</v>
      </c>
      <c r="AE431">
        <f>ROUND((Source!AU108/100)*((ROUND(SUMIF(SmtRes!AQ137:'SmtRes'!AQ140,"=1",SmtRes!AD137:'SmtRes'!AD140)*Source!I108, 2)+ROUND(SUMIF(SmtRes!AQ137:'SmtRes'!AQ140,"=1",SmtRes!AC137:'SmtRes'!AC140)*Source!I108, 2))), 2)</f>
        <v>19.59</v>
      </c>
      <c r="AN431" s="61">
        <f>L420+L422+L429+L430</f>
        <v>1428.03</v>
      </c>
      <c r="AO431">
        <f>0</f>
        <v>0</v>
      </c>
      <c r="AQ431" t="s">
        <v>740</v>
      </c>
      <c r="AR431" s="61">
        <f>L420</f>
        <v>501.49</v>
      </c>
      <c r="AT431">
        <f>0</f>
        <v>0</v>
      </c>
      <c r="AV431" t="s">
        <v>740</v>
      </c>
      <c r="AW431" s="61">
        <f>L422</f>
        <v>38.9</v>
      </c>
      <c r="AZ431">
        <f>Source!X108</f>
        <v>561.66999999999996</v>
      </c>
      <c r="BA431">
        <f>Source!Y108</f>
        <v>325.97000000000003</v>
      </c>
      <c r="CD431">
        <v>1</v>
      </c>
    </row>
    <row r="433" spans="1:12" ht="15" x14ac:dyDescent="0.2">
      <c r="A433" s="67"/>
      <c r="B433" s="68"/>
      <c r="C433" s="129" t="s">
        <v>809</v>
      </c>
      <c r="D433" s="129"/>
      <c r="E433" s="129"/>
      <c r="F433" s="129"/>
      <c r="G433" s="129"/>
      <c r="H433" s="129"/>
      <c r="I433" s="55"/>
      <c r="J433" s="67"/>
      <c r="K433" s="69"/>
      <c r="L433" s="55">
        <f>L435+L436+L442+L446</f>
        <v>27630.219999999998</v>
      </c>
    </row>
    <row r="434" spans="1:12" ht="14.25" x14ac:dyDescent="0.2">
      <c r="A434" s="64"/>
      <c r="B434" s="66"/>
      <c r="C434" s="130" t="s">
        <v>772</v>
      </c>
      <c r="D434" s="131"/>
      <c r="E434" s="131"/>
      <c r="F434" s="131"/>
      <c r="G434" s="131"/>
      <c r="H434" s="131"/>
      <c r="I434" s="52"/>
      <c r="J434" s="64"/>
      <c r="K434" s="50"/>
      <c r="L434" s="52"/>
    </row>
    <row r="435" spans="1:12" ht="14.25" x14ac:dyDescent="0.2">
      <c r="A435" s="64"/>
      <c r="B435" s="66"/>
      <c r="C435" s="131" t="s">
        <v>773</v>
      </c>
      <c r="D435" s="131"/>
      <c r="E435" s="131"/>
      <c r="F435" s="131"/>
      <c r="G435" s="131"/>
      <c r="H435" s="131"/>
      <c r="I435" s="52"/>
      <c r="J435" s="64"/>
      <c r="K435" s="50"/>
      <c r="L435" s="52">
        <f>SUM(AR282:AR431)</f>
        <v>15268.1</v>
      </c>
    </row>
    <row r="436" spans="1:12" ht="14.25" hidden="1" x14ac:dyDescent="0.2">
      <c r="A436" s="64"/>
      <c r="B436" s="66"/>
      <c r="C436" s="131" t="s">
        <v>774</v>
      </c>
      <c r="D436" s="131"/>
      <c r="E436" s="131"/>
      <c r="F436" s="131"/>
      <c r="G436" s="131"/>
      <c r="H436" s="131"/>
      <c r="I436" s="52"/>
      <c r="J436" s="64"/>
      <c r="K436" s="50"/>
      <c r="L436" s="52">
        <f>L438+L441+L440</f>
        <v>464.54000000000008</v>
      </c>
    </row>
    <row r="437" spans="1:12" ht="14.25" hidden="1" x14ac:dyDescent="0.2">
      <c r="A437" s="64"/>
      <c r="B437" s="66"/>
      <c r="C437" s="130" t="s">
        <v>775</v>
      </c>
      <c r="D437" s="131"/>
      <c r="E437" s="131"/>
      <c r="F437" s="131"/>
      <c r="G437" s="131"/>
      <c r="H437" s="131"/>
      <c r="I437" s="52"/>
      <c r="J437" s="64"/>
      <c r="K437" s="50"/>
      <c r="L437" s="52"/>
    </row>
    <row r="438" spans="1:12" ht="14.25" x14ac:dyDescent="0.2">
      <c r="A438" s="64"/>
      <c r="B438" s="66"/>
      <c r="C438" s="131" t="s">
        <v>774</v>
      </c>
      <c r="D438" s="131"/>
      <c r="E438" s="131"/>
      <c r="F438" s="131"/>
      <c r="G438" s="131"/>
      <c r="H438" s="131"/>
      <c r="I438" s="52"/>
      <c r="J438" s="64"/>
      <c r="K438" s="50"/>
      <c r="L438" s="52">
        <f>SUM(AO282:AO431)</f>
        <v>369.95000000000005</v>
      </c>
    </row>
    <row r="439" spans="1:12" ht="14.25" hidden="1" x14ac:dyDescent="0.2">
      <c r="A439" s="64"/>
      <c r="B439" s="66"/>
      <c r="C439" s="130" t="s">
        <v>776</v>
      </c>
      <c r="D439" s="131"/>
      <c r="E439" s="131"/>
      <c r="F439" s="131"/>
      <c r="G439" s="131"/>
      <c r="H439" s="131"/>
      <c r="I439" s="52"/>
      <c r="J439" s="64"/>
      <c r="K439" s="50"/>
      <c r="L439" s="52"/>
    </row>
    <row r="440" spans="1:12" ht="14.25" x14ac:dyDescent="0.2">
      <c r="A440" s="64"/>
      <c r="B440" s="66"/>
      <c r="C440" s="131" t="s">
        <v>796</v>
      </c>
      <c r="D440" s="131"/>
      <c r="E440" s="131"/>
      <c r="F440" s="131"/>
      <c r="G440" s="131"/>
      <c r="H440" s="131"/>
      <c r="I440" s="52"/>
      <c r="J440" s="64"/>
      <c r="K440" s="50"/>
      <c r="L440" s="52">
        <f>SUM(AT282:AT431)</f>
        <v>94.59</v>
      </c>
    </row>
    <row r="441" spans="1:12" ht="14.25" hidden="1" x14ac:dyDescent="0.2">
      <c r="A441" s="64"/>
      <c r="B441" s="66"/>
      <c r="C441" s="131" t="s">
        <v>777</v>
      </c>
      <c r="D441" s="131"/>
      <c r="E441" s="131"/>
      <c r="F441" s="131"/>
      <c r="G441" s="131"/>
      <c r="H441" s="131"/>
      <c r="I441" s="52"/>
      <c r="J441" s="64"/>
      <c r="K441" s="50"/>
      <c r="L441" s="52">
        <f>SUM(AV282:AV431)</f>
        <v>0</v>
      </c>
    </row>
    <row r="442" spans="1:12" ht="14.25" x14ac:dyDescent="0.2">
      <c r="A442" s="64"/>
      <c r="B442" s="66"/>
      <c r="C442" s="131" t="s">
        <v>778</v>
      </c>
      <c r="D442" s="131"/>
      <c r="E442" s="131"/>
      <c r="F442" s="131"/>
      <c r="G442" s="131"/>
      <c r="H442" s="131"/>
      <c r="I442" s="52"/>
      <c r="J442" s="64"/>
      <c r="K442" s="50"/>
      <c r="L442" s="52">
        <f>L444+L445</f>
        <v>11897.579999999996</v>
      </c>
    </row>
    <row r="443" spans="1:12" ht="14.25" x14ac:dyDescent="0.2">
      <c r="A443" s="64"/>
      <c r="B443" s="66"/>
      <c r="C443" s="130" t="s">
        <v>775</v>
      </c>
      <c r="D443" s="131"/>
      <c r="E443" s="131"/>
      <c r="F443" s="131"/>
      <c r="G443" s="131"/>
      <c r="H443" s="131"/>
      <c r="I443" s="52"/>
      <c r="J443" s="64"/>
      <c r="K443" s="50"/>
      <c r="L443" s="52"/>
    </row>
    <row r="444" spans="1:12" ht="14.25" x14ac:dyDescent="0.2">
      <c r="A444" s="64"/>
      <c r="B444" s="66"/>
      <c r="C444" s="131" t="s">
        <v>779</v>
      </c>
      <c r="D444" s="131"/>
      <c r="E444" s="131"/>
      <c r="F444" s="131"/>
      <c r="G444" s="131"/>
      <c r="H444" s="131"/>
      <c r="I444" s="52"/>
      <c r="J444" s="64"/>
      <c r="K444" s="50"/>
      <c r="L444" s="52">
        <f>SUM(AW282:AW431)-SUM(BK282:BK431)</f>
        <v>11897.579999999996</v>
      </c>
    </row>
    <row r="445" spans="1:12" ht="14.25" hidden="1" x14ac:dyDescent="0.2">
      <c r="A445" s="64"/>
      <c r="B445" s="66"/>
      <c r="C445" s="131" t="s">
        <v>780</v>
      </c>
      <c r="D445" s="131"/>
      <c r="E445" s="131"/>
      <c r="F445" s="131"/>
      <c r="G445" s="131"/>
      <c r="H445" s="131"/>
      <c r="I445" s="52"/>
      <c r="J445" s="64"/>
      <c r="K445" s="50"/>
      <c r="L445" s="52">
        <f>SUM(BC282:BC431)</f>
        <v>0</v>
      </c>
    </row>
    <row r="446" spans="1:12" ht="14.25" hidden="1" x14ac:dyDescent="0.2">
      <c r="A446" s="64"/>
      <c r="B446" s="66"/>
      <c r="C446" s="131" t="s">
        <v>781</v>
      </c>
      <c r="D446" s="131"/>
      <c r="E446" s="131"/>
      <c r="F446" s="131"/>
      <c r="G446" s="131"/>
      <c r="H446" s="131"/>
      <c r="I446" s="52"/>
      <c r="J446" s="64"/>
      <c r="K446" s="50"/>
      <c r="L446" s="52">
        <f>SUM(BB282:BB431)</f>
        <v>0</v>
      </c>
    </row>
    <row r="447" spans="1:12" ht="14.25" x14ac:dyDescent="0.2">
      <c r="A447" s="64"/>
      <c r="B447" s="66"/>
      <c r="C447" s="131" t="s">
        <v>782</v>
      </c>
      <c r="D447" s="131"/>
      <c r="E447" s="131"/>
      <c r="F447" s="131"/>
      <c r="G447" s="131"/>
      <c r="H447" s="131"/>
      <c r="I447" s="52"/>
      <c r="J447" s="64"/>
      <c r="K447" s="50"/>
      <c r="L447" s="52">
        <f>SUM(AR282:AR431)+SUM(AT282:AT431)+SUM(AV282:AV431)</f>
        <v>15362.69</v>
      </c>
    </row>
    <row r="448" spans="1:12" ht="14.25" x14ac:dyDescent="0.2">
      <c r="A448" s="64"/>
      <c r="B448" s="66"/>
      <c r="C448" s="131" t="s">
        <v>783</v>
      </c>
      <c r="D448" s="131"/>
      <c r="E448" s="131"/>
      <c r="F448" s="131"/>
      <c r="G448" s="131"/>
      <c r="H448" s="131"/>
      <c r="I448" s="52"/>
      <c r="J448" s="64"/>
      <c r="K448" s="50"/>
      <c r="L448" s="52">
        <f>SUM(AZ282:AZ431)</f>
        <v>15809.949999999999</v>
      </c>
    </row>
    <row r="449" spans="1:12" ht="14.25" x14ac:dyDescent="0.2">
      <c r="A449" s="64"/>
      <c r="B449" s="66"/>
      <c r="C449" s="131" t="s">
        <v>784</v>
      </c>
      <c r="D449" s="131"/>
      <c r="E449" s="131"/>
      <c r="F449" s="131"/>
      <c r="G449" s="131"/>
      <c r="H449" s="131"/>
      <c r="I449" s="52"/>
      <c r="J449" s="64"/>
      <c r="K449" s="50"/>
      <c r="L449" s="52">
        <f>SUM(BA282:BA431)</f>
        <v>8669.5399999999991</v>
      </c>
    </row>
    <row r="450" spans="1:12" ht="14.25" hidden="1" x14ac:dyDescent="0.2">
      <c r="A450" s="64"/>
      <c r="B450" s="66"/>
      <c r="C450" s="131" t="s">
        <v>785</v>
      </c>
      <c r="D450" s="131"/>
      <c r="E450" s="131"/>
      <c r="F450" s="131"/>
      <c r="G450" s="131"/>
      <c r="H450" s="131"/>
      <c r="I450" s="52"/>
      <c r="J450" s="64"/>
      <c r="K450" s="50"/>
      <c r="L450" s="52">
        <f>L452+L453</f>
        <v>0</v>
      </c>
    </row>
    <row r="451" spans="1:12" ht="14.25" hidden="1" x14ac:dyDescent="0.2">
      <c r="A451" s="64"/>
      <c r="B451" s="66"/>
      <c r="C451" s="130" t="s">
        <v>772</v>
      </c>
      <c r="D451" s="131"/>
      <c r="E451" s="131"/>
      <c r="F451" s="131"/>
      <c r="G451" s="131"/>
      <c r="H451" s="131"/>
      <c r="I451" s="52"/>
      <c r="J451" s="64"/>
      <c r="K451" s="50"/>
      <c r="L451" s="52"/>
    </row>
    <row r="452" spans="1:12" ht="14.25" hidden="1" x14ac:dyDescent="0.2">
      <c r="A452" s="64"/>
      <c r="B452" s="66"/>
      <c r="C452" s="131" t="s">
        <v>786</v>
      </c>
      <c r="D452" s="131"/>
      <c r="E452" s="131"/>
      <c r="F452" s="131"/>
      <c r="G452" s="131"/>
      <c r="H452" s="131"/>
      <c r="I452" s="52"/>
      <c r="J452" s="64"/>
      <c r="K452" s="50"/>
      <c r="L452" s="52">
        <f>SUM(BK282:BK431)</f>
        <v>0</v>
      </c>
    </row>
    <row r="453" spans="1:12" ht="14.25" hidden="1" x14ac:dyDescent="0.2">
      <c r="A453" s="64"/>
      <c r="B453" s="66"/>
      <c r="C453" s="131" t="s">
        <v>787</v>
      </c>
      <c r="D453" s="131"/>
      <c r="E453" s="131"/>
      <c r="F453" s="131"/>
      <c r="G453" s="131"/>
      <c r="H453" s="131"/>
      <c r="I453" s="52"/>
      <c r="J453" s="64"/>
      <c r="K453" s="50"/>
      <c r="L453" s="52">
        <f>SUM(BD282:BD431)</f>
        <v>0</v>
      </c>
    </row>
    <row r="454" spans="1:12" ht="14.25" hidden="1" x14ac:dyDescent="0.2">
      <c r="A454" s="64"/>
      <c r="B454" s="66"/>
      <c r="C454" s="131" t="s">
        <v>788</v>
      </c>
      <c r="D454" s="131"/>
      <c r="E454" s="131"/>
      <c r="F454" s="131"/>
      <c r="G454" s="131"/>
      <c r="H454" s="131"/>
      <c r="I454" s="52"/>
      <c r="J454" s="64"/>
      <c r="K454" s="50"/>
      <c r="L454" s="52"/>
    </row>
    <row r="455" spans="1:12" ht="14.25" hidden="1" x14ac:dyDescent="0.2">
      <c r="A455" s="64"/>
      <c r="B455" s="66"/>
      <c r="C455" s="131" t="s">
        <v>788</v>
      </c>
      <c r="D455" s="131"/>
      <c r="E455" s="131"/>
      <c r="F455" s="131"/>
      <c r="G455" s="131"/>
      <c r="H455" s="131"/>
      <c r="I455" s="52"/>
      <c r="J455" s="64"/>
      <c r="K455" s="50"/>
      <c r="L455" s="52">
        <f>SUM(BQ282:BQ431)</f>
        <v>0</v>
      </c>
    </row>
    <row r="456" spans="1:12" ht="14.25" hidden="1" x14ac:dyDescent="0.2">
      <c r="A456" s="64"/>
      <c r="B456" s="66"/>
      <c r="C456" s="131" t="s">
        <v>789</v>
      </c>
      <c r="D456" s="131"/>
      <c r="E456" s="131"/>
      <c r="F456" s="131"/>
      <c r="G456" s="131"/>
      <c r="H456" s="131"/>
      <c r="I456" s="52"/>
      <c r="J456" s="64"/>
      <c r="K456" s="50"/>
      <c r="L456" s="52">
        <f>SUM(BO282:BO431)</f>
        <v>0</v>
      </c>
    </row>
    <row r="457" spans="1:12" ht="15" x14ac:dyDescent="0.2">
      <c r="A457" s="67"/>
      <c r="B457" s="68"/>
      <c r="C457" s="129" t="s">
        <v>790</v>
      </c>
      <c r="D457" s="129"/>
      <c r="E457" s="129"/>
      <c r="F457" s="129"/>
      <c r="G457" s="129"/>
      <c r="H457" s="129"/>
      <c r="I457" s="55"/>
      <c r="J457" s="67"/>
      <c r="K457" s="69"/>
      <c r="L457" s="55">
        <f>L433+L448+L449+L450+L455+L456</f>
        <v>52109.71</v>
      </c>
    </row>
    <row r="458" spans="1:12" ht="14.25" x14ac:dyDescent="0.2">
      <c r="A458" s="64"/>
      <c r="B458" s="66"/>
      <c r="C458" s="130" t="s">
        <v>791</v>
      </c>
      <c r="D458" s="131"/>
      <c r="E458" s="131"/>
      <c r="F458" s="131"/>
      <c r="G458" s="131"/>
      <c r="H458" s="131"/>
      <c r="I458" s="52"/>
      <c r="J458" s="64"/>
      <c r="K458" s="50"/>
      <c r="L458" s="52"/>
    </row>
    <row r="459" spans="1:12" ht="14.25" hidden="1" x14ac:dyDescent="0.2">
      <c r="A459" s="64"/>
      <c r="B459" s="66"/>
      <c r="C459" s="131" t="s">
        <v>792</v>
      </c>
      <c r="D459" s="131"/>
      <c r="E459" s="131"/>
      <c r="F459" s="131"/>
      <c r="G459" s="131"/>
      <c r="H459" s="131"/>
      <c r="I459" s="52"/>
      <c r="J459" s="64"/>
      <c r="K459" s="50"/>
      <c r="L459" s="52">
        <f>SUM(AX282:AX431)</f>
        <v>0</v>
      </c>
    </row>
    <row r="460" spans="1:12" ht="14.25" hidden="1" x14ac:dyDescent="0.2">
      <c r="A460" s="64"/>
      <c r="B460" s="66"/>
      <c r="C460" s="131" t="s">
        <v>793</v>
      </c>
      <c r="D460" s="131"/>
      <c r="E460" s="131"/>
      <c r="F460" s="131"/>
      <c r="G460" s="131"/>
      <c r="H460" s="131"/>
      <c r="I460" s="52"/>
      <c r="J460" s="64"/>
      <c r="K460" s="50"/>
      <c r="L460" s="52">
        <f>SUM(AY282:AY431)</f>
        <v>0</v>
      </c>
    </row>
    <row r="461" spans="1:12" ht="14.25" x14ac:dyDescent="0.2">
      <c r="A461" s="64"/>
      <c r="B461" s="66"/>
      <c r="C461" s="131" t="s">
        <v>794</v>
      </c>
      <c r="D461" s="131"/>
      <c r="E461" s="131"/>
      <c r="F461" s="132"/>
      <c r="G461" s="54">
        <f>Source!F133</f>
        <v>23.211936000000001</v>
      </c>
      <c r="H461" s="64"/>
      <c r="I461" s="64"/>
      <c r="J461" s="64"/>
      <c r="K461" s="64"/>
      <c r="L461" s="64"/>
    </row>
    <row r="462" spans="1:12" ht="14.25" x14ac:dyDescent="0.2">
      <c r="A462" s="64"/>
      <c r="B462" s="66"/>
      <c r="C462" s="131" t="s">
        <v>795</v>
      </c>
      <c r="D462" s="131"/>
      <c r="E462" s="131"/>
      <c r="F462" s="132"/>
      <c r="G462" s="54">
        <f>Source!F134</f>
        <v>0.13675300000000001</v>
      </c>
      <c r="H462" s="64"/>
      <c r="I462" s="64"/>
      <c r="J462" s="64"/>
      <c r="K462" s="64"/>
      <c r="L462" s="64"/>
    </row>
    <row r="465" spans="1:83" ht="16.5" x14ac:dyDescent="0.2">
      <c r="A465" s="123" t="s">
        <v>810</v>
      </c>
      <c r="B465" s="123"/>
      <c r="C465" s="123"/>
      <c r="D465" s="123"/>
      <c r="E465" s="123"/>
      <c r="F465" s="123"/>
      <c r="G465" s="123"/>
      <c r="H465" s="123"/>
      <c r="I465" s="123"/>
      <c r="J465" s="123"/>
      <c r="K465" s="123"/>
      <c r="L465" s="123"/>
    </row>
    <row r="466" spans="1:83" ht="71.25" x14ac:dyDescent="0.2">
      <c r="A466" s="46" t="s">
        <v>226</v>
      </c>
      <c r="B466" s="48" t="s">
        <v>811</v>
      </c>
      <c r="C466" s="48" t="str">
        <f>Source!G145</f>
        <v>Окрашивание водоэмульсионными составами поверхностей стен, ранее окрашенных: водоэмульсионной краской с расчисткой старой краски свыше 10 до 35%</v>
      </c>
      <c r="D466" s="49" t="str">
        <f>Source!H145</f>
        <v>100 м2</v>
      </c>
      <c r="E466" s="50">
        <f>Source!K145</f>
        <v>0.20094000000000001</v>
      </c>
      <c r="F466" s="50"/>
      <c r="G466" s="50">
        <f>Source!I145</f>
        <v>0.20094000000000001</v>
      </c>
      <c r="H466" s="52"/>
      <c r="I466" s="51"/>
      <c r="J466" s="52"/>
      <c r="K466" s="51"/>
      <c r="L466" s="52"/>
    </row>
    <row r="467" spans="1:83" ht="25.5" x14ac:dyDescent="0.2">
      <c r="C467" s="53" t="str">
        <f>"Объем: "&amp;Source!I145&amp;"=(6,6*"&amp;"2,74-"&amp;"2-"&amp;"3,8*"&amp;"0,85+"&amp;"3*"&amp;"2-"&amp;"2+"&amp;"1,8*"&amp;"1,8)/"&amp;"100"</f>
        <v>Объем: 0,20094=(6,6*2,74-2-3,8*0,85+3*2-2+1,8*1,8)/100</v>
      </c>
    </row>
    <row r="468" spans="1:83" ht="15" x14ac:dyDescent="0.2">
      <c r="A468" s="47"/>
      <c r="B468" s="50">
        <v>1</v>
      </c>
      <c r="C468" s="47" t="s">
        <v>730</v>
      </c>
      <c r="D468" s="49" t="s">
        <v>428</v>
      </c>
      <c r="E468" s="54"/>
      <c r="F468" s="50"/>
      <c r="G468" s="50">
        <f>Source!U145</f>
        <v>5.2847220000000004</v>
      </c>
      <c r="H468" s="50"/>
      <c r="I468" s="50"/>
      <c r="J468" s="50"/>
      <c r="K468" s="50"/>
      <c r="L468" s="55">
        <f>SUM(L469:L469)-SUMIF(CE469:CE469, 1, L469:L469)</f>
        <v>3474.28</v>
      </c>
    </row>
    <row r="469" spans="1:83" ht="14.25" x14ac:dyDescent="0.2">
      <c r="A469" s="48"/>
      <c r="B469" s="48" t="s">
        <v>547</v>
      </c>
      <c r="C469" s="48" t="s">
        <v>548</v>
      </c>
      <c r="D469" s="49" t="s">
        <v>428</v>
      </c>
      <c r="E469" s="50">
        <v>26.3</v>
      </c>
      <c r="F469" s="50"/>
      <c r="G469" s="50">
        <f>SmtRes!CX141</f>
        <v>5.2847220000000004</v>
      </c>
      <c r="H469" s="52"/>
      <c r="I469" s="51"/>
      <c r="J469" s="52">
        <f>SmtRes!CZ141</f>
        <v>657.42</v>
      </c>
      <c r="K469" s="51"/>
      <c r="L469" s="52">
        <f>SmtRes!DI141</f>
        <v>3474.28</v>
      </c>
    </row>
    <row r="470" spans="1:83" ht="15" x14ac:dyDescent="0.2">
      <c r="A470" s="47"/>
      <c r="B470" s="50">
        <v>2</v>
      </c>
      <c r="C470" s="47" t="s">
        <v>731</v>
      </c>
      <c r="D470" s="49"/>
      <c r="E470" s="54"/>
      <c r="F470" s="50"/>
      <c r="G470" s="50"/>
      <c r="H470" s="50"/>
      <c r="I470" s="50"/>
      <c r="J470" s="50"/>
      <c r="K470" s="50"/>
      <c r="L470" s="55">
        <f>SUM(L471:L475)-SUMIF(CE471:CE475, 1, L471:L475)</f>
        <v>7.7500000000000071</v>
      </c>
    </row>
    <row r="471" spans="1:83" ht="15" x14ac:dyDescent="0.2">
      <c r="A471" s="47"/>
      <c r="B471" s="50"/>
      <c r="C471" s="47" t="s">
        <v>733</v>
      </c>
      <c r="D471" s="49" t="s">
        <v>428</v>
      </c>
      <c r="E471" s="54"/>
      <c r="F471" s="50"/>
      <c r="G471" s="50">
        <f>Source!V145</f>
        <v>3.2150400000000003E-2</v>
      </c>
      <c r="H471" s="50"/>
      <c r="I471" s="50"/>
      <c r="J471" s="50"/>
      <c r="K471" s="50"/>
      <c r="L471" s="55">
        <f>SUMIF(CE472:CE475, 1, L472:L475)</f>
        <v>21.86</v>
      </c>
      <c r="CE471">
        <v>1</v>
      </c>
    </row>
    <row r="472" spans="1:83" ht="42.75" x14ac:dyDescent="0.2">
      <c r="A472" s="48"/>
      <c r="B472" s="48" t="s">
        <v>431</v>
      </c>
      <c r="C472" s="48" t="s">
        <v>433</v>
      </c>
      <c r="D472" s="49" t="s">
        <v>434</v>
      </c>
      <c r="E472" s="50">
        <v>0.1</v>
      </c>
      <c r="F472" s="50"/>
      <c r="G472" s="50">
        <f>SmtRes!CX143</f>
        <v>2.0094000000000001E-2</v>
      </c>
      <c r="H472" s="52">
        <f>SmtRes!CZ143</f>
        <v>37.32</v>
      </c>
      <c r="I472" s="51">
        <f>SmtRes!AJ143</f>
        <v>1.57</v>
      </c>
      <c r="J472" s="52">
        <f>ROUND(H472*I472, 2)</f>
        <v>58.59</v>
      </c>
      <c r="K472" s="51"/>
      <c r="L472" s="52">
        <f>SmtRes!DG143</f>
        <v>1.18</v>
      </c>
    </row>
    <row r="473" spans="1:83" ht="28.5" x14ac:dyDescent="0.2">
      <c r="A473" s="48"/>
      <c r="B473" s="48" t="s">
        <v>435</v>
      </c>
      <c r="C473" s="48" t="s">
        <v>732</v>
      </c>
      <c r="D473" s="49" t="s">
        <v>428</v>
      </c>
      <c r="E473" s="50">
        <f>SmtRes!DO143*SmtRes!AT143</f>
        <v>0.1</v>
      </c>
      <c r="F473" s="50"/>
      <c r="G473" s="50">
        <f>ROUND(E473*G466, 7)</f>
        <v>2.0094000000000001E-2</v>
      </c>
      <c r="H473" s="52"/>
      <c r="I473" s="51"/>
      <c r="J473" s="52">
        <f>ROUND(SmtRes!AG143/SmtRes!DO143, 2)</f>
        <v>649.24</v>
      </c>
      <c r="K473" s="51"/>
      <c r="L473" s="52">
        <f>SmtRes!DH143</f>
        <v>13.05</v>
      </c>
      <c r="CE473">
        <v>1</v>
      </c>
    </row>
    <row r="474" spans="1:83" ht="28.5" x14ac:dyDescent="0.2">
      <c r="A474" s="48"/>
      <c r="B474" s="48" t="s">
        <v>463</v>
      </c>
      <c r="C474" s="48" t="s">
        <v>465</v>
      </c>
      <c r="D474" s="49" t="s">
        <v>434</v>
      </c>
      <c r="E474" s="50">
        <v>0.06</v>
      </c>
      <c r="F474" s="50"/>
      <c r="G474" s="50">
        <f>SmtRes!CX144</f>
        <v>1.20564E-2</v>
      </c>
      <c r="H474" s="52"/>
      <c r="I474" s="51"/>
      <c r="J474" s="52">
        <f>SmtRes!CZ144</f>
        <v>544.91999999999996</v>
      </c>
      <c r="K474" s="51"/>
      <c r="L474" s="52">
        <f>SmtRes!DG144</f>
        <v>6.57</v>
      </c>
    </row>
    <row r="475" spans="1:83" ht="28.5" x14ac:dyDescent="0.2">
      <c r="A475" s="48"/>
      <c r="B475" s="48" t="s">
        <v>466</v>
      </c>
      <c r="C475" s="48" t="s">
        <v>747</v>
      </c>
      <c r="D475" s="49" t="s">
        <v>428</v>
      </c>
      <c r="E475" s="50">
        <f>SmtRes!DO144*SmtRes!AT144</f>
        <v>0.06</v>
      </c>
      <c r="F475" s="50"/>
      <c r="G475" s="50">
        <f>ROUND(E475*G466, 7)</f>
        <v>1.20564E-2</v>
      </c>
      <c r="H475" s="52"/>
      <c r="I475" s="51"/>
      <c r="J475" s="52">
        <f>ROUND(SmtRes!AG144/SmtRes!DO144, 2)</f>
        <v>731.08</v>
      </c>
      <c r="K475" s="51"/>
      <c r="L475" s="52">
        <f>SmtRes!DH144</f>
        <v>8.81</v>
      </c>
      <c r="CE475">
        <v>1</v>
      </c>
    </row>
    <row r="476" spans="1:83" ht="15" x14ac:dyDescent="0.2">
      <c r="A476" s="47"/>
      <c r="B476" s="50">
        <v>4</v>
      </c>
      <c r="C476" s="47" t="s">
        <v>742</v>
      </c>
      <c r="D476" s="49"/>
      <c r="E476" s="54"/>
      <c r="F476" s="50"/>
      <c r="G476" s="50"/>
      <c r="H476" s="50"/>
      <c r="I476" s="50"/>
      <c r="J476" s="50"/>
      <c r="K476" s="50"/>
      <c r="L476" s="55">
        <f>SUM(L477:L483)-SUMIF(CE477:CE483, 1, L477:L483)</f>
        <v>2039.2499999999998</v>
      </c>
    </row>
    <row r="477" spans="1:83" ht="14.25" x14ac:dyDescent="0.2">
      <c r="A477" s="48"/>
      <c r="B477" s="48" t="s">
        <v>467</v>
      </c>
      <c r="C477" s="48" t="s">
        <v>469</v>
      </c>
      <c r="D477" s="49" t="s">
        <v>34</v>
      </c>
      <c r="E477" s="50">
        <v>0.4</v>
      </c>
      <c r="F477" s="50"/>
      <c r="G477" s="50">
        <f>SmtRes!CX145</f>
        <v>8.0376000000000003E-2</v>
      </c>
      <c r="H477" s="52">
        <f>SmtRes!CZ145</f>
        <v>35.71</v>
      </c>
      <c r="I477" s="51">
        <f>SmtRes!AI145</f>
        <v>1.53</v>
      </c>
      <c r="J477" s="52">
        <f t="shared" ref="J477:J483" si="0">ROUND(H477*I477, 2)</f>
        <v>54.64</v>
      </c>
      <c r="K477" s="51"/>
      <c r="L477" s="52">
        <f>SmtRes!DF145</f>
        <v>4.3899999999999997</v>
      </c>
    </row>
    <row r="478" spans="1:83" ht="14.25" x14ac:dyDescent="0.2">
      <c r="A478" s="48"/>
      <c r="B478" s="48" t="s">
        <v>558</v>
      </c>
      <c r="C478" s="48" t="s">
        <v>560</v>
      </c>
      <c r="D478" s="49" t="s">
        <v>279</v>
      </c>
      <c r="E478" s="50">
        <v>3.2</v>
      </c>
      <c r="F478" s="50"/>
      <c r="G478" s="50">
        <f>SmtRes!CX146</f>
        <v>0.64300800000000002</v>
      </c>
      <c r="H478" s="52">
        <f>SmtRes!CZ146</f>
        <v>18.59</v>
      </c>
      <c r="I478" s="51">
        <f>SmtRes!AI146</f>
        <v>1.35</v>
      </c>
      <c r="J478" s="52">
        <f t="shared" si="0"/>
        <v>25.1</v>
      </c>
      <c r="K478" s="51"/>
      <c r="L478" s="52">
        <f>SmtRes!DF146</f>
        <v>16.14</v>
      </c>
    </row>
    <row r="479" spans="1:83" ht="14.25" x14ac:dyDescent="0.2">
      <c r="A479" s="48"/>
      <c r="B479" s="48" t="s">
        <v>561</v>
      </c>
      <c r="C479" s="48" t="s">
        <v>563</v>
      </c>
      <c r="D479" s="49" t="s">
        <v>30</v>
      </c>
      <c r="E479" s="50">
        <v>1.2E-2</v>
      </c>
      <c r="F479" s="50"/>
      <c r="G479" s="50">
        <f>SmtRes!CX147</f>
        <v>2.4112999999999999E-3</v>
      </c>
      <c r="H479" s="52">
        <f>SmtRes!CZ147</f>
        <v>3616.92</v>
      </c>
      <c r="I479" s="51">
        <f>SmtRes!AI147</f>
        <v>1.35</v>
      </c>
      <c r="J479" s="52">
        <f t="shared" si="0"/>
        <v>4882.84</v>
      </c>
      <c r="K479" s="51"/>
      <c r="L479" s="52">
        <f>SmtRes!DF147</f>
        <v>11.77</v>
      </c>
    </row>
    <row r="480" spans="1:83" ht="14.25" x14ac:dyDescent="0.2">
      <c r="A480" s="48"/>
      <c r="B480" s="48" t="s">
        <v>564</v>
      </c>
      <c r="C480" s="48" t="s">
        <v>566</v>
      </c>
      <c r="D480" s="49" t="s">
        <v>96</v>
      </c>
      <c r="E480" s="50">
        <v>2.64</v>
      </c>
      <c r="F480" s="50"/>
      <c r="G480" s="50">
        <f>SmtRes!CX148</f>
        <v>0.5304816</v>
      </c>
      <c r="H480" s="52">
        <f>SmtRes!CZ148</f>
        <v>2507.62</v>
      </c>
      <c r="I480" s="51">
        <f>SmtRes!AI148</f>
        <v>1.35</v>
      </c>
      <c r="J480" s="52">
        <f t="shared" si="0"/>
        <v>3385.29</v>
      </c>
      <c r="K480" s="51"/>
      <c r="L480" s="52">
        <f>SmtRes!DF148</f>
        <v>1795.83</v>
      </c>
    </row>
    <row r="481" spans="1:83" ht="28.5" x14ac:dyDescent="0.2">
      <c r="A481" s="48"/>
      <c r="B481" s="48" t="s">
        <v>567</v>
      </c>
      <c r="C481" s="48" t="s">
        <v>569</v>
      </c>
      <c r="D481" s="49" t="s">
        <v>60</v>
      </c>
      <c r="E481" s="50">
        <v>0.8</v>
      </c>
      <c r="F481" s="50"/>
      <c r="G481" s="50">
        <f>SmtRes!CX149</f>
        <v>0.16075200000000001</v>
      </c>
      <c r="H481" s="52">
        <f>SmtRes!CZ149</f>
        <v>531.44000000000005</v>
      </c>
      <c r="I481" s="51">
        <f>SmtRes!AI149</f>
        <v>1.35</v>
      </c>
      <c r="J481" s="52">
        <f t="shared" si="0"/>
        <v>717.44</v>
      </c>
      <c r="K481" s="51"/>
      <c r="L481" s="52">
        <f>SmtRes!DF149</f>
        <v>115.33</v>
      </c>
    </row>
    <row r="482" spans="1:83" ht="42.75" x14ac:dyDescent="0.2">
      <c r="A482" s="48"/>
      <c r="B482" s="48" t="s">
        <v>570</v>
      </c>
      <c r="C482" s="48" t="s">
        <v>572</v>
      </c>
      <c r="D482" s="49" t="s">
        <v>96</v>
      </c>
      <c r="E482" s="50">
        <v>2.4300000000000002</v>
      </c>
      <c r="F482" s="50"/>
      <c r="G482" s="50">
        <f>SmtRes!CX150</f>
        <v>0.4882842</v>
      </c>
      <c r="H482" s="52">
        <f>SmtRes!CZ150</f>
        <v>93.01</v>
      </c>
      <c r="I482" s="51">
        <f>SmtRes!AI150</f>
        <v>1.08</v>
      </c>
      <c r="J482" s="52">
        <f t="shared" si="0"/>
        <v>100.45</v>
      </c>
      <c r="K482" s="51"/>
      <c r="L482" s="52">
        <f>SmtRes!DF150</f>
        <v>49.05</v>
      </c>
    </row>
    <row r="483" spans="1:83" ht="14.25" x14ac:dyDescent="0.2">
      <c r="A483" s="48"/>
      <c r="B483" s="48" t="s">
        <v>573</v>
      </c>
      <c r="C483" s="48" t="s">
        <v>575</v>
      </c>
      <c r="D483" s="49" t="s">
        <v>30</v>
      </c>
      <c r="E483" s="50">
        <v>6.4000000000000003E-3</v>
      </c>
      <c r="F483" s="50"/>
      <c r="G483" s="50">
        <f>SmtRes!CX152</f>
        <v>1.286E-3</v>
      </c>
      <c r="H483" s="52">
        <f>SmtRes!CZ152</f>
        <v>25237.94</v>
      </c>
      <c r="I483" s="51">
        <f>SmtRes!AI152</f>
        <v>1.44</v>
      </c>
      <c r="J483" s="52">
        <f t="shared" si="0"/>
        <v>36342.629999999997</v>
      </c>
      <c r="K483" s="51"/>
      <c r="L483" s="52">
        <f>SmtRes!DF152</f>
        <v>46.74</v>
      </c>
    </row>
    <row r="484" spans="1:83" ht="14.25" x14ac:dyDescent="0.2">
      <c r="A484" s="48"/>
      <c r="B484" s="48" t="str">
        <f>EtalonRes!I151</f>
        <v>14.3.02.01</v>
      </c>
      <c r="C484" s="56" t="str">
        <f>EtalonRes!K151</f>
        <v>Краска водоэмульсионная</v>
      </c>
      <c r="D484" s="57" t="str">
        <f>EtalonRes!O151</f>
        <v>т</v>
      </c>
      <c r="E484" s="58">
        <f>EtalonRes!X151</f>
        <v>6.7000000000000004E-2</v>
      </c>
      <c r="F484" s="58"/>
      <c r="G484" s="58">
        <f>ROUND(EtalonRes!AG151*Source!I145, 7)</f>
        <v>1.3462999999999999E-2</v>
      </c>
      <c r="H484" s="59"/>
      <c r="I484" s="60"/>
      <c r="J484" s="59"/>
      <c r="K484" s="60"/>
      <c r="L484" s="59"/>
    </row>
    <row r="485" spans="1:83" ht="15" x14ac:dyDescent="0.2">
      <c r="A485" s="48"/>
      <c r="B485" s="48"/>
      <c r="C485" s="63" t="s">
        <v>734</v>
      </c>
      <c r="D485" s="49"/>
      <c r="E485" s="50"/>
      <c r="F485" s="50"/>
      <c r="G485" s="50"/>
      <c r="H485" s="52"/>
      <c r="I485" s="51"/>
      <c r="J485" s="52"/>
      <c r="K485" s="51"/>
      <c r="L485" s="52">
        <f>L468+L470+L471+L476</f>
        <v>5543.14</v>
      </c>
    </row>
    <row r="486" spans="1:83" ht="28.5" x14ac:dyDescent="0.2">
      <c r="A486" s="46" t="s">
        <v>812</v>
      </c>
      <c r="B486" s="48" t="str">
        <f>Source!F146</f>
        <v>14.3.02.01-0362</v>
      </c>
      <c r="C486" s="48" t="str">
        <f>Source!G146</f>
        <v>Краска водно-дисперсионная акрилатная ВД-АК-104</v>
      </c>
      <c r="D486" s="49" t="str">
        <f>Source!H146</f>
        <v>т</v>
      </c>
      <c r="E486" s="50">
        <f>SmtRes!AT151</f>
        <v>6.7000000000000004E-2</v>
      </c>
      <c r="F486" s="50"/>
      <c r="G486" s="50">
        <f>Source!I146</f>
        <v>1.3462999999999998E-2</v>
      </c>
      <c r="H486" s="52">
        <f>Source!AL146+Source!AO146+Source!AM146+Source!AN146</f>
        <v>87665.56</v>
      </c>
      <c r="I486" s="51">
        <f>IF(Source!BC146&lt;&gt; 0, Source!BC146, 1)</f>
        <v>1.75</v>
      </c>
      <c r="J486" s="52">
        <f>ROUND(H486*I486, 2)</f>
        <v>153414.73000000001</v>
      </c>
      <c r="K486" s="51"/>
      <c r="L486" s="52">
        <f>Source!P146</f>
        <v>2065.42</v>
      </c>
      <c r="AD486">
        <f>ROUND((Source!AT146/100)*((ROUND(ROUND(Source!AO146,2)*Source!I146, 2)+ROUND(ROUND(Source!AN146,2)*Source!I146, 2))), 2)</f>
        <v>0</v>
      </c>
      <c r="AE486">
        <f>ROUND((Source!AU146/100)*((ROUND(ROUND(Source!AO146,2)*Source!I146, 2)+ROUND(ROUND(Source!AN146,2)*Source!I146, 2))), 2)</f>
        <v>0</v>
      </c>
      <c r="AN486">
        <f>L486</f>
        <v>2065.42</v>
      </c>
      <c r="AW486">
        <f>L486</f>
        <v>2065.42</v>
      </c>
      <c r="AZ486">
        <f>Source!X146</f>
        <v>0</v>
      </c>
      <c r="BA486">
        <f>Source!Y146</f>
        <v>0</v>
      </c>
      <c r="CD486">
        <v>1</v>
      </c>
    </row>
    <row r="487" spans="1:83" ht="14.25" x14ac:dyDescent="0.2">
      <c r="A487" s="48"/>
      <c r="B487" s="48"/>
      <c r="C487" s="48" t="s">
        <v>735</v>
      </c>
      <c r="D487" s="49"/>
      <c r="E487" s="50"/>
      <c r="F487" s="50"/>
      <c r="G487" s="50"/>
      <c r="H487" s="52"/>
      <c r="I487" s="51"/>
      <c r="J487" s="52"/>
      <c r="K487" s="51"/>
      <c r="L487" s="52">
        <f>SUM(AR466:AR490)+SUM(AS466:AS490)+SUM(AT466:AT490)+SUM(AU466:AU490)+SUM(AV466:AV490)</f>
        <v>3496.1400000000003</v>
      </c>
    </row>
    <row r="488" spans="1:83" ht="14.25" x14ac:dyDescent="0.2">
      <c r="A488" s="48"/>
      <c r="B488" s="48" t="s">
        <v>123</v>
      </c>
      <c r="C488" s="48" t="s">
        <v>769</v>
      </c>
      <c r="D488" s="49" t="s">
        <v>737</v>
      </c>
      <c r="E488" s="50">
        <f>Source!BZ145</f>
        <v>90</v>
      </c>
      <c r="F488" s="50"/>
      <c r="G488" s="50">
        <f>Source!AT145</f>
        <v>90</v>
      </c>
      <c r="H488" s="52"/>
      <c r="I488" s="51"/>
      <c r="J488" s="52"/>
      <c r="K488" s="51"/>
      <c r="L488" s="52">
        <f>SUM(AZ466:AZ490)</f>
        <v>3146.53</v>
      </c>
    </row>
    <row r="489" spans="1:83" ht="14.25" x14ac:dyDescent="0.2">
      <c r="A489" s="56"/>
      <c r="B489" s="56" t="s">
        <v>124</v>
      </c>
      <c r="C489" s="56" t="s">
        <v>770</v>
      </c>
      <c r="D489" s="57" t="s">
        <v>737</v>
      </c>
      <c r="E489" s="58">
        <f>Source!CA145</f>
        <v>46</v>
      </c>
      <c r="F489" s="58"/>
      <c r="G489" s="58">
        <f>Source!AU145</f>
        <v>46</v>
      </c>
      <c r="H489" s="59"/>
      <c r="I489" s="60"/>
      <c r="J489" s="59"/>
      <c r="K489" s="60"/>
      <c r="L489" s="59">
        <f>SUM(BA466:BA490)</f>
        <v>1608.22</v>
      </c>
    </row>
    <row r="490" spans="1:83" ht="15" x14ac:dyDescent="0.2">
      <c r="C490" s="124" t="s">
        <v>739</v>
      </c>
      <c r="D490" s="124"/>
      <c r="E490" s="124"/>
      <c r="F490" s="124"/>
      <c r="G490" s="124"/>
      <c r="H490" s="124"/>
      <c r="I490" s="125">
        <f>IF(E466&lt;&gt;0,K490/E466, 0)</f>
        <v>61527.371354633222</v>
      </c>
      <c r="J490" s="125"/>
      <c r="K490" s="125">
        <f>L468+L470+L476+L488+L489+L471+SUM(L486:L486)</f>
        <v>12363.31</v>
      </c>
      <c r="L490" s="125"/>
      <c r="AD490">
        <f>ROUND((Source!AT145/100)*((ROUND(SUMIF(SmtRes!AQ141:'SmtRes'!AQ152,"=1",SmtRes!AD141:'SmtRes'!AD152)*Source!I145, 2)+ROUND(SUMIF(SmtRes!AQ141:'SmtRes'!AQ152,"=1",SmtRes!AC141:'SmtRes'!AC152)*Source!I145, 2))), 2)</f>
        <v>368.51</v>
      </c>
      <c r="AE490">
        <f>ROUND((Source!AU145/100)*((ROUND(SUMIF(SmtRes!AQ141:'SmtRes'!AQ152,"=1",SmtRes!AD141:'SmtRes'!AD152)*Source!I145, 2)+ROUND(SUMIF(SmtRes!AQ141:'SmtRes'!AQ152,"=1",SmtRes!AC141:'SmtRes'!AC152)*Source!I145, 2))), 2)</f>
        <v>188.35</v>
      </c>
      <c r="AN490" s="61">
        <f>L468+L470+L476+L488+L489+L471</f>
        <v>10297.89</v>
      </c>
      <c r="AO490" s="61">
        <f>L470</f>
        <v>7.7500000000000071</v>
      </c>
      <c r="AQ490" t="s">
        <v>740</v>
      </c>
      <c r="AR490" s="61">
        <f>L468</f>
        <v>3474.28</v>
      </c>
      <c r="AT490" s="61">
        <f>L471</f>
        <v>21.86</v>
      </c>
      <c r="AV490" t="s">
        <v>740</v>
      </c>
      <c r="AW490" s="61">
        <f>L476</f>
        <v>2039.2499999999998</v>
      </c>
      <c r="AZ490">
        <f>Source!X145</f>
        <v>3146.53</v>
      </c>
      <c r="BA490">
        <f>Source!Y145</f>
        <v>1608.22</v>
      </c>
      <c r="CD490">
        <v>1</v>
      </c>
    </row>
    <row r="491" spans="1:83" ht="28.5" x14ac:dyDescent="0.2">
      <c r="A491" s="46" t="s">
        <v>234</v>
      </c>
      <c r="B491" s="48" t="s">
        <v>729</v>
      </c>
      <c r="C491" s="48" t="str">
        <f>Source!G147</f>
        <v>Разборка покрытий полов: из керамогранитных плит</v>
      </c>
      <c r="D491" s="49" t="str">
        <f>Source!H147</f>
        <v>100 м2</v>
      </c>
      <c r="E491" s="50">
        <f>Source!K147</f>
        <v>3.168E-2</v>
      </c>
      <c r="F491" s="50"/>
      <c r="G491" s="50">
        <f>Source!I147</f>
        <v>3.168E-2</v>
      </c>
      <c r="H491" s="52"/>
      <c r="I491" s="51"/>
      <c r="J491" s="52"/>
      <c r="K491" s="51"/>
      <c r="L491" s="52"/>
    </row>
    <row r="492" spans="1:83" x14ac:dyDescent="0.2">
      <c r="C492" s="53" t="str">
        <f>"Объем: "&amp;Source!I147&amp;"=(2,2*"&amp;"1,2*"&amp;"1,2)/"&amp;"100"</f>
        <v>Объем: 0,03168=(2,2*1,2*1,2)/100</v>
      </c>
    </row>
    <row r="493" spans="1:83" ht="15" x14ac:dyDescent="0.2">
      <c r="A493" s="47"/>
      <c r="B493" s="50">
        <v>1</v>
      </c>
      <c r="C493" s="47" t="s">
        <v>730</v>
      </c>
      <c r="D493" s="49" t="s">
        <v>428</v>
      </c>
      <c r="E493" s="54"/>
      <c r="F493" s="50"/>
      <c r="G493" s="50">
        <f>Source!U147</f>
        <v>2.4944831999999999</v>
      </c>
      <c r="H493" s="50"/>
      <c r="I493" s="50"/>
      <c r="J493" s="50"/>
      <c r="K493" s="50"/>
      <c r="L493" s="55">
        <f>SUM(L494:L494)-SUMIF(CE494:CE494, 1, L494:L494)</f>
        <v>1592.3</v>
      </c>
    </row>
    <row r="494" spans="1:83" ht="14.25" x14ac:dyDescent="0.2">
      <c r="A494" s="48"/>
      <c r="B494" s="48" t="s">
        <v>426</v>
      </c>
      <c r="C494" s="48" t="s">
        <v>427</v>
      </c>
      <c r="D494" s="49" t="s">
        <v>428</v>
      </c>
      <c r="E494" s="50">
        <v>78.739999999999995</v>
      </c>
      <c r="F494" s="50"/>
      <c r="G494" s="50">
        <f>SmtRes!CX153</f>
        <v>2.4944831999999999</v>
      </c>
      <c r="H494" s="52"/>
      <c r="I494" s="51"/>
      <c r="J494" s="52">
        <f>SmtRes!CZ153</f>
        <v>638.33000000000004</v>
      </c>
      <c r="K494" s="51"/>
      <c r="L494" s="52">
        <f>SmtRes!DI153</f>
        <v>1592.3</v>
      </c>
    </row>
    <row r="495" spans="1:83" ht="15" x14ac:dyDescent="0.2">
      <c r="A495" s="47"/>
      <c r="B495" s="50">
        <v>2</v>
      </c>
      <c r="C495" s="47" t="s">
        <v>731</v>
      </c>
      <c r="D495" s="49"/>
      <c r="E495" s="54"/>
      <c r="F495" s="50"/>
      <c r="G495" s="50"/>
      <c r="H495" s="50"/>
      <c r="I495" s="50"/>
      <c r="J495" s="50"/>
      <c r="K495" s="50"/>
      <c r="L495" s="55">
        <f>SUM(L496:L498)-SUMIF(CE496:CE498, 1, L496:L498)</f>
        <v>1.4699999999999989</v>
      </c>
    </row>
    <row r="496" spans="1:83" ht="15" x14ac:dyDescent="0.2">
      <c r="A496" s="47"/>
      <c r="B496" s="50"/>
      <c r="C496" s="47" t="s">
        <v>733</v>
      </c>
      <c r="D496" s="49" t="s">
        <v>428</v>
      </c>
      <c r="E496" s="54"/>
      <c r="F496" s="50"/>
      <c r="G496" s="50">
        <f>Source!V147</f>
        <v>2.5027199999999999E-2</v>
      </c>
      <c r="H496" s="50"/>
      <c r="I496" s="50"/>
      <c r="J496" s="50"/>
      <c r="K496" s="50"/>
      <c r="L496" s="55">
        <f>SUMIF(CE497:CE498, 1, L497:L498)</f>
        <v>16.25</v>
      </c>
      <c r="CE496">
        <v>1</v>
      </c>
    </row>
    <row r="497" spans="1:83" ht="42.75" x14ac:dyDescent="0.2">
      <c r="A497" s="48"/>
      <c r="B497" s="48" t="s">
        <v>431</v>
      </c>
      <c r="C497" s="48" t="s">
        <v>433</v>
      </c>
      <c r="D497" s="49" t="s">
        <v>434</v>
      </c>
      <c r="E497" s="50">
        <v>0.79</v>
      </c>
      <c r="F497" s="50"/>
      <c r="G497" s="50">
        <f>SmtRes!CX155</f>
        <v>2.5027199999999999E-2</v>
      </c>
      <c r="H497" s="52">
        <f>SmtRes!CZ155</f>
        <v>37.32</v>
      </c>
      <c r="I497" s="51">
        <f>SmtRes!AJ155</f>
        <v>1.57</v>
      </c>
      <c r="J497" s="52">
        <f>ROUND(H497*I497, 2)</f>
        <v>58.59</v>
      </c>
      <c r="K497" s="51"/>
      <c r="L497" s="52">
        <f>SmtRes!DG155</f>
        <v>1.47</v>
      </c>
    </row>
    <row r="498" spans="1:83" ht="28.5" x14ac:dyDescent="0.2">
      <c r="A498" s="48"/>
      <c r="B498" s="48" t="s">
        <v>435</v>
      </c>
      <c r="C498" s="56" t="s">
        <v>732</v>
      </c>
      <c r="D498" s="57" t="s">
        <v>428</v>
      </c>
      <c r="E498" s="58">
        <f>SmtRes!DO155*SmtRes!AT155</f>
        <v>0.79</v>
      </c>
      <c r="F498" s="58"/>
      <c r="G498" s="58">
        <f>ROUND(E498*G491, 7)</f>
        <v>2.5027199999999999E-2</v>
      </c>
      <c r="H498" s="59"/>
      <c r="I498" s="60"/>
      <c r="J498" s="59">
        <f>ROUND(SmtRes!AG155/SmtRes!DO155, 2)</f>
        <v>649.24</v>
      </c>
      <c r="K498" s="60"/>
      <c r="L498" s="59">
        <f>SmtRes!DH155</f>
        <v>16.25</v>
      </c>
      <c r="CE498">
        <v>1</v>
      </c>
    </row>
    <row r="499" spans="1:83" ht="15" x14ac:dyDescent="0.2">
      <c r="A499" s="48"/>
      <c r="B499" s="48"/>
      <c r="C499" s="63" t="s">
        <v>734</v>
      </c>
      <c r="D499" s="49"/>
      <c r="E499" s="50"/>
      <c r="F499" s="50"/>
      <c r="G499" s="50"/>
      <c r="H499" s="52"/>
      <c r="I499" s="51"/>
      <c r="J499" s="52"/>
      <c r="K499" s="51"/>
      <c r="L499" s="52">
        <f>L493+L495+L496</f>
        <v>1610.02</v>
      </c>
    </row>
    <row r="500" spans="1:83" ht="14.25" x14ac:dyDescent="0.2">
      <c r="A500" s="46" t="s">
        <v>813</v>
      </c>
      <c r="B500" s="48" t="str">
        <f>Source!F148</f>
        <v>999-9900</v>
      </c>
      <c r="C500" s="48" t="str">
        <f>Source!G148</f>
        <v>Строительный мусор</v>
      </c>
      <c r="D500" s="49" t="str">
        <f>Source!H148</f>
        <v>т</v>
      </c>
      <c r="E500" s="50">
        <f>SmtRes!AT156</f>
        <v>4.3</v>
      </c>
      <c r="F500" s="50"/>
      <c r="G500" s="50">
        <f>Source!I148</f>
        <v>0.13622400000000001</v>
      </c>
      <c r="H500" s="52">
        <f>Source!AL148+Source!AO148+Source!AM148+Source!AN148</f>
        <v>0</v>
      </c>
      <c r="I500" s="51"/>
      <c r="J500" s="52"/>
      <c r="K500" s="51"/>
      <c r="L500" s="52">
        <f>Source!P148</f>
        <v>0</v>
      </c>
      <c r="AD500">
        <f>ROUND((Source!AT148/100)*((ROUND(ROUND(Source!AO148,2)*Source!I148, 2)+ROUND(ROUND(Source!AN148,2)*Source!I148, 2))), 2)</f>
        <v>0</v>
      </c>
      <c r="AE500">
        <f>ROUND((Source!AU148/100)*((ROUND(ROUND(Source!AO148,2)*Source!I148, 2)+ROUND(ROUND(Source!AN148,2)*Source!I148, 2))), 2)</f>
        <v>0</v>
      </c>
      <c r="AN500">
        <f>L500</f>
        <v>0</v>
      </c>
      <c r="AW500">
        <f>L500</f>
        <v>0</v>
      </c>
      <c r="AZ500">
        <f>Source!X148</f>
        <v>0</v>
      </c>
      <c r="BA500">
        <f>Source!Y148</f>
        <v>0</v>
      </c>
      <c r="CD500">
        <v>1</v>
      </c>
    </row>
    <row r="501" spans="1:83" ht="14.25" x14ac:dyDescent="0.2">
      <c r="A501" s="48"/>
      <c r="B501" s="48"/>
      <c r="C501" s="48" t="s">
        <v>735</v>
      </c>
      <c r="D501" s="49"/>
      <c r="E501" s="50"/>
      <c r="F501" s="50"/>
      <c r="G501" s="50"/>
      <c r="H501" s="52"/>
      <c r="I501" s="51"/>
      <c r="J501" s="52"/>
      <c r="K501" s="51"/>
      <c r="L501" s="52">
        <f>SUM(AR491:AR504)+SUM(AS491:AS504)+SUM(AT491:AT504)+SUM(AU491:AU504)+SUM(AV491:AV504)</f>
        <v>1608.55</v>
      </c>
    </row>
    <row r="502" spans="1:83" ht="14.25" x14ac:dyDescent="0.2">
      <c r="A502" s="48"/>
      <c r="B502" s="48" t="s">
        <v>25</v>
      </c>
      <c r="C502" s="48" t="s">
        <v>736</v>
      </c>
      <c r="D502" s="49" t="s">
        <v>737</v>
      </c>
      <c r="E502" s="50">
        <f>Source!BZ147</f>
        <v>89</v>
      </c>
      <c r="F502" s="50"/>
      <c r="G502" s="50">
        <f>Source!AT147</f>
        <v>89</v>
      </c>
      <c r="H502" s="52"/>
      <c r="I502" s="51"/>
      <c r="J502" s="52"/>
      <c r="K502" s="51"/>
      <c r="L502" s="52">
        <f>SUM(AZ491:AZ504)</f>
        <v>1431.61</v>
      </c>
    </row>
    <row r="503" spans="1:83" ht="14.25" x14ac:dyDescent="0.2">
      <c r="A503" s="56"/>
      <c r="B503" s="56" t="s">
        <v>26</v>
      </c>
      <c r="C503" s="56" t="s">
        <v>738</v>
      </c>
      <c r="D503" s="57" t="s">
        <v>737</v>
      </c>
      <c r="E503" s="58">
        <f>Source!CA147</f>
        <v>49</v>
      </c>
      <c r="F503" s="58"/>
      <c r="G503" s="58">
        <f>Source!AU147</f>
        <v>49</v>
      </c>
      <c r="H503" s="59"/>
      <c r="I503" s="60"/>
      <c r="J503" s="59"/>
      <c r="K503" s="60"/>
      <c r="L503" s="59">
        <f>SUM(BA491:BA504)</f>
        <v>788.19</v>
      </c>
    </row>
    <row r="504" spans="1:83" ht="15" x14ac:dyDescent="0.2">
      <c r="C504" s="124" t="s">
        <v>739</v>
      </c>
      <c r="D504" s="124"/>
      <c r="E504" s="124"/>
      <c r="F504" s="124"/>
      <c r="G504" s="124"/>
      <c r="H504" s="124"/>
      <c r="I504" s="125">
        <f>IF(E491&lt;&gt;0,K504/E491, 0)</f>
        <v>120890.78282828284</v>
      </c>
      <c r="J504" s="125"/>
      <c r="K504" s="125">
        <f>L493+L495+L502+L503+L496+SUM(L500:L500)</f>
        <v>3829.82</v>
      </c>
      <c r="L504" s="125"/>
      <c r="AD504">
        <f>ROUND((Source!AT147/100)*((ROUND(SUMIF(SmtRes!AQ153:'SmtRes'!AQ156,"=1",SmtRes!AD153:'SmtRes'!AD156)*Source!I147, 2)+ROUND(SUMIF(SmtRes!AQ153:'SmtRes'!AQ156,"=1",SmtRes!AC153:'SmtRes'!AC156)*Source!I147, 2))), 2)</f>
        <v>36.299999999999997</v>
      </c>
      <c r="AE504">
        <f>ROUND((Source!AU147/100)*((ROUND(SUMIF(SmtRes!AQ153:'SmtRes'!AQ156,"=1",SmtRes!AD153:'SmtRes'!AD156)*Source!I147, 2)+ROUND(SUMIF(SmtRes!AQ153:'SmtRes'!AQ156,"=1",SmtRes!AC153:'SmtRes'!AC156)*Source!I147, 2))), 2)</f>
        <v>19.989999999999998</v>
      </c>
      <c r="AN504" s="61">
        <f>L493+L495+L502+L503+L496</f>
        <v>3829.82</v>
      </c>
      <c r="AO504" s="61">
        <f>L495</f>
        <v>1.4699999999999989</v>
      </c>
      <c r="AQ504" t="s">
        <v>740</v>
      </c>
      <c r="AR504" s="61">
        <f>L493</f>
        <v>1592.3</v>
      </c>
      <c r="AT504" s="61">
        <f>L496</f>
        <v>16.25</v>
      </c>
      <c r="AV504" t="s">
        <v>740</v>
      </c>
      <c r="AW504">
        <f>0</f>
        <v>0</v>
      </c>
      <c r="AZ504">
        <f>Source!X147</f>
        <v>1431.61</v>
      </c>
      <c r="BA504">
        <f>Source!Y147</f>
        <v>788.19</v>
      </c>
      <c r="CD504">
        <v>1</v>
      </c>
    </row>
    <row r="505" spans="1:83" ht="28.5" x14ac:dyDescent="0.2">
      <c r="A505" s="46" t="s">
        <v>236</v>
      </c>
      <c r="B505" s="48" t="s">
        <v>814</v>
      </c>
      <c r="C505" s="48" t="str">
        <f>Source!G149</f>
        <v>Разборка плинтусов: керамогранитных</v>
      </c>
      <c r="D505" s="49" t="str">
        <f>Source!H149</f>
        <v>100 м</v>
      </c>
      <c r="E505" s="50">
        <f>Source!K149</f>
        <v>0.21</v>
      </c>
      <c r="F505" s="50"/>
      <c r="G505" s="50">
        <f>Source!I149</f>
        <v>0.21</v>
      </c>
      <c r="H505" s="52"/>
      <c r="I505" s="51"/>
      <c r="J505" s="52"/>
      <c r="K505" s="51"/>
      <c r="L505" s="52"/>
    </row>
    <row r="506" spans="1:83" x14ac:dyDescent="0.2">
      <c r="C506" s="53" t="str">
        <f>"Объем: "&amp;Source!I149&amp;"=21/"&amp;"100"</f>
        <v>Объем: 0,21=21/100</v>
      </c>
    </row>
    <row r="507" spans="1:83" ht="15" x14ac:dyDescent="0.2">
      <c r="A507" s="47"/>
      <c r="B507" s="50">
        <v>1</v>
      </c>
      <c r="C507" s="47" t="s">
        <v>730</v>
      </c>
      <c r="D507" s="49" t="s">
        <v>428</v>
      </c>
      <c r="E507" s="54"/>
      <c r="F507" s="50"/>
      <c r="G507" s="50">
        <f>Source!U149</f>
        <v>3.3767999999999998</v>
      </c>
      <c r="H507" s="50"/>
      <c r="I507" s="50"/>
      <c r="J507" s="50"/>
      <c r="K507" s="50"/>
      <c r="L507" s="55">
        <f>SUM(L508:L508)-SUMIF(CE508:CE508, 1, L508:L508)</f>
        <v>2008.12</v>
      </c>
    </row>
    <row r="508" spans="1:83" ht="14.25" x14ac:dyDescent="0.2">
      <c r="A508" s="48"/>
      <c r="B508" s="48" t="s">
        <v>576</v>
      </c>
      <c r="C508" s="48" t="s">
        <v>577</v>
      </c>
      <c r="D508" s="49" t="s">
        <v>428</v>
      </c>
      <c r="E508" s="50">
        <v>16.079999999999998</v>
      </c>
      <c r="F508" s="50"/>
      <c r="G508" s="50">
        <f>SmtRes!CX157</f>
        <v>3.3767999999999998</v>
      </c>
      <c r="H508" s="52"/>
      <c r="I508" s="51"/>
      <c r="J508" s="52">
        <f>SmtRes!CZ157</f>
        <v>594.67999999999995</v>
      </c>
      <c r="K508" s="51"/>
      <c r="L508" s="52">
        <f>SmtRes!DI157</f>
        <v>2008.12</v>
      </c>
    </row>
    <row r="509" spans="1:83" ht="15" x14ac:dyDescent="0.2">
      <c r="A509" s="47"/>
      <c r="B509" s="50">
        <v>2</v>
      </c>
      <c r="C509" s="47" t="s">
        <v>731</v>
      </c>
      <c r="D509" s="49"/>
      <c r="E509" s="54"/>
      <c r="F509" s="50"/>
      <c r="G509" s="50"/>
      <c r="H509" s="50"/>
      <c r="I509" s="50"/>
      <c r="J509" s="50"/>
      <c r="K509" s="50"/>
      <c r="L509" s="55">
        <f>SUM(L510:L512)-SUMIF(CE510:CE512, 1, L510:L512)</f>
        <v>0.17000000000000037</v>
      </c>
    </row>
    <row r="510" spans="1:83" ht="15" x14ac:dyDescent="0.2">
      <c r="A510" s="47"/>
      <c r="B510" s="50"/>
      <c r="C510" s="47" t="s">
        <v>733</v>
      </c>
      <c r="D510" s="49" t="s">
        <v>428</v>
      </c>
      <c r="E510" s="54"/>
      <c r="F510" s="50"/>
      <c r="G510" s="50">
        <f>Source!V149</f>
        <v>2.9399999999999999E-3</v>
      </c>
      <c r="H510" s="50"/>
      <c r="I510" s="50"/>
      <c r="J510" s="50"/>
      <c r="K510" s="50"/>
      <c r="L510" s="55">
        <f>SUMIF(CE511:CE512, 1, L511:L512)</f>
        <v>1.91</v>
      </c>
      <c r="CE510">
        <v>1</v>
      </c>
    </row>
    <row r="511" spans="1:83" ht="42.75" x14ac:dyDescent="0.2">
      <c r="A511" s="48"/>
      <c r="B511" s="48" t="s">
        <v>431</v>
      </c>
      <c r="C511" s="48" t="s">
        <v>433</v>
      </c>
      <c r="D511" s="49" t="s">
        <v>434</v>
      </c>
      <c r="E511" s="50">
        <v>1.4E-2</v>
      </c>
      <c r="F511" s="50"/>
      <c r="G511" s="50">
        <f>SmtRes!CX159</f>
        <v>2.9399999999999999E-3</v>
      </c>
      <c r="H511" s="52">
        <f>SmtRes!CZ159</f>
        <v>37.32</v>
      </c>
      <c r="I511" s="51">
        <f>SmtRes!AJ159</f>
        <v>1.57</v>
      </c>
      <c r="J511" s="52">
        <f>ROUND(H511*I511, 2)</f>
        <v>58.59</v>
      </c>
      <c r="K511" s="51"/>
      <c r="L511" s="52">
        <f>SmtRes!DG159</f>
        <v>0.17</v>
      </c>
    </row>
    <row r="512" spans="1:83" ht="28.5" x14ac:dyDescent="0.2">
      <c r="A512" s="48"/>
      <c r="B512" s="48" t="s">
        <v>435</v>
      </c>
      <c r="C512" s="56" t="s">
        <v>732</v>
      </c>
      <c r="D512" s="57" t="s">
        <v>428</v>
      </c>
      <c r="E512" s="58">
        <f>SmtRes!DO159*SmtRes!AT159</f>
        <v>1.4E-2</v>
      </c>
      <c r="F512" s="58"/>
      <c r="G512" s="58">
        <f>ROUND(E512*G505, 7)</f>
        <v>2.9399999999999999E-3</v>
      </c>
      <c r="H512" s="59"/>
      <c r="I512" s="60"/>
      <c r="J512" s="59">
        <f>ROUND(SmtRes!AG159/SmtRes!DO159, 2)</f>
        <v>649.24</v>
      </c>
      <c r="K512" s="60"/>
      <c r="L512" s="59">
        <f>SmtRes!DH159</f>
        <v>1.91</v>
      </c>
      <c r="CE512">
        <v>1</v>
      </c>
    </row>
    <row r="513" spans="1:101" ht="15" x14ac:dyDescent="0.2">
      <c r="A513" s="48"/>
      <c r="B513" s="48"/>
      <c r="C513" s="63" t="s">
        <v>734</v>
      </c>
      <c r="D513" s="49"/>
      <c r="E513" s="50"/>
      <c r="F513" s="50"/>
      <c r="G513" s="50"/>
      <c r="H513" s="52"/>
      <c r="I513" s="51"/>
      <c r="J513" s="52"/>
      <c r="K513" s="51"/>
      <c r="L513" s="52">
        <f>L507+L509+L510</f>
        <v>2010.2</v>
      </c>
    </row>
    <row r="514" spans="1:101" ht="14.25" x14ac:dyDescent="0.2">
      <c r="A514" s="46" t="s">
        <v>815</v>
      </c>
      <c r="B514" s="48" t="str">
        <f>Source!F150</f>
        <v>999-9900</v>
      </c>
      <c r="C514" s="48" t="str">
        <f>Source!G150</f>
        <v>Строительный мусор</v>
      </c>
      <c r="D514" s="49" t="str">
        <f>Source!H150</f>
        <v>т</v>
      </c>
      <c r="E514" s="50">
        <f>SmtRes!AT160</f>
        <v>0.12</v>
      </c>
      <c r="F514" s="50"/>
      <c r="G514" s="50">
        <f>Source!I150</f>
        <v>2.52E-2</v>
      </c>
      <c r="H514" s="52">
        <f>Source!AL150+Source!AO150+Source!AM150+Source!AN150</f>
        <v>0</v>
      </c>
      <c r="I514" s="51"/>
      <c r="J514" s="52"/>
      <c r="K514" s="51"/>
      <c r="L514" s="52">
        <f>Source!P150</f>
        <v>0</v>
      </c>
      <c r="AD514">
        <f>ROUND((Source!AT150/100)*((ROUND(ROUND(Source!AO150,2)*Source!I150, 2)+ROUND(ROUND(Source!AN150,2)*Source!I150, 2))), 2)</f>
        <v>0</v>
      </c>
      <c r="AE514">
        <f>ROUND((Source!AU150/100)*((ROUND(ROUND(Source!AO150,2)*Source!I150, 2)+ROUND(ROUND(Source!AN150,2)*Source!I150, 2))), 2)</f>
        <v>0</v>
      </c>
      <c r="AN514">
        <f>L514</f>
        <v>0</v>
      </c>
      <c r="AW514">
        <f>L514</f>
        <v>0</v>
      </c>
      <c r="AZ514">
        <f>Source!X150</f>
        <v>0</v>
      </c>
      <c r="BA514">
        <f>Source!Y150</f>
        <v>0</v>
      </c>
      <c r="CD514">
        <v>1</v>
      </c>
    </row>
    <row r="515" spans="1:101" ht="14.25" x14ac:dyDescent="0.2">
      <c r="A515" s="48"/>
      <c r="B515" s="48"/>
      <c r="C515" s="48" t="s">
        <v>735</v>
      </c>
      <c r="D515" s="49"/>
      <c r="E515" s="50"/>
      <c r="F515" s="50"/>
      <c r="G515" s="50"/>
      <c r="H515" s="52"/>
      <c r="I515" s="51"/>
      <c r="J515" s="52"/>
      <c r="K515" s="51"/>
      <c r="L515" s="52">
        <f>SUM(AR505:AR518)+SUM(AS505:AS518)+SUM(AT505:AT518)+SUM(AU505:AU518)+SUM(AV505:AV518)</f>
        <v>2010.03</v>
      </c>
    </row>
    <row r="516" spans="1:101" ht="14.25" x14ac:dyDescent="0.2">
      <c r="A516" s="48"/>
      <c r="B516" s="48" t="s">
        <v>25</v>
      </c>
      <c r="C516" s="48" t="s">
        <v>736</v>
      </c>
      <c r="D516" s="49" t="s">
        <v>737</v>
      </c>
      <c r="E516" s="50">
        <f>Source!BZ149</f>
        <v>89</v>
      </c>
      <c r="F516" s="50"/>
      <c r="G516" s="50">
        <f>Source!AT149</f>
        <v>89</v>
      </c>
      <c r="H516" s="52"/>
      <c r="I516" s="51"/>
      <c r="J516" s="52"/>
      <c r="K516" s="51"/>
      <c r="L516" s="52">
        <f>SUM(AZ505:AZ518)</f>
        <v>1788.93</v>
      </c>
    </row>
    <row r="517" spans="1:101" ht="14.25" x14ac:dyDescent="0.2">
      <c r="A517" s="56"/>
      <c r="B517" s="56" t="s">
        <v>26</v>
      </c>
      <c r="C517" s="56" t="s">
        <v>738</v>
      </c>
      <c r="D517" s="57" t="s">
        <v>737</v>
      </c>
      <c r="E517" s="58">
        <f>Source!CA149</f>
        <v>49</v>
      </c>
      <c r="F517" s="58"/>
      <c r="G517" s="58">
        <f>Source!AU149</f>
        <v>49</v>
      </c>
      <c r="H517" s="59"/>
      <c r="I517" s="60"/>
      <c r="J517" s="59"/>
      <c r="K517" s="60"/>
      <c r="L517" s="59">
        <f>SUM(BA505:BA518)</f>
        <v>984.91</v>
      </c>
    </row>
    <row r="518" spans="1:101" ht="15" x14ac:dyDescent="0.2">
      <c r="C518" s="124" t="s">
        <v>739</v>
      </c>
      <c r="D518" s="124"/>
      <c r="E518" s="124"/>
      <c r="F518" s="124"/>
      <c r="G518" s="124"/>
      <c r="H518" s="124"/>
      <c r="I518" s="125">
        <f>IF(E505&lt;&gt;0,K518/E505, 0)</f>
        <v>22781.142857142859</v>
      </c>
      <c r="J518" s="125"/>
      <c r="K518" s="125">
        <f>L507+L509+L516+L517+L510+SUM(L514:L514)</f>
        <v>4784.04</v>
      </c>
      <c r="L518" s="125"/>
      <c r="AD518">
        <f>ROUND((Source!AT149/100)*((ROUND(SUMIF(SmtRes!AQ157:'SmtRes'!AQ160,"=1",SmtRes!AD157:'SmtRes'!AD160)*Source!I149, 2)+ROUND(SUMIF(SmtRes!AQ157:'SmtRes'!AQ160,"=1",SmtRes!AC157:'SmtRes'!AC160)*Source!I149, 2))), 2)</f>
        <v>232.49</v>
      </c>
      <c r="AE518">
        <f>ROUND((Source!AU149/100)*((ROUND(SUMIF(SmtRes!AQ157:'SmtRes'!AQ160,"=1",SmtRes!AD157:'SmtRes'!AD160)*Source!I149, 2)+ROUND(SUMIF(SmtRes!AQ157:'SmtRes'!AQ160,"=1",SmtRes!AC157:'SmtRes'!AC160)*Source!I149, 2))), 2)</f>
        <v>128</v>
      </c>
      <c r="AN518" s="61">
        <f>L507+L509+L516+L517+L510</f>
        <v>4784.04</v>
      </c>
      <c r="AO518" s="61">
        <f>L509</f>
        <v>0.17000000000000037</v>
      </c>
      <c r="AQ518" t="s">
        <v>740</v>
      </c>
      <c r="AR518" s="61">
        <f>L507</f>
        <v>2008.12</v>
      </c>
      <c r="AT518" s="61">
        <f>L510</f>
        <v>1.91</v>
      </c>
      <c r="AV518" t="s">
        <v>740</v>
      </c>
      <c r="AW518">
        <f>0</f>
        <v>0</v>
      </c>
      <c r="AZ518">
        <f>Source!X149</f>
        <v>1788.93</v>
      </c>
      <c r="BA518">
        <f>Source!Y149</f>
        <v>984.91</v>
      </c>
      <c r="CD518">
        <v>1</v>
      </c>
    </row>
    <row r="519" spans="1:101" ht="28.5" x14ac:dyDescent="0.2">
      <c r="A519" s="46" t="s">
        <v>241</v>
      </c>
      <c r="B519" s="48" t="s">
        <v>756</v>
      </c>
      <c r="C519" s="48" t="str">
        <f>Source!G151</f>
        <v>Устройство покрытий из плит керамогранитных размером: 40х40 см</v>
      </c>
      <c r="D519" s="49" t="str">
        <f>Source!H151</f>
        <v>100 м2</v>
      </c>
      <c r="E519" s="50">
        <f>Source!K151</f>
        <v>3.168E-2</v>
      </c>
      <c r="F519" s="50"/>
      <c r="G519" s="50">
        <f>Source!I151</f>
        <v>3.168E-2</v>
      </c>
      <c r="H519" s="52"/>
      <c r="I519" s="51"/>
      <c r="J519" s="52"/>
      <c r="K519" s="51"/>
      <c r="L519" s="52"/>
    </row>
    <row r="520" spans="1:101" ht="51" x14ac:dyDescent="0.2">
      <c r="B520" s="70" t="s">
        <v>638</v>
      </c>
      <c r="C520" s="133" t="s">
        <v>816</v>
      </c>
      <c r="D520" s="133"/>
      <c r="E520" s="133"/>
      <c r="F520" s="133"/>
      <c r="G520" s="133"/>
      <c r="H520" s="133"/>
      <c r="I520" s="133"/>
      <c r="J520" s="133"/>
      <c r="K520" s="133"/>
      <c r="L520" s="133"/>
      <c r="CW520" s="71" t="s">
        <v>816</v>
      </c>
    </row>
    <row r="521" spans="1:101" x14ac:dyDescent="0.2">
      <c r="C521" s="53" t="str">
        <f>"Объем: "&amp;Source!I151&amp;"=3,168/"&amp;"100"</f>
        <v>Объем: 0,03168=3,168/100</v>
      </c>
    </row>
    <row r="522" spans="1:101" ht="15" x14ac:dyDescent="0.2">
      <c r="A522" s="47"/>
      <c r="B522" s="50">
        <v>1</v>
      </c>
      <c r="C522" s="47" t="s">
        <v>730</v>
      </c>
      <c r="D522" s="49" t="s">
        <v>428</v>
      </c>
      <c r="E522" s="54"/>
      <c r="F522" s="50"/>
      <c r="G522" s="50">
        <f>Source!U151</f>
        <v>11.3092214</v>
      </c>
      <c r="H522" s="50"/>
      <c r="I522" s="50"/>
      <c r="J522" s="50"/>
      <c r="K522" s="50"/>
      <c r="L522" s="55">
        <f>SUM(L523:L523)-SUMIF(CE523:CE523, 1, L523:L523)</f>
        <v>7527.53</v>
      </c>
    </row>
    <row r="523" spans="1:101" ht="14.25" x14ac:dyDescent="0.2">
      <c r="A523" s="48"/>
      <c r="B523" s="48" t="s">
        <v>522</v>
      </c>
      <c r="C523" s="48" t="s">
        <v>523</v>
      </c>
      <c r="D523" s="49" t="s">
        <v>428</v>
      </c>
      <c r="E523" s="50">
        <v>310.42</v>
      </c>
      <c r="F523" s="50">
        <f>ROUND(1.15,7)</f>
        <v>1.1499999999999999</v>
      </c>
      <c r="G523" s="50">
        <f>SmtRes!CX161</f>
        <v>11.3092214</v>
      </c>
      <c r="H523" s="52"/>
      <c r="I523" s="51"/>
      <c r="J523" s="52">
        <f>SmtRes!CZ161</f>
        <v>665.61</v>
      </c>
      <c r="K523" s="51"/>
      <c r="L523" s="52">
        <f>SmtRes!DI161</f>
        <v>7527.53</v>
      </c>
    </row>
    <row r="524" spans="1:101" ht="15" x14ac:dyDescent="0.2">
      <c r="A524" s="47"/>
      <c r="B524" s="50">
        <v>2</v>
      </c>
      <c r="C524" s="47" t="s">
        <v>731</v>
      </c>
      <c r="D524" s="49"/>
      <c r="E524" s="54"/>
      <c r="F524" s="50"/>
      <c r="G524" s="50"/>
      <c r="H524" s="50"/>
      <c r="I524" s="50"/>
      <c r="J524" s="50"/>
      <c r="K524" s="50"/>
      <c r="L524" s="55">
        <f>SUM(L525:L533)-SUMIF(CE525:CE533, 1, L525:L533)</f>
        <v>1.4000000000000057</v>
      </c>
    </row>
    <row r="525" spans="1:101" ht="15" x14ac:dyDescent="0.2">
      <c r="A525" s="47"/>
      <c r="B525" s="50"/>
      <c r="C525" s="47" t="s">
        <v>733</v>
      </c>
      <c r="D525" s="49" t="s">
        <v>428</v>
      </c>
      <c r="E525" s="54"/>
      <c r="F525" s="50"/>
      <c r="G525" s="50">
        <f>Source!V151</f>
        <v>6.8507999999999986E-2</v>
      </c>
      <c r="H525" s="50"/>
      <c r="I525" s="50"/>
      <c r="J525" s="50"/>
      <c r="K525" s="50"/>
      <c r="L525" s="55">
        <f>SUMIF(CE526:CE533, 1, L526:L533)</f>
        <v>44.910000000000004</v>
      </c>
      <c r="CE525">
        <v>1</v>
      </c>
    </row>
    <row r="526" spans="1:101" ht="28.5" x14ac:dyDescent="0.2">
      <c r="A526" s="48"/>
      <c r="B526" s="48" t="s">
        <v>524</v>
      </c>
      <c r="C526" s="48" t="s">
        <v>526</v>
      </c>
      <c r="D526" s="49" t="s">
        <v>434</v>
      </c>
      <c r="E526" s="50">
        <v>0.02</v>
      </c>
      <c r="F526" s="50">
        <f t="shared" ref="F526:F533" si="1">ROUND(1.25,7)</f>
        <v>1.25</v>
      </c>
      <c r="G526" s="50">
        <f>SmtRes!CX163</f>
        <v>7.9199999999999995E-4</v>
      </c>
      <c r="H526" s="52">
        <f>SmtRes!CZ163</f>
        <v>251.77</v>
      </c>
      <c r="I526" s="51">
        <f>SmtRes!AJ163</f>
        <v>1.48</v>
      </c>
      <c r="J526" s="52">
        <f>ROUND(H526*I526, 2)</f>
        <v>372.62</v>
      </c>
      <c r="K526" s="51"/>
      <c r="L526" s="52">
        <f>SmtRes!DG163</f>
        <v>0.3</v>
      </c>
    </row>
    <row r="527" spans="1:101" ht="28.5" x14ac:dyDescent="0.2">
      <c r="A527" s="48"/>
      <c r="B527" s="48" t="s">
        <v>456</v>
      </c>
      <c r="C527" s="48" t="s">
        <v>746</v>
      </c>
      <c r="D527" s="49" t="s">
        <v>428</v>
      </c>
      <c r="E527" s="50">
        <f>SmtRes!DO163*SmtRes!AT163</f>
        <v>0.02</v>
      </c>
      <c r="F527" s="50">
        <f t="shared" si="1"/>
        <v>1.25</v>
      </c>
      <c r="G527" s="50">
        <f>ROUND(E527*F527*G519, 7)</f>
        <v>7.9199999999999995E-4</v>
      </c>
      <c r="H527" s="52"/>
      <c r="I527" s="51"/>
      <c r="J527" s="52">
        <f>ROUND(SmtRes!AG163/SmtRes!DO163, 2)</f>
        <v>982.04</v>
      </c>
      <c r="K527" s="51"/>
      <c r="L527" s="52">
        <f>SmtRes!DH163</f>
        <v>0.78</v>
      </c>
      <c r="CE527">
        <v>1</v>
      </c>
    </row>
    <row r="528" spans="1:101" ht="28.5" x14ac:dyDescent="0.2">
      <c r="A528" s="48"/>
      <c r="B528" s="48" t="s">
        <v>453</v>
      </c>
      <c r="C528" s="48" t="s">
        <v>455</v>
      </c>
      <c r="D528" s="49" t="s">
        <v>434</v>
      </c>
      <c r="E528" s="50">
        <v>0.01</v>
      </c>
      <c r="F528" s="50">
        <f t="shared" si="1"/>
        <v>1.25</v>
      </c>
      <c r="G528" s="50">
        <f>SmtRes!CX164</f>
        <v>3.9599999999999998E-4</v>
      </c>
      <c r="H528" s="52"/>
      <c r="I528" s="51"/>
      <c r="J528" s="52">
        <f>SmtRes!CZ164</f>
        <v>1585.56</v>
      </c>
      <c r="K528" s="51"/>
      <c r="L528" s="52">
        <f>SmtRes!DG164</f>
        <v>0.63</v>
      </c>
    </row>
    <row r="529" spans="1:83" ht="28.5" x14ac:dyDescent="0.2">
      <c r="A529" s="48"/>
      <c r="B529" s="48" t="s">
        <v>456</v>
      </c>
      <c r="C529" s="48" t="s">
        <v>746</v>
      </c>
      <c r="D529" s="49" t="s">
        <v>428</v>
      </c>
      <c r="E529" s="50">
        <f>SmtRes!DO164*SmtRes!AT164</f>
        <v>0.01</v>
      </c>
      <c r="F529" s="50">
        <f t="shared" si="1"/>
        <v>1.25</v>
      </c>
      <c r="G529" s="50">
        <f>ROUND(E529*F529*G519, 7)</f>
        <v>3.9599999999999998E-4</v>
      </c>
      <c r="H529" s="52"/>
      <c r="I529" s="51"/>
      <c r="J529" s="52">
        <f>ROUND(SmtRes!AG164/SmtRes!DO164, 2)</f>
        <v>982.04</v>
      </c>
      <c r="K529" s="51"/>
      <c r="L529" s="52">
        <f>SmtRes!DH164</f>
        <v>0.39</v>
      </c>
      <c r="CE529">
        <v>1</v>
      </c>
    </row>
    <row r="530" spans="1:83" ht="28.5" x14ac:dyDescent="0.2">
      <c r="A530" s="48"/>
      <c r="B530" s="48" t="s">
        <v>527</v>
      </c>
      <c r="C530" s="48" t="s">
        <v>529</v>
      </c>
      <c r="D530" s="49" t="s">
        <v>434</v>
      </c>
      <c r="E530" s="50">
        <v>1.69</v>
      </c>
      <c r="F530" s="50">
        <f t="shared" si="1"/>
        <v>1.25</v>
      </c>
      <c r="G530" s="50">
        <f>SmtRes!CX165</f>
        <v>6.6923999999999997E-2</v>
      </c>
      <c r="H530" s="52">
        <f>SmtRes!CZ165</f>
        <v>2.31</v>
      </c>
      <c r="I530" s="51">
        <f>SmtRes!AJ165</f>
        <v>1.65</v>
      </c>
      <c r="J530" s="52">
        <f>ROUND(H530*I530, 2)</f>
        <v>3.81</v>
      </c>
      <c r="K530" s="51"/>
      <c r="L530" s="52">
        <f>SmtRes!DG165</f>
        <v>0.25</v>
      </c>
    </row>
    <row r="531" spans="1:83" ht="28.5" x14ac:dyDescent="0.2">
      <c r="A531" s="48"/>
      <c r="B531" s="48" t="s">
        <v>435</v>
      </c>
      <c r="C531" s="48" t="s">
        <v>732</v>
      </c>
      <c r="D531" s="49" t="s">
        <v>428</v>
      </c>
      <c r="E531" s="50">
        <f>SmtRes!DO165*SmtRes!AT165</f>
        <v>1.69</v>
      </c>
      <c r="F531" s="50">
        <f t="shared" si="1"/>
        <v>1.25</v>
      </c>
      <c r="G531" s="50">
        <f>ROUND(E531*F531*G519, 7)</f>
        <v>6.6923999999999997E-2</v>
      </c>
      <c r="H531" s="52"/>
      <c r="I531" s="51"/>
      <c r="J531" s="52">
        <f>ROUND(SmtRes!AG165/SmtRes!DO165, 2)</f>
        <v>649.24</v>
      </c>
      <c r="K531" s="51"/>
      <c r="L531" s="52">
        <f>SmtRes!DH165</f>
        <v>43.45</v>
      </c>
      <c r="CE531">
        <v>1</v>
      </c>
    </row>
    <row r="532" spans="1:83" ht="28.5" x14ac:dyDescent="0.2">
      <c r="A532" s="48"/>
      <c r="B532" s="48" t="s">
        <v>463</v>
      </c>
      <c r="C532" s="48" t="s">
        <v>465</v>
      </c>
      <c r="D532" s="49" t="s">
        <v>434</v>
      </c>
      <c r="E532" s="50">
        <v>0.01</v>
      </c>
      <c r="F532" s="50">
        <f t="shared" si="1"/>
        <v>1.25</v>
      </c>
      <c r="G532" s="50">
        <f>SmtRes!CX166</f>
        <v>3.9599999999999998E-4</v>
      </c>
      <c r="H532" s="52"/>
      <c r="I532" s="51"/>
      <c r="J532" s="52">
        <f>SmtRes!CZ166</f>
        <v>544.91999999999996</v>
      </c>
      <c r="K532" s="51"/>
      <c r="L532" s="52">
        <f>SmtRes!DG166</f>
        <v>0.22</v>
      </c>
    </row>
    <row r="533" spans="1:83" ht="28.5" x14ac:dyDescent="0.2">
      <c r="A533" s="48"/>
      <c r="B533" s="48" t="s">
        <v>466</v>
      </c>
      <c r="C533" s="48" t="s">
        <v>747</v>
      </c>
      <c r="D533" s="49" t="s">
        <v>428</v>
      </c>
      <c r="E533" s="50">
        <f>SmtRes!DO166*SmtRes!AT166</f>
        <v>0.01</v>
      </c>
      <c r="F533" s="50">
        <f t="shared" si="1"/>
        <v>1.25</v>
      </c>
      <c r="G533" s="50">
        <f>ROUND(E533*F533*G519, 7)</f>
        <v>3.9599999999999998E-4</v>
      </c>
      <c r="H533" s="52"/>
      <c r="I533" s="51"/>
      <c r="J533" s="52">
        <f>ROUND(SmtRes!AG166/SmtRes!DO166, 2)</f>
        <v>731.08</v>
      </c>
      <c r="K533" s="51"/>
      <c r="L533" s="52">
        <f>SmtRes!DH166</f>
        <v>0.28999999999999998</v>
      </c>
      <c r="CE533">
        <v>1</v>
      </c>
    </row>
    <row r="534" spans="1:83" ht="15" x14ac:dyDescent="0.2">
      <c r="A534" s="47"/>
      <c r="B534" s="50">
        <v>4</v>
      </c>
      <c r="C534" s="47" t="s">
        <v>742</v>
      </c>
      <c r="D534" s="49"/>
      <c r="E534" s="54"/>
      <c r="F534" s="50"/>
      <c r="G534" s="50"/>
      <c r="H534" s="50"/>
      <c r="I534" s="50"/>
      <c r="J534" s="50"/>
      <c r="K534" s="50"/>
      <c r="L534" s="55">
        <f>SUM(L535:L537)-SUMIF(CE535:CE537, 1, L535:L537)</f>
        <v>31.2</v>
      </c>
    </row>
    <row r="535" spans="1:83" ht="14.25" x14ac:dyDescent="0.2">
      <c r="A535" s="48"/>
      <c r="B535" s="48" t="s">
        <v>467</v>
      </c>
      <c r="C535" s="48" t="s">
        <v>469</v>
      </c>
      <c r="D535" s="49" t="s">
        <v>34</v>
      </c>
      <c r="E535" s="50">
        <v>0.44</v>
      </c>
      <c r="F535" s="50"/>
      <c r="G535" s="50">
        <f>SmtRes!CX167</f>
        <v>1.3939200000000001E-2</v>
      </c>
      <c r="H535" s="52">
        <f>SmtRes!CZ167</f>
        <v>35.71</v>
      </c>
      <c r="I535" s="51">
        <f>SmtRes!AI167</f>
        <v>1.53</v>
      </c>
      <c r="J535" s="52">
        <f>ROUND(H535*I535, 2)</f>
        <v>54.64</v>
      </c>
      <c r="K535" s="51"/>
      <c r="L535" s="52">
        <f>SmtRes!DF167</f>
        <v>0.76</v>
      </c>
    </row>
    <row r="536" spans="1:83" ht="14.25" x14ac:dyDescent="0.2">
      <c r="A536" s="48"/>
      <c r="B536" s="48" t="s">
        <v>530</v>
      </c>
      <c r="C536" s="48" t="s">
        <v>532</v>
      </c>
      <c r="D536" s="49" t="s">
        <v>533</v>
      </c>
      <c r="E536" s="50">
        <v>3.2500000000000001E-2</v>
      </c>
      <c r="F536" s="50"/>
      <c r="G536" s="50">
        <f>SmtRes!CX168</f>
        <v>1.0296000000000001E-3</v>
      </c>
      <c r="H536" s="52"/>
      <c r="I536" s="51"/>
      <c r="J536" s="52">
        <f>SmtRes!CZ168</f>
        <v>6.92</v>
      </c>
      <c r="K536" s="51"/>
      <c r="L536" s="52">
        <f>SmtRes!DF168</f>
        <v>0.01</v>
      </c>
    </row>
    <row r="537" spans="1:83" ht="42.75" x14ac:dyDescent="0.2">
      <c r="A537" s="48"/>
      <c r="B537" s="48" t="s">
        <v>261</v>
      </c>
      <c r="C537" s="48" t="s">
        <v>262</v>
      </c>
      <c r="D537" s="49" t="s">
        <v>30</v>
      </c>
      <c r="E537" s="50">
        <v>1.2999999999999999E-2</v>
      </c>
      <c r="F537" s="50"/>
      <c r="G537" s="50">
        <f>SmtRes!CX169</f>
        <v>4.1179999999999998E-4</v>
      </c>
      <c r="H537" s="52"/>
      <c r="I537" s="51"/>
      <c r="J537" s="52">
        <f>SmtRes!CZ169</f>
        <v>73889</v>
      </c>
      <c r="K537" s="51"/>
      <c r="L537" s="52">
        <f>SmtRes!DF169</f>
        <v>30.43</v>
      </c>
    </row>
    <row r="538" spans="1:83" ht="14.25" x14ac:dyDescent="0.2">
      <c r="A538" s="48"/>
      <c r="B538" s="48" t="str">
        <f>EtalonRes!I170</f>
        <v>06.2.05.03</v>
      </c>
      <c r="C538" s="48" t="str">
        <f>EtalonRes!K170</f>
        <v>Плиты керамогранитные 400х400 мм</v>
      </c>
      <c r="D538" s="49" t="str">
        <f>EtalonRes!O170</f>
        <v>м2</v>
      </c>
      <c r="E538" s="50">
        <f>EtalonRes!X170</f>
        <v>102</v>
      </c>
      <c r="F538" s="50"/>
      <c r="G538" s="50">
        <f>ROUND(EtalonRes!AG170*Source!I151, 7)</f>
        <v>3.23136</v>
      </c>
      <c r="H538" s="52"/>
      <c r="I538" s="51"/>
      <c r="J538" s="52"/>
      <c r="K538" s="51"/>
      <c r="L538" s="52"/>
    </row>
    <row r="539" spans="1:83" ht="14.25" x14ac:dyDescent="0.2">
      <c r="A539" s="48"/>
      <c r="B539" s="48" t="str">
        <f>EtalonRes!I171</f>
        <v>11.2.04.05</v>
      </c>
      <c r="C539" s="48" t="str">
        <f>EtalonRes!K171</f>
        <v>Рейки деревянные</v>
      </c>
      <c r="D539" s="49" t="str">
        <f>EtalonRes!O171</f>
        <v>м3</v>
      </c>
      <c r="E539" s="50">
        <f>EtalonRes!X171</f>
        <v>0.01</v>
      </c>
      <c r="F539" s="50"/>
      <c r="G539" s="50">
        <f>ROUND(EtalonRes!AG171*Source!I151, 7)</f>
        <v>3.168E-4</v>
      </c>
      <c r="H539" s="52"/>
      <c r="I539" s="51"/>
      <c r="J539" s="52"/>
      <c r="K539" s="51"/>
      <c r="L539" s="52"/>
    </row>
    <row r="540" spans="1:83" ht="28.5" x14ac:dyDescent="0.2">
      <c r="A540" s="48"/>
      <c r="B540" s="48" t="str">
        <f>EtalonRes!I172</f>
        <v>14.1.06.02</v>
      </c>
      <c r="C540" s="48" t="str">
        <f>EtalonRes!K172</f>
        <v>Клей для облицовочных работ (сухая смесь)</v>
      </c>
      <c r="D540" s="49" t="str">
        <f>EtalonRes!O172</f>
        <v>т</v>
      </c>
      <c r="E540" s="50">
        <f>EtalonRes!X172</f>
        <v>1.2</v>
      </c>
      <c r="F540" s="50"/>
      <c r="G540" s="50">
        <f>ROUND(EtalonRes!AG172*Source!I151, 7)</f>
        <v>3.8016000000000001E-2</v>
      </c>
      <c r="H540" s="52"/>
      <c r="I540" s="51"/>
      <c r="J540" s="52"/>
      <c r="K540" s="51"/>
      <c r="L540" s="52"/>
    </row>
    <row r="541" spans="1:83" ht="14.25" x14ac:dyDescent="0.2">
      <c r="A541" s="48"/>
      <c r="B541" s="48" t="str">
        <f>EtalonRes!I173</f>
        <v>14.4.01.21</v>
      </c>
      <c r="C541" s="56" t="str">
        <f>EtalonRes!K173</f>
        <v>Грунтовка</v>
      </c>
      <c r="D541" s="57" t="str">
        <f>EtalonRes!O173</f>
        <v>т</v>
      </c>
      <c r="E541" s="58">
        <f>EtalonRes!X173</f>
        <v>0</v>
      </c>
      <c r="F541" s="58"/>
      <c r="G541" s="58">
        <f>ROUND(EtalonRes!AG173*Source!I151, 7)</f>
        <v>0</v>
      </c>
      <c r="H541" s="59"/>
      <c r="I541" s="60"/>
      <c r="J541" s="59"/>
      <c r="K541" s="60"/>
      <c r="L541" s="59"/>
    </row>
    <row r="542" spans="1:83" ht="15" x14ac:dyDescent="0.2">
      <c r="A542" s="48"/>
      <c r="B542" s="48"/>
      <c r="C542" s="63" t="s">
        <v>734</v>
      </c>
      <c r="D542" s="49"/>
      <c r="E542" s="50"/>
      <c r="F542" s="50"/>
      <c r="G542" s="50"/>
      <c r="H542" s="52"/>
      <c r="I542" s="51"/>
      <c r="J542" s="52"/>
      <c r="K542" s="51"/>
      <c r="L542" s="52">
        <f>L522+L524+L525+L534</f>
        <v>7605.0399999999991</v>
      </c>
    </row>
    <row r="543" spans="1:83" ht="42.75" x14ac:dyDescent="0.2">
      <c r="A543" s="46" t="s">
        <v>817</v>
      </c>
      <c r="B543" s="48" t="str">
        <f>Source!F152</f>
        <v>06.2.05.03-0003</v>
      </c>
      <c r="C543" s="48" t="str">
        <f>Source!G152</f>
        <v>Плитка керамогранитная, неполированная, многоцветная, толщина 9 мм</v>
      </c>
      <c r="D543" s="49" t="str">
        <f>Source!H152</f>
        <v>м2</v>
      </c>
      <c r="E543" s="50">
        <f>SmtRes!AT170</f>
        <v>102</v>
      </c>
      <c r="F543" s="50"/>
      <c r="G543" s="50">
        <f>Source!I152</f>
        <v>3.23136</v>
      </c>
      <c r="H543" s="52"/>
      <c r="I543" s="51"/>
      <c r="J543" s="52">
        <f>Source!AK152</f>
        <v>908.39</v>
      </c>
      <c r="K543" s="51"/>
      <c r="L543" s="52">
        <f>Source!P152</f>
        <v>2935.34</v>
      </c>
      <c r="AD543">
        <f>ROUND((Source!AT152/100)*((ROUND(ROUND(Source!AO152,2)*Source!I152, 2)+ROUND(ROUND(Source!AN152,2)*Source!I152, 2))), 2)</f>
        <v>0</v>
      </c>
      <c r="AE543">
        <f>ROUND((Source!AU152/100)*((ROUND(ROUND(Source!AO152,2)*Source!I152, 2)+ROUND(ROUND(Source!AN152,2)*Source!I152, 2))), 2)</f>
        <v>0</v>
      </c>
      <c r="AN543">
        <f>L543</f>
        <v>2935.34</v>
      </c>
      <c r="AW543">
        <f>L543</f>
        <v>2935.34</v>
      </c>
      <c r="AZ543">
        <f>Source!X152</f>
        <v>0</v>
      </c>
      <c r="BA543">
        <f>Source!Y152</f>
        <v>0</v>
      </c>
      <c r="CD543">
        <v>1</v>
      </c>
    </row>
    <row r="544" spans="1:83" ht="42.75" x14ac:dyDescent="0.2">
      <c r="A544" s="46" t="s">
        <v>818</v>
      </c>
      <c r="B544" s="48" t="str">
        <f>Source!F153</f>
        <v>11.2.04.05-0001</v>
      </c>
      <c r="C544" s="48" t="str">
        <f>Source!G153</f>
        <v>Рейка строганная сухая хвойных пород (ель, сосна), длина 2-3 м, размеры 8х18 мм</v>
      </c>
      <c r="D544" s="49" t="str">
        <f>Source!H153</f>
        <v>м3</v>
      </c>
      <c r="E544" s="50">
        <f>SmtRes!AT171</f>
        <v>0.01</v>
      </c>
      <c r="F544" s="50"/>
      <c r="G544" s="50">
        <f>Source!I153</f>
        <v>3.168E-4</v>
      </c>
      <c r="H544" s="52">
        <f>Source!AL153+Source!AO153+Source!AM153+Source!AN153</f>
        <v>23139.16</v>
      </c>
      <c r="I544" s="51">
        <f>IF(Source!BC153&lt;&gt; 0, Source!BC153, 1)</f>
        <v>1.73</v>
      </c>
      <c r="J544" s="52">
        <f>ROUND(H544*I544, 2)</f>
        <v>40030.75</v>
      </c>
      <c r="K544" s="51"/>
      <c r="L544" s="52">
        <f>Source!P153</f>
        <v>12.68</v>
      </c>
      <c r="AD544">
        <f>ROUND((Source!AT153/100)*((ROUND(ROUND(Source!AO153,2)*Source!I153, 2)+ROUND(ROUND(Source!AN153,2)*Source!I153, 2))), 2)</f>
        <v>0</v>
      </c>
      <c r="AE544">
        <f>ROUND((Source!AU153/100)*((ROUND(ROUND(Source!AO153,2)*Source!I153, 2)+ROUND(ROUND(Source!AN153,2)*Source!I153, 2))), 2)</f>
        <v>0</v>
      </c>
      <c r="AN544">
        <f>L544</f>
        <v>12.68</v>
      </c>
      <c r="AW544">
        <f>L544</f>
        <v>12.68</v>
      </c>
      <c r="AZ544">
        <f>Source!X153</f>
        <v>0</v>
      </c>
      <c r="BA544">
        <f>Source!Y153</f>
        <v>0</v>
      </c>
      <c r="CD544">
        <v>1</v>
      </c>
    </row>
    <row r="545" spans="1:101" ht="57" x14ac:dyDescent="0.2">
      <c r="A545" s="46" t="s">
        <v>819</v>
      </c>
      <c r="B545" s="48" t="str">
        <f>Source!F154</f>
        <v>14.1.06.02-0011</v>
      </c>
      <c r="C545" s="48" t="str">
        <f>Source!G154</f>
        <v>Клей монтажный сухой для внутренних и наружных работ на основе цементного вяжущего, для плитки, керамогранита, мозаики, камня</v>
      </c>
      <c r="D545" s="49" t="str">
        <f>Source!H154</f>
        <v>т</v>
      </c>
      <c r="E545" s="50">
        <f>SmtRes!AT172</f>
        <v>1.2</v>
      </c>
      <c r="F545" s="50"/>
      <c r="G545" s="50">
        <f>Source!I154</f>
        <v>3.8016000000000001E-2</v>
      </c>
      <c r="H545" s="52">
        <f>Source!AL154+Source!AO154+Source!AM154+Source!AN154</f>
        <v>36038.35</v>
      </c>
      <c r="I545" s="51">
        <f>IF(Source!BC154&lt;&gt; 0, Source!BC154, 1)</f>
        <v>1.01</v>
      </c>
      <c r="J545" s="52">
        <f>ROUND(H545*I545, 2)</f>
        <v>36398.730000000003</v>
      </c>
      <c r="K545" s="51"/>
      <c r="L545" s="52">
        <f>Source!P154</f>
        <v>1383.73</v>
      </c>
      <c r="AD545">
        <f>ROUND((Source!AT154/100)*((ROUND(ROUND(Source!AO154,2)*Source!I154, 2)+ROUND(ROUND(Source!AN154,2)*Source!I154, 2))), 2)</f>
        <v>0</v>
      </c>
      <c r="AE545">
        <f>ROUND((Source!AU154/100)*((ROUND(ROUND(Source!AO154,2)*Source!I154, 2)+ROUND(ROUND(Source!AN154,2)*Source!I154, 2))), 2)</f>
        <v>0</v>
      </c>
      <c r="AN545">
        <f>L545</f>
        <v>1383.73</v>
      </c>
      <c r="AW545">
        <f>L545</f>
        <v>1383.73</v>
      </c>
      <c r="AZ545">
        <f>Source!X154</f>
        <v>0</v>
      </c>
      <c r="BA545">
        <f>Source!Y154</f>
        <v>0</v>
      </c>
      <c r="CD545">
        <v>1</v>
      </c>
    </row>
    <row r="546" spans="1:101" ht="14.25" x14ac:dyDescent="0.2">
      <c r="A546" s="48"/>
      <c r="B546" s="48"/>
      <c r="C546" s="48" t="s">
        <v>735</v>
      </c>
      <c r="D546" s="49"/>
      <c r="E546" s="50"/>
      <c r="F546" s="50"/>
      <c r="G546" s="50"/>
      <c r="H546" s="52"/>
      <c r="I546" s="51"/>
      <c r="J546" s="52"/>
      <c r="K546" s="51"/>
      <c r="L546" s="52">
        <f>SUM(AR519:AR549)+SUM(AS519:AS549)+SUM(AT519:AT549)+SUM(AU519:AU549)+SUM(AV519:AV549)</f>
        <v>7572.44</v>
      </c>
    </row>
    <row r="547" spans="1:101" ht="28.5" x14ac:dyDescent="0.2">
      <c r="A547" s="48"/>
      <c r="B547" s="48" t="s">
        <v>820</v>
      </c>
      <c r="C547" s="48" t="s">
        <v>736</v>
      </c>
      <c r="D547" s="49" t="s">
        <v>737</v>
      </c>
      <c r="E547" s="50">
        <f>Source!BZ151</f>
        <v>112</v>
      </c>
      <c r="F547" s="50">
        <f>ROUND(0.9,7)</f>
        <v>0.9</v>
      </c>
      <c r="G547" s="50">
        <f>Source!AT151</f>
        <v>100.8</v>
      </c>
      <c r="H547" s="52"/>
      <c r="I547" s="51"/>
      <c r="J547" s="52"/>
      <c r="K547" s="51"/>
      <c r="L547" s="52">
        <f>SUM(AZ519:AZ549)</f>
        <v>7633.02</v>
      </c>
    </row>
    <row r="548" spans="1:101" ht="28.5" x14ac:dyDescent="0.2">
      <c r="A548" s="56"/>
      <c r="B548" s="56" t="s">
        <v>821</v>
      </c>
      <c r="C548" s="56" t="s">
        <v>738</v>
      </c>
      <c r="D548" s="57" t="s">
        <v>737</v>
      </c>
      <c r="E548" s="58">
        <f>Source!CA151</f>
        <v>65</v>
      </c>
      <c r="F548" s="58">
        <f>ROUND(0.85,7)</f>
        <v>0.85</v>
      </c>
      <c r="G548" s="58">
        <f>Source!AU151</f>
        <v>55.25</v>
      </c>
      <c r="H548" s="59"/>
      <c r="I548" s="60"/>
      <c r="J548" s="59"/>
      <c r="K548" s="60"/>
      <c r="L548" s="59">
        <f>SUM(BA519:BA549)</f>
        <v>4183.7700000000004</v>
      </c>
    </row>
    <row r="549" spans="1:101" ht="15" x14ac:dyDescent="0.2">
      <c r="C549" s="124" t="s">
        <v>739</v>
      </c>
      <c r="D549" s="124"/>
      <c r="E549" s="124"/>
      <c r="F549" s="124"/>
      <c r="G549" s="124"/>
      <c r="H549" s="124"/>
      <c r="I549" s="125">
        <f>IF(E519&lt;&gt;0,K549/E519, 0)</f>
        <v>749797.34848484839</v>
      </c>
      <c r="J549" s="125"/>
      <c r="K549" s="125">
        <f>L522+L524+L534+L547+L548+L525+SUM(L543:L545)</f>
        <v>23753.579999999998</v>
      </c>
      <c r="L549" s="125"/>
      <c r="AD549">
        <f>ROUND((Source!AT151/100)*((ROUND(SUMIF(SmtRes!AQ161:'SmtRes'!AQ173,"=1",SmtRes!AD161:'SmtRes'!AD173)*Source!I151, 2)+ROUND(SUMIF(SmtRes!AQ161:'SmtRes'!AQ173,"=1",SmtRes!AC161:'SmtRes'!AC173)*Source!I151, 2))), 2)</f>
        <v>128.06</v>
      </c>
      <c r="AE549">
        <f>ROUND((Source!AU151/100)*((ROUND(SUMIF(SmtRes!AQ161:'SmtRes'!AQ173,"=1",SmtRes!AD161:'SmtRes'!AD173)*Source!I151, 2)+ROUND(SUMIF(SmtRes!AQ161:'SmtRes'!AQ173,"=1",SmtRes!AC161:'SmtRes'!AC173)*Source!I151, 2))), 2)</f>
        <v>70.19</v>
      </c>
      <c r="AN549" s="61">
        <f>L522+L524+L534+L547+L548+L525</f>
        <v>19421.829999999998</v>
      </c>
      <c r="AO549" s="61">
        <f>L524</f>
        <v>1.4000000000000057</v>
      </c>
      <c r="AQ549" t="s">
        <v>740</v>
      </c>
      <c r="AR549" s="61">
        <f>L522</f>
        <v>7527.53</v>
      </c>
      <c r="AT549" s="61">
        <f>L525</f>
        <v>44.910000000000004</v>
      </c>
      <c r="AV549" t="s">
        <v>740</v>
      </c>
      <c r="AW549" s="61">
        <f>L534</f>
        <v>31.2</v>
      </c>
      <c r="AZ549">
        <f>Source!X151</f>
        <v>7633.02</v>
      </c>
      <c r="BA549">
        <f>Source!Y151</f>
        <v>4183.7700000000004</v>
      </c>
      <c r="CD549">
        <v>1</v>
      </c>
    </row>
    <row r="550" spans="1:101" ht="28.5" x14ac:dyDescent="0.2">
      <c r="A550" s="46" t="s">
        <v>256</v>
      </c>
      <c r="B550" s="48" t="s">
        <v>822</v>
      </c>
      <c r="C550" s="48" t="str">
        <f>Source!G156</f>
        <v>Устройство плинтусов: из плиток керамогранитных</v>
      </c>
      <c r="D550" s="49" t="str">
        <f>Source!H156</f>
        <v>100 м</v>
      </c>
      <c r="E550" s="50">
        <f>Source!K156</f>
        <v>0.21</v>
      </c>
      <c r="F550" s="50"/>
      <c r="G550" s="50">
        <f>Source!I156</f>
        <v>0.21</v>
      </c>
      <c r="H550" s="52"/>
      <c r="I550" s="51"/>
      <c r="J550" s="52"/>
      <c r="K550" s="51"/>
      <c r="L550" s="52"/>
    </row>
    <row r="551" spans="1:101" ht="51" x14ac:dyDescent="0.2">
      <c r="B551" s="70" t="s">
        <v>638</v>
      </c>
      <c r="C551" s="133" t="s">
        <v>816</v>
      </c>
      <c r="D551" s="133"/>
      <c r="E551" s="133"/>
      <c r="F551" s="133"/>
      <c r="G551" s="133"/>
      <c r="H551" s="133"/>
      <c r="I551" s="133"/>
      <c r="J551" s="133"/>
      <c r="K551" s="133"/>
      <c r="L551" s="133"/>
      <c r="CW551" s="71" t="s">
        <v>816</v>
      </c>
    </row>
    <row r="552" spans="1:101" x14ac:dyDescent="0.2">
      <c r="C552" s="53" t="str">
        <f>"Объем: "&amp;Source!I156&amp;"=21/"&amp;"100"</f>
        <v>Объем: 0,21=21/100</v>
      </c>
    </row>
    <row r="553" spans="1:101" ht="15" x14ac:dyDescent="0.2">
      <c r="A553" s="47"/>
      <c r="B553" s="50">
        <v>1</v>
      </c>
      <c r="C553" s="47" t="s">
        <v>730</v>
      </c>
      <c r="D553" s="49" t="s">
        <v>428</v>
      </c>
      <c r="E553" s="54"/>
      <c r="F553" s="50"/>
      <c r="G553" s="50">
        <f>Source!U156</f>
        <v>7.1025150000000004</v>
      </c>
      <c r="H553" s="50"/>
      <c r="I553" s="50"/>
      <c r="J553" s="50"/>
      <c r="K553" s="50"/>
      <c r="L553" s="55">
        <f>SUM(L554:L554)-SUMIF(CE554:CE554, 1, L554:L554)</f>
        <v>5076.24</v>
      </c>
    </row>
    <row r="554" spans="1:101" ht="14.25" x14ac:dyDescent="0.2">
      <c r="A554" s="48"/>
      <c r="B554" s="48" t="s">
        <v>578</v>
      </c>
      <c r="C554" s="48" t="s">
        <v>579</v>
      </c>
      <c r="D554" s="49" t="s">
        <v>428</v>
      </c>
      <c r="E554" s="50">
        <v>29.41</v>
      </c>
      <c r="F554" s="50">
        <f>ROUND(1.15,7)</f>
        <v>1.1499999999999999</v>
      </c>
      <c r="G554" s="50">
        <f>SmtRes!CX174</f>
        <v>7.1025150000000004</v>
      </c>
      <c r="H554" s="52"/>
      <c r="I554" s="51"/>
      <c r="J554" s="52">
        <f>SmtRes!CZ174</f>
        <v>714.71</v>
      </c>
      <c r="K554" s="51"/>
      <c r="L554" s="52">
        <f>SmtRes!DI174</f>
        <v>5076.24</v>
      </c>
    </row>
    <row r="555" spans="1:101" ht="15" x14ac:dyDescent="0.2">
      <c r="A555" s="47"/>
      <c r="B555" s="50">
        <v>2</v>
      </c>
      <c r="C555" s="47" t="s">
        <v>731</v>
      </c>
      <c r="D555" s="49"/>
      <c r="E555" s="54"/>
      <c r="F555" s="50"/>
      <c r="G555" s="50"/>
      <c r="H555" s="50"/>
      <c r="I555" s="50"/>
      <c r="J555" s="50"/>
      <c r="K555" s="50"/>
      <c r="L555" s="55">
        <f>SUM(L556:L560)-SUMIF(CE556:CE560, 1, L556:L560)</f>
        <v>43.059999999999988</v>
      </c>
    </row>
    <row r="556" spans="1:101" ht="15" x14ac:dyDescent="0.2">
      <c r="A556" s="47"/>
      <c r="B556" s="50"/>
      <c r="C556" s="47" t="s">
        <v>733</v>
      </c>
      <c r="D556" s="49" t="s">
        <v>428</v>
      </c>
      <c r="E556" s="54"/>
      <c r="F556" s="50"/>
      <c r="G556" s="50">
        <f>Source!V156</f>
        <v>8.1375000000000003E-2</v>
      </c>
      <c r="H556" s="50"/>
      <c r="I556" s="50"/>
      <c r="J556" s="50"/>
      <c r="K556" s="50"/>
      <c r="L556" s="55">
        <f>SUMIF(CE557:CE560, 1, L557:L560)</f>
        <v>59.27</v>
      </c>
      <c r="CE556">
        <v>1</v>
      </c>
    </row>
    <row r="557" spans="1:101" ht="42.75" x14ac:dyDescent="0.2">
      <c r="A557" s="48"/>
      <c r="B557" s="48" t="s">
        <v>431</v>
      </c>
      <c r="C557" s="48" t="s">
        <v>433</v>
      </c>
      <c r="D557" s="49" t="s">
        <v>434</v>
      </c>
      <c r="E557" s="50">
        <v>0.01</v>
      </c>
      <c r="F557" s="50">
        <f>ROUND(1.25,7)</f>
        <v>1.25</v>
      </c>
      <c r="G557" s="50">
        <f>SmtRes!CX176</f>
        <v>2.6250000000000002E-3</v>
      </c>
      <c r="H557" s="52">
        <f>SmtRes!CZ176</f>
        <v>37.32</v>
      </c>
      <c r="I557" s="51">
        <f>SmtRes!AJ176</f>
        <v>1.57</v>
      </c>
      <c r="J557" s="52">
        <f>ROUND(H557*I557, 2)</f>
        <v>58.59</v>
      </c>
      <c r="K557" s="51"/>
      <c r="L557" s="52">
        <f>SmtRes!DG176</f>
        <v>0.15</v>
      </c>
    </row>
    <row r="558" spans="1:101" ht="28.5" x14ac:dyDescent="0.2">
      <c r="A558" s="48"/>
      <c r="B558" s="48" t="s">
        <v>435</v>
      </c>
      <c r="C558" s="48" t="s">
        <v>732</v>
      </c>
      <c r="D558" s="49" t="s">
        <v>428</v>
      </c>
      <c r="E558" s="50">
        <f>SmtRes!DO176*SmtRes!AT176</f>
        <v>0.01</v>
      </c>
      <c r="F558" s="50">
        <f>ROUND(1.25,7)</f>
        <v>1.25</v>
      </c>
      <c r="G558" s="50">
        <f>ROUND(E558*F558*G550, 7)</f>
        <v>2.6250000000000002E-3</v>
      </c>
      <c r="H558" s="52"/>
      <c r="I558" s="51"/>
      <c r="J558" s="52">
        <f>ROUND(SmtRes!AG176/SmtRes!DO176, 2)</f>
        <v>649.24</v>
      </c>
      <c r="K558" s="51"/>
      <c r="L558" s="52">
        <f>SmtRes!DH176</f>
        <v>1.7</v>
      </c>
      <c r="CE558">
        <v>1</v>
      </c>
    </row>
    <row r="559" spans="1:101" ht="28.5" x14ac:dyDescent="0.2">
      <c r="A559" s="48"/>
      <c r="B559" s="48" t="s">
        <v>463</v>
      </c>
      <c r="C559" s="48" t="s">
        <v>465</v>
      </c>
      <c r="D559" s="49" t="s">
        <v>434</v>
      </c>
      <c r="E559" s="50">
        <v>0.3</v>
      </c>
      <c r="F559" s="50">
        <f>ROUND(1.25,7)</f>
        <v>1.25</v>
      </c>
      <c r="G559" s="50">
        <f>SmtRes!CX177</f>
        <v>7.8750000000000001E-2</v>
      </c>
      <c r="H559" s="52"/>
      <c r="I559" s="51"/>
      <c r="J559" s="52">
        <f>SmtRes!CZ177</f>
        <v>544.91999999999996</v>
      </c>
      <c r="K559" s="51"/>
      <c r="L559" s="52">
        <f>SmtRes!DG177</f>
        <v>42.91</v>
      </c>
    </row>
    <row r="560" spans="1:101" ht="28.5" x14ac:dyDescent="0.2">
      <c r="A560" s="48"/>
      <c r="B560" s="48" t="s">
        <v>466</v>
      </c>
      <c r="C560" s="48" t="s">
        <v>747</v>
      </c>
      <c r="D560" s="49" t="s">
        <v>428</v>
      </c>
      <c r="E560" s="50">
        <f>SmtRes!DO177*SmtRes!AT177</f>
        <v>0.3</v>
      </c>
      <c r="F560" s="50">
        <f>ROUND(1.25,7)</f>
        <v>1.25</v>
      </c>
      <c r="G560" s="50">
        <f>ROUND(E560*F560*G550, 7)</f>
        <v>7.8750000000000001E-2</v>
      </c>
      <c r="H560" s="52"/>
      <c r="I560" s="51"/>
      <c r="J560" s="52">
        <f>ROUND(SmtRes!AG177/SmtRes!DO177, 2)</f>
        <v>731.08</v>
      </c>
      <c r="K560" s="51"/>
      <c r="L560" s="52">
        <f>SmtRes!DH177</f>
        <v>57.57</v>
      </c>
      <c r="CE560">
        <v>1</v>
      </c>
    </row>
    <row r="561" spans="1:82" ht="15" x14ac:dyDescent="0.2">
      <c r="A561" s="47"/>
      <c r="B561" s="50">
        <v>4</v>
      </c>
      <c r="C561" s="47" t="s">
        <v>742</v>
      </c>
      <c r="D561" s="49"/>
      <c r="E561" s="54"/>
      <c r="F561" s="50"/>
      <c r="G561" s="50"/>
      <c r="H561" s="50"/>
      <c r="I561" s="50"/>
      <c r="J561" s="50"/>
      <c r="K561" s="50"/>
      <c r="L561" s="55">
        <f>SUM(L562:L563)-SUMIF(CE562:CE563, 1, L562:L563)</f>
        <v>0.24</v>
      </c>
    </row>
    <row r="562" spans="1:82" ht="14.25" x14ac:dyDescent="0.2">
      <c r="A562" s="48"/>
      <c r="B562" s="48" t="s">
        <v>467</v>
      </c>
      <c r="C562" s="48" t="s">
        <v>469</v>
      </c>
      <c r="D562" s="49" t="s">
        <v>34</v>
      </c>
      <c r="E562" s="50">
        <v>0.01</v>
      </c>
      <c r="F562" s="50"/>
      <c r="G562" s="50">
        <f>SmtRes!CX178</f>
        <v>2.0999999999999999E-3</v>
      </c>
      <c r="H562" s="52">
        <f>SmtRes!CZ178</f>
        <v>35.71</v>
      </c>
      <c r="I562" s="51">
        <f>SmtRes!AI178</f>
        <v>1.53</v>
      </c>
      <c r="J562" s="52">
        <f>ROUND(H562*I562, 2)</f>
        <v>54.64</v>
      </c>
      <c r="K562" s="51"/>
      <c r="L562" s="52">
        <f>SmtRes!DF178</f>
        <v>0.11</v>
      </c>
    </row>
    <row r="563" spans="1:82" ht="14.25" x14ac:dyDescent="0.2">
      <c r="A563" s="48"/>
      <c r="B563" s="48" t="s">
        <v>530</v>
      </c>
      <c r="C563" s="48" t="s">
        <v>532</v>
      </c>
      <c r="D563" s="49" t="s">
        <v>533</v>
      </c>
      <c r="E563" s="50">
        <v>0.09</v>
      </c>
      <c r="F563" s="50"/>
      <c r="G563" s="50">
        <f>SmtRes!CX179</f>
        <v>1.89E-2</v>
      </c>
      <c r="H563" s="52"/>
      <c r="I563" s="51"/>
      <c r="J563" s="52">
        <f>SmtRes!CZ179</f>
        <v>6.92</v>
      </c>
      <c r="K563" s="51"/>
      <c r="L563" s="52">
        <f>SmtRes!DF179</f>
        <v>0.13</v>
      </c>
    </row>
    <row r="564" spans="1:82" ht="14.25" x14ac:dyDescent="0.2">
      <c r="A564" s="48"/>
      <c r="B564" s="48" t="str">
        <f>EtalonRes!I180</f>
        <v>04.3.02.09</v>
      </c>
      <c r="C564" s="48" t="str">
        <f>EtalonRes!K180</f>
        <v>Смесь сухая для заделки швов</v>
      </c>
      <c r="D564" s="49" t="str">
        <f>EtalonRes!O180</f>
        <v>т</v>
      </c>
      <c r="E564" s="50">
        <f>EtalonRes!X180</f>
        <v>0.01</v>
      </c>
      <c r="F564" s="50"/>
      <c r="G564" s="50">
        <f>ROUND(EtalonRes!AG180*Source!I156, 7)</f>
        <v>2.0999999999999999E-3</v>
      </c>
      <c r="H564" s="52"/>
      <c r="I564" s="51"/>
      <c r="J564" s="52"/>
      <c r="K564" s="51"/>
      <c r="L564" s="52"/>
    </row>
    <row r="565" spans="1:82" ht="14.25" x14ac:dyDescent="0.2">
      <c r="A565" s="48"/>
      <c r="B565" s="48" t="str">
        <f>EtalonRes!I181</f>
        <v>06.2.05.03</v>
      </c>
      <c r="C565" s="48" t="str">
        <f>EtalonRes!K181</f>
        <v>Плиты керамогранитные</v>
      </c>
      <c r="D565" s="49" t="str">
        <f>EtalonRes!O181</f>
        <v>м2</v>
      </c>
      <c r="E565" s="50">
        <f>EtalonRes!X181</f>
        <v>10.199999999999999</v>
      </c>
      <c r="F565" s="50"/>
      <c r="G565" s="50">
        <f>ROUND(EtalonRes!AG181*Source!I156, 7)</f>
        <v>2.1419999999999999</v>
      </c>
      <c r="H565" s="52"/>
      <c r="I565" s="51"/>
      <c r="J565" s="52"/>
      <c r="K565" s="51"/>
      <c r="L565" s="52"/>
    </row>
    <row r="566" spans="1:82" ht="28.5" x14ac:dyDescent="0.2">
      <c r="A566" s="48"/>
      <c r="B566" s="48" t="str">
        <f>EtalonRes!I182</f>
        <v>14.1.06.02</v>
      </c>
      <c r="C566" s="56" t="str">
        <f>EtalonRes!K182</f>
        <v>Клей для облицовочных работ (сухая смесь)</v>
      </c>
      <c r="D566" s="57" t="str">
        <f>EtalonRes!O182</f>
        <v>т</v>
      </c>
      <c r="E566" s="58">
        <f>EtalonRes!X182</f>
        <v>0.04</v>
      </c>
      <c r="F566" s="58"/>
      <c r="G566" s="58">
        <f>ROUND(EtalonRes!AG182*Source!I156, 7)</f>
        <v>8.3999999999999995E-3</v>
      </c>
      <c r="H566" s="59"/>
      <c r="I566" s="60"/>
      <c r="J566" s="59"/>
      <c r="K566" s="60"/>
      <c r="L566" s="59"/>
    </row>
    <row r="567" spans="1:82" ht="15" x14ac:dyDescent="0.2">
      <c r="A567" s="48"/>
      <c r="B567" s="48"/>
      <c r="C567" s="63" t="s">
        <v>734</v>
      </c>
      <c r="D567" s="49"/>
      <c r="E567" s="50"/>
      <c r="F567" s="50"/>
      <c r="G567" s="50"/>
      <c r="H567" s="52"/>
      <c r="I567" s="51"/>
      <c r="J567" s="52"/>
      <c r="K567" s="51"/>
      <c r="L567" s="52">
        <f>L553+L555+L556+L561</f>
        <v>5178.8100000000004</v>
      </c>
    </row>
    <row r="568" spans="1:82" ht="42.75" x14ac:dyDescent="0.2">
      <c r="A568" s="46" t="s">
        <v>823</v>
      </c>
      <c r="B568" s="48" t="str">
        <f>Source!F157</f>
        <v>04.3.02.09-0102</v>
      </c>
      <c r="C568" s="48" t="str">
        <f>Source!G157</f>
        <v>Смеси сухие водостойкие для затирки межплиточных швов шириной 1-6 мм (различная цветовая гамма)</v>
      </c>
      <c r="D568" s="49" t="str">
        <f>Source!H157</f>
        <v>т</v>
      </c>
      <c r="E568" s="50">
        <f>SmtRes!AT180</f>
        <v>0.01</v>
      </c>
      <c r="F568" s="50"/>
      <c r="G568" s="50">
        <f>Source!I157</f>
        <v>2.0999999999999999E-3</v>
      </c>
      <c r="H568" s="52"/>
      <c r="I568" s="51"/>
      <c r="J568" s="52">
        <f>Source!AK157</f>
        <v>73889</v>
      </c>
      <c r="K568" s="51"/>
      <c r="L568" s="52">
        <f>Source!P157</f>
        <v>155.16999999999999</v>
      </c>
      <c r="AD568">
        <f>ROUND((Source!AT157/100)*((ROUND(ROUND(Source!AO157,2)*Source!I157, 2)+ROUND(ROUND(Source!AN157,2)*Source!I157, 2))), 2)</f>
        <v>0</v>
      </c>
      <c r="AE568">
        <f>ROUND((Source!AU157/100)*((ROUND(ROUND(Source!AO157,2)*Source!I157, 2)+ROUND(ROUND(Source!AN157,2)*Source!I157, 2))), 2)</f>
        <v>0</v>
      </c>
      <c r="AN568">
        <f>L568</f>
        <v>155.16999999999999</v>
      </c>
      <c r="AW568">
        <f>L568</f>
        <v>155.16999999999999</v>
      </c>
      <c r="AZ568">
        <f>Source!X157</f>
        <v>0</v>
      </c>
      <c r="BA568">
        <f>Source!Y157</f>
        <v>0</v>
      </c>
      <c r="CD568">
        <v>1</v>
      </c>
    </row>
    <row r="569" spans="1:82" ht="42.75" x14ac:dyDescent="0.2">
      <c r="A569" s="46" t="s">
        <v>824</v>
      </c>
      <c r="B569" s="48" t="str">
        <f>Source!F158</f>
        <v>06.2.05.03-0003</v>
      </c>
      <c r="C569" s="48" t="str">
        <f>Source!G158</f>
        <v>Плитка керамогранитная, неполированная, многоцветная, толщина 9 мм</v>
      </c>
      <c r="D569" s="49" t="str">
        <f>Source!H158</f>
        <v>м2</v>
      </c>
      <c r="E569" s="50">
        <f>SmtRes!AT181</f>
        <v>10.199999999999999</v>
      </c>
      <c r="F569" s="50"/>
      <c r="G569" s="50">
        <f>Source!I158</f>
        <v>2.1419999999999999</v>
      </c>
      <c r="H569" s="52"/>
      <c r="I569" s="51"/>
      <c r="J569" s="52">
        <f>Source!AK158</f>
        <v>908.39</v>
      </c>
      <c r="K569" s="51"/>
      <c r="L569" s="52">
        <f>Source!P158</f>
        <v>1945.77</v>
      </c>
      <c r="AD569">
        <f>ROUND((Source!AT158/100)*((ROUND(ROUND(Source!AO158,2)*Source!I158, 2)+ROUND(ROUND(Source!AN158,2)*Source!I158, 2))), 2)</f>
        <v>0</v>
      </c>
      <c r="AE569">
        <f>ROUND((Source!AU158/100)*((ROUND(ROUND(Source!AO158,2)*Source!I158, 2)+ROUND(ROUND(Source!AN158,2)*Source!I158, 2))), 2)</f>
        <v>0</v>
      </c>
      <c r="AN569">
        <f>L569</f>
        <v>1945.77</v>
      </c>
      <c r="AW569">
        <f>L569</f>
        <v>1945.77</v>
      </c>
      <c r="AZ569">
        <f>Source!X158</f>
        <v>0</v>
      </c>
      <c r="BA569">
        <f>Source!Y158</f>
        <v>0</v>
      </c>
      <c r="CD569">
        <v>1</v>
      </c>
    </row>
    <row r="570" spans="1:82" ht="57" x14ac:dyDescent="0.2">
      <c r="A570" s="46" t="s">
        <v>825</v>
      </c>
      <c r="B570" s="48" t="str">
        <f>Source!F159</f>
        <v>14.1.06.02-0011</v>
      </c>
      <c r="C570" s="48" t="str">
        <f>Source!G159</f>
        <v>Клей монтажный сухой для внутренних и наружных работ на основе цементного вяжущего, для плитки, керамогранита, мозаики, камня</v>
      </c>
      <c r="D570" s="49" t="str">
        <f>Source!H159</f>
        <v>т</v>
      </c>
      <c r="E570" s="50">
        <f>SmtRes!AT182</f>
        <v>0.04</v>
      </c>
      <c r="F570" s="50"/>
      <c r="G570" s="50">
        <f>Source!I159</f>
        <v>8.3999999999999995E-3</v>
      </c>
      <c r="H570" s="52">
        <f>Source!AL159+Source!AO159+Source!AM159+Source!AN159</f>
        <v>36038.35</v>
      </c>
      <c r="I570" s="51">
        <f>IF(Source!BC159&lt;&gt; 0, Source!BC159, 1)</f>
        <v>1.01</v>
      </c>
      <c r="J570" s="52">
        <f>ROUND(H570*I570, 2)</f>
        <v>36398.730000000003</v>
      </c>
      <c r="K570" s="51"/>
      <c r="L570" s="52">
        <f>Source!P159</f>
        <v>305.75</v>
      </c>
      <c r="AD570">
        <f>ROUND((Source!AT159/100)*((ROUND(ROUND(Source!AO159,2)*Source!I159, 2)+ROUND(ROUND(Source!AN159,2)*Source!I159, 2))), 2)</f>
        <v>0</v>
      </c>
      <c r="AE570">
        <f>ROUND((Source!AU159/100)*((ROUND(ROUND(Source!AO159,2)*Source!I159, 2)+ROUND(ROUND(Source!AN159,2)*Source!I159, 2))), 2)</f>
        <v>0</v>
      </c>
      <c r="AN570">
        <f>L570</f>
        <v>305.75</v>
      </c>
      <c r="AW570">
        <f>L570</f>
        <v>305.75</v>
      </c>
      <c r="AZ570">
        <f>Source!X159</f>
        <v>0</v>
      </c>
      <c r="BA570">
        <f>Source!Y159</f>
        <v>0</v>
      </c>
      <c r="CD570">
        <v>1</v>
      </c>
    </row>
    <row r="571" spans="1:82" ht="14.25" x14ac:dyDescent="0.2">
      <c r="A571" s="48"/>
      <c r="B571" s="48"/>
      <c r="C571" s="48" t="s">
        <v>735</v>
      </c>
      <c r="D571" s="49"/>
      <c r="E571" s="50"/>
      <c r="F571" s="50"/>
      <c r="G571" s="50"/>
      <c r="H571" s="52"/>
      <c r="I571" s="51"/>
      <c r="J571" s="52"/>
      <c r="K571" s="51"/>
      <c r="L571" s="52">
        <f>SUM(AR550:AR574)+SUM(AS550:AS574)+SUM(AT550:AT574)+SUM(AU550:AU574)+SUM(AV550:AV574)</f>
        <v>5135.51</v>
      </c>
    </row>
    <row r="572" spans="1:82" ht="28.5" x14ac:dyDescent="0.2">
      <c r="A572" s="48"/>
      <c r="B572" s="48" t="s">
        <v>820</v>
      </c>
      <c r="C572" s="48" t="s">
        <v>736</v>
      </c>
      <c r="D572" s="49" t="s">
        <v>737</v>
      </c>
      <c r="E572" s="50">
        <f>Source!BZ156</f>
        <v>112</v>
      </c>
      <c r="F572" s="50">
        <f>ROUND(0.9,7)</f>
        <v>0.9</v>
      </c>
      <c r="G572" s="50">
        <f>Source!AT156</f>
        <v>100.8</v>
      </c>
      <c r="H572" s="52"/>
      <c r="I572" s="51"/>
      <c r="J572" s="52"/>
      <c r="K572" s="51"/>
      <c r="L572" s="52">
        <f>SUM(AZ550:AZ574)</f>
        <v>5176.59</v>
      </c>
    </row>
    <row r="573" spans="1:82" ht="28.5" x14ac:dyDescent="0.2">
      <c r="A573" s="56"/>
      <c r="B573" s="56" t="s">
        <v>821</v>
      </c>
      <c r="C573" s="56" t="s">
        <v>738</v>
      </c>
      <c r="D573" s="57" t="s">
        <v>737</v>
      </c>
      <c r="E573" s="58">
        <f>Source!CA156</f>
        <v>65</v>
      </c>
      <c r="F573" s="58">
        <f>ROUND(0.85,7)</f>
        <v>0.85</v>
      </c>
      <c r="G573" s="58">
        <f>Source!AU156</f>
        <v>55.25</v>
      </c>
      <c r="H573" s="59"/>
      <c r="I573" s="60"/>
      <c r="J573" s="59"/>
      <c r="K573" s="60"/>
      <c r="L573" s="59">
        <f>SUM(BA550:BA574)</f>
        <v>2837.37</v>
      </c>
    </row>
    <row r="574" spans="1:82" ht="15" x14ac:dyDescent="0.2">
      <c r="C574" s="124" t="s">
        <v>739</v>
      </c>
      <c r="D574" s="124"/>
      <c r="E574" s="124"/>
      <c r="F574" s="124"/>
      <c r="G574" s="124"/>
      <c r="H574" s="124"/>
      <c r="I574" s="125">
        <f>IF(E550&lt;&gt;0,K574/E550, 0)</f>
        <v>74283.14285714287</v>
      </c>
      <c r="J574" s="125"/>
      <c r="K574" s="125">
        <f>L553+L555+L561+L572+L573+L556+SUM(L568:L570)</f>
        <v>15599.460000000001</v>
      </c>
      <c r="L574" s="125"/>
      <c r="AD574">
        <f>ROUND((Source!AT156/100)*((ROUND(SUMIF(SmtRes!AQ174:'SmtRes'!AQ182,"=1",SmtRes!AD174:'SmtRes'!AD182)*Source!I156, 2)+ROUND(SUMIF(SmtRes!AQ174:'SmtRes'!AQ182,"=1",SmtRes!AC174:'SmtRes'!AC182)*Source!I156, 2))), 2)</f>
        <v>443.48</v>
      </c>
      <c r="AE574">
        <f>ROUND((Source!AU156/100)*((ROUND(SUMIF(SmtRes!AQ174:'SmtRes'!AQ182,"=1",SmtRes!AD174:'SmtRes'!AD182)*Source!I156, 2)+ROUND(SUMIF(SmtRes!AQ174:'SmtRes'!AQ182,"=1",SmtRes!AC174:'SmtRes'!AC182)*Source!I156, 2))), 2)</f>
        <v>243.08</v>
      </c>
      <c r="AN574" s="61">
        <f>L553+L555+L561+L572+L573+L556</f>
        <v>13192.77</v>
      </c>
      <c r="AO574" s="61">
        <f>L555</f>
        <v>43.059999999999988</v>
      </c>
      <c r="AQ574" t="s">
        <v>740</v>
      </c>
      <c r="AR574" s="61">
        <f>L553</f>
        <v>5076.24</v>
      </c>
      <c r="AT574" s="61">
        <f>L556</f>
        <v>59.27</v>
      </c>
      <c r="AV574" t="s">
        <v>740</v>
      </c>
      <c r="AW574" s="61">
        <f>L561</f>
        <v>0.24</v>
      </c>
      <c r="AZ574">
        <f>Source!X156</f>
        <v>5176.59</v>
      </c>
      <c r="BA574">
        <f>Source!Y156</f>
        <v>2837.37</v>
      </c>
      <c r="CD574">
        <v>1</v>
      </c>
    </row>
    <row r="576" spans="1:82" ht="15" x14ac:dyDescent="0.2">
      <c r="A576" s="67"/>
      <c r="B576" s="68"/>
      <c r="C576" s="129" t="s">
        <v>809</v>
      </c>
      <c r="D576" s="129"/>
      <c r="E576" s="129"/>
      <c r="F576" s="129"/>
      <c r="G576" s="129"/>
      <c r="H576" s="129"/>
      <c r="I576" s="55"/>
      <c r="J576" s="67"/>
      <c r="K576" s="69"/>
      <c r="L576" s="55">
        <f>L578+L579+L585+L589</f>
        <v>30751.07</v>
      </c>
    </row>
    <row r="577" spans="1:12" ht="14.25" x14ac:dyDescent="0.2">
      <c r="A577" s="64"/>
      <c r="B577" s="66"/>
      <c r="C577" s="130" t="s">
        <v>772</v>
      </c>
      <c r="D577" s="131"/>
      <c r="E577" s="131"/>
      <c r="F577" s="131"/>
      <c r="G577" s="131"/>
      <c r="H577" s="131"/>
      <c r="I577" s="52"/>
      <c r="J577" s="64"/>
      <c r="K577" s="50"/>
      <c r="L577" s="52"/>
    </row>
    <row r="578" spans="1:12" ht="14.25" x14ac:dyDescent="0.2">
      <c r="A578" s="64"/>
      <c r="B578" s="66"/>
      <c r="C578" s="131" t="s">
        <v>773</v>
      </c>
      <c r="D578" s="131"/>
      <c r="E578" s="131"/>
      <c r="F578" s="131"/>
      <c r="G578" s="131"/>
      <c r="H578" s="131"/>
      <c r="I578" s="52"/>
      <c r="J578" s="64"/>
      <c r="K578" s="50"/>
      <c r="L578" s="52">
        <f>SUM(AR465:AR574)</f>
        <v>19678.47</v>
      </c>
    </row>
    <row r="579" spans="1:12" ht="14.25" hidden="1" x14ac:dyDescent="0.2">
      <c r="A579" s="64"/>
      <c r="B579" s="66"/>
      <c r="C579" s="131" t="s">
        <v>774</v>
      </c>
      <c r="D579" s="131"/>
      <c r="E579" s="131"/>
      <c r="F579" s="131"/>
      <c r="G579" s="131"/>
      <c r="H579" s="131"/>
      <c r="I579" s="52"/>
      <c r="J579" s="64"/>
      <c r="K579" s="50"/>
      <c r="L579" s="52">
        <f>L581+L584+L583</f>
        <v>198.05</v>
      </c>
    </row>
    <row r="580" spans="1:12" ht="14.25" hidden="1" x14ac:dyDescent="0.2">
      <c r="A580" s="64"/>
      <c r="B580" s="66"/>
      <c r="C580" s="130" t="s">
        <v>775</v>
      </c>
      <c r="D580" s="131"/>
      <c r="E580" s="131"/>
      <c r="F580" s="131"/>
      <c r="G580" s="131"/>
      <c r="H580" s="131"/>
      <c r="I580" s="52"/>
      <c r="J580" s="64"/>
      <c r="K580" s="50"/>
      <c r="L580" s="52"/>
    </row>
    <row r="581" spans="1:12" ht="14.25" x14ac:dyDescent="0.2">
      <c r="A581" s="64"/>
      <c r="B581" s="66"/>
      <c r="C581" s="131" t="s">
        <v>774</v>
      </c>
      <c r="D581" s="131"/>
      <c r="E581" s="131"/>
      <c r="F581" s="131"/>
      <c r="G581" s="131"/>
      <c r="H581" s="131"/>
      <c r="I581" s="52"/>
      <c r="J581" s="64"/>
      <c r="K581" s="50"/>
      <c r="L581" s="52">
        <f>SUM(AO465:AO574)</f>
        <v>53.85</v>
      </c>
    </row>
    <row r="582" spans="1:12" ht="14.25" hidden="1" x14ac:dyDescent="0.2">
      <c r="A582" s="64"/>
      <c r="B582" s="66"/>
      <c r="C582" s="130" t="s">
        <v>776</v>
      </c>
      <c r="D582" s="131"/>
      <c r="E582" s="131"/>
      <c r="F582" s="131"/>
      <c r="G582" s="131"/>
      <c r="H582" s="131"/>
      <c r="I582" s="52"/>
      <c r="J582" s="64"/>
      <c r="K582" s="50"/>
      <c r="L582" s="52"/>
    </row>
    <row r="583" spans="1:12" ht="14.25" x14ac:dyDescent="0.2">
      <c r="A583" s="64"/>
      <c r="B583" s="66"/>
      <c r="C583" s="131" t="s">
        <v>796</v>
      </c>
      <c r="D583" s="131"/>
      <c r="E583" s="131"/>
      <c r="F583" s="131"/>
      <c r="G583" s="131"/>
      <c r="H583" s="131"/>
      <c r="I583" s="52"/>
      <c r="J583" s="64"/>
      <c r="K583" s="50"/>
      <c r="L583" s="52">
        <f>SUM(AT465:AT574)</f>
        <v>144.20000000000002</v>
      </c>
    </row>
    <row r="584" spans="1:12" ht="14.25" hidden="1" x14ac:dyDescent="0.2">
      <c r="A584" s="64"/>
      <c r="B584" s="66"/>
      <c r="C584" s="131" t="s">
        <v>777</v>
      </c>
      <c r="D584" s="131"/>
      <c r="E584" s="131"/>
      <c r="F584" s="131"/>
      <c r="G584" s="131"/>
      <c r="H584" s="131"/>
      <c r="I584" s="52"/>
      <c r="J584" s="64"/>
      <c r="K584" s="50"/>
      <c r="L584" s="52">
        <f>SUM(AV465:AV574)</f>
        <v>0</v>
      </c>
    </row>
    <row r="585" spans="1:12" ht="14.25" x14ac:dyDescent="0.2">
      <c r="A585" s="64"/>
      <c r="B585" s="66"/>
      <c r="C585" s="131" t="s">
        <v>778</v>
      </c>
      <c r="D585" s="131"/>
      <c r="E585" s="131"/>
      <c r="F585" s="131"/>
      <c r="G585" s="131"/>
      <c r="H585" s="131"/>
      <c r="I585" s="52"/>
      <c r="J585" s="64"/>
      <c r="K585" s="50"/>
      <c r="L585" s="52">
        <f>L587+L588</f>
        <v>10874.550000000001</v>
      </c>
    </row>
    <row r="586" spans="1:12" ht="14.25" x14ac:dyDescent="0.2">
      <c r="A586" s="64"/>
      <c r="B586" s="66"/>
      <c r="C586" s="130" t="s">
        <v>775</v>
      </c>
      <c r="D586" s="131"/>
      <c r="E586" s="131"/>
      <c r="F586" s="131"/>
      <c r="G586" s="131"/>
      <c r="H586" s="131"/>
      <c r="I586" s="52"/>
      <c r="J586" s="64"/>
      <c r="K586" s="50"/>
      <c r="L586" s="52"/>
    </row>
    <row r="587" spans="1:12" ht="14.25" x14ac:dyDescent="0.2">
      <c r="A587" s="64"/>
      <c r="B587" s="66"/>
      <c r="C587" s="131" t="s">
        <v>779</v>
      </c>
      <c r="D587" s="131"/>
      <c r="E587" s="131"/>
      <c r="F587" s="131"/>
      <c r="G587" s="131"/>
      <c r="H587" s="131"/>
      <c r="I587" s="52"/>
      <c r="J587" s="64"/>
      <c r="K587" s="50"/>
      <c r="L587" s="52">
        <f>SUM(AW465:AW574)-SUM(BK465:BK574)</f>
        <v>10874.550000000001</v>
      </c>
    </row>
    <row r="588" spans="1:12" ht="14.25" hidden="1" x14ac:dyDescent="0.2">
      <c r="A588" s="64"/>
      <c r="B588" s="66"/>
      <c r="C588" s="131" t="s">
        <v>780</v>
      </c>
      <c r="D588" s="131"/>
      <c r="E588" s="131"/>
      <c r="F588" s="131"/>
      <c r="G588" s="131"/>
      <c r="H588" s="131"/>
      <c r="I588" s="52"/>
      <c r="J588" s="64"/>
      <c r="K588" s="50"/>
      <c r="L588" s="52">
        <f>SUM(BC465:BC574)</f>
        <v>0</v>
      </c>
    </row>
    <row r="589" spans="1:12" ht="14.25" hidden="1" x14ac:dyDescent="0.2">
      <c r="A589" s="64"/>
      <c r="B589" s="66"/>
      <c r="C589" s="131" t="s">
        <v>781</v>
      </c>
      <c r="D589" s="131"/>
      <c r="E589" s="131"/>
      <c r="F589" s="131"/>
      <c r="G589" s="131"/>
      <c r="H589" s="131"/>
      <c r="I589" s="52"/>
      <c r="J589" s="64"/>
      <c r="K589" s="50"/>
      <c r="L589" s="52">
        <f>SUM(BB465:BB574)</f>
        <v>0</v>
      </c>
    </row>
    <row r="590" spans="1:12" ht="14.25" x14ac:dyDescent="0.2">
      <c r="A590" s="64"/>
      <c r="B590" s="66"/>
      <c r="C590" s="131" t="s">
        <v>782</v>
      </c>
      <c r="D590" s="131"/>
      <c r="E590" s="131"/>
      <c r="F590" s="131"/>
      <c r="G590" s="131"/>
      <c r="H590" s="131"/>
      <c r="I590" s="52"/>
      <c r="J590" s="64"/>
      <c r="K590" s="50"/>
      <c r="L590" s="52">
        <f>SUM(AR465:AR574)+SUM(AT465:AT574)+SUM(AV465:AV574)</f>
        <v>19822.670000000002</v>
      </c>
    </row>
    <row r="591" spans="1:12" ht="14.25" x14ac:dyDescent="0.2">
      <c r="A591" s="64"/>
      <c r="B591" s="66"/>
      <c r="C591" s="131" t="s">
        <v>783</v>
      </c>
      <c r="D591" s="131"/>
      <c r="E591" s="131"/>
      <c r="F591" s="131"/>
      <c r="G591" s="131"/>
      <c r="H591" s="131"/>
      <c r="I591" s="52"/>
      <c r="J591" s="64"/>
      <c r="K591" s="50"/>
      <c r="L591" s="52">
        <f>SUM(AZ465:AZ574)</f>
        <v>19176.68</v>
      </c>
    </row>
    <row r="592" spans="1:12" ht="14.25" x14ac:dyDescent="0.2">
      <c r="A592" s="64"/>
      <c r="B592" s="66"/>
      <c r="C592" s="131" t="s">
        <v>784</v>
      </c>
      <c r="D592" s="131"/>
      <c r="E592" s="131"/>
      <c r="F592" s="131"/>
      <c r="G592" s="131"/>
      <c r="H592" s="131"/>
      <c r="I592" s="52"/>
      <c r="J592" s="64"/>
      <c r="K592" s="50"/>
      <c r="L592" s="52">
        <f>SUM(BA465:BA574)</f>
        <v>10402.459999999999</v>
      </c>
    </row>
    <row r="593" spans="1:12" ht="14.25" hidden="1" x14ac:dyDescent="0.2">
      <c r="A593" s="64"/>
      <c r="B593" s="66"/>
      <c r="C593" s="131" t="s">
        <v>785</v>
      </c>
      <c r="D593" s="131"/>
      <c r="E593" s="131"/>
      <c r="F593" s="131"/>
      <c r="G593" s="131"/>
      <c r="H593" s="131"/>
      <c r="I593" s="52"/>
      <c r="J593" s="64"/>
      <c r="K593" s="50"/>
      <c r="L593" s="52">
        <f>L595+L596</f>
        <v>0</v>
      </c>
    </row>
    <row r="594" spans="1:12" ht="14.25" hidden="1" x14ac:dyDescent="0.2">
      <c r="A594" s="64"/>
      <c r="B594" s="66"/>
      <c r="C594" s="130" t="s">
        <v>772</v>
      </c>
      <c r="D594" s="131"/>
      <c r="E594" s="131"/>
      <c r="F594" s="131"/>
      <c r="G594" s="131"/>
      <c r="H594" s="131"/>
      <c r="I594" s="52"/>
      <c r="J594" s="64"/>
      <c r="K594" s="50"/>
      <c r="L594" s="52"/>
    </row>
    <row r="595" spans="1:12" ht="14.25" hidden="1" x14ac:dyDescent="0.2">
      <c r="A595" s="64"/>
      <c r="B595" s="66"/>
      <c r="C595" s="131" t="s">
        <v>786</v>
      </c>
      <c r="D595" s="131"/>
      <c r="E595" s="131"/>
      <c r="F595" s="131"/>
      <c r="G595" s="131"/>
      <c r="H595" s="131"/>
      <c r="I595" s="52"/>
      <c r="J595" s="64"/>
      <c r="K595" s="50"/>
      <c r="L595" s="52">
        <f>SUM(BK465:BK574)</f>
        <v>0</v>
      </c>
    </row>
    <row r="596" spans="1:12" ht="14.25" hidden="1" x14ac:dyDescent="0.2">
      <c r="A596" s="64"/>
      <c r="B596" s="66"/>
      <c r="C596" s="131" t="s">
        <v>787</v>
      </c>
      <c r="D596" s="131"/>
      <c r="E596" s="131"/>
      <c r="F596" s="131"/>
      <c r="G596" s="131"/>
      <c r="H596" s="131"/>
      <c r="I596" s="52"/>
      <c r="J596" s="64"/>
      <c r="K596" s="50"/>
      <c r="L596" s="52">
        <f>SUM(BD465:BD574)</f>
        <v>0</v>
      </c>
    </row>
    <row r="597" spans="1:12" ht="14.25" hidden="1" x14ac:dyDescent="0.2">
      <c r="A597" s="64"/>
      <c r="B597" s="66"/>
      <c r="C597" s="131" t="s">
        <v>788</v>
      </c>
      <c r="D597" s="131"/>
      <c r="E597" s="131"/>
      <c r="F597" s="131"/>
      <c r="G597" s="131"/>
      <c r="H597" s="131"/>
      <c r="I597" s="52"/>
      <c r="J597" s="64"/>
      <c r="K597" s="50"/>
      <c r="L597" s="52"/>
    </row>
    <row r="598" spans="1:12" ht="14.25" hidden="1" x14ac:dyDescent="0.2">
      <c r="A598" s="64"/>
      <c r="B598" s="66"/>
      <c r="C598" s="131" t="s">
        <v>788</v>
      </c>
      <c r="D598" s="131"/>
      <c r="E598" s="131"/>
      <c r="F598" s="131"/>
      <c r="G598" s="131"/>
      <c r="H598" s="131"/>
      <c r="I598" s="52"/>
      <c r="J598" s="64"/>
      <c r="K598" s="50"/>
      <c r="L598" s="52">
        <f>SUM(BQ465:BQ574)</f>
        <v>0</v>
      </c>
    </row>
    <row r="599" spans="1:12" ht="14.25" hidden="1" x14ac:dyDescent="0.2">
      <c r="A599" s="64"/>
      <c r="B599" s="66"/>
      <c r="C599" s="131" t="s">
        <v>789</v>
      </c>
      <c r="D599" s="131"/>
      <c r="E599" s="131"/>
      <c r="F599" s="131"/>
      <c r="G599" s="131"/>
      <c r="H599" s="131"/>
      <c r="I599" s="52"/>
      <c r="J599" s="64"/>
      <c r="K599" s="50"/>
      <c r="L599" s="52">
        <f>SUM(BO465:BO574)</f>
        <v>0</v>
      </c>
    </row>
    <row r="600" spans="1:12" ht="15" x14ac:dyDescent="0.2">
      <c r="A600" s="67"/>
      <c r="B600" s="68"/>
      <c r="C600" s="129" t="s">
        <v>790</v>
      </c>
      <c r="D600" s="129"/>
      <c r="E600" s="129"/>
      <c r="F600" s="129"/>
      <c r="G600" s="129"/>
      <c r="H600" s="129"/>
      <c r="I600" s="55"/>
      <c r="J600" s="67"/>
      <c r="K600" s="69"/>
      <c r="L600" s="55">
        <f>L576+L591+L592+L593+L598+L599</f>
        <v>60330.21</v>
      </c>
    </row>
    <row r="601" spans="1:12" ht="14.25" x14ac:dyDescent="0.2">
      <c r="A601" s="64"/>
      <c r="B601" s="66"/>
      <c r="C601" s="130" t="s">
        <v>791</v>
      </c>
      <c r="D601" s="131"/>
      <c r="E601" s="131"/>
      <c r="F601" s="131"/>
      <c r="G601" s="131"/>
      <c r="H601" s="131"/>
      <c r="I601" s="52"/>
      <c r="J601" s="64"/>
      <c r="K601" s="50"/>
      <c r="L601" s="52"/>
    </row>
    <row r="602" spans="1:12" ht="14.25" hidden="1" x14ac:dyDescent="0.2">
      <c r="A602" s="64"/>
      <c r="B602" s="66"/>
      <c r="C602" s="131" t="s">
        <v>792</v>
      </c>
      <c r="D602" s="131"/>
      <c r="E602" s="131"/>
      <c r="F602" s="131"/>
      <c r="G602" s="131"/>
      <c r="H602" s="131"/>
      <c r="I602" s="52"/>
      <c r="J602" s="64"/>
      <c r="K602" s="50"/>
      <c r="L602" s="52">
        <f>SUM(AX465:AX574)</f>
        <v>0</v>
      </c>
    </row>
    <row r="603" spans="1:12" ht="14.25" hidden="1" x14ac:dyDescent="0.2">
      <c r="A603" s="64"/>
      <c r="B603" s="66"/>
      <c r="C603" s="131" t="s">
        <v>793</v>
      </c>
      <c r="D603" s="131"/>
      <c r="E603" s="131"/>
      <c r="F603" s="131"/>
      <c r="G603" s="131"/>
      <c r="H603" s="131"/>
      <c r="I603" s="52"/>
      <c r="J603" s="64"/>
      <c r="K603" s="50"/>
      <c r="L603" s="52">
        <f>SUM(AY465:AY574)</f>
        <v>0</v>
      </c>
    </row>
    <row r="604" spans="1:12" ht="14.25" x14ac:dyDescent="0.2">
      <c r="A604" s="64"/>
      <c r="B604" s="66"/>
      <c r="C604" s="131" t="s">
        <v>794</v>
      </c>
      <c r="D604" s="131"/>
      <c r="E604" s="131"/>
      <c r="F604" s="132"/>
      <c r="G604" s="54">
        <f>Source!F183</f>
        <v>29.567741600000002</v>
      </c>
      <c r="H604" s="64"/>
      <c r="I604" s="64"/>
      <c r="J604" s="64"/>
      <c r="K604" s="64"/>
      <c r="L604" s="64"/>
    </row>
    <row r="605" spans="1:12" ht="14.25" x14ac:dyDescent="0.2">
      <c r="A605" s="64"/>
      <c r="B605" s="66"/>
      <c r="C605" s="131" t="s">
        <v>795</v>
      </c>
      <c r="D605" s="131"/>
      <c r="E605" s="131"/>
      <c r="F605" s="132"/>
      <c r="G605" s="54">
        <f>Source!F184</f>
        <v>0.21000060000000001</v>
      </c>
      <c r="H605" s="64"/>
      <c r="I605" s="64"/>
      <c r="J605" s="64"/>
      <c r="K605" s="64"/>
      <c r="L605" s="64"/>
    </row>
    <row r="608" spans="1:12" ht="16.5" x14ac:dyDescent="0.2">
      <c r="A608" s="123" t="s">
        <v>826</v>
      </c>
      <c r="B608" s="123"/>
      <c r="C608" s="123"/>
      <c r="D608" s="123"/>
      <c r="E608" s="123"/>
      <c r="F608" s="123"/>
      <c r="G608" s="123"/>
      <c r="H608" s="123"/>
      <c r="I608" s="123"/>
      <c r="J608" s="123"/>
      <c r="K608" s="123"/>
      <c r="L608" s="123"/>
    </row>
    <row r="609" spans="1:83" ht="71.25" x14ac:dyDescent="0.2">
      <c r="A609" s="46" t="s">
        <v>267</v>
      </c>
      <c r="B609" s="48" t="s">
        <v>811</v>
      </c>
      <c r="C609" s="48" t="str">
        <f>Source!G195</f>
        <v>Окрашивание водоэмульсионными составами поверхностей стен, ранее окрашенных: водоэмульсионной краской с расчисткой старой краски свыше 10 до 35%</v>
      </c>
      <c r="D609" s="49" t="str">
        <f>Source!H195</f>
        <v>100 м2</v>
      </c>
      <c r="E609" s="50">
        <f>Source!K195</f>
        <v>0.76656000000000002</v>
      </c>
      <c r="F609" s="50"/>
      <c r="G609" s="50">
        <f>Source!I195</f>
        <v>0.76656000000000002</v>
      </c>
      <c r="H609" s="52"/>
      <c r="I609" s="51"/>
      <c r="J609" s="52"/>
      <c r="K609" s="51"/>
      <c r="L609" s="52"/>
    </row>
    <row r="610" spans="1:83" ht="25.5" x14ac:dyDescent="0.2">
      <c r="C610" s="53" t="str">
        <f>"Объем: "&amp;Source!I195&amp;"=(5,8*"&amp;"1,8*"&amp;"2,9-"&amp;"2+"&amp;"6+"&amp;"11,6*"&amp;"2,9*"&amp;"2+"&amp;"4,5*"&amp;"2,9*"&amp;"2-"&amp;"51)/"&amp;"100"</f>
        <v>Объем: 0,76656=(5,8*1,8*2,9-2+6+11,6*2,9*2+4,5*2,9*2-51)/100</v>
      </c>
    </row>
    <row r="611" spans="1:83" ht="15" x14ac:dyDescent="0.2">
      <c r="A611" s="47"/>
      <c r="B611" s="50">
        <v>1</v>
      </c>
      <c r="C611" s="47" t="s">
        <v>730</v>
      </c>
      <c r="D611" s="49" t="s">
        <v>428</v>
      </c>
      <c r="E611" s="54"/>
      <c r="F611" s="50"/>
      <c r="G611" s="50">
        <f>Source!U195</f>
        <v>20.160527999999999</v>
      </c>
      <c r="H611" s="50"/>
      <c r="I611" s="50"/>
      <c r="J611" s="50"/>
      <c r="K611" s="50"/>
      <c r="L611" s="55">
        <f>SUM(L612:L612)-SUMIF(CE612:CE612, 1, L612:L612)</f>
        <v>13253.93</v>
      </c>
    </row>
    <row r="612" spans="1:83" ht="14.25" x14ac:dyDescent="0.2">
      <c r="A612" s="48"/>
      <c r="B612" s="48" t="s">
        <v>547</v>
      </c>
      <c r="C612" s="48" t="s">
        <v>548</v>
      </c>
      <c r="D612" s="49" t="s">
        <v>428</v>
      </c>
      <c r="E612" s="50">
        <v>26.3</v>
      </c>
      <c r="F612" s="50"/>
      <c r="G612" s="50">
        <f>SmtRes!CX183</f>
        <v>20.160527999999999</v>
      </c>
      <c r="H612" s="52"/>
      <c r="I612" s="51"/>
      <c r="J612" s="52">
        <f>SmtRes!CZ183</f>
        <v>657.42</v>
      </c>
      <c r="K612" s="51"/>
      <c r="L612" s="52">
        <f>SmtRes!DI183</f>
        <v>13253.93</v>
      </c>
    </row>
    <row r="613" spans="1:83" ht="15" x14ac:dyDescent="0.2">
      <c r="A613" s="47"/>
      <c r="B613" s="50">
        <v>2</v>
      </c>
      <c r="C613" s="47" t="s">
        <v>731</v>
      </c>
      <c r="D613" s="49"/>
      <c r="E613" s="54"/>
      <c r="F613" s="50"/>
      <c r="G613" s="50"/>
      <c r="H613" s="50"/>
      <c r="I613" s="50"/>
      <c r="J613" s="50"/>
      <c r="K613" s="50"/>
      <c r="L613" s="55">
        <f>SUM(L614:L618)-SUMIF(CE614:CE618, 1, L614:L618)</f>
        <v>29.549999999999983</v>
      </c>
    </row>
    <row r="614" spans="1:83" ht="15" x14ac:dyDescent="0.2">
      <c r="A614" s="47"/>
      <c r="B614" s="50"/>
      <c r="C614" s="47" t="s">
        <v>733</v>
      </c>
      <c r="D614" s="49" t="s">
        <v>428</v>
      </c>
      <c r="E614" s="54"/>
      <c r="F614" s="50"/>
      <c r="G614" s="50">
        <f>Source!V195</f>
        <v>0.1226496</v>
      </c>
      <c r="H614" s="50"/>
      <c r="I614" s="50"/>
      <c r="J614" s="50"/>
      <c r="K614" s="50"/>
      <c r="L614" s="55">
        <f>SUMIF(CE615:CE618, 1, L615:L618)</f>
        <v>83.4</v>
      </c>
      <c r="CE614">
        <v>1</v>
      </c>
    </row>
    <row r="615" spans="1:83" ht="42.75" x14ac:dyDescent="0.2">
      <c r="A615" s="48"/>
      <c r="B615" s="48" t="s">
        <v>431</v>
      </c>
      <c r="C615" s="48" t="s">
        <v>433</v>
      </c>
      <c r="D615" s="49" t="s">
        <v>434</v>
      </c>
      <c r="E615" s="50">
        <v>0.1</v>
      </c>
      <c r="F615" s="50"/>
      <c r="G615" s="50">
        <f>SmtRes!CX185</f>
        <v>7.6656000000000002E-2</v>
      </c>
      <c r="H615" s="52">
        <f>SmtRes!CZ185</f>
        <v>37.32</v>
      </c>
      <c r="I615" s="51">
        <f>SmtRes!AJ185</f>
        <v>1.57</v>
      </c>
      <c r="J615" s="52">
        <f>ROUND(H615*I615, 2)</f>
        <v>58.59</v>
      </c>
      <c r="K615" s="51"/>
      <c r="L615" s="52">
        <f>SmtRes!DG185</f>
        <v>4.49</v>
      </c>
    </row>
    <row r="616" spans="1:83" ht="28.5" x14ac:dyDescent="0.2">
      <c r="A616" s="48"/>
      <c r="B616" s="48" t="s">
        <v>435</v>
      </c>
      <c r="C616" s="48" t="s">
        <v>732</v>
      </c>
      <c r="D616" s="49" t="s">
        <v>428</v>
      </c>
      <c r="E616" s="50">
        <f>SmtRes!DO185*SmtRes!AT185</f>
        <v>0.1</v>
      </c>
      <c r="F616" s="50"/>
      <c r="G616" s="50">
        <f>ROUND(E616*G609, 7)</f>
        <v>7.6656000000000002E-2</v>
      </c>
      <c r="H616" s="52"/>
      <c r="I616" s="51"/>
      <c r="J616" s="52">
        <f>ROUND(SmtRes!AG185/SmtRes!DO185, 2)</f>
        <v>649.24</v>
      </c>
      <c r="K616" s="51"/>
      <c r="L616" s="52">
        <f>SmtRes!DH185</f>
        <v>49.77</v>
      </c>
      <c r="CE616">
        <v>1</v>
      </c>
    </row>
    <row r="617" spans="1:83" ht="28.5" x14ac:dyDescent="0.2">
      <c r="A617" s="48"/>
      <c r="B617" s="48" t="s">
        <v>463</v>
      </c>
      <c r="C617" s="48" t="s">
        <v>465</v>
      </c>
      <c r="D617" s="49" t="s">
        <v>434</v>
      </c>
      <c r="E617" s="50">
        <v>0.06</v>
      </c>
      <c r="F617" s="50"/>
      <c r="G617" s="50">
        <f>SmtRes!CX186</f>
        <v>4.5993600000000003E-2</v>
      </c>
      <c r="H617" s="52"/>
      <c r="I617" s="51"/>
      <c r="J617" s="52">
        <f>SmtRes!CZ186</f>
        <v>544.91999999999996</v>
      </c>
      <c r="K617" s="51"/>
      <c r="L617" s="52">
        <f>SmtRes!DG186</f>
        <v>25.06</v>
      </c>
    </row>
    <row r="618" spans="1:83" ht="28.5" x14ac:dyDescent="0.2">
      <c r="A618" s="48"/>
      <c r="B618" s="48" t="s">
        <v>466</v>
      </c>
      <c r="C618" s="48" t="s">
        <v>747</v>
      </c>
      <c r="D618" s="49" t="s">
        <v>428</v>
      </c>
      <c r="E618" s="50">
        <f>SmtRes!DO186*SmtRes!AT186</f>
        <v>0.06</v>
      </c>
      <c r="F618" s="50"/>
      <c r="G618" s="50">
        <f>ROUND(E618*G609, 7)</f>
        <v>4.5993600000000003E-2</v>
      </c>
      <c r="H618" s="52"/>
      <c r="I618" s="51"/>
      <c r="J618" s="52">
        <f>ROUND(SmtRes!AG186/SmtRes!DO186, 2)</f>
        <v>731.08</v>
      </c>
      <c r="K618" s="51"/>
      <c r="L618" s="52">
        <f>SmtRes!DH186</f>
        <v>33.630000000000003</v>
      </c>
      <c r="CE618">
        <v>1</v>
      </c>
    </row>
    <row r="619" spans="1:83" ht="15" x14ac:dyDescent="0.2">
      <c r="A619" s="47"/>
      <c r="B619" s="50">
        <v>4</v>
      </c>
      <c r="C619" s="47" t="s">
        <v>742</v>
      </c>
      <c r="D619" s="49"/>
      <c r="E619" s="54"/>
      <c r="F619" s="50"/>
      <c r="G619" s="50"/>
      <c r="H619" s="50"/>
      <c r="I619" s="50"/>
      <c r="J619" s="50"/>
      <c r="K619" s="50"/>
      <c r="L619" s="55">
        <f>SUM(L620:L626)-SUMIF(CE620:CE626, 1, L620:L626)</f>
        <v>7779.49</v>
      </c>
    </row>
    <row r="620" spans="1:83" ht="14.25" x14ac:dyDescent="0.2">
      <c r="A620" s="48"/>
      <c r="B620" s="48" t="s">
        <v>467</v>
      </c>
      <c r="C620" s="48" t="s">
        <v>469</v>
      </c>
      <c r="D620" s="49" t="s">
        <v>34</v>
      </c>
      <c r="E620" s="50">
        <v>0.4</v>
      </c>
      <c r="F620" s="50"/>
      <c r="G620" s="50">
        <f>SmtRes!CX187</f>
        <v>0.30662400000000001</v>
      </c>
      <c r="H620" s="52">
        <f>SmtRes!CZ187</f>
        <v>35.71</v>
      </c>
      <c r="I620" s="51">
        <f>SmtRes!AI187</f>
        <v>1.53</v>
      </c>
      <c r="J620" s="52">
        <f t="shared" ref="J620:J626" si="2">ROUND(H620*I620, 2)</f>
        <v>54.64</v>
      </c>
      <c r="K620" s="51"/>
      <c r="L620" s="52">
        <f>SmtRes!DF187</f>
        <v>16.75</v>
      </c>
    </row>
    <row r="621" spans="1:83" ht="14.25" x14ac:dyDescent="0.2">
      <c r="A621" s="48"/>
      <c r="B621" s="48" t="s">
        <v>558</v>
      </c>
      <c r="C621" s="48" t="s">
        <v>560</v>
      </c>
      <c r="D621" s="49" t="s">
        <v>279</v>
      </c>
      <c r="E621" s="50">
        <v>3.2</v>
      </c>
      <c r="F621" s="50"/>
      <c r="G621" s="50">
        <f>SmtRes!CX188</f>
        <v>2.4529920000000001</v>
      </c>
      <c r="H621" s="52">
        <f>SmtRes!CZ188</f>
        <v>18.59</v>
      </c>
      <c r="I621" s="51">
        <f>SmtRes!AI188</f>
        <v>1.35</v>
      </c>
      <c r="J621" s="52">
        <f t="shared" si="2"/>
        <v>25.1</v>
      </c>
      <c r="K621" s="51"/>
      <c r="L621" s="52">
        <f>SmtRes!DF188</f>
        <v>61.57</v>
      </c>
    </row>
    <row r="622" spans="1:83" ht="14.25" x14ac:dyDescent="0.2">
      <c r="A622" s="48"/>
      <c r="B622" s="48" t="s">
        <v>561</v>
      </c>
      <c r="C622" s="48" t="s">
        <v>563</v>
      </c>
      <c r="D622" s="49" t="s">
        <v>30</v>
      </c>
      <c r="E622" s="50">
        <v>1.2E-2</v>
      </c>
      <c r="F622" s="50"/>
      <c r="G622" s="50">
        <f>SmtRes!CX189</f>
        <v>9.1987000000000006E-3</v>
      </c>
      <c r="H622" s="52">
        <f>SmtRes!CZ189</f>
        <v>3616.92</v>
      </c>
      <c r="I622" s="51">
        <f>SmtRes!AI189</f>
        <v>1.35</v>
      </c>
      <c r="J622" s="52">
        <f t="shared" si="2"/>
        <v>4882.84</v>
      </c>
      <c r="K622" s="51"/>
      <c r="L622" s="52">
        <f>SmtRes!DF189</f>
        <v>44.92</v>
      </c>
    </row>
    <row r="623" spans="1:83" ht="14.25" x14ac:dyDescent="0.2">
      <c r="A623" s="48"/>
      <c r="B623" s="48" t="s">
        <v>564</v>
      </c>
      <c r="C623" s="48" t="s">
        <v>566</v>
      </c>
      <c r="D623" s="49" t="s">
        <v>96</v>
      </c>
      <c r="E623" s="50">
        <v>2.64</v>
      </c>
      <c r="F623" s="50"/>
      <c r="G623" s="50">
        <f>SmtRes!CX190</f>
        <v>2.0237183999999999</v>
      </c>
      <c r="H623" s="52">
        <f>SmtRes!CZ190</f>
        <v>2507.62</v>
      </c>
      <c r="I623" s="51">
        <f>SmtRes!AI190</f>
        <v>1.35</v>
      </c>
      <c r="J623" s="52">
        <f t="shared" si="2"/>
        <v>3385.29</v>
      </c>
      <c r="K623" s="51"/>
      <c r="L623" s="52">
        <f>SmtRes!DF190</f>
        <v>6850.87</v>
      </c>
    </row>
    <row r="624" spans="1:83" ht="28.5" x14ac:dyDescent="0.2">
      <c r="A624" s="48"/>
      <c r="B624" s="48" t="s">
        <v>567</v>
      </c>
      <c r="C624" s="48" t="s">
        <v>569</v>
      </c>
      <c r="D624" s="49" t="s">
        <v>60</v>
      </c>
      <c r="E624" s="50">
        <v>0.8</v>
      </c>
      <c r="F624" s="50"/>
      <c r="G624" s="50">
        <f>SmtRes!CX191</f>
        <v>0.61324800000000002</v>
      </c>
      <c r="H624" s="52">
        <f>SmtRes!CZ191</f>
        <v>531.44000000000005</v>
      </c>
      <c r="I624" s="51">
        <f>SmtRes!AI191</f>
        <v>1.35</v>
      </c>
      <c r="J624" s="52">
        <f t="shared" si="2"/>
        <v>717.44</v>
      </c>
      <c r="K624" s="51"/>
      <c r="L624" s="52">
        <f>SmtRes!DF191</f>
        <v>439.97</v>
      </c>
    </row>
    <row r="625" spans="1:83" ht="42.75" x14ac:dyDescent="0.2">
      <c r="A625" s="48"/>
      <c r="B625" s="48" t="s">
        <v>570</v>
      </c>
      <c r="C625" s="48" t="s">
        <v>572</v>
      </c>
      <c r="D625" s="49" t="s">
        <v>96</v>
      </c>
      <c r="E625" s="50">
        <v>2.4300000000000002</v>
      </c>
      <c r="F625" s="50"/>
      <c r="G625" s="50">
        <f>SmtRes!CX192</f>
        <v>1.8627408000000001</v>
      </c>
      <c r="H625" s="52">
        <f>SmtRes!CZ192</f>
        <v>93.01</v>
      </c>
      <c r="I625" s="51">
        <f>SmtRes!AI192</f>
        <v>1.08</v>
      </c>
      <c r="J625" s="52">
        <f t="shared" si="2"/>
        <v>100.45</v>
      </c>
      <c r="K625" s="51"/>
      <c r="L625" s="52">
        <f>SmtRes!DF192</f>
        <v>187.11</v>
      </c>
    </row>
    <row r="626" spans="1:83" ht="14.25" x14ac:dyDescent="0.2">
      <c r="A626" s="48"/>
      <c r="B626" s="48" t="s">
        <v>573</v>
      </c>
      <c r="C626" s="48" t="s">
        <v>575</v>
      </c>
      <c r="D626" s="49" t="s">
        <v>30</v>
      </c>
      <c r="E626" s="50">
        <v>6.4000000000000003E-3</v>
      </c>
      <c r="F626" s="50"/>
      <c r="G626" s="50">
        <f>SmtRes!CX194</f>
        <v>4.9059999999999998E-3</v>
      </c>
      <c r="H626" s="52">
        <f>SmtRes!CZ194</f>
        <v>25237.94</v>
      </c>
      <c r="I626" s="51">
        <f>SmtRes!AI194</f>
        <v>1.44</v>
      </c>
      <c r="J626" s="52">
        <f t="shared" si="2"/>
        <v>36342.629999999997</v>
      </c>
      <c r="K626" s="51"/>
      <c r="L626" s="52">
        <f>SmtRes!DF194</f>
        <v>178.3</v>
      </c>
    </row>
    <row r="627" spans="1:83" ht="14.25" x14ac:dyDescent="0.2">
      <c r="A627" s="48"/>
      <c r="B627" s="48" t="str">
        <f>EtalonRes!I193</f>
        <v>14.3.02.01</v>
      </c>
      <c r="C627" s="56" t="str">
        <f>EtalonRes!K193</f>
        <v>Краска водоэмульсионная</v>
      </c>
      <c r="D627" s="57" t="str">
        <f>EtalonRes!O193</f>
        <v>т</v>
      </c>
      <c r="E627" s="58">
        <f>EtalonRes!X193</f>
        <v>6.7000000000000004E-2</v>
      </c>
      <c r="F627" s="58"/>
      <c r="G627" s="58">
        <f>ROUND(EtalonRes!AG193*Source!I195, 7)</f>
        <v>5.1359500000000002E-2</v>
      </c>
      <c r="H627" s="59"/>
      <c r="I627" s="60"/>
      <c r="J627" s="59"/>
      <c r="K627" s="60"/>
      <c r="L627" s="59"/>
    </row>
    <row r="628" spans="1:83" ht="15" x14ac:dyDescent="0.2">
      <c r="A628" s="48"/>
      <c r="B628" s="48"/>
      <c r="C628" s="63" t="s">
        <v>734</v>
      </c>
      <c r="D628" s="49"/>
      <c r="E628" s="50"/>
      <c r="F628" s="50"/>
      <c r="G628" s="50"/>
      <c r="H628" s="52"/>
      <c r="I628" s="51"/>
      <c r="J628" s="52"/>
      <c r="K628" s="51"/>
      <c r="L628" s="52">
        <f>L611+L613+L614+L619</f>
        <v>21146.37</v>
      </c>
    </row>
    <row r="629" spans="1:83" ht="28.5" x14ac:dyDescent="0.2">
      <c r="A629" s="46" t="s">
        <v>827</v>
      </c>
      <c r="B629" s="48" t="str">
        <f>Source!F196</f>
        <v>14.3.02.01-0362</v>
      </c>
      <c r="C629" s="48" t="str">
        <f>Source!G196</f>
        <v>Краска водно-дисперсионная акрилатная ВД-АК-104</v>
      </c>
      <c r="D629" s="49" t="str">
        <f>Source!H196</f>
        <v>т</v>
      </c>
      <c r="E629" s="50">
        <f>SmtRes!AT193</f>
        <v>6.7000000000000004E-2</v>
      </c>
      <c r="F629" s="50"/>
      <c r="G629" s="50">
        <f>Source!I196</f>
        <v>5.1359499999999995E-2</v>
      </c>
      <c r="H629" s="52">
        <f>Source!AL196+Source!AO196+Source!AM196+Source!AN196</f>
        <v>87665.56</v>
      </c>
      <c r="I629" s="51">
        <f>IF(Source!BC196&lt;&gt; 0, Source!BC196, 1)</f>
        <v>1.75</v>
      </c>
      <c r="J629" s="52">
        <f>ROUND(H629*I629, 2)</f>
        <v>153414.73000000001</v>
      </c>
      <c r="K629" s="51"/>
      <c r="L629" s="52">
        <f>Source!P196</f>
        <v>7879.3</v>
      </c>
      <c r="AD629">
        <f>ROUND((Source!AT196/100)*((ROUND(ROUND(Source!AO196,2)*Source!I196, 2)+ROUND(ROUND(Source!AN196,2)*Source!I196, 2))), 2)</f>
        <v>0</v>
      </c>
      <c r="AE629">
        <f>ROUND((Source!AU196/100)*((ROUND(ROUND(Source!AO196,2)*Source!I196, 2)+ROUND(ROUND(Source!AN196,2)*Source!I196, 2))), 2)</f>
        <v>0</v>
      </c>
      <c r="AN629">
        <f>L629</f>
        <v>7879.3</v>
      </c>
      <c r="AW629">
        <f>L629</f>
        <v>7879.3</v>
      </c>
      <c r="AZ629">
        <f>Source!X196</f>
        <v>0</v>
      </c>
      <c r="BA629">
        <f>Source!Y196</f>
        <v>0</v>
      </c>
      <c r="CD629">
        <v>1</v>
      </c>
    </row>
    <row r="630" spans="1:83" ht="14.25" x14ac:dyDescent="0.2">
      <c r="A630" s="48"/>
      <c r="B630" s="48"/>
      <c r="C630" s="48" t="s">
        <v>735</v>
      </c>
      <c r="D630" s="49"/>
      <c r="E630" s="50"/>
      <c r="F630" s="50"/>
      <c r="G630" s="50"/>
      <c r="H630" s="52"/>
      <c r="I630" s="51"/>
      <c r="J630" s="52"/>
      <c r="K630" s="51"/>
      <c r="L630" s="52">
        <f>SUM(AR609:AR633)+SUM(AS609:AS633)+SUM(AT609:AT633)+SUM(AU609:AU633)+SUM(AV609:AV633)</f>
        <v>13337.33</v>
      </c>
    </row>
    <row r="631" spans="1:83" ht="14.25" x14ac:dyDescent="0.2">
      <c r="A631" s="48"/>
      <c r="B631" s="48" t="s">
        <v>123</v>
      </c>
      <c r="C631" s="48" t="s">
        <v>769</v>
      </c>
      <c r="D631" s="49" t="s">
        <v>737</v>
      </c>
      <c r="E631" s="50">
        <f>Source!BZ195</f>
        <v>90</v>
      </c>
      <c r="F631" s="50"/>
      <c r="G631" s="50">
        <f>Source!AT195</f>
        <v>90</v>
      </c>
      <c r="H631" s="52"/>
      <c r="I631" s="51"/>
      <c r="J631" s="52"/>
      <c r="K631" s="51"/>
      <c r="L631" s="52">
        <f>SUM(AZ609:AZ633)</f>
        <v>12003.6</v>
      </c>
    </row>
    <row r="632" spans="1:83" ht="14.25" x14ac:dyDescent="0.2">
      <c r="A632" s="56"/>
      <c r="B632" s="56" t="s">
        <v>124</v>
      </c>
      <c r="C632" s="56" t="s">
        <v>770</v>
      </c>
      <c r="D632" s="57" t="s">
        <v>737</v>
      </c>
      <c r="E632" s="58">
        <f>Source!CA195</f>
        <v>46</v>
      </c>
      <c r="F632" s="58"/>
      <c r="G632" s="58">
        <f>Source!AU195</f>
        <v>46</v>
      </c>
      <c r="H632" s="59"/>
      <c r="I632" s="60"/>
      <c r="J632" s="59"/>
      <c r="K632" s="60"/>
      <c r="L632" s="59">
        <f>SUM(BA609:BA633)</f>
        <v>6135.17</v>
      </c>
    </row>
    <row r="633" spans="1:83" ht="15" x14ac:dyDescent="0.2">
      <c r="C633" s="124" t="s">
        <v>739</v>
      </c>
      <c r="D633" s="124"/>
      <c r="E633" s="124"/>
      <c r="F633" s="124"/>
      <c r="G633" s="124"/>
      <c r="H633" s="124"/>
      <c r="I633" s="125">
        <f>IF(E609&lt;&gt;0,K633/E609, 0)</f>
        <v>61527.395115842206</v>
      </c>
      <c r="J633" s="125"/>
      <c r="K633" s="125">
        <f>L611+L613+L619+L631+L632+L614+SUM(L629:L629)</f>
        <v>47164.44</v>
      </c>
      <c r="L633" s="125"/>
      <c r="AD633">
        <f>ROUND((Source!AT195/100)*((ROUND(SUMIF(SmtRes!AQ183:'SmtRes'!AQ194,"=1",SmtRes!AD183:'SmtRes'!AD194)*Source!I195, 2)+ROUND(SUMIF(SmtRes!AQ183:'SmtRes'!AQ194,"=1",SmtRes!AC183:'SmtRes'!AC194)*Source!I195, 2))), 2)</f>
        <v>1405.85</v>
      </c>
      <c r="AE633">
        <f>ROUND((Source!AU195/100)*((ROUND(SUMIF(SmtRes!AQ183:'SmtRes'!AQ194,"=1",SmtRes!AD183:'SmtRes'!AD194)*Source!I195, 2)+ROUND(SUMIF(SmtRes!AQ183:'SmtRes'!AQ194,"=1",SmtRes!AC183:'SmtRes'!AC194)*Source!I195, 2))), 2)</f>
        <v>718.54</v>
      </c>
      <c r="AN633" s="61">
        <f>L611+L613+L619+L631+L632+L614</f>
        <v>39285.14</v>
      </c>
      <c r="AO633" s="61">
        <f>L613</f>
        <v>29.549999999999983</v>
      </c>
      <c r="AQ633" t="s">
        <v>740</v>
      </c>
      <c r="AR633" s="61">
        <f>L611</f>
        <v>13253.93</v>
      </c>
      <c r="AT633" s="61">
        <f>L614</f>
        <v>83.4</v>
      </c>
      <c r="AV633" t="s">
        <v>740</v>
      </c>
      <c r="AW633" s="61">
        <f>L619</f>
        <v>7779.49</v>
      </c>
      <c r="AZ633">
        <f>Source!X195</f>
        <v>12003.6</v>
      </c>
      <c r="BA633">
        <f>Source!Y195</f>
        <v>6135.17</v>
      </c>
      <c r="CD633">
        <v>1</v>
      </c>
    </row>
    <row r="634" spans="1:83" ht="28.5" x14ac:dyDescent="0.2">
      <c r="A634" s="46" t="s">
        <v>269</v>
      </c>
      <c r="B634" s="48" t="s">
        <v>814</v>
      </c>
      <c r="C634" s="48" t="str">
        <f>Source!G197</f>
        <v>Разборка плинтусов: керамогранитных</v>
      </c>
      <c r="D634" s="49" t="str">
        <f>Source!H197</f>
        <v>100 м</v>
      </c>
      <c r="E634" s="50">
        <f>Source!K197</f>
        <v>0.1</v>
      </c>
      <c r="F634" s="50"/>
      <c r="G634" s="50">
        <f>Source!I197</f>
        <v>0.1</v>
      </c>
      <c r="H634" s="52"/>
      <c r="I634" s="51"/>
      <c r="J634" s="52"/>
      <c r="K634" s="51"/>
      <c r="L634" s="52"/>
    </row>
    <row r="635" spans="1:83" x14ac:dyDescent="0.2">
      <c r="C635" s="53" t="str">
        <f>"Объем: "&amp;Source!I197&amp;"=10/"&amp;"100"</f>
        <v>Объем: 0,1=10/100</v>
      </c>
    </row>
    <row r="636" spans="1:83" ht="15" x14ac:dyDescent="0.2">
      <c r="A636" s="47"/>
      <c r="B636" s="50">
        <v>1</v>
      </c>
      <c r="C636" s="47" t="s">
        <v>730</v>
      </c>
      <c r="D636" s="49" t="s">
        <v>428</v>
      </c>
      <c r="E636" s="54"/>
      <c r="F636" s="50"/>
      <c r="G636" s="50">
        <f>Source!U197</f>
        <v>1.6080000000000001</v>
      </c>
      <c r="H636" s="50"/>
      <c r="I636" s="50"/>
      <c r="J636" s="50"/>
      <c r="K636" s="50"/>
      <c r="L636" s="55">
        <f>SUM(L637:L637)-SUMIF(CE637:CE637, 1, L637:L637)</f>
        <v>956.25</v>
      </c>
    </row>
    <row r="637" spans="1:83" ht="14.25" x14ac:dyDescent="0.2">
      <c r="A637" s="48"/>
      <c r="B637" s="48" t="s">
        <v>576</v>
      </c>
      <c r="C637" s="48" t="s">
        <v>577</v>
      </c>
      <c r="D637" s="49" t="s">
        <v>428</v>
      </c>
      <c r="E637" s="50">
        <v>16.079999999999998</v>
      </c>
      <c r="F637" s="50"/>
      <c r="G637" s="50">
        <f>SmtRes!CX195</f>
        <v>1.6080000000000001</v>
      </c>
      <c r="H637" s="52"/>
      <c r="I637" s="51"/>
      <c r="J637" s="52">
        <f>SmtRes!CZ195</f>
        <v>594.67999999999995</v>
      </c>
      <c r="K637" s="51"/>
      <c r="L637" s="52">
        <f>SmtRes!DI195</f>
        <v>956.25</v>
      </c>
    </row>
    <row r="638" spans="1:83" ht="15" x14ac:dyDescent="0.2">
      <c r="A638" s="47"/>
      <c r="B638" s="50">
        <v>2</v>
      </c>
      <c r="C638" s="47" t="s">
        <v>731</v>
      </c>
      <c r="D638" s="49"/>
      <c r="E638" s="54"/>
      <c r="F638" s="50"/>
      <c r="G638" s="50"/>
      <c r="H638" s="50"/>
      <c r="I638" s="50"/>
      <c r="J638" s="50"/>
      <c r="K638" s="50"/>
      <c r="L638" s="55">
        <f>SUM(L639:L641)-SUMIF(CE639:CE641, 1, L639:L641)</f>
        <v>7.9999999999999849E-2</v>
      </c>
    </row>
    <row r="639" spans="1:83" ht="15" x14ac:dyDescent="0.2">
      <c r="A639" s="47"/>
      <c r="B639" s="50"/>
      <c r="C639" s="47" t="s">
        <v>733</v>
      </c>
      <c r="D639" s="49" t="s">
        <v>428</v>
      </c>
      <c r="E639" s="54"/>
      <c r="F639" s="50"/>
      <c r="G639" s="50">
        <f>Source!V197</f>
        <v>1.4E-3</v>
      </c>
      <c r="H639" s="50"/>
      <c r="I639" s="50"/>
      <c r="J639" s="50"/>
      <c r="K639" s="50"/>
      <c r="L639" s="55">
        <f>SUMIF(CE640:CE641, 1, L640:L641)</f>
        <v>0.91</v>
      </c>
      <c r="CE639">
        <v>1</v>
      </c>
    </row>
    <row r="640" spans="1:83" ht="42.75" x14ac:dyDescent="0.2">
      <c r="A640" s="48"/>
      <c r="B640" s="48" t="s">
        <v>431</v>
      </c>
      <c r="C640" s="48" t="s">
        <v>433</v>
      </c>
      <c r="D640" s="49" t="s">
        <v>434</v>
      </c>
      <c r="E640" s="50">
        <v>1.4E-2</v>
      </c>
      <c r="F640" s="50"/>
      <c r="G640" s="50">
        <f>SmtRes!CX197</f>
        <v>1.4E-3</v>
      </c>
      <c r="H640" s="52">
        <f>SmtRes!CZ197</f>
        <v>37.32</v>
      </c>
      <c r="I640" s="51">
        <f>SmtRes!AJ197</f>
        <v>1.57</v>
      </c>
      <c r="J640" s="52">
        <f>ROUND(H640*I640, 2)</f>
        <v>58.59</v>
      </c>
      <c r="K640" s="51"/>
      <c r="L640" s="52">
        <f>SmtRes!DG197</f>
        <v>0.08</v>
      </c>
    </row>
    <row r="641" spans="1:101" ht="28.5" x14ac:dyDescent="0.2">
      <c r="A641" s="48"/>
      <c r="B641" s="48" t="s">
        <v>435</v>
      </c>
      <c r="C641" s="56" t="s">
        <v>732</v>
      </c>
      <c r="D641" s="57" t="s">
        <v>428</v>
      </c>
      <c r="E641" s="58">
        <f>SmtRes!DO197*SmtRes!AT197</f>
        <v>1.4E-2</v>
      </c>
      <c r="F641" s="58"/>
      <c r="G641" s="58">
        <f>ROUND(E641*G634, 7)</f>
        <v>1.4E-3</v>
      </c>
      <c r="H641" s="59"/>
      <c r="I641" s="60"/>
      <c r="J641" s="59">
        <f>ROUND(SmtRes!AG197/SmtRes!DO197, 2)</f>
        <v>649.24</v>
      </c>
      <c r="K641" s="60"/>
      <c r="L641" s="59">
        <f>SmtRes!DH197</f>
        <v>0.91</v>
      </c>
      <c r="CE641">
        <v>1</v>
      </c>
    </row>
    <row r="642" spans="1:101" ht="15" x14ac:dyDescent="0.2">
      <c r="A642" s="48"/>
      <c r="B642" s="48"/>
      <c r="C642" s="63" t="s">
        <v>734</v>
      </c>
      <c r="D642" s="49"/>
      <c r="E642" s="50"/>
      <c r="F642" s="50"/>
      <c r="G642" s="50"/>
      <c r="H642" s="52"/>
      <c r="I642" s="51"/>
      <c r="J642" s="52"/>
      <c r="K642" s="51"/>
      <c r="L642" s="52">
        <f>L636+L638+L639</f>
        <v>957.24</v>
      </c>
    </row>
    <row r="643" spans="1:101" ht="14.25" x14ac:dyDescent="0.2">
      <c r="A643" s="46" t="s">
        <v>828</v>
      </c>
      <c r="B643" s="48" t="str">
        <f>Source!F198</f>
        <v>999-9900</v>
      </c>
      <c r="C643" s="48" t="str">
        <f>Source!G198</f>
        <v>Строительный мусор</v>
      </c>
      <c r="D643" s="49" t="str">
        <f>Source!H198</f>
        <v>т</v>
      </c>
      <c r="E643" s="50">
        <f>SmtRes!AT198</f>
        <v>0.12</v>
      </c>
      <c r="F643" s="50"/>
      <c r="G643" s="50">
        <f>Source!I198</f>
        <v>1.2E-2</v>
      </c>
      <c r="H643" s="52">
        <f>Source!AL198+Source!AO198+Source!AM198+Source!AN198</f>
        <v>0</v>
      </c>
      <c r="I643" s="51"/>
      <c r="J643" s="52"/>
      <c r="K643" s="51"/>
      <c r="L643" s="52">
        <f>Source!P198</f>
        <v>0</v>
      </c>
      <c r="AD643">
        <f>ROUND((Source!AT198/100)*((ROUND(ROUND(Source!AO198,2)*Source!I198, 2)+ROUND(ROUND(Source!AN198,2)*Source!I198, 2))), 2)</f>
        <v>0</v>
      </c>
      <c r="AE643">
        <f>ROUND((Source!AU198/100)*((ROUND(ROUND(Source!AO198,2)*Source!I198, 2)+ROUND(ROUND(Source!AN198,2)*Source!I198, 2))), 2)</f>
        <v>0</v>
      </c>
      <c r="AN643">
        <f>L643</f>
        <v>0</v>
      </c>
      <c r="AW643">
        <f>L643</f>
        <v>0</v>
      </c>
      <c r="AZ643">
        <f>Source!X198</f>
        <v>0</v>
      </c>
      <c r="BA643">
        <f>Source!Y198</f>
        <v>0</v>
      </c>
      <c r="CD643">
        <v>1</v>
      </c>
    </row>
    <row r="644" spans="1:101" ht="14.25" x14ac:dyDescent="0.2">
      <c r="A644" s="48"/>
      <c r="B644" s="48"/>
      <c r="C644" s="48" t="s">
        <v>735</v>
      </c>
      <c r="D644" s="49"/>
      <c r="E644" s="50"/>
      <c r="F644" s="50"/>
      <c r="G644" s="50"/>
      <c r="H644" s="52"/>
      <c r="I644" s="51"/>
      <c r="J644" s="52"/>
      <c r="K644" s="51"/>
      <c r="L644" s="52">
        <f>SUM(AR634:AR647)+SUM(AS634:AS647)+SUM(AT634:AT647)+SUM(AU634:AU647)+SUM(AV634:AV647)</f>
        <v>957.16</v>
      </c>
    </row>
    <row r="645" spans="1:101" ht="14.25" x14ac:dyDescent="0.2">
      <c r="A645" s="48"/>
      <c r="B645" s="48" t="s">
        <v>25</v>
      </c>
      <c r="C645" s="48" t="s">
        <v>736</v>
      </c>
      <c r="D645" s="49" t="s">
        <v>737</v>
      </c>
      <c r="E645" s="50">
        <f>Source!BZ197</f>
        <v>89</v>
      </c>
      <c r="F645" s="50"/>
      <c r="G645" s="50">
        <f>Source!AT197</f>
        <v>89</v>
      </c>
      <c r="H645" s="52"/>
      <c r="I645" s="51"/>
      <c r="J645" s="52"/>
      <c r="K645" s="51"/>
      <c r="L645" s="52">
        <f>SUM(AZ634:AZ647)</f>
        <v>851.87</v>
      </c>
    </row>
    <row r="646" spans="1:101" ht="14.25" x14ac:dyDescent="0.2">
      <c r="A646" s="56"/>
      <c r="B646" s="56" t="s">
        <v>26</v>
      </c>
      <c r="C646" s="56" t="s">
        <v>738</v>
      </c>
      <c r="D646" s="57" t="s">
        <v>737</v>
      </c>
      <c r="E646" s="58">
        <f>Source!CA197</f>
        <v>49</v>
      </c>
      <c r="F646" s="58"/>
      <c r="G646" s="58">
        <f>Source!AU197</f>
        <v>49</v>
      </c>
      <c r="H646" s="59"/>
      <c r="I646" s="60"/>
      <c r="J646" s="59"/>
      <c r="K646" s="60"/>
      <c r="L646" s="59">
        <f>SUM(BA634:BA647)</f>
        <v>469.01</v>
      </c>
    </row>
    <row r="647" spans="1:101" ht="15" x14ac:dyDescent="0.2">
      <c r="C647" s="124" t="s">
        <v>739</v>
      </c>
      <c r="D647" s="124"/>
      <c r="E647" s="124"/>
      <c r="F647" s="124"/>
      <c r="G647" s="124"/>
      <c r="H647" s="124"/>
      <c r="I647" s="125">
        <f>IF(E634&lt;&gt;0,K647/E634, 0)</f>
        <v>22781.199999999997</v>
      </c>
      <c r="J647" s="125"/>
      <c r="K647" s="125">
        <f>L636+L638+L645+L646+L639+SUM(L643:L643)</f>
        <v>2278.12</v>
      </c>
      <c r="L647" s="125"/>
      <c r="AD647">
        <f>ROUND((Source!AT197/100)*((ROUND(SUMIF(SmtRes!AQ195:'SmtRes'!AQ198,"=1",SmtRes!AD195:'SmtRes'!AD198)*Source!I197, 2)+ROUND(SUMIF(SmtRes!AQ195:'SmtRes'!AQ198,"=1",SmtRes!AC195:'SmtRes'!AC198)*Source!I197, 2))), 2)</f>
        <v>110.71</v>
      </c>
      <c r="AE647">
        <f>ROUND((Source!AU197/100)*((ROUND(SUMIF(SmtRes!AQ195:'SmtRes'!AQ198,"=1",SmtRes!AD195:'SmtRes'!AD198)*Source!I197, 2)+ROUND(SUMIF(SmtRes!AQ195:'SmtRes'!AQ198,"=1",SmtRes!AC195:'SmtRes'!AC198)*Source!I197, 2))), 2)</f>
        <v>60.95</v>
      </c>
      <c r="AN647" s="61">
        <f>L636+L638+L645+L646+L639</f>
        <v>2278.12</v>
      </c>
      <c r="AO647" s="61">
        <f>L638</f>
        <v>7.9999999999999849E-2</v>
      </c>
      <c r="AQ647" t="s">
        <v>740</v>
      </c>
      <c r="AR647" s="61">
        <f>L636</f>
        <v>956.25</v>
      </c>
      <c r="AT647" s="61">
        <f>L639</f>
        <v>0.91</v>
      </c>
      <c r="AV647" t="s">
        <v>740</v>
      </c>
      <c r="AW647">
        <f>0</f>
        <v>0</v>
      </c>
      <c r="AZ647">
        <f>Source!X197</f>
        <v>851.87</v>
      </c>
      <c r="BA647">
        <f>Source!Y197</f>
        <v>469.01</v>
      </c>
      <c r="CD647">
        <v>1</v>
      </c>
    </row>
    <row r="648" spans="1:101" ht="28.5" x14ac:dyDescent="0.2">
      <c r="A648" s="46" t="s">
        <v>271</v>
      </c>
      <c r="B648" s="48" t="s">
        <v>822</v>
      </c>
      <c r="C648" s="48" t="str">
        <f>Source!G199</f>
        <v>Устройство плинтусов: из плиток керамогранитных</v>
      </c>
      <c r="D648" s="49" t="str">
        <f>Source!H199</f>
        <v>100 м</v>
      </c>
      <c r="E648" s="50">
        <f>Source!K199</f>
        <v>0.1</v>
      </c>
      <c r="F648" s="50"/>
      <c r="G648" s="50">
        <f>Source!I199</f>
        <v>0.1</v>
      </c>
      <c r="H648" s="52"/>
      <c r="I648" s="51"/>
      <c r="J648" s="52"/>
      <c r="K648" s="51"/>
      <c r="L648" s="52"/>
    </row>
    <row r="649" spans="1:101" ht="51" x14ac:dyDescent="0.2">
      <c r="B649" s="70" t="s">
        <v>638</v>
      </c>
      <c r="C649" s="133" t="s">
        <v>816</v>
      </c>
      <c r="D649" s="133"/>
      <c r="E649" s="133"/>
      <c r="F649" s="133"/>
      <c r="G649" s="133"/>
      <c r="H649" s="133"/>
      <c r="I649" s="133"/>
      <c r="J649" s="133"/>
      <c r="K649" s="133"/>
      <c r="L649" s="133"/>
      <c r="CW649" s="71" t="s">
        <v>816</v>
      </c>
    </row>
    <row r="650" spans="1:101" x14ac:dyDescent="0.2">
      <c r="C650" s="53" t="str">
        <f>"Объем: "&amp;Source!I199&amp;"=10/"&amp;"100"</f>
        <v>Объем: 0,1=10/100</v>
      </c>
    </row>
    <row r="651" spans="1:101" ht="15" x14ac:dyDescent="0.2">
      <c r="A651" s="47"/>
      <c r="B651" s="50">
        <v>1</v>
      </c>
      <c r="C651" s="47" t="s">
        <v>730</v>
      </c>
      <c r="D651" s="49" t="s">
        <v>428</v>
      </c>
      <c r="E651" s="54"/>
      <c r="F651" s="50"/>
      <c r="G651" s="50">
        <f>Source!U199</f>
        <v>3.3821500000000002</v>
      </c>
      <c r="H651" s="50"/>
      <c r="I651" s="50"/>
      <c r="J651" s="50"/>
      <c r="K651" s="50"/>
      <c r="L651" s="55">
        <f>SUM(L652:L652)-SUMIF(CE652:CE652, 1, L652:L652)</f>
        <v>2417.2600000000002</v>
      </c>
    </row>
    <row r="652" spans="1:101" ht="14.25" x14ac:dyDescent="0.2">
      <c r="A652" s="48"/>
      <c r="B652" s="48" t="s">
        <v>578</v>
      </c>
      <c r="C652" s="48" t="s">
        <v>579</v>
      </c>
      <c r="D652" s="49" t="s">
        <v>428</v>
      </c>
      <c r="E652" s="50">
        <v>29.41</v>
      </c>
      <c r="F652" s="50">
        <f>ROUND(1.15,7)</f>
        <v>1.1499999999999999</v>
      </c>
      <c r="G652" s="50">
        <f>SmtRes!CX199</f>
        <v>3.3821500000000002</v>
      </c>
      <c r="H652" s="52"/>
      <c r="I652" s="51"/>
      <c r="J652" s="52">
        <f>SmtRes!CZ199</f>
        <v>714.71</v>
      </c>
      <c r="K652" s="51"/>
      <c r="L652" s="52">
        <f>SmtRes!DI199</f>
        <v>2417.2600000000002</v>
      </c>
    </row>
    <row r="653" spans="1:101" ht="15" x14ac:dyDescent="0.2">
      <c r="A653" s="47"/>
      <c r="B653" s="50">
        <v>2</v>
      </c>
      <c r="C653" s="47" t="s">
        <v>731</v>
      </c>
      <c r="D653" s="49"/>
      <c r="E653" s="54"/>
      <c r="F653" s="50"/>
      <c r="G653" s="50"/>
      <c r="H653" s="50"/>
      <c r="I653" s="50"/>
      <c r="J653" s="50"/>
      <c r="K653" s="50"/>
      <c r="L653" s="55">
        <f>SUM(L654:L658)-SUMIF(CE654:CE658, 1, L654:L658)</f>
        <v>20.500000000000007</v>
      </c>
    </row>
    <row r="654" spans="1:101" ht="15" x14ac:dyDescent="0.2">
      <c r="A654" s="47"/>
      <c r="B654" s="50"/>
      <c r="C654" s="47" t="s">
        <v>733</v>
      </c>
      <c r="D654" s="49" t="s">
        <v>428</v>
      </c>
      <c r="E654" s="54"/>
      <c r="F654" s="50"/>
      <c r="G654" s="50">
        <f>Source!V199</f>
        <v>3.875E-2</v>
      </c>
      <c r="H654" s="50"/>
      <c r="I654" s="50"/>
      <c r="J654" s="50"/>
      <c r="K654" s="50"/>
      <c r="L654" s="55">
        <f>SUMIF(CE655:CE658, 1, L655:L658)</f>
        <v>28.23</v>
      </c>
      <c r="CE654">
        <v>1</v>
      </c>
    </row>
    <row r="655" spans="1:101" ht="42.75" x14ac:dyDescent="0.2">
      <c r="A655" s="48"/>
      <c r="B655" s="48" t="s">
        <v>431</v>
      </c>
      <c r="C655" s="48" t="s">
        <v>433</v>
      </c>
      <c r="D655" s="49" t="s">
        <v>434</v>
      </c>
      <c r="E655" s="50">
        <v>0.01</v>
      </c>
      <c r="F655" s="50">
        <f>ROUND(1.25,7)</f>
        <v>1.25</v>
      </c>
      <c r="G655" s="50">
        <f>SmtRes!CX201</f>
        <v>1.25E-3</v>
      </c>
      <c r="H655" s="52">
        <f>SmtRes!CZ201</f>
        <v>37.32</v>
      </c>
      <c r="I655" s="51">
        <f>SmtRes!AJ201</f>
        <v>1.57</v>
      </c>
      <c r="J655" s="52">
        <f>ROUND(H655*I655, 2)</f>
        <v>58.59</v>
      </c>
      <c r="K655" s="51"/>
      <c r="L655" s="52">
        <f>SmtRes!DG201</f>
        <v>7.0000000000000007E-2</v>
      </c>
    </row>
    <row r="656" spans="1:101" ht="28.5" x14ac:dyDescent="0.2">
      <c r="A656" s="48"/>
      <c r="B656" s="48" t="s">
        <v>435</v>
      </c>
      <c r="C656" s="48" t="s">
        <v>732</v>
      </c>
      <c r="D656" s="49" t="s">
        <v>428</v>
      </c>
      <c r="E656" s="50">
        <f>SmtRes!DO201*SmtRes!AT201</f>
        <v>0.01</v>
      </c>
      <c r="F656" s="50">
        <f>ROUND(1.25,7)</f>
        <v>1.25</v>
      </c>
      <c r="G656" s="50">
        <f>ROUND(E656*F656*G648, 7)</f>
        <v>1.25E-3</v>
      </c>
      <c r="H656" s="52"/>
      <c r="I656" s="51"/>
      <c r="J656" s="52">
        <f>ROUND(SmtRes!AG201/SmtRes!DO201, 2)</f>
        <v>649.24</v>
      </c>
      <c r="K656" s="51"/>
      <c r="L656" s="52">
        <f>SmtRes!DH201</f>
        <v>0.81</v>
      </c>
      <c r="CE656">
        <v>1</v>
      </c>
    </row>
    <row r="657" spans="1:83" ht="28.5" x14ac:dyDescent="0.2">
      <c r="A657" s="48"/>
      <c r="B657" s="48" t="s">
        <v>463</v>
      </c>
      <c r="C657" s="48" t="s">
        <v>465</v>
      </c>
      <c r="D657" s="49" t="s">
        <v>434</v>
      </c>
      <c r="E657" s="50">
        <v>0.3</v>
      </c>
      <c r="F657" s="50">
        <f>ROUND(1.25,7)</f>
        <v>1.25</v>
      </c>
      <c r="G657" s="50">
        <f>SmtRes!CX202</f>
        <v>3.7499999999999999E-2</v>
      </c>
      <c r="H657" s="52"/>
      <c r="I657" s="51"/>
      <c r="J657" s="52">
        <f>SmtRes!CZ202</f>
        <v>544.91999999999996</v>
      </c>
      <c r="K657" s="51"/>
      <c r="L657" s="52">
        <f>SmtRes!DG202</f>
        <v>20.43</v>
      </c>
    </row>
    <row r="658" spans="1:83" ht="28.5" x14ac:dyDescent="0.2">
      <c r="A658" s="48"/>
      <c r="B658" s="48" t="s">
        <v>466</v>
      </c>
      <c r="C658" s="48" t="s">
        <v>747</v>
      </c>
      <c r="D658" s="49" t="s">
        <v>428</v>
      </c>
      <c r="E658" s="50">
        <f>SmtRes!DO202*SmtRes!AT202</f>
        <v>0.3</v>
      </c>
      <c r="F658" s="50">
        <f>ROUND(1.25,7)</f>
        <v>1.25</v>
      </c>
      <c r="G658" s="50">
        <f>ROUND(E658*F658*G648, 7)</f>
        <v>3.7499999999999999E-2</v>
      </c>
      <c r="H658" s="52"/>
      <c r="I658" s="51"/>
      <c r="J658" s="52">
        <f>ROUND(SmtRes!AG202/SmtRes!DO202, 2)</f>
        <v>731.08</v>
      </c>
      <c r="K658" s="51"/>
      <c r="L658" s="52">
        <f>SmtRes!DH202</f>
        <v>27.42</v>
      </c>
      <c r="CE658">
        <v>1</v>
      </c>
    </row>
    <row r="659" spans="1:83" ht="15" x14ac:dyDescent="0.2">
      <c r="A659" s="47"/>
      <c r="B659" s="50">
        <v>4</v>
      </c>
      <c r="C659" s="47" t="s">
        <v>742</v>
      </c>
      <c r="D659" s="49"/>
      <c r="E659" s="54"/>
      <c r="F659" s="50"/>
      <c r="G659" s="50"/>
      <c r="H659" s="50"/>
      <c r="I659" s="50"/>
      <c r="J659" s="50"/>
      <c r="K659" s="50"/>
      <c r="L659" s="55">
        <f>SUM(L660:L661)-SUMIF(CE660:CE661, 1, L660:L661)</f>
        <v>0.11</v>
      </c>
    </row>
    <row r="660" spans="1:83" ht="14.25" x14ac:dyDescent="0.2">
      <c r="A660" s="48"/>
      <c r="B660" s="48" t="s">
        <v>467</v>
      </c>
      <c r="C660" s="48" t="s">
        <v>469</v>
      </c>
      <c r="D660" s="49" t="s">
        <v>34</v>
      </c>
      <c r="E660" s="50">
        <v>0.01</v>
      </c>
      <c r="F660" s="50"/>
      <c r="G660" s="50">
        <f>SmtRes!CX203</f>
        <v>1E-3</v>
      </c>
      <c r="H660" s="52">
        <f>SmtRes!CZ203</f>
        <v>35.71</v>
      </c>
      <c r="I660" s="51">
        <f>SmtRes!AI203</f>
        <v>1.53</v>
      </c>
      <c r="J660" s="52">
        <f>ROUND(H660*I660, 2)</f>
        <v>54.64</v>
      </c>
      <c r="K660" s="51"/>
      <c r="L660" s="52">
        <f>SmtRes!DF203</f>
        <v>0.05</v>
      </c>
    </row>
    <row r="661" spans="1:83" ht="14.25" x14ac:dyDescent="0.2">
      <c r="A661" s="48"/>
      <c r="B661" s="48" t="s">
        <v>530</v>
      </c>
      <c r="C661" s="48" t="s">
        <v>532</v>
      </c>
      <c r="D661" s="49" t="s">
        <v>533</v>
      </c>
      <c r="E661" s="50">
        <v>0.09</v>
      </c>
      <c r="F661" s="50"/>
      <c r="G661" s="50">
        <f>SmtRes!CX204</f>
        <v>8.9999999999999993E-3</v>
      </c>
      <c r="H661" s="52"/>
      <c r="I661" s="51"/>
      <c r="J661" s="52">
        <f>SmtRes!CZ204</f>
        <v>6.92</v>
      </c>
      <c r="K661" s="51"/>
      <c r="L661" s="52">
        <f>SmtRes!DF204</f>
        <v>0.06</v>
      </c>
    </row>
    <row r="662" spans="1:83" ht="14.25" x14ac:dyDescent="0.2">
      <c r="A662" s="48"/>
      <c r="B662" s="48" t="str">
        <f>EtalonRes!I205</f>
        <v>04.3.02.09</v>
      </c>
      <c r="C662" s="48" t="str">
        <f>EtalonRes!K205</f>
        <v>Смесь сухая для заделки швов</v>
      </c>
      <c r="D662" s="49" t="str">
        <f>EtalonRes!O205</f>
        <v>т</v>
      </c>
      <c r="E662" s="50">
        <f>EtalonRes!X205</f>
        <v>0.01</v>
      </c>
      <c r="F662" s="50"/>
      <c r="G662" s="50">
        <f>ROUND(EtalonRes!AG205*Source!I199, 7)</f>
        <v>1E-3</v>
      </c>
      <c r="H662" s="52"/>
      <c r="I662" s="51"/>
      <c r="J662" s="52"/>
      <c r="K662" s="51"/>
      <c r="L662" s="52"/>
    </row>
    <row r="663" spans="1:83" ht="14.25" x14ac:dyDescent="0.2">
      <c r="A663" s="48"/>
      <c r="B663" s="48" t="str">
        <f>EtalonRes!I206</f>
        <v>06.2.05.03</v>
      </c>
      <c r="C663" s="48" t="str">
        <f>EtalonRes!K206</f>
        <v>Плиты керамогранитные</v>
      </c>
      <c r="D663" s="49" t="str">
        <f>EtalonRes!O206</f>
        <v>м2</v>
      </c>
      <c r="E663" s="50">
        <f>EtalonRes!X206</f>
        <v>10.199999999999999</v>
      </c>
      <c r="F663" s="50"/>
      <c r="G663" s="50">
        <f>ROUND(EtalonRes!AG206*Source!I199, 7)</f>
        <v>1.02</v>
      </c>
      <c r="H663" s="52"/>
      <c r="I663" s="51"/>
      <c r="J663" s="52"/>
      <c r="K663" s="51"/>
      <c r="L663" s="52"/>
    </row>
    <row r="664" spans="1:83" ht="28.5" x14ac:dyDescent="0.2">
      <c r="A664" s="48"/>
      <c r="B664" s="48" t="str">
        <f>EtalonRes!I207</f>
        <v>14.1.06.02</v>
      </c>
      <c r="C664" s="56" t="str">
        <f>EtalonRes!K207</f>
        <v>Клей для облицовочных работ (сухая смесь)</v>
      </c>
      <c r="D664" s="57" t="str">
        <f>EtalonRes!O207</f>
        <v>т</v>
      </c>
      <c r="E664" s="58">
        <f>EtalonRes!X207</f>
        <v>0.04</v>
      </c>
      <c r="F664" s="58"/>
      <c r="G664" s="58">
        <f>ROUND(EtalonRes!AG207*Source!I199, 7)</f>
        <v>4.0000000000000001E-3</v>
      </c>
      <c r="H664" s="59"/>
      <c r="I664" s="60"/>
      <c r="J664" s="59"/>
      <c r="K664" s="60"/>
      <c r="L664" s="59"/>
    </row>
    <row r="665" spans="1:83" ht="15" x14ac:dyDescent="0.2">
      <c r="A665" s="48"/>
      <c r="B665" s="48"/>
      <c r="C665" s="63" t="s">
        <v>734</v>
      </c>
      <c r="D665" s="49"/>
      <c r="E665" s="50"/>
      <c r="F665" s="50"/>
      <c r="G665" s="50"/>
      <c r="H665" s="52"/>
      <c r="I665" s="51"/>
      <c r="J665" s="52"/>
      <c r="K665" s="51"/>
      <c r="L665" s="52">
        <f>L651+L653+L654+L659</f>
        <v>2466.1000000000004</v>
      </c>
    </row>
    <row r="666" spans="1:83" ht="42.75" x14ac:dyDescent="0.2">
      <c r="A666" s="46" t="s">
        <v>829</v>
      </c>
      <c r="B666" s="48" t="str">
        <f>Source!F200</f>
        <v>04.3.02.09-0102</v>
      </c>
      <c r="C666" s="48" t="str">
        <f>Source!G200</f>
        <v>Смеси сухие водостойкие для затирки межплиточных швов шириной 1-6 мм (различная цветовая гамма)</v>
      </c>
      <c r="D666" s="49" t="str">
        <f>Source!H200</f>
        <v>т</v>
      </c>
      <c r="E666" s="50">
        <f>SmtRes!AT205</f>
        <v>0.01</v>
      </c>
      <c r="F666" s="50"/>
      <c r="G666" s="50">
        <f>Source!I200</f>
        <v>1E-3</v>
      </c>
      <c r="H666" s="52"/>
      <c r="I666" s="51"/>
      <c r="J666" s="52">
        <f>Source!AK200</f>
        <v>73889</v>
      </c>
      <c r="K666" s="51"/>
      <c r="L666" s="52">
        <f>Source!P200</f>
        <v>73.89</v>
      </c>
      <c r="AD666">
        <f>ROUND((Source!AT200/100)*((ROUND(ROUND(Source!AO200,2)*Source!I200, 2)+ROUND(ROUND(Source!AN200,2)*Source!I200, 2))), 2)</f>
        <v>0</v>
      </c>
      <c r="AE666">
        <f>ROUND((Source!AU200/100)*((ROUND(ROUND(Source!AO200,2)*Source!I200, 2)+ROUND(ROUND(Source!AN200,2)*Source!I200, 2))), 2)</f>
        <v>0</v>
      </c>
      <c r="AN666">
        <f>L666</f>
        <v>73.89</v>
      </c>
      <c r="AW666">
        <f>L666</f>
        <v>73.89</v>
      </c>
      <c r="AZ666">
        <f>Source!X200</f>
        <v>0</v>
      </c>
      <c r="BA666">
        <f>Source!Y200</f>
        <v>0</v>
      </c>
      <c r="CD666">
        <v>1</v>
      </c>
    </row>
    <row r="667" spans="1:83" ht="42.75" x14ac:dyDescent="0.2">
      <c r="A667" s="46" t="s">
        <v>830</v>
      </c>
      <c r="B667" s="48" t="str">
        <f>Source!F201</f>
        <v>06.2.05.03-0003</v>
      </c>
      <c r="C667" s="48" t="str">
        <f>Source!G201</f>
        <v>Плитка керамогранитная, неполированная, многоцветная, толщина 9 мм</v>
      </c>
      <c r="D667" s="49" t="str">
        <f>Source!H201</f>
        <v>м2</v>
      </c>
      <c r="E667" s="50">
        <f>SmtRes!AT206</f>
        <v>10.199999999999999</v>
      </c>
      <c r="F667" s="50"/>
      <c r="G667" s="50">
        <f>Source!I201</f>
        <v>1.02</v>
      </c>
      <c r="H667" s="52"/>
      <c r="I667" s="51"/>
      <c r="J667" s="52">
        <f>Source!AK201</f>
        <v>908.39</v>
      </c>
      <c r="K667" s="51"/>
      <c r="L667" s="52">
        <f>Source!P201</f>
        <v>926.56</v>
      </c>
      <c r="AD667">
        <f>ROUND((Source!AT201/100)*((ROUND(ROUND(Source!AO201,2)*Source!I201, 2)+ROUND(ROUND(Source!AN201,2)*Source!I201, 2))), 2)</f>
        <v>0</v>
      </c>
      <c r="AE667">
        <f>ROUND((Source!AU201/100)*((ROUND(ROUND(Source!AO201,2)*Source!I201, 2)+ROUND(ROUND(Source!AN201,2)*Source!I201, 2))), 2)</f>
        <v>0</v>
      </c>
      <c r="AN667">
        <f>L667</f>
        <v>926.56</v>
      </c>
      <c r="AW667">
        <f>L667</f>
        <v>926.56</v>
      </c>
      <c r="AZ667">
        <f>Source!X201</f>
        <v>0</v>
      </c>
      <c r="BA667">
        <f>Source!Y201</f>
        <v>0</v>
      </c>
      <c r="CD667">
        <v>1</v>
      </c>
    </row>
    <row r="668" spans="1:83" ht="57" x14ac:dyDescent="0.2">
      <c r="A668" s="46" t="s">
        <v>831</v>
      </c>
      <c r="B668" s="48" t="str">
        <f>Source!F202</f>
        <v>14.1.06.02-0011</v>
      </c>
      <c r="C668" s="48" t="str">
        <f>Source!G202</f>
        <v>Клей монтажный сухой для внутренних и наружных работ на основе цементного вяжущего, для плитки, керамогранита, мозаики, камня</v>
      </c>
      <c r="D668" s="49" t="str">
        <f>Source!H202</f>
        <v>т</v>
      </c>
      <c r="E668" s="50">
        <f>SmtRes!AT207</f>
        <v>0.04</v>
      </c>
      <c r="F668" s="50"/>
      <c r="G668" s="50">
        <f>Source!I202</f>
        <v>4.0000000000000001E-3</v>
      </c>
      <c r="H668" s="52">
        <f>Source!AL202+Source!AO202+Source!AM202+Source!AN202</f>
        <v>36038.35</v>
      </c>
      <c r="I668" s="51">
        <f>IF(Source!BC202&lt;&gt; 0, Source!BC202, 1)</f>
        <v>1.01</v>
      </c>
      <c r="J668" s="52">
        <f>ROUND(H668*I668, 2)</f>
        <v>36398.730000000003</v>
      </c>
      <c r="K668" s="51"/>
      <c r="L668" s="52">
        <f>Source!P202</f>
        <v>145.59</v>
      </c>
      <c r="AD668">
        <f>ROUND((Source!AT202/100)*((ROUND(ROUND(Source!AO202,2)*Source!I202, 2)+ROUND(ROUND(Source!AN202,2)*Source!I202, 2))), 2)</f>
        <v>0</v>
      </c>
      <c r="AE668">
        <f>ROUND((Source!AU202/100)*((ROUND(ROUND(Source!AO202,2)*Source!I202, 2)+ROUND(ROUND(Source!AN202,2)*Source!I202, 2))), 2)</f>
        <v>0</v>
      </c>
      <c r="AN668">
        <f>L668</f>
        <v>145.59</v>
      </c>
      <c r="AW668">
        <f>L668</f>
        <v>145.59</v>
      </c>
      <c r="AZ668">
        <f>Source!X202</f>
        <v>0</v>
      </c>
      <c r="BA668">
        <f>Source!Y202</f>
        <v>0</v>
      </c>
      <c r="CD668">
        <v>1</v>
      </c>
    </row>
    <row r="669" spans="1:83" ht="14.25" x14ac:dyDescent="0.2">
      <c r="A669" s="48"/>
      <c r="B669" s="48"/>
      <c r="C669" s="48" t="s">
        <v>735</v>
      </c>
      <c r="D669" s="49"/>
      <c r="E669" s="50"/>
      <c r="F669" s="50"/>
      <c r="G669" s="50"/>
      <c r="H669" s="52"/>
      <c r="I669" s="51"/>
      <c r="J669" s="52"/>
      <c r="K669" s="51"/>
      <c r="L669" s="52">
        <f>SUM(AR648:AR672)+SUM(AS648:AS672)+SUM(AT648:AT672)+SUM(AU648:AU672)+SUM(AV648:AV672)</f>
        <v>2445.4900000000002</v>
      </c>
    </row>
    <row r="670" spans="1:83" ht="28.5" x14ac:dyDescent="0.2">
      <c r="A670" s="48"/>
      <c r="B670" s="48" t="s">
        <v>820</v>
      </c>
      <c r="C670" s="48" t="s">
        <v>736</v>
      </c>
      <c r="D670" s="49" t="s">
        <v>737</v>
      </c>
      <c r="E670" s="50">
        <f>Source!BZ199</f>
        <v>112</v>
      </c>
      <c r="F670" s="50">
        <f>ROUND(0.9,7)</f>
        <v>0.9</v>
      </c>
      <c r="G670" s="50">
        <f>Source!AT199</f>
        <v>100.8</v>
      </c>
      <c r="H670" s="52"/>
      <c r="I670" s="51"/>
      <c r="J670" s="52"/>
      <c r="K670" s="51"/>
      <c r="L670" s="52">
        <f>SUM(AZ648:AZ672)</f>
        <v>2465.0500000000002</v>
      </c>
    </row>
    <row r="671" spans="1:83" ht="28.5" x14ac:dyDescent="0.2">
      <c r="A671" s="56"/>
      <c r="B671" s="56" t="s">
        <v>821</v>
      </c>
      <c r="C671" s="56" t="s">
        <v>738</v>
      </c>
      <c r="D671" s="57" t="s">
        <v>737</v>
      </c>
      <c r="E671" s="58">
        <f>Source!CA199</f>
        <v>65</v>
      </c>
      <c r="F671" s="58">
        <f>ROUND(0.85,7)</f>
        <v>0.85</v>
      </c>
      <c r="G671" s="58">
        <f>Source!AU199</f>
        <v>55.25</v>
      </c>
      <c r="H671" s="59"/>
      <c r="I671" s="60"/>
      <c r="J671" s="59"/>
      <c r="K671" s="60"/>
      <c r="L671" s="59">
        <f>SUM(BA648:BA672)</f>
        <v>1351.13</v>
      </c>
    </row>
    <row r="672" spans="1:83" ht="15" x14ac:dyDescent="0.2">
      <c r="C672" s="124" t="s">
        <v>739</v>
      </c>
      <c r="D672" s="124"/>
      <c r="E672" s="124"/>
      <c r="F672" s="124"/>
      <c r="G672" s="124"/>
      <c r="H672" s="124"/>
      <c r="I672" s="125">
        <f>IF(E648&lt;&gt;0,K672/E648, 0)</f>
        <v>74283.199999999997</v>
      </c>
      <c r="J672" s="125"/>
      <c r="K672" s="125">
        <f>L651+L653+L659+L670+L671+L654+SUM(L666:L668)</f>
        <v>7428.32</v>
      </c>
      <c r="L672" s="125"/>
      <c r="AD672">
        <f>ROUND((Source!AT199/100)*((ROUND(SUMIF(SmtRes!AQ199:'SmtRes'!AQ207,"=1",SmtRes!AD199:'SmtRes'!AD207)*Source!I199, 2)+ROUND(SUMIF(SmtRes!AQ199:'SmtRes'!AQ207,"=1",SmtRes!AC199:'SmtRes'!AC207)*Source!I199, 2))), 2)</f>
        <v>211.18</v>
      </c>
      <c r="AE672">
        <f>ROUND((Source!AU199/100)*((ROUND(SUMIF(SmtRes!AQ199:'SmtRes'!AQ207,"=1",SmtRes!AD199:'SmtRes'!AD207)*Source!I199, 2)+ROUND(SUMIF(SmtRes!AQ199:'SmtRes'!AQ207,"=1",SmtRes!AC199:'SmtRes'!AC207)*Source!I199, 2))), 2)</f>
        <v>115.75</v>
      </c>
      <c r="AN672" s="61">
        <f>L651+L653+L659+L670+L671+L654</f>
        <v>6282.28</v>
      </c>
      <c r="AO672" s="61">
        <f>L653</f>
        <v>20.500000000000007</v>
      </c>
      <c r="AQ672" t="s">
        <v>740</v>
      </c>
      <c r="AR672" s="61">
        <f>L651</f>
        <v>2417.2600000000002</v>
      </c>
      <c r="AT672" s="61">
        <f>L654</f>
        <v>28.23</v>
      </c>
      <c r="AV672" t="s">
        <v>740</v>
      </c>
      <c r="AW672" s="61">
        <f>L659</f>
        <v>0.11</v>
      </c>
      <c r="AZ672">
        <f>Source!X199</f>
        <v>2465.0500000000002</v>
      </c>
      <c r="BA672">
        <f>Source!Y199</f>
        <v>1351.13</v>
      </c>
      <c r="CD672">
        <v>1</v>
      </c>
    </row>
    <row r="673" spans="1:101" ht="28.5" x14ac:dyDescent="0.2">
      <c r="A673" s="46" t="s">
        <v>275</v>
      </c>
      <c r="B673" s="48" t="s">
        <v>761</v>
      </c>
      <c r="C673" s="48" t="str">
        <f>Source!G203</f>
        <v>Укладка металлического накладного профиля (порога)</v>
      </c>
      <c r="D673" s="49" t="str">
        <f>Source!H203</f>
        <v>100 м</v>
      </c>
      <c r="E673" s="50">
        <f>Source!K203</f>
        <v>0.05</v>
      </c>
      <c r="F673" s="50"/>
      <c r="G673" s="50">
        <f>Source!I203</f>
        <v>0.05</v>
      </c>
      <c r="H673" s="52"/>
      <c r="I673" s="51"/>
      <c r="J673" s="52"/>
      <c r="K673" s="51"/>
      <c r="L673" s="52"/>
    </row>
    <row r="674" spans="1:101" ht="51" x14ac:dyDescent="0.2">
      <c r="B674" s="70" t="s">
        <v>638</v>
      </c>
      <c r="C674" s="133" t="s">
        <v>816</v>
      </c>
      <c r="D674" s="133"/>
      <c r="E674" s="133"/>
      <c r="F674" s="133"/>
      <c r="G674" s="133"/>
      <c r="H674" s="133"/>
      <c r="I674" s="133"/>
      <c r="J674" s="133"/>
      <c r="K674" s="133"/>
      <c r="L674" s="133"/>
      <c r="CW674" s="71" t="s">
        <v>816</v>
      </c>
    </row>
    <row r="675" spans="1:101" x14ac:dyDescent="0.2">
      <c r="C675" s="53" t="str">
        <f>"Объем: "&amp;Source!I203&amp;"=5/"&amp;"100"</f>
        <v>Объем: 0,05=5/100</v>
      </c>
    </row>
    <row r="676" spans="1:101" ht="15" x14ac:dyDescent="0.2">
      <c r="A676" s="47"/>
      <c r="B676" s="50">
        <v>1</v>
      </c>
      <c r="C676" s="47" t="s">
        <v>730</v>
      </c>
      <c r="D676" s="49" t="s">
        <v>428</v>
      </c>
      <c r="E676" s="54"/>
      <c r="F676" s="50"/>
      <c r="G676" s="50">
        <f>Source!U203</f>
        <v>0.95679999999999998</v>
      </c>
      <c r="H676" s="50"/>
      <c r="I676" s="50"/>
      <c r="J676" s="50"/>
      <c r="K676" s="50"/>
      <c r="L676" s="55">
        <f>SUM(L677:L677)-SUMIF(CE677:CE677, 1, L677:L677)</f>
        <v>621.19000000000005</v>
      </c>
    </row>
    <row r="677" spans="1:101" ht="14.25" x14ac:dyDescent="0.2">
      <c r="A677" s="48"/>
      <c r="B677" s="48" t="s">
        <v>436</v>
      </c>
      <c r="C677" s="48" t="s">
        <v>437</v>
      </c>
      <c r="D677" s="49" t="s">
        <v>428</v>
      </c>
      <c r="E677" s="50">
        <v>16.64</v>
      </c>
      <c r="F677" s="50">
        <f>ROUND(1.15,7)</f>
        <v>1.1499999999999999</v>
      </c>
      <c r="G677" s="50">
        <f>SmtRes!CX208</f>
        <v>0.95679999999999998</v>
      </c>
      <c r="H677" s="52"/>
      <c r="I677" s="51"/>
      <c r="J677" s="52">
        <f>SmtRes!CZ208</f>
        <v>649.24</v>
      </c>
      <c r="K677" s="51"/>
      <c r="L677" s="52">
        <f>SmtRes!DI208</f>
        <v>621.19000000000005</v>
      </c>
    </row>
    <row r="678" spans="1:101" ht="15" x14ac:dyDescent="0.2">
      <c r="A678" s="47"/>
      <c r="B678" s="50">
        <v>4</v>
      </c>
      <c r="C678" s="47" t="s">
        <v>742</v>
      </c>
      <c r="D678" s="49"/>
      <c r="E678" s="54"/>
      <c r="F678" s="50"/>
      <c r="G678" s="50"/>
      <c r="H678" s="50"/>
      <c r="I678" s="50"/>
      <c r="J678" s="50"/>
      <c r="K678" s="50"/>
      <c r="L678" s="55">
        <f>SUM(L679:L680)-SUMIF(CE679:CE680, 1, L679:L680)</f>
        <v>41.38</v>
      </c>
    </row>
    <row r="679" spans="1:101" ht="14.25" x14ac:dyDescent="0.2">
      <c r="A679" s="48"/>
      <c r="B679" s="48" t="s">
        <v>530</v>
      </c>
      <c r="C679" s="48" t="s">
        <v>532</v>
      </c>
      <c r="D679" s="49" t="s">
        <v>533</v>
      </c>
      <c r="E679" s="50">
        <v>6.8760000000000003</v>
      </c>
      <c r="F679" s="50"/>
      <c r="G679" s="50">
        <f>SmtRes!CX209</f>
        <v>0.34379999999999999</v>
      </c>
      <c r="H679" s="52"/>
      <c r="I679" s="51"/>
      <c r="J679" s="52">
        <f>SmtRes!CZ209</f>
        <v>6.92</v>
      </c>
      <c r="K679" s="51"/>
      <c r="L679" s="52">
        <f>SmtRes!DF209</f>
        <v>2.38</v>
      </c>
    </row>
    <row r="680" spans="1:101" ht="71.25" x14ac:dyDescent="0.2">
      <c r="A680" s="48"/>
      <c r="B680" s="48" t="s">
        <v>534</v>
      </c>
      <c r="C680" s="48" t="s">
        <v>536</v>
      </c>
      <c r="D680" s="49" t="s">
        <v>537</v>
      </c>
      <c r="E680" s="50">
        <v>6.7</v>
      </c>
      <c r="F680" s="50"/>
      <c r="G680" s="50">
        <f>SmtRes!CX210</f>
        <v>0.33500000000000002</v>
      </c>
      <c r="H680" s="52">
        <f>SmtRes!CZ210</f>
        <v>88.86</v>
      </c>
      <c r="I680" s="51">
        <f>SmtRes!AI210</f>
        <v>1.31</v>
      </c>
      <c r="J680" s="52">
        <f>ROUND(H680*I680, 2)</f>
        <v>116.41</v>
      </c>
      <c r="K680" s="51"/>
      <c r="L680" s="52">
        <f>SmtRes!DF210</f>
        <v>39</v>
      </c>
    </row>
    <row r="681" spans="1:101" ht="42.75" x14ac:dyDescent="0.2">
      <c r="A681" s="48"/>
      <c r="B681" s="48" t="str">
        <f>EtalonRes!I211</f>
        <v>09.2.03.02</v>
      </c>
      <c r="C681" s="56" t="str">
        <f>EtalonRes!K211</f>
        <v>Профили стыкоперекрывающие из алюминиевых сплавов (порожки) с покрытием</v>
      </c>
      <c r="D681" s="57" t="str">
        <f>EtalonRes!O211</f>
        <v>м</v>
      </c>
      <c r="E681" s="58">
        <f>EtalonRes!X211</f>
        <v>105</v>
      </c>
      <c r="F681" s="58"/>
      <c r="G681" s="58">
        <f>ROUND(EtalonRes!AG211*Source!I203, 7)</f>
        <v>5.25</v>
      </c>
      <c r="H681" s="59"/>
      <c r="I681" s="60"/>
      <c r="J681" s="59"/>
      <c r="K681" s="60"/>
      <c r="L681" s="59"/>
    </row>
    <row r="682" spans="1:101" ht="15" x14ac:dyDescent="0.2">
      <c r="A682" s="48"/>
      <c r="B682" s="48"/>
      <c r="C682" s="63" t="s">
        <v>734</v>
      </c>
      <c r="D682" s="49"/>
      <c r="E682" s="50"/>
      <c r="F682" s="50"/>
      <c r="G682" s="50"/>
      <c r="H682" s="52"/>
      <c r="I682" s="51"/>
      <c r="J682" s="52"/>
      <c r="K682" s="51"/>
      <c r="L682" s="52">
        <f>L676+L678</f>
        <v>662.57</v>
      </c>
    </row>
    <row r="683" spans="1:101" ht="42.75" x14ac:dyDescent="0.2">
      <c r="A683" s="46" t="s">
        <v>832</v>
      </c>
      <c r="B683" s="48" t="str">
        <f>Source!F204</f>
        <v>09.2.03.02-0023</v>
      </c>
      <c r="C683" s="48" t="str">
        <f>Source!G204</f>
        <v>Профиль стыкоперекрывающий из алюминиевых сплавов (порожки) с покрытием, ширина 60 мм, длина 0,9 м</v>
      </c>
      <c r="D683" s="49" t="str">
        <f>Source!H204</f>
        <v>ШТ</v>
      </c>
      <c r="E683" s="50">
        <f>SmtRes!AT211</f>
        <v>100</v>
      </c>
      <c r="F683" s="50"/>
      <c r="G683" s="50">
        <f>Source!I204</f>
        <v>5</v>
      </c>
      <c r="H683" s="52">
        <f>Source!AL204+Source!AO204+Source!AM204+Source!AN204</f>
        <v>198.19</v>
      </c>
      <c r="I683" s="51">
        <f>IF(Source!BC204&lt;&gt; 0, Source!BC204, 1)</f>
        <v>1.1100000000000001</v>
      </c>
      <c r="J683" s="52">
        <f>ROUND(H683*I683, 2)</f>
        <v>219.99</v>
      </c>
      <c r="K683" s="51"/>
      <c r="L683" s="52">
        <f>Source!P204</f>
        <v>1099.95</v>
      </c>
      <c r="AD683">
        <f>ROUND((Source!AT204/100)*((ROUND(ROUND(Source!AO204,2)*Source!I204, 2)+ROUND(ROUND(Source!AN204,2)*Source!I204, 2))), 2)</f>
        <v>0</v>
      </c>
      <c r="AE683">
        <f>ROUND((Source!AU204/100)*((ROUND(ROUND(Source!AO204,2)*Source!I204, 2)+ROUND(ROUND(Source!AN204,2)*Source!I204, 2))), 2)</f>
        <v>0</v>
      </c>
      <c r="AN683">
        <f>L683</f>
        <v>1099.95</v>
      </c>
      <c r="AW683">
        <f>L683</f>
        <v>1099.95</v>
      </c>
      <c r="AZ683">
        <f>Source!X204</f>
        <v>0</v>
      </c>
      <c r="BA683">
        <f>Source!Y204</f>
        <v>0</v>
      </c>
      <c r="CD683">
        <v>1</v>
      </c>
    </row>
    <row r="684" spans="1:101" ht="14.25" x14ac:dyDescent="0.2">
      <c r="A684" s="48"/>
      <c r="B684" s="48"/>
      <c r="C684" s="48" t="s">
        <v>735</v>
      </c>
      <c r="D684" s="49"/>
      <c r="E684" s="50"/>
      <c r="F684" s="50"/>
      <c r="G684" s="50"/>
      <c r="H684" s="52"/>
      <c r="I684" s="51"/>
      <c r="J684" s="52"/>
      <c r="K684" s="51"/>
      <c r="L684" s="52">
        <f>SUM(AR673:AR687)+SUM(AS673:AS687)+SUM(AT673:AT687)+SUM(AU673:AU687)+SUM(AV673:AV687)</f>
        <v>621.19000000000005</v>
      </c>
    </row>
    <row r="685" spans="1:101" ht="28.5" x14ac:dyDescent="0.2">
      <c r="A685" s="48"/>
      <c r="B685" s="48" t="s">
        <v>820</v>
      </c>
      <c r="C685" s="48" t="s">
        <v>736</v>
      </c>
      <c r="D685" s="49" t="s">
        <v>737</v>
      </c>
      <c r="E685" s="50">
        <f>Source!BZ203</f>
        <v>112</v>
      </c>
      <c r="F685" s="50">
        <f>ROUND(0.9,7)</f>
        <v>0.9</v>
      </c>
      <c r="G685" s="50">
        <f>Source!AT203</f>
        <v>100.8</v>
      </c>
      <c r="H685" s="52"/>
      <c r="I685" s="51"/>
      <c r="J685" s="52"/>
      <c r="K685" s="51"/>
      <c r="L685" s="52">
        <f>SUM(AZ673:AZ687)</f>
        <v>626.16</v>
      </c>
    </row>
    <row r="686" spans="1:101" ht="28.5" x14ac:dyDescent="0.2">
      <c r="A686" s="56"/>
      <c r="B686" s="56" t="s">
        <v>821</v>
      </c>
      <c r="C686" s="56" t="s">
        <v>738</v>
      </c>
      <c r="D686" s="57" t="s">
        <v>737</v>
      </c>
      <c r="E686" s="58">
        <f>Source!CA203</f>
        <v>65</v>
      </c>
      <c r="F686" s="58">
        <f>ROUND(0.85,7)</f>
        <v>0.85</v>
      </c>
      <c r="G686" s="58">
        <f>Source!AU203</f>
        <v>55.25</v>
      </c>
      <c r="H686" s="59"/>
      <c r="I686" s="60"/>
      <c r="J686" s="59"/>
      <c r="K686" s="60"/>
      <c r="L686" s="59">
        <f>SUM(BA673:BA687)</f>
        <v>343.21</v>
      </c>
    </row>
    <row r="687" spans="1:101" ht="15" x14ac:dyDescent="0.2">
      <c r="C687" s="124" t="s">
        <v>739</v>
      </c>
      <c r="D687" s="124"/>
      <c r="E687" s="124"/>
      <c r="F687" s="124"/>
      <c r="G687" s="124"/>
      <c r="H687" s="124"/>
      <c r="I687" s="125">
        <f>IF(E673&lt;&gt;0,K687/E673, 0)</f>
        <v>54637.8</v>
      </c>
      <c r="J687" s="125"/>
      <c r="K687" s="125">
        <f>L676+L678+L685+L686+SUM(L683:L683)</f>
        <v>2731.8900000000003</v>
      </c>
      <c r="L687" s="125"/>
      <c r="AD687">
        <f>ROUND((Source!AT203/100)*((ROUND(SUMIF(SmtRes!AQ208:'SmtRes'!AQ211,"=1",SmtRes!AD208:'SmtRes'!AD211)*Source!I203, 2)+ROUND(SUMIF(SmtRes!AQ208:'SmtRes'!AQ211,"=1",SmtRes!AC208:'SmtRes'!AC211)*Source!I203, 2))), 2)</f>
        <v>32.72</v>
      </c>
      <c r="AE687">
        <f>ROUND((Source!AU203/100)*((ROUND(SUMIF(SmtRes!AQ208:'SmtRes'!AQ211,"=1",SmtRes!AD208:'SmtRes'!AD211)*Source!I203, 2)+ROUND(SUMIF(SmtRes!AQ208:'SmtRes'!AQ211,"=1",SmtRes!AC208:'SmtRes'!AC211)*Source!I203, 2))), 2)</f>
        <v>17.93</v>
      </c>
      <c r="AN687" s="61">
        <f>L676+L678+L685+L686</f>
        <v>1631.94</v>
      </c>
      <c r="AO687">
        <f>0</f>
        <v>0</v>
      </c>
      <c r="AQ687" t="s">
        <v>740</v>
      </c>
      <c r="AR687" s="61">
        <f>L676</f>
        <v>621.19000000000005</v>
      </c>
      <c r="AT687">
        <f>0</f>
        <v>0</v>
      </c>
      <c r="AV687" t="s">
        <v>740</v>
      </c>
      <c r="AW687" s="61">
        <f>L678</f>
        <v>41.38</v>
      </c>
      <c r="AZ687">
        <f>Source!X203</f>
        <v>626.16</v>
      </c>
      <c r="BA687">
        <f>Source!Y203</f>
        <v>343.21</v>
      </c>
      <c r="CD687">
        <v>1</v>
      </c>
    </row>
    <row r="689" spans="1:12" ht="15" x14ac:dyDescent="0.2">
      <c r="A689" s="67"/>
      <c r="B689" s="68"/>
      <c r="C689" s="129" t="s">
        <v>809</v>
      </c>
      <c r="D689" s="129"/>
      <c r="E689" s="129"/>
      <c r="F689" s="129"/>
      <c r="G689" s="129"/>
      <c r="H689" s="129"/>
      <c r="I689" s="55"/>
      <c r="J689" s="67"/>
      <c r="K689" s="69"/>
      <c r="L689" s="55">
        <f>L691+L692+L698+L702</f>
        <v>35357.570000000007</v>
      </c>
    </row>
    <row r="690" spans="1:12" ht="14.25" x14ac:dyDescent="0.2">
      <c r="A690" s="64"/>
      <c r="B690" s="66"/>
      <c r="C690" s="130" t="s">
        <v>772</v>
      </c>
      <c r="D690" s="131"/>
      <c r="E690" s="131"/>
      <c r="F690" s="131"/>
      <c r="G690" s="131"/>
      <c r="H690" s="131"/>
      <c r="I690" s="52"/>
      <c r="J690" s="64"/>
      <c r="K690" s="50"/>
      <c r="L690" s="52"/>
    </row>
    <row r="691" spans="1:12" ht="14.25" x14ac:dyDescent="0.2">
      <c r="A691" s="64"/>
      <c r="B691" s="66"/>
      <c r="C691" s="131" t="s">
        <v>773</v>
      </c>
      <c r="D691" s="131"/>
      <c r="E691" s="131"/>
      <c r="F691" s="131"/>
      <c r="G691" s="131"/>
      <c r="H691" s="131"/>
      <c r="I691" s="52"/>
      <c r="J691" s="64"/>
      <c r="K691" s="50"/>
      <c r="L691" s="52">
        <f>SUM(AR608:AR687)</f>
        <v>17248.63</v>
      </c>
    </row>
    <row r="692" spans="1:12" ht="14.25" hidden="1" x14ac:dyDescent="0.2">
      <c r="A692" s="64"/>
      <c r="B692" s="66"/>
      <c r="C692" s="131" t="s">
        <v>774</v>
      </c>
      <c r="D692" s="131"/>
      <c r="E692" s="131"/>
      <c r="F692" s="131"/>
      <c r="G692" s="131"/>
      <c r="H692" s="131"/>
      <c r="I692" s="52"/>
      <c r="J692" s="64"/>
      <c r="K692" s="50"/>
      <c r="L692" s="52">
        <f>L694+L697+L696</f>
        <v>162.66999999999999</v>
      </c>
    </row>
    <row r="693" spans="1:12" ht="14.25" hidden="1" x14ac:dyDescent="0.2">
      <c r="A693" s="64"/>
      <c r="B693" s="66"/>
      <c r="C693" s="130" t="s">
        <v>775</v>
      </c>
      <c r="D693" s="131"/>
      <c r="E693" s="131"/>
      <c r="F693" s="131"/>
      <c r="G693" s="131"/>
      <c r="H693" s="131"/>
      <c r="I693" s="52"/>
      <c r="J693" s="64"/>
      <c r="K693" s="50"/>
      <c r="L693" s="52"/>
    </row>
    <row r="694" spans="1:12" ht="14.25" x14ac:dyDescent="0.2">
      <c r="A694" s="64"/>
      <c r="B694" s="66"/>
      <c r="C694" s="131" t="s">
        <v>774</v>
      </c>
      <c r="D694" s="131"/>
      <c r="E694" s="131"/>
      <c r="F694" s="131"/>
      <c r="G694" s="131"/>
      <c r="H694" s="131"/>
      <c r="I694" s="52"/>
      <c r="J694" s="64"/>
      <c r="K694" s="50"/>
      <c r="L694" s="52">
        <f>SUM(AO608:AO687)</f>
        <v>50.129999999999988</v>
      </c>
    </row>
    <row r="695" spans="1:12" ht="14.25" hidden="1" x14ac:dyDescent="0.2">
      <c r="A695" s="64"/>
      <c r="B695" s="66"/>
      <c r="C695" s="130" t="s">
        <v>776</v>
      </c>
      <c r="D695" s="131"/>
      <c r="E695" s="131"/>
      <c r="F695" s="131"/>
      <c r="G695" s="131"/>
      <c r="H695" s="131"/>
      <c r="I695" s="52"/>
      <c r="J695" s="64"/>
      <c r="K695" s="50"/>
      <c r="L695" s="52"/>
    </row>
    <row r="696" spans="1:12" ht="14.25" x14ac:dyDescent="0.2">
      <c r="A696" s="64"/>
      <c r="B696" s="66"/>
      <c r="C696" s="131" t="s">
        <v>796</v>
      </c>
      <c r="D696" s="131"/>
      <c r="E696" s="131"/>
      <c r="F696" s="131"/>
      <c r="G696" s="131"/>
      <c r="H696" s="131"/>
      <c r="I696" s="52"/>
      <c r="J696" s="64"/>
      <c r="K696" s="50"/>
      <c r="L696" s="52">
        <f>SUM(AT608:AT687)</f>
        <v>112.54</v>
      </c>
    </row>
    <row r="697" spans="1:12" ht="14.25" hidden="1" x14ac:dyDescent="0.2">
      <c r="A697" s="64"/>
      <c r="B697" s="66"/>
      <c r="C697" s="131" t="s">
        <v>777</v>
      </c>
      <c r="D697" s="131"/>
      <c r="E697" s="131"/>
      <c r="F697" s="131"/>
      <c r="G697" s="131"/>
      <c r="H697" s="131"/>
      <c r="I697" s="52"/>
      <c r="J697" s="64"/>
      <c r="K697" s="50"/>
      <c r="L697" s="52">
        <f>SUM(AV608:AV687)</f>
        <v>0</v>
      </c>
    </row>
    <row r="698" spans="1:12" ht="14.25" x14ac:dyDescent="0.2">
      <c r="A698" s="64"/>
      <c r="B698" s="66"/>
      <c r="C698" s="131" t="s">
        <v>778</v>
      </c>
      <c r="D698" s="131"/>
      <c r="E698" s="131"/>
      <c r="F698" s="131"/>
      <c r="G698" s="131"/>
      <c r="H698" s="131"/>
      <c r="I698" s="52"/>
      <c r="J698" s="64"/>
      <c r="K698" s="50"/>
      <c r="L698" s="52">
        <f>L700+L701</f>
        <v>17946.270000000004</v>
      </c>
    </row>
    <row r="699" spans="1:12" ht="14.25" x14ac:dyDescent="0.2">
      <c r="A699" s="64"/>
      <c r="B699" s="66"/>
      <c r="C699" s="130" t="s">
        <v>775</v>
      </c>
      <c r="D699" s="131"/>
      <c r="E699" s="131"/>
      <c r="F699" s="131"/>
      <c r="G699" s="131"/>
      <c r="H699" s="131"/>
      <c r="I699" s="52"/>
      <c r="J699" s="64"/>
      <c r="K699" s="50"/>
      <c r="L699" s="52"/>
    </row>
    <row r="700" spans="1:12" ht="14.25" x14ac:dyDescent="0.2">
      <c r="A700" s="64"/>
      <c r="B700" s="66"/>
      <c r="C700" s="131" t="s">
        <v>779</v>
      </c>
      <c r="D700" s="131"/>
      <c r="E700" s="131"/>
      <c r="F700" s="131"/>
      <c r="G700" s="131"/>
      <c r="H700" s="131"/>
      <c r="I700" s="52"/>
      <c r="J700" s="64"/>
      <c r="K700" s="50"/>
      <c r="L700" s="52">
        <f>SUM(AW608:AW687)-SUM(BK608:BK687)</f>
        <v>17946.270000000004</v>
      </c>
    </row>
    <row r="701" spans="1:12" ht="14.25" hidden="1" x14ac:dyDescent="0.2">
      <c r="A701" s="64"/>
      <c r="B701" s="66"/>
      <c r="C701" s="131" t="s">
        <v>780</v>
      </c>
      <c r="D701" s="131"/>
      <c r="E701" s="131"/>
      <c r="F701" s="131"/>
      <c r="G701" s="131"/>
      <c r="H701" s="131"/>
      <c r="I701" s="52"/>
      <c r="J701" s="64"/>
      <c r="K701" s="50"/>
      <c r="L701" s="52">
        <f>SUM(BC608:BC687)</f>
        <v>0</v>
      </c>
    </row>
    <row r="702" spans="1:12" ht="14.25" hidden="1" x14ac:dyDescent="0.2">
      <c r="A702" s="64"/>
      <c r="B702" s="66"/>
      <c r="C702" s="131" t="s">
        <v>781</v>
      </c>
      <c r="D702" s="131"/>
      <c r="E702" s="131"/>
      <c r="F702" s="131"/>
      <c r="G702" s="131"/>
      <c r="H702" s="131"/>
      <c r="I702" s="52"/>
      <c r="J702" s="64"/>
      <c r="K702" s="50"/>
      <c r="L702" s="52">
        <f>SUM(BB608:BB687)</f>
        <v>0</v>
      </c>
    </row>
    <row r="703" spans="1:12" ht="14.25" x14ac:dyDescent="0.2">
      <c r="A703" s="64"/>
      <c r="B703" s="66"/>
      <c r="C703" s="131" t="s">
        <v>782</v>
      </c>
      <c r="D703" s="131"/>
      <c r="E703" s="131"/>
      <c r="F703" s="131"/>
      <c r="G703" s="131"/>
      <c r="H703" s="131"/>
      <c r="I703" s="52"/>
      <c r="J703" s="64"/>
      <c r="K703" s="50"/>
      <c r="L703" s="52">
        <f>SUM(AR608:AR687)+SUM(AT608:AT687)+SUM(AV608:AV687)</f>
        <v>17361.170000000002</v>
      </c>
    </row>
    <row r="704" spans="1:12" ht="14.25" x14ac:dyDescent="0.2">
      <c r="A704" s="64"/>
      <c r="B704" s="66"/>
      <c r="C704" s="131" t="s">
        <v>783</v>
      </c>
      <c r="D704" s="131"/>
      <c r="E704" s="131"/>
      <c r="F704" s="131"/>
      <c r="G704" s="131"/>
      <c r="H704" s="131"/>
      <c r="I704" s="52"/>
      <c r="J704" s="64"/>
      <c r="K704" s="50"/>
      <c r="L704" s="52">
        <f>SUM(AZ608:AZ687)</f>
        <v>15946.68</v>
      </c>
    </row>
    <row r="705" spans="1:12" ht="14.25" x14ac:dyDescent="0.2">
      <c r="A705" s="64"/>
      <c r="B705" s="66"/>
      <c r="C705" s="131" t="s">
        <v>784</v>
      </c>
      <c r="D705" s="131"/>
      <c r="E705" s="131"/>
      <c r="F705" s="131"/>
      <c r="G705" s="131"/>
      <c r="H705" s="131"/>
      <c r="I705" s="52"/>
      <c r="J705" s="64"/>
      <c r="K705" s="50"/>
      <c r="L705" s="52">
        <f>SUM(BA608:BA687)</f>
        <v>8298.52</v>
      </c>
    </row>
    <row r="706" spans="1:12" ht="14.25" hidden="1" x14ac:dyDescent="0.2">
      <c r="A706" s="64"/>
      <c r="B706" s="66"/>
      <c r="C706" s="131" t="s">
        <v>785</v>
      </c>
      <c r="D706" s="131"/>
      <c r="E706" s="131"/>
      <c r="F706" s="131"/>
      <c r="G706" s="131"/>
      <c r="H706" s="131"/>
      <c r="I706" s="52"/>
      <c r="J706" s="64"/>
      <c r="K706" s="50"/>
      <c r="L706" s="52">
        <f>L708+L709</f>
        <v>0</v>
      </c>
    </row>
    <row r="707" spans="1:12" ht="14.25" hidden="1" x14ac:dyDescent="0.2">
      <c r="A707" s="64"/>
      <c r="B707" s="66"/>
      <c r="C707" s="130" t="s">
        <v>772</v>
      </c>
      <c r="D707" s="131"/>
      <c r="E707" s="131"/>
      <c r="F707" s="131"/>
      <c r="G707" s="131"/>
      <c r="H707" s="131"/>
      <c r="I707" s="52"/>
      <c r="J707" s="64"/>
      <c r="K707" s="50"/>
      <c r="L707" s="52"/>
    </row>
    <row r="708" spans="1:12" ht="14.25" hidden="1" x14ac:dyDescent="0.2">
      <c r="A708" s="64"/>
      <c r="B708" s="66"/>
      <c r="C708" s="131" t="s">
        <v>786</v>
      </c>
      <c r="D708" s="131"/>
      <c r="E708" s="131"/>
      <c r="F708" s="131"/>
      <c r="G708" s="131"/>
      <c r="H708" s="131"/>
      <c r="I708" s="52"/>
      <c r="J708" s="64"/>
      <c r="K708" s="50"/>
      <c r="L708" s="52">
        <f>SUM(BK608:BK687)</f>
        <v>0</v>
      </c>
    </row>
    <row r="709" spans="1:12" ht="14.25" hidden="1" x14ac:dyDescent="0.2">
      <c r="A709" s="64"/>
      <c r="B709" s="66"/>
      <c r="C709" s="131" t="s">
        <v>787</v>
      </c>
      <c r="D709" s="131"/>
      <c r="E709" s="131"/>
      <c r="F709" s="131"/>
      <c r="G709" s="131"/>
      <c r="H709" s="131"/>
      <c r="I709" s="52"/>
      <c r="J709" s="64"/>
      <c r="K709" s="50"/>
      <c r="L709" s="52">
        <f>SUM(BD608:BD687)</f>
        <v>0</v>
      </c>
    </row>
    <row r="710" spans="1:12" ht="14.25" hidden="1" x14ac:dyDescent="0.2">
      <c r="A710" s="64"/>
      <c r="B710" s="66"/>
      <c r="C710" s="131" t="s">
        <v>788</v>
      </c>
      <c r="D710" s="131"/>
      <c r="E710" s="131"/>
      <c r="F710" s="131"/>
      <c r="G710" s="131"/>
      <c r="H710" s="131"/>
      <c r="I710" s="52"/>
      <c r="J710" s="64"/>
      <c r="K710" s="50"/>
      <c r="L710" s="52"/>
    </row>
    <row r="711" spans="1:12" ht="14.25" hidden="1" x14ac:dyDescent="0.2">
      <c r="A711" s="64"/>
      <c r="B711" s="66"/>
      <c r="C711" s="131" t="s">
        <v>788</v>
      </c>
      <c r="D711" s="131"/>
      <c r="E711" s="131"/>
      <c r="F711" s="131"/>
      <c r="G711" s="131"/>
      <c r="H711" s="131"/>
      <c r="I711" s="52"/>
      <c r="J711" s="64"/>
      <c r="K711" s="50"/>
      <c r="L711" s="52">
        <f>SUM(BQ608:BQ687)</f>
        <v>0</v>
      </c>
    </row>
    <row r="712" spans="1:12" ht="14.25" hidden="1" x14ac:dyDescent="0.2">
      <c r="A712" s="64"/>
      <c r="B712" s="66"/>
      <c r="C712" s="131" t="s">
        <v>789</v>
      </c>
      <c r="D712" s="131"/>
      <c r="E712" s="131"/>
      <c r="F712" s="131"/>
      <c r="G712" s="131"/>
      <c r="H712" s="131"/>
      <c r="I712" s="52"/>
      <c r="J712" s="64"/>
      <c r="K712" s="50"/>
      <c r="L712" s="52">
        <f>SUM(BO608:BO687)</f>
        <v>0</v>
      </c>
    </row>
    <row r="713" spans="1:12" ht="15" x14ac:dyDescent="0.2">
      <c r="A713" s="67"/>
      <c r="B713" s="68"/>
      <c r="C713" s="129" t="s">
        <v>790</v>
      </c>
      <c r="D713" s="129"/>
      <c r="E713" s="129"/>
      <c r="F713" s="129"/>
      <c r="G713" s="129"/>
      <c r="H713" s="129"/>
      <c r="I713" s="55"/>
      <c r="J713" s="67"/>
      <c r="K713" s="69"/>
      <c r="L713" s="55">
        <f>L689+L704+L705+L706+L711+L712</f>
        <v>59602.770000000004</v>
      </c>
    </row>
    <row r="714" spans="1:12" ht="14.25" x14ac:dyDescent="0.2">
      <c r="A714" s="64"/>
      <c r="B714" s="66"/>
      <c r="C714" s="130" t="s">
        <v>791</v>
      </c>
      <c r="D714" s="131"/>
      <c r="E714" s="131"/>
      <c r="F714" s="131"/>
      <c r="G714" s="131"/>
      <c r="H714" s="131"/>
      <c r="I714" s="52"/>
      <c r="J714" s="64"/>
      <c r="K714" s="50"/>
      <c r="L714" s="52"/>
    </row>
    <row r="715" spans="1:12" ht="14.25" hidden="1" x14ac:dyDescent="0.2">
      <c r="A715" s="64"/>
      <c r="B715" s="66"/>
      <c r="C715" s="131" t="s">
        <v>792</v>
      </c>
      <c r="D715" s="131"/>
      <c r="E715" s="131"/>
      <c r="F715" s="131"/>
      <c r="G715" s="131"/>
      <c r="H715" s="131"/>
      <c r="I715" s="52"/>
      <c r="J715" s="64"/>
      <c r="K715" s="50"/>
      <c r="L715" s="52">
        <f>SUM(AX608:AX687)</f>
        <v>0</v>
      </c>
    </row>
    <row r="716" spans="1:12" ht="14.25" hidden="1" x14ac:dyDescent="0.2">
      <c r="A716" s="64"/>
      <c r="B716" s="66"/>
      <c r="C716" s="131" t="s">
        <v>793</v>
      </c>
      <c r="D716" s="131"/>
      <c r="E716" s="131"/>
      <c r="F716" s="131"/>
      <c r="G716" s="131"/>
      <c r="H716" s="131"/>
      <c r="I716" s="52"/>
      <c r="J716" s="64"/>
      <c r="K716" s="50"/>
      <c r="L716" s="52">
        <f>SUM(AY608:AY687)</f>
        <v>0</v>
      </c>
    </row>
    <row r="717" spans="1:12" ht="14.25" x14ac:dyDescent="0.2">
      <c r="A717" s="64"/>
      <c r="B717" s="66"/>
      <c r="C717" s="131" t="s">
        <v>794</v>
      </c>
      <c r="D717" s="131"/>
      <c r="E717" s="131"/>
      <c r="F717" s="132"/>
      <c r="G717" s="54">
        <f>Source!F228</f>
        <v>26.107478</v>
      </c>
      <c r="H717" s="64"/>
      <c r="I717" s="64"/>
      <c r="J717" s="64"/>
      <c r="K717" s="64"/>
      <c r="L717" s="64"/>
    </row>
    <row r="718" spans="1:12" ht="14.25" x14ac:dyDescent="0.2">
      <c r="A718" s="64"/>
      <c r="B718" s="66"/>
      <c r="C718" s="131" t="s">
        <v>795</v>
      </c>
      <c r="D718" s="131"/>
      <c r="E718" s="131"/>
      <c r="F718" s="132"/>
      <c r="G718" s="54">
        <f>Source!F229</f>
        <v>0.16279959999999999</v>
      </c>
      <c r="H718" s="64"/>
      <c r="I718" s="64"/>
      <c r="J718" s="64"/>
      <c r="K718" s="64"/>
      <c r="L718" s="64"/>
    </row>
    <row r="721" spans="1:82" ht="16.5" x14ac:dyDescent="0.2">
      <c r="A721" s="123" t="s">
        <v>833</v>
      </c>
      <c r="B721" s="123"/>
      <c r="C721" s="123"/>
      <c r="D721" s="123"/>
      <c r="E721" s="123"/>
      <c r="F721" s="123"/>
      <c r="G721" s="123"/>
      <c r="H721" s="123"/>
      <c r="I721" s="123"/>
      <c r="J721" s="123"/>
      <c r="K721" s="123"/>
      <c r="L721" s="123"/>
    </row>
    <row r="722" spans="1:82" ht="42.75" x14ac:dyDescent="0.2">
      <c r="A722" s="46" t="s">
        <v>281</v>
      </c>
      <c r="B722" s="48" t="s">
        <v>130</v>
      </c>
      <c r="C722" s="48" t="str">
        <f>Source!G240</f>
        <v>Погрузка в автотранспортное средство: мусор строительный с погрузкой вручную</v>
      </c>
      <c r="D722" s="49" t="str">
        <f>Source!H240</f>
        <v>1т груза</v>
      </c>
      <c r="E722" s="50">
        <f>Source!K240</f>
        <v>1.28</v>
      </c>
      <c r="F722" s="50"/>
      <c r="G722" s="50">
        <f>Source!I240</f>
        <v>1.28</v>
      </c>
      <c r="H722" s="52"/>
      <c r="I722" s="51"/>
      <c r="J722" s="52">
        <f>Source!AK240</f>
        <v>1490.12</v>
      </c>
      <c r="K722" s="51"/>
      <c r="L722" s="52">
        <f>Source!HD240</f>
        <v>1907.35</v>
      </c>
    </row>
    <row r="723" spans="1:82" x14ac:dyDescent="0.2">
      <c r="A723" s="72"/>
      <c r="B723" s="72"/>
      <c r="C723" s="73" t="str">
        <f>"Объем: "&amp;Source!I240&amp;"=0,96+"&amp;"0,32"</f>
        <v>Объем: 1,28=0,96+0,32</v>
      </c>
      <c r="D723" s="72"/>
      <c r="E723" s="72"/>
      <c r="F723" s="72"/>
      <c r="G723" s="72"/>
      <c r="H723" s="72"/>
      <c r="I723" s="72"/>
      <c r="J723" s="72"/>
      <c r="K723" s="72"/>
      <c r="L723" s="72"/>
    </row>
    <row r="724" spans="1:82" ht="15" x14ac:dyDescent="0.2">
      <c r="C724" s="124" t="s">
        <v>739</v>
      </c>
      <c r="D724" s="124"/>
      <c r="E724" s="124"/>
      <c r="F724" s="124"/>
      <c r="G724" s="124"/>
      <c r="H724" s="124"/>
      <c r="I724" s="125">
        <f>IF(E722&lt;&gt;0,K724/E722, 0)</f>
        <v>1490.1171875</v>
      </c>
      <c r="J724" s="125"/>
      <c r="K724" s="125">
        <f>L722</f>
        <v>1907.35</v>
      </c>
      <c r="L724" s="125"/>
      <c r="AD724">
        <f>ROUND((Source!AT240/100)*((ROUND(0*Source!I240, 2)+ROUND(0*Source!I240, 2))), 2)</f>
        <v>0</v>
      </c>
      <c r="AE724">
        <f>ROUND((Source!AU240/100)*((ROUND(0*Source!I240, 2)+ROUND(0*Source!I240, 2))), 2)</f>
        <v>0</v>
      </c>
      <c r="AN724" s="61">
        <f>L722</f>
        <v>1907.35</v>
      </c>
      <c r="AP724">
        <f>0</f>
        <v>0</v>
      </c>
      <c r="AQ724" t="s">
        <v>740</v>
      </c>
      <c r="AS724">
        <f>0</f>
        <v>0</v>
      </c>
      <c r="AU724">
        <f>0</f>
        <v>0</v>
      </c>
      <c r="AV724" t="s">
        <v>740</v>
      </c>
      <c r="AZ724">
        <f>Source!X240</f>
        <v>0</v>
      </c>
      <c r="BA724">
        <f>Source!Y240</f>
        <v>0</v>
      </c>
      <c r="BB724" s="61">
        <f>L722</f>
        <v>1907.35</v>
      </c>
      <c r="CD724">
        <v>1</v>
      </c>
    </row>
    <row r="725" spans="1:82" ht="128.25" x14ac:dyDescent="0.2">
      <c r="A725" s="65" t="s">
        <v>282</v>
      </c>
      <c r="B725" s="56" t="s">
        <v>138</v>
      </c>
      <c r="C725" s="56" t="str">
        <f>Source!G241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36 км</v>
      </c>
      <c r="D725" s="57" t="str">
        <f>Source!H241</f>
        <v>1т груза</v>
      </c>
      <c r="E725" s="58">
        <f>Source!K241</f>
        <v>1.28</v>
      </c>
      <c r="F725" s="58"/>
      <c r="G725" s="58">
        <f>Source!I241</f>
        <v>1.28</v>
      </c>
      <c r="H725" s="59"/>
      <c r="I725" s="60"/>
      <c r="J725" s="59">
        <f>Source!AK241</f>
        <v>519.79</v>
      </c>
      <c r="K725" s="60"/>
      <c r="L725" s="59">
        <f>Source!HD241</f>
        <v>665.33</v>
      </c>
    </row>
    <row r="726" spans="1:82" ht="15" x14ac:dyDescent="0.2">
      <c r="C726" s="124" t="s">
        <v>739</v>
      </c>
      <c r="D726" s="124"/>
      <c r="E726" s="124"/>
      <c r="F726" s="124"/>
      <c r="G726" s="124"/>
      <c r="H726" s="124"/>
      <c r="I726" s="125">
        <f>IF(E725&lt;&gt;0,K726/E725, 0)</f>
        <v>519.7890625</v>
      </c>
      <c r="J726" s="125"/>
      <c r="K726" s="125">
        <f>L725</f>
        <v>665.33</v>
      </c>
      <c r="L726" s="125"/>
      <c r="AD726">
        <f>ROUND((Source!AT241/100)*((ROUND(0*Source!I241, 2)+ROUND(0*Source!I241, 2))), 2)</f>
        <v>0</v>
      </c>
      <c r="AE726">
        <f>ROUND((Source!AU241/100)*((ROUND(0*Source!I241, 2)+ROUND(0*Source!I241, 2))), 2)</f>
        <v>0</v>
      </c>
      <c r="AN726" s="61">
        <f>L725</f>
        <v>665.33</v>
      </c>
      <c r="AP726">
        <f>0</f>
        <v>0</v>
      </c>
      <c r="AQ726" t="s">
        <v>740</v>
      </c>
      <c r="AS726">
        <f>0</f>
        <v>0</v>
      </c>
      <c r="AU726">
        <f>0</f>
        <v>0</v>
      </c>
      <c r="AV726" t="s">
        <v>740</v>
      </c>
      <c r="AZ726">
        <f>Source!X241</f>
        <v>0</v>
      </c>
      <c r="BA726">
        <f>Source!Y241</f>
        <v>0</v>
      </c>
      <c r="BB726" s="61">
        <f>L725</f>
        <v>665.33</v>
      </c>
      <c r="CD726">
        <v>1</v>
      </c>
    </row>
    <row r="728" spans="1:82" ht="15" x14ac:dyDescent="0.2">
      <c r="A728" s="67"/>
      <c r="B728" s="68"/>
      <c r="C728" s="129" t="s">
        <v>809</v>
      </c>
      <c r="D728" s="129"/>
      <c r="E728" s="129"/>
      <c r="F728" s="129"/>
      <c r="G728" s="129"/>
      <c r="H728" s="129"/>
      <c r="I728" s="55"/>
      <c r="J728" s="67"/>
      <c r="K728" s="69"/>
      <c r="L728" s="55">
        <f>L730+L731+L737+L741</f>
        <v>2572.6799999999998</v>
      </c>
    </row>
    <row r="729" spans="1:82" ht="14.25" x14ac:dyDescent="0.2">
      <c r="A729" s="64"/>
      <c r="B729" s="66"/>
      <c r="C729" s="130" t="s">
        <v>772</v>
      </c>
      <c r="D729" s="131"/>
      <c r="E729" s="131"/>
      <c r="F729" s="131"/>
      <c r="G729" s="131"/>
      <c r="H729" s="131"/>
      <c r="I729" s="52"/>
      <c r="J729" s="64"/>
      <c r="K729" s="50"/>
      <c r="L729" s="52"/>
    </row>
    <row r="730" spans="1:82" ht="14.25" hidden="1" x14ac:dyDescent="0.2">
      <c r="A730" s="64"/>
      <c r="B730" s="66"/>
      <c r="C730" s="131" t="s">
        <v>773</v>
      </c>
      <c r="D730" s="131"/>
      <c r="E730" s="131"/>
      <c r="F730" s="131"/>
      <c r="G730" s="131"/>
      <c r="H730" s="131"/>
      <c r="I730" s="52"/>
      <c r="J730" s="64"/>
      <c r="K730" s="50"/>
      <c r="L730" s="52">
        <f>SUM(AR721:AR726)</f>
        <v>0</v>
      </c>
    </row>
    <row r="731" spans="1:82" ht="14.25" hidden="1" x14ac:dyDescent="0.2">
      <c r="A731" s="64"/>
      <c r="B731" s="66"/>
      <c r="C731" s="131" t="s">
        <v>774</v>
      </c>
      <c r="D731" s="131"/>
      <c r="E731" s="131"/>
      <c r="F731" s="131"/>
      <c r="G731" s="131"/>
      <c r="H731" s="131"/>
      <c r="I731" s="52"/>
      <c r="J731" s="64"/>
      <c r="K731" s="50"/>
      <c r="L731" s="52">
        <f>L733+L736+L735</f>
        <v>0</v>
      </c>
    </row>
    <row r="732" spans="1:82" ht="14.25" hidden="1" x14ac:dyDescent="0.2">
      <c r="A732" s="64"/>
      <c r="B732" s="66"/>
      <c r="C732" s="130" t="s">
        <v>775</v>
      </c>
      <c r="D732" s="131"/>
      <c r="E732" s="131"/>
      <c r="F732" s="131"/>
      <c r="G732" s="131"/>
      <c r="H732" s="131"/>
      <c r="I732" s="52"/>
      <c r="J732" s="64"/>
      <c r="K732" s="50"/>
      <c r="L732" s="52"/>
    </row>
    <row r="733" spans="1:82" ht="14.25" hidden="1" x14ac:dyDescent="0.2">
      <c r="A733" s="64"/>
      <c r="B733" s="66"/>
      <c r="C733" s="131" t="s">
        <v>774</v>
      </c>
      <c r="D733" s="131"/>
      <c r="E733" s="131"/>
      <c r="F733" s="131"/>
      <c r="G733" s="131"/>
      <c r="H733" s="131"/>
      <c r="I733" s="52"/>
      <c r="J733" s="64"/>
      <c r="K733" s="50"/>
      <c r="L733" s="52">
        <f>SUM(AO721:AO726)</f>
        <v>0</v>
      </c>
    </row>
    <row r="734" spans="1:82" ht="14.25" hidden="1" x14ac:dyDescent="0.2">
      <c r="A734" s="64"/>
      <c r="B734" s="66"/>
      <c r="C734" s="130" t="s">
        <v>776</v>
      </c>
      <c r="D734" s="131"/>
      <c r="E734" s="131"/>
      <c r="F734" s="131"/>
      <c r="G734" s="131"/>
      <c r="H734" s="131"/>
      <c r="I734" s="52"/>
      <c r="J734" s="64"/>
      <c r="K734" s="50"/>
      <c r="L734" s="52"/>
    </row>
    <row r="735" spans="1:82" ht="14.25" hidden="1" x14ac:dyDescent="0.2">
      <c r="A735" s="64"/>
      <c r="B735" s="66"/>
      <c r="C735" s="131" t="s">
        <v>796</v>
      </c>
      <c r="D735" s="131"/>
      <c r="E735" s="131"/>
      <c r="F735" s="131"/>
      <c r="G735" s="131"/>
      <c r="H735" s="131"/>
      <c r="I735" s="52"/>
      <c r="J735" s="64"/>
      <c r="K735" s="50"/>
      <c r="L735" s="52">
        <f>SUM(AT721:AT726)</f>
        <v>0</v>
      </c>
    </row>
    <row r="736" spans="1:82" ht="14.25" hidden="1" x14ac:dyDescent="0.2">
      <c r="A736" s="64"/>
      <c r="B736" s="66"/>
      <c r="C736" s="131" t="s">
        <v>777</v>
      </c>
      <c r="D736" s="131"/>
      <c r="E736" s="131"/>
      <c r="F736" s="131"/>
      <c r="G736" s="131"/>
      <c r="H736" s="131"/>
      <c r="I736" s="52"/>
      <c r="J736" s="64"/>
      <c r="K736" s="50"/>
      <c r="L736" s="52">
        <f>SUM(AV721:AV726)</f>
        <v>0</v>
      </c>
    </row>
    <row r="737" spans="1:12" ht="14.25" hidden="1" x14ac:dyDescent="0.2">
      <c r="A737" s="64"/>
      <c r="B737" s="66"/>
      <c r="C737" s="131" t="s">
        <v>778</v>
      </c>
      <c r="D737" s="131"/>
      <c r="E737" s="131"/>
      <c r="F737" s="131"/>
      <c r="G737" s="131"/>
      <c r="H737" s="131"/>
      <c r="I737" s="52"/>
      <c r="J737" s="64"/>
      <c r="K737" s="50"/>
      <c r="L737" s="52">
        <f>L739+L740</f>
        <v>0</v>
      </c>
    </row>
    <row r="738" spans="1:12" ht="14.25" hidden="1" x14ac:dyDescent="0.2">
      <c r="A738" s="64"/>
      <c r="B738" s="66"/>
      <c r="C738" s="130" t="s">
        <v>775</v>
      </c>
      <c r="D738" s="131"/>
      <c r="E738" s="131"/>
      <c r="F738" s="131"/>
      <c r="G738" s="131"/>
      <c r="H738" s="131"/>
      <c r="I738" s="52"/>
      <c r="J738" s="64"/>
      <c r="K738" s="50"/>
      <c r="L738" s="52"/>
    </row>
    <row r="739" spans="1:12" ht="14.25" hidden="1" x14ac:dyDescent="0.2">
      <c r="A739" s="64"/>
      <c r="B739" s="66"/>
      <c r="C739" s="131" t="s">
        <v>779</v>
      </c>
      <c r="D739" s="131"/>
      <c r="E739" s="131"/>
      <c r="F739" s="131"/>
      <c r="G739" s="131"/>
      <c r="H739" s="131"/>
      <c r="I739" s="52"/>
      <c r="J739" s="64"/>
      <c r="K739" s="50"/>
      <c r="L739" s="52">
        <f>SUM(AW721:AW726)-SUM(BK721:BK726)</f>
        <v>0</v>
      </c>
    </row>
    <row r="740" spans="1:12" ht="14.25" hidden="1" x14ac:dyDescent="0.2">
      <c r="A740" s="64"/>
      <c r="B740" s="66"/>
      <c r="C740" s="131" t="s">
        <v>780</v>
      </c>
      <c r="D740" s="131"/>
      <c r="E740" s="131"/>
      <c r="F740" s="131"/>
      <c r="G740" s="131"/>
      <c r="H740" s="131"/>
      <c r="I740" s="52"/>
      <c r="J740" s="64"/>
      <c r="K740" s="50"/>
      <c r="L740" s="52">
        <f>SUM(BC721:BC726)</f>
        <v>0</v>
      </c>
    </row>
    <row r="741" spans="1:12" ht="14.25" x14ac:dyDescent="0.2">
      <c r="A741" s="64"/>
      <c r="B741" s="66"/>
      <c r="C741" s="131" t="s">
        <v>781</v>
      </c>
      <c r="D741" s="131"/>
      <c r="E741" s="131"/>
      <c r="F741" s="131"/>
      <c r="G741" s="131"/>
      <c r="H741" s="131"/>
      <c r="I741" s="52"/>
      <c r="J741" s="64"/>
      <c r="K741" s="50"/>
      <c r="L741" s="52">
        <f>SUM(BB721:BB726)</f>
        <v>2572.6799999999998</v>
      </c>
    </row>
    <row r="742" spans="1:12" ht="14.25" hidden="1" x14ac:dyDescent="0.2">
      <c r="A742" s="64"/>
      <c r="B742" s="66"/>
      <c r="C742" s="131" t="s">
        <v>782</v>
      </c>
      <c r="D742" s="131"/>
      <c r="E742" s="131"/>
      <c r="F742" s="131"/>
      <c r="G742" s="131"/>
      <c r="H742" s="131"/>
      <c r="I742" s="52"/>
      <c r="J742" s="64"/>
      <c r="K742" s="50"/>
      <c r="L742" s="52">
        <f>SUM(AR721:AR726)+SUM(AT721:AT726)+SUM(AV721:AV726)</f>
        <v>0</v>
      </c>
    </row>
    <row r="743" spans="1:12" ht="14.25" hidden="1" x14ac:dyDescent="0.2">
      <c r="A743" s="64"/>
      <c r="B743" s="66"/>
      <c r="C743" s="131" t="s">
        <v>783</v>
      </c>
      <c r="D743" s="131"/>
      <c r="E743" s="131"/>
      <c r="F743" s="131"/>
      <c r="G743" s="131"/>
      <c r="H743" s="131"/>
      <c r="I743" s="52"/>
      <c r="J743" s="64"/>
      <c r="K743" s="50"/>
      <c r="L743" s="52">
        <f>SUM(AZ721:AZ726)</f>
        <v>0</v>
      </c>
    </row>
    <row r="744" spans="1:12" ht="14.25" hidden="1" x14ac:dyDescent="0.2">
      <c r="A744" s="64"/>
      <c r="B744" s="66"/>
      <c r="C744" s="131" t="s">
        <v>784</v>
      </c>
      <c r="D744" s="131"/>
      <c r="E744" s="131"/>
      <c r="F744" s="131"/>
      <c r="G744" s="131"/>
      <c r="H744" s="131"/>
      <c r="I744" s="52"/>
      <c r="J744" s="64"/>
      <c r="K744" s="50"/>
      <c r="L744" s="52">
        <f>SUM(BA721:BA726)</f>
        <v>0</v>
      </c>
    </row>
    <row r="745" spans="1:12" ht="14.25" hidden="1" x14ac:dyDescent="0.2">
      <c r="A745" s="64"/>
      <c r="B745" s="66"/>
      <c r="C745" s="131" t="s">
        <v>785</v>
      </c>
      <c r="D745" s="131"/>
      <c r="E745" s="131"/>
      <c r="F745" s="131"/>
      <c r="G745" s="131"/>
      <c r="H745" s="131"/>
      <c r="I745" s="52"/>
      <c r="J745" s="64"/>
      <c r="K745" s="50"/>
      <c r="L745" s="52">
        <f>L747+L748</f>
        <v>0</v>
      </c>
    </row>
    <row r="746" spans="1:12" ht="14.25" hidden="1" x14ac:dyDescent="0.2">
      <c r="A746" s="64"/>
      <c r="B746" s="66"/>
      <c r="C746" s="130" t="s">
        <v>772</v>
      </c>
      <c r="D746" s="131"/>
      <c r="E746" s="131"/>
      <c r="F746" s="131"/>
      <c r="G746" s="131"/>
      <c r="H746" s="131"/>
      <c r="I746" s="52"/>
      <c r="J746" s="64"/>
      <c r="K746" s="50"/>
      <c r="L746" s="52"/>
    </row>
    <row r="747" spans="1:12" ht="14.25" hidden="1" x14ac:dyDescent="0.2">
      <c r="A747" s="64"/>
      <c r="B747" s="66"/>
      <c r="C747" s="131" t="s">
        <v>786</v>
      </c>
      <c r="D747" s="131"/>
      <c r="E747" s="131"/>
      <c r="F747" s="131"/>
      <c r="G747" s="131"/>
      <c r="H747" s="131"/>
      <c r="I747" s="52"/>
      <c r="J747" s="64"/>
      <c r="K747" s="50"/>
      <c r="L747" s="52">
        <f>SUM(BK721:BK726)</f>
        <v>0</v>
      </c>
    </row>
    <row r="748" spans="1:12" ht="14.25" hidden="1" x14ac:dyDescent="0.2">
      <c r="A748" s="64"/>
      <c r="B748" s="66"/>
      <c r="C748" s="131" t="s">
        <v>787</v>
      </c>
      <c r="D748" s="131"/>
      <c r="E748" s="131"/>
      <c r="F748" s="131"/>
      <c r="G748" s="131"/>
      <c r="H748" s="131"/>
      <c r="I748" s="52"/>
      <c r="J748" s="64"/>
      <c r="K748" s="50"/>
      <c r="L748" s="52">
        <f>SUM(BD721:BD726)</f>
        <v>0</v>
      </c>
    </row>
    <row r="749" spans="1:12" ht="14.25" hidden="1" x14ac:dyDescent="0.2">
      <c r="A749" s="64"/>
      <c r="B749" s="66"/>
      <c r="C749" s="131" t="s">
        <v>788</v>
      </c>
      <c r="D749" s="131"/>
      <c r="E749" s="131"/>
      <c r="F749" s="131"/>
      <c r="G749" s="131"/>
      <c r="H749" s="131"/>
      <c r="I749" s="52"/>
      <c r="J749" s="64"/>
      <c r="K749" s="50"/>
      <c r="L749" s="52"/>
    </row>
    <row r="750" spans="1:12" ht="14.25" hidden="1" x14ac:dyDescent="0.2">
      <c r="A750" s="64"/>
      <c r="B750" s="66"/>
      <c r="C750" s="131" t="s">
        <v>788</v>
      </c>
      <c r="D750" s="131"/>
      <c r="E750" s="131"/>
      <c r="F750" s="131"/>
      <c r="G750" s="131"/>
      <c r="H750" s="131"/>
      <c r="I750" s="52"/>
      <c r="J750" s="64"/>
      <c r="K750" s="50"/>
      <c r="L750" s="52">
        <f>SUM(BQ721:BQ726)</f>
        <v>0</v>
      </c>
    </row>
    <row r="751" spans="1:12" ht="14.25" hidden="1" x14ac:dyDescent="0.2">
      <c r="A751" s="64"/>
      <c r="B751" s="66"/>
      <c r="C751" s="131" t="s">
        <v>789</v>
      </c>
      <c r="D751" s="131"/>
      <c r="E751" s="131"/>
      <c r="F751" s="131"/>
      <c r="G751" s="131"/>
      <c r="H751" s="131"/>
      <c r="I751" s="52"/>
      <c r="J751" s="64"/>
      <c r="K751" s="50"/>
      <c r="L751" s="52">
        <f>SUM(BO721:BO726)</f>
        <v>0</v>
      </c>
    </row>
    <row r="752" spans="1:12" ht="15" x14ac:dyDescent="0.2">
      <c r="A752" s="67"/>
      <c r="B752" s="68"/>
      <c r="C752" s="129" t="s">
        <v>790</v>
      </c>
      <c r="D752" s="129"/>
      <c r="E752" s="129"/>
      <c r="F752" s="129"/>
      <c r="G752" s="129"/>
      <c r="H752" s="129"/>
      <c r="I752" s="55"/>
      <c r="J752" s="67"/>
      <c r="K752" s="69"/>
      <c r="L752" s="55">
        <f>L728+L743+L744+L745+L750+L751</f>
        <v>2572.6799999999998</v>
      </c>
    </row>
    <row r="753" spans="1:12" ht="14.25" hidden="1" x14ac:dyDescent="0.2">
      <c r="A753" s="64"/>
      <c r="B753" s="66"/>
      <c r="C753" s="130" t="s">
        <v>791</v>
      </c>
      <c r="D753" s="131"/>
      <c r="E753" s="131"/>
      <c r="F753" s="131"/>
      <c r="G753" s="131"/>
      <c r="H753" s="131"/>
      <c r="I753" s="52"/>
      <c r="J753" s="64"/>
      <c r="K753" s="50"/>
      <c r="L753" s="52"/>
    </row>
    <row r="754" spans="1:12" ht="14.25" hidden="1" x14ac:dyDescent="0.2">
      <c r="A754" s="64"/>
      <c r="B754" s="66"/>
      <c r="C754" s="131" t="s">
        <v>792</v>
      </c>
      <c r="D754" s="131"/>
      <c r="E754" s="131"/>
      <c r="F754" s="131"/>
      <c r="G754" s="131"/>
      <c r="H754" s="131"/>
      <c r="I754" s="52"/>
      <c r="J754" s="64"/>
      <c r="K754" s="50"/>
      <c r="L754" s="52">
        <f>SUM(AX721:AX726)</f>
        <v>0</v>
      </c>
    </row>
    <row r="755" spans="1:12" ht="14.25" hidden="1" x14ac:dyDescent="0.2">
      <c r="A755" s="64"/>
      <c r="B755" s="66"/>
      <c r="C755" s="131" t="s">
        <v>793</v>
      </c>
      <c r="D755" s="131"/>
      <c r="E755" s="131"/>
      <c r="F755" s="131"/>
      <c r="G755" s="131"/>
      <c r="H755" s="131"/>
      <c r="I755" s="52"/>
      <c r="J755" s="64"/>
      <c r="K755" s="50"/>
      <c r="L755" s="52">
        <f>SUM(AY721:AY726)</f>
        <v>0</v>
      </c>
    </row>
    <row r="756" spans="1:12" ht="14.25" hidden="1" customHeight="1" x14ac:dyDescent="0.2">
      <c r="A756" s="64"/>
      <c r="B756" s="66"/>
      <c r="C756" s="131" t="s">
        <v>794</v>
      </c>
      <c r="D756" s="131"/>
      <c r="E756" s="131"/>
      <c r="F756" s="132"/>
      <c r="G756" s="54">
        <f>Source!F265</f>
        <v>0</v>
      </c>
      <c r="H756" s="64"/>
      <c r="I756" s="64"/>
      <c r="J756" s="64"/>
      <c r="K756" s="64"/>
      <c r="L756" s="64"/>
    </row>
    <row r="757" spans="1:12" ht="14.25" hidden="1" customHeight="1" x14ac:dyDescent="0.2">
      <c r="A757" s="64"/>
      <c r="B757" s="66"/>
      <c r="C757" s="131" t="s">
        <v>795</v>
      </c>
      <c r="D757" s="131"/>
      <c r="E757" s="131"/>
      <c r="F757" s="132"/>
      <c r="G757" s="54">
        <f>Source!F266</f>
        <v>0</v>
      </c>
      <c r="H757" s="64"/>
      <c r="I757" s="64"/>
      <c r="J757" s="64"/>
      <c r="K757" s="64"/>
      <c r="L757" s="64"/>
    </row>
    <row r="760" spans="1:12" ht="15" x14ac:dyDescent="0.2">
      <c r="A760" s="67"/>
      <c r="B760" s="68"/>
      <c r="C760" s="129" t="s">
        <v>771</v>
      </c>
      <c r="D760" s="129"/>
      <c r="E760" s="129"/>
      <c r="F760" s="129"/>
      <c r="G760" s="129"/>
      <c r="H760" s="129"/>
      <c r="I760" s="55"/>
      <c r="J760" s="67"/>
      <c r="K760" s="69"/>
      <c r="L760" s="55">
        <f>L762+L763+L769+L773</f>
        <v>96311.539999999979</v>
      </c>
    </row>
    <row r="761" spans="1:12" ht="14.25" x14ac:dyDescent="0.2">
      <c r="A761" s="64"/>
      <c r="B761" s="66"/>
      <c r="C761" s="130" t="s">
        <v>772</v>
      </c>
      <c r="D761" s="131"/>
      <c r="E761" s="131"/>
      <c r="F761" s="131"/>
      <c r="G761" s="131"/>
      <c r="H761" s="131"/>
      <c r="I761" s="52"/>
      <c r="J761" s="64"/>
      <c r="K761" s="50"/>
      <c r="L761" s="52"/>
    </row>
    <row r="762" spans="1:12" ht="14.25" x14ac:dyDescent="0.2">
      <c r="A762" s="64"/>
      <c r="B762" s="66"/>
      <c r="C762" s="131" t="s">
        <v>773</v>
      </c>
      <c r="D762" s="131"/>
      <c r="E762" s="131"/>
      <c r="F762" s="131"/>
      <c r="G762" s="131"/>
      <c r="H762" s="131"/>
      <c r="I762" s="52"/>
      <c r="J762" s="64"/>
      <c r="K762" s="50"/>
      <c r="L762" s="52">
        <f>SUM(AR280:AR758)</f>
        <v>52195.200000000004</v>
      </c>
    </row>
    <row r="763" spans="1:12" ht="14.25" hidden="1" x14ac:dyDescent="0.2">
      <c r="A763" s="64"/>
      <c r="B763" s="66"/>
      <c r="C763" s="131" t="s">
        <v>774</v>
      </c>
      <c r="D763" s="131"/>
      <c r="E763" s="131"/>
      <c r="F763" s="131"/>
      <c r="G763" s="131"/>
      <c r="H763" s="131"/>
      <c r="I763" s="52"/>
      <c r="J763" s="64"/>
      <c r="K763" s="50"/>
      <c r="L763" s="52">
        <f>L765+L768+L767</f>
        <v>825.26000000000022</v>
      </c>
    </row>
    <row r="764" spans="1:12" ht="14.25" hidden="1" x14ac:dyDescent="0.2">
      <c r="A764" s="64"/>
      <c r="B764" s="66"/>
      <c r="C764" s="130" t="s">
        <v>775</v>
      </c>
      <c r="D764" s="131"/>
      <c r="E764" s="131"/>
      <c r="F764" s="131"/>
      <c r="G764" s="131"/>
      <c r="H764" s="131"/>
      <c r="I764" s="52"/>
      <c r="J764" s="64"/>
      <c r="K764" s="50"/>
      <c r="L764" s="52"/>
    </row>
    <row r="765" spans="1:12" ht="14.25" x14ac:dyDescent="0.2">
      <c r="A765" s="64"/>
      <c r="B765" s="66"/>
      <c r="C765" s="131" t="s">
        <v>774</v>
      </c>
      <c r="D765" s="131"/>
      <c r="E765" s="131"/>
      <c r="F765" s="131"/>
      <c r="G765" s="131"/>
      <c r="H765" s="131"/>
      <c r="I765" s="52"/>
      <c r="J765" s="64"/>
      <c r="K765" s="50"/>
      <c r="L765" s="52">
        <f>SUM(AO280:AO758)</f>
        <v>473.93000000000012</v>
      </c>
    </row>
    <row r="766" spans="1:12" ht="14.25" hidden="1" x14ac:dyDescent="0.2">
      <c r="A766" s="64"/>
      <c r="B766" s="66"/>
      <c r="C766" s="130" t="s">
        <v>776</v>
      </c>
      <c r="D766" s="131"/>
      <c r="E766" s="131"/>
      <c r="F766" s="131"/>
      <c r="G766" s="131"/>
      <c r="H766" s="131"/>
      <c r="I766" s="52"/>
      <c r="J766" s="64"/>
      <c r="K766" s="50"/>
      <c r="L766" s="52"/>
    </row>
    <row r="767" spans="1:12" ht="14.25" x14ac:dyDescent="0.2">
      <c r="A767" s="64"/>
      <c r="B767" s="66"/>
      <c r="C767" s="131" t="s">
        <v>796</v>
      </c>
      <c r="D767" s="131"/>
      <c r="E767" s="131"/>
      <c r="F767" s="131"/>
      <c r="G767" s="131"/>
      <c r="H767" s="131"/>
      <c r="I767" s="52"/>
      <c r="J767" s="64"/>
      <c r="K767" s="50"/>
      <c r="L767" s="52">
        <f>SUM(AT280:AT758)</f>
        <v>351.33000000000004</v>
      </c>
    </row>
    <row r="768" spans="1:12" ht="14.25" hidden="1" x14ac:dyDescent="0.2">
      <c r="A768" s="64"/>
      <c r="B768" s="66"/>
      <c r="C768" s="131" t="s">
        <v>777</v>
      </c>
      <c r="D768" s="131"/>
      <c r="E768" s="131"/>
      <c r="F768" s="131"/>
      <c r="G768" s="131"/>
      <c r="H768" s="131"/>
      <c r="I768" s="52"/>
      <c r="J768" s="64"/>
      <c r="K768" s="50"/>
      <c r="L768" s="52">
        <f>SUM(AV280:AV758)</f>
        <v>0</v>
      </c>
    </row>
    <row r="769" spans="1:12" ht="14.25" x14ac:dyDescent="0.2">
      <c r="A769" s="64"/>
      <c r="B769" s="66"/>
      <c r="C769" s="131" t="s">
        <v>778</v>
      </c>
      <c r="D769" s="131"/>
      <c r="E769" s="131"/>
      <c r="F769" s="131"/>
      <c r="G769" s="131"/>
      <c r="H769" s="131"/>
      <c r="I769" s="52"/>
      <c r="J769" s="64"/>
      <c r="K769" s="50"/>
      <c r="L769" s="52">
        <f>L771+L772</f>
        <v>40718.399999999987</v>
      </c>
    </row>
    <row r="770" spans="1:12" ht="14.25" x14ac:dyDescent="0.2">
      <c r="A770" s="64"/>
      <c r="B770" s="66"/>
      <c r="C770" s="130" t="s">
        <v>775</v>
      </c>
      <c r="D770" s="131"/>
      <c r="E770" s="131"/>
      <c r="F770" s="131"/>
      <c r="G770" s="131"/>
      <c r="H770" s="131"/>
      <c r="I770" s="52"/>
      <c r="J770" s="64"/>
      <c r="K770" s="50"/>
      <c r="L770" s="52"/>
    </row>
    <row r="771" spans="1:12" ht="14.25" x14ac:dyDescent="0.2">
      <c r="A771" s="64"/>
      <c r="B771" s="66"/>
      <c r="C771" s="131" t="s">
        <v>779</v>
      </c>
      <c r="D771" s="131"/>
      <c r="E771" s="131"/>
      <c r="F771" s="131"/>
      <c r="G771" s="131"/>
      <c r="H771" s="131"/>
      <c r="I771" s="52"/>
      <c r="J771" s="64"/>
      <c r="K771" s="50"/>
      <c r="L771" s="52">
        <f>SUM(AW280:AW758)-SUM(BK280:BK758)</f>
        <v>40718.399999999987</v>
      </c>
    </row>
    <row r="772" spans="1:12" ht="14.25" hidden="1" x14ac:dyDescent="0.2">
      <c r="A772" s="64"/>
      <c r="B772" s="66"/>
      <c r="C772" s="131" t="s">
        <v>780</v>
      </c>
      <c r="D772" s="131"/>
      <c r="E772" s="131"/>
      <c r="F772" s="131"/>
      <c r="G772" s="131"/>
      <c r="H772" s="131"/>
      <c r="I772" s="52"/>
      <c r="J772" s="64"/>
      <c r="K772" s="50"/>
      <c r="L772" s="52">
        <f>SUM(BC280:BC758)</f>
        <v>0</v>
      </c>
    </row>
    <row r="773" spans="1:12" ht="14.25" x14ac:dyDescent="0.2">
      <c r="A773" s="64"/>
      <c r="B773" s="66"/>
      <c r="C773" s="131" t="s">
        <v>781</v>
      </c>
      <c r="D773" s="131"/>
      <c r="E773" s="131"/>
      <c r="F773" s="131"/>
      <c r="G773" s="131"/>
      <c r="H773" s="131"/>
      <c r="I773" s="52"/>
      <c r="J773" s="64"/>
      <c r="K773" s="50"/>
      <c r="L773" s="52">
        <f>SUM(BB280:BB758)</f>
        <v>2572.6799999999998</v>
      </c>
    </row>
    <row r="774" spans="1:12" ht="14.25" x14ac:dyDescent="0.2">
      <c r="A774" s="64"/>
      <c r="B774" s="66"/>
      <c r="C774" s="131" t="s">
        <v>782</v>
      </c>
      <c r="D774" s="131"/>
      <c r="E774" s="131"/>
      <c r="F774" s="131"/>
      <c r="G774" s="131"/>
      <c r="H774" s="131"/>
      <c r="I774" s="52"/>
      <c r="J774" s="64"/>
      <c r="K774" s="50"/>
      <c r="L774" s="52">
        <f>SUM(AR280:AR758)+SUM(AT280:AT758)+SUM(AV280:AV758)</f>
        <v>52546.530000000006</v>
      </c>
    </row>
    <row r="775" spans="1:12" ht="14.25" x14ac:dyDescent="0.2">
      <c r="A775" s="64"/>
      <c r="B775" s="66"/>
      <c r="C775" s="131" t="s">
        <v>783</v>
      </c>
      <c r="D775" s="131"/>
      <c r="E775" s="131"/>
      <c r="F775" s="131"/>
      <c r="G775" s="131"/>
      <c r="H775" s="131"/>
      <c r="I775" s="52"/>
      <c r="J775" s="64"/>
      <c r="K775" s="50"/>
      <c r="L775" s="52">
        <f>SUM(AZ280:AZ758)</f>
        <v>50933.310000000012</v>
      </c>
    </row>
    <row r="776" spans="1:12" ht="14.25" x14ac:dyDescent="0.2">
      <c r="A776" s="64"/>
      <c r="B776" s="66"/>
      <c r="C776" s="131" t="s">
        <v>784</v>
      </c>
      <c r="D776" s="131"/>
      <c r="E776" s="131"/>
      <c r="F776" s="131"/>
      <c r="G776" s="131"/>
      <c r="H776" s="131"/>
      <c r="I776" s="52"/>
      <c r="J776" s="64"/>
      <c r="K776" s="50"/>
      <c r="L776" s="52">
        <f>SUM(BA280:BA758)</f>
        <v>27370.519999999997</v>
      </c>
    </row>
    <row r="777" spans="1:12" ht="14.25" hidden="1" x14ac:dyDescent="0.2">
      <c r="A777" s="64"/>
      <c r="B777" s="66"/>
      <c r="C777" s="131" t="s">
        <v>785</v>
      </c>
      <c r="D777" s="131"/>
      <c r="E777" s="131"/>
      <c r="F777" s="131"/>
      <c r="G777" s="131"/>
      <c r="H777" s="131"/>
      <c r="I777" s="52"/>
      <c r="J777" s="64"/>
      <c r="K777" s="50"/>
      <c r="L777" s="52">
        <f>L779+L780</f>
        <v>0</v>
      </c>
    </row>
    <row r="778" spans="1:12" ht="14.25" hidden="1" x14ac:dyDescent="0.2">
      <c r="A778" s="64"/>
      <c r="B778" s="66"/>
      <c r="C778" s="130" t="s">
        <v>772</v>
      </c>
      <c r="D778" s="131"/>
      <c r="E778" s="131"/>
      <c r="F778" s="131"/>
      <c r="G778" s="131"/>
      <c r="H778" s="131"/>
      <c r="I778" s="52"/>
      <c r="J778" s="64"/>
      <c r="K778" s="50"/>
      <c r="L778" s="52"/>
    </row>
    <row r="779" spans="1:12" ht="14.25" hidden="1" x14ac:dyDescent="0.2">
      <c r="A779" s="64"/>
      <c r="B779" s="66"/>
      <c r="C779" s="131" t="s">
        <v>786</v>
      </c>
      <c r="D779" s="131"/>
      <c r="E779" s="131"/>
      <c r="F779" s="131"/>
      <c r="G779" s="131"/>
      <c r="H779" s="131"/>
      <c r="I779" s="52"/>
      <c r="J779" s="64"/>
      <c r="K779" s="50"/>
      <c r="L779" s="52">
        <f>SUM(BK280:BK758)</f>
        <v>0</v>
      </c>
    </row>
    <row r="780" spans="1:12" ht="14.25" hidden="1" x14ac:dyDescent="0.2">
      <c r="A780" s="64"/>
      <c r="B780" s="66"/>
      <c r="C780" s="131" t="s">
        <v>787</v>
      </c>
      <c r="D780" s="131"/>
      <c r="E780" s="131"/>
      <c r="F780" s="131"/>
      <c r="G780" s="131"/>
      <c r="H780" s="131"/>
      <c r="I780" s="52"/>
      <c r="J780" s="64"/>
      <c r="K780" s="50"/>
      <c r="L780" s="52">
        <f>SUM(BD280:BD758)</f>
        <v>0</v>
      </c>
    </row>
    <row r="781" spans="1:12" ht="14.25" hidden="1" x14ac:dyDescent="0.2">
      <c r="A781" s="64"/>
      <c r="B781" s="66"/>
      <c r="C781" s="131" t="s">
        <v>788</v>
      </c>
      <c r="D781" s="131"/>
      <c r="E781" s="131"/>
      <c r="F781" s="131"/>
      <c r="G781" s="131"/>
      <c r="H781" s="131"/>
      <c r="I781" s="52"/>
      <c r="J781" s="64"/>
      <c r="K781" s="50"/>
      <c r="L781" s="52"/>
    </row>
    <row r="782" spans="1:12" ht="14.25" hidden="1" x14ac:dyDescent="0.2">
      <c r="A782" s="64"/>
      <c r="B782" s="66"/>
      <c r="C782" s="131" t="s">
        <v>788</v>
      </c>
      <c r="D782" s="131"/>
      <c r="E782" s="131"/>
      <c r="F782" s="131"/>
      <c r="G782" s="131"/>
      <c r="H782" s="131"/>
      <c r="I782" s="52"/>
      <c r="J782" s="64"/>
      <c r="K782" s="50"/>
      <c r="L782" s="52">
        <f>SUM(BQ280:BQ758)</f>
        <v>0</v>
      </c>
    </row>
    <row r="783" spans="1:12" ht="14.25" hidden="1" x14ac:dyDescent="0.2">
      <c r="A783" s="64"/>
      <c r="B783" s="66"/>
      <c r="C783" s="131" t="s">
        <v>789</v>
      </c>
      <c r="D783" s="131"/>
      <c r="E783" s="131"/>
      <c r="F783" s="131"/>
      <c r="G783" s="131"/>
      <c r="H783" s="131"/>
      <c r="I783" s="52"/>
      <c r="J783" s="64"/>
      <c r="K783" s="50"/>
      <c r="L783" s="52">
        <f>SUM(BO280:BO758)</f>
        <v>0</v>
      </c>
    </row>
    <row r="784" spans="1:12" ht="15" x14ac:dyDescent="0.2">
      <c r="A784" s="67"/>
      <c r="B784" s="68"/>
      <c r="C784" s="129" t="s">
        <v>790</v>
      </c>
      <c r="D784" s="129"/>
      <c r="E784" s="129"/>
      <c r="F784" s="129"/>
      <c r="G784" s="129"/>
      <c r="H784" s="129"/>
      <c r="I784" s="55"/>
      <c r="J784" s="67"/>
      <c r="K784" s="69"/>
      <c r="L784" s="55">
        <f>L760+L775+L776+L777+L782+L783</f>
        <v>174615.36999999997</v>
      </c>
    </row>
    <row r="785" spans="1:82" ht="14.25" x14ac:dyDescent="0.2">
      <c r="A785" s="64"/>
      <c r="B785" s="66"/>
      <c r="C785" s="130" t="s">
        <v>791</v>
      </c>
      <c r="D785" s="131"/>
      <c r="E785" s="131"/>
      <c r="F785" s="131"/>
      <c r="G785" s="131"/>
      <c r="H785" s="131"/>
      <c r="I785" s="52"/>
      <c r="J785" s="64"/>
      <c r="K785" s="50"/>
      <c r="L785" s="52"/>
    </row>
    <row r="786" spans="1:82" ht="14.25" hidden="1" x14ac:dyDescent="0.2">
      <c r="A786" s="64"/>
      <c r="B786" s="66"/>
      <c r="C786" s="131" t="s">
        <v>792</v>
      </c>
      <c r="D786" s="131"/>
      <c r="E786" s="131"/>
      <c r="F786" s="131"/>
      <c r="G786" s="131"/>
      <c r="H786" s="131"/>
      <c r="I786" s="52"/>
      <c r="J786" s="64"/>
      <c r="K786" s="50"/>
      <c r="L786" s="52">
        <f>SUM(AX280:AX758)</f>
        <v>0</v>
      </c>
    </row>
    <row r="787" spans="1:82" ht="14.25" hidden="1" x14ac:dyDescent="0.2">
      <c r="A787" s="64"/>
      <c r="B787" s="66"/>
      <c r="C787" s="131" t="s">
        <v>793</v>
      </c>
      <c r="D787" s="131"/>
      <c r="E787" s="131"/>
      <c r="F787" s="131"/>
      <c r="G787" s="131"/>
      <c r="H787" s="131"/>
      <c r="I787" s="52"/>
      <c r="J787" s="64"/>
      <c r="K787" s="50"/>
      <c r="L787" s="52">
        <f>SUM(AY280:AY758)</f>
        <v>0</v>
      </c>
    </row>
    <row r="788" spans="1:82" ht="14.25" x14ac:dyDescent="0.2">
      <c r="A788" s="64"/>
      <c r="B788" s="66"/>
      <c r="C788" s="131" t="s">
        <v>794</v>
      </c>
      <c r="D788" s="131"/>
      <c r="E788" s="131"/>
      <c r="F788" s="132"/>
      <c r="G788" s="54">
        <f>Source!F295</f>
        <v>78.8871556</v>
      </c>
      <c r="H788" s="64"/>
      <c r="I788" s="64"/>
      <c r="J788" s="64"/>
      <c r="K788" s="64"/>
      <c r="L788" s="64"/>
    </row>
    <row r="789" spans="1:82" ht="14.25" x14ac:dyDescent="0.2">
      <c r="A789" s="64"/>
      <c r="B789" s="66"/>
      <c r="C789" s="131" t="s">
        <v>795</v>
      </c>
      <c r="D789" s="131"/>
      <c r="E789" s="131"/>
      <c r="F789" s="132"/>
      <c r="G789" s="54">
        <f>Source!F296</f>
        <v>0.50955320000000004</v>
      </c>
      <c r="H789" s="64"/>
      <c r="I789" s="64"/>
      <c r="J789" s="64"/>
      <c r="K789" s="64"/>
      <c r="L789" s="64"/>
    </row>
    <row r="792" spans="1:82" ht="16.5" x14ac:dyDescent="0.2">
      <c r="A792" s="123" t="s">
        <v>834</v>
      </c>
      <c r="B792" s="123"/>
      <c r="C792" s="123"/>
      <c r="D792" s="123"/>
      <c r="E792" s="123"/>
      <c r="F792" s="123"/>
      <c r="G792" s="123"/>
      <c r="H792" s="123"/>
      <c r="I792" s="123"/>
      <c r="J792" s="123"/>
      <c r="K792" s="123"/>
      <c r="L792" s="123"/>
    </row>
    <row r="793" spans="1:82" ht="28.5" x14ac:dyDescent="0.2">
      <c r="A793" s="46" t="s">
        <v>284</v>
      </c>
      <c r="B793" s="48" t="s">
        <v>835</v>
      </c>
      <c r="C793" s="48" t="str">
        <f>Source!G307</f>
        <v>Разборка плинтусов: деревянных и из пластмассовых материалов</v>
      </c>
      <c r="D793" s="49" t="str">
        <f>Source!H307</f>
        <v>100 м</v>
      </c>
      <c r="E793" s="50">
        <f>Source!K307</f>
        <v>0.21</v>
      </c>
      <c r="F793" s="50"/>
      <c r="G793" s="50">
        <f>Source!I307</f>
        <v>0.21</v>
      </c>
      <c r="H793" s="52"/>
      <c r="I793" s="51"/>
      <c r="J793" s="52"/>
      <c r="K793" s="51"/>
      <c r="L793" s="52"/>
    </row>
    <row r="794" spans="1:82" x14ac:dyDescent="0.2">
      <c r="C794" s="53" t="str">
        <f>"Объем: "&amp;Source!I307&amp;"=21/"&amp;"100"</f>
        <v>Объем: 0,21=21/100</v>
      </c>
    </row>
    <row r="795" spans="1:82" ht="15" x14ac:dyDescent="0.2">
      <c r="A795" s="47"/>
      <c r="B795" s="50">
        <v>1</v>
      </c>
      <c r="C795" s="47" t="s">
        <v>730</v>
      </c>
      <c r="D795" s="49" t="s">
        <v>428</v>
      </c>
      <c r="E795" s="54"/>
      <c r="F795" s="50"/>
      <c r="G795" s="50">
        <f>Source!U307</f>
        <v>0.79169999999999996</v>
      </c>
      <c r="H795" s="50"/>
      <c r="I795" s="50"/>
      <c r="J795" s="50"/>
      <c r="K795" s="50"/>
      <c r="L795" s="55">
        <f>SUM(L796:L796)-SUMIF(CE796:CE796, 1, L796:L796)</f>
        <v>470.81</v>
      </c>
    </row>
    <row r="796" spans="1:82" ht="14.25" x14ac:dyDescent="0.2">
      <c r="A796" s="48"/>
      <c r="B796" s="48" t="s">
        <v>576</v>
      </c>
      <c r="C796" s="56" t="s">
        <v>577</v>
      </c>
      <c r="D796" s="57" t="s">
        <v>428</v>
      </c>
      <c r="E796" s="58">
        <v>3.77</v>
      </c>
      <c r="F796" s="58"/>
      <c r="G796" s="58">
        <f>SmtRes!CX212</f>
        <v>0.79169999999999996</v>
      </c>
      <c r="H796" s="59"/>
      <c r="I796" s="60"/>
      <c r="J796" s="59">
        <f>SmtRes!CZ212</f>
        <v>594.67999999999995</v>
      </c>
      <c r="K796" s="60"/>
      <c r="L796" s="59">
        <f>SmtRes!DI212</f>
        <v>470.81</v>
      </c>
    </row>
    <row r="797" spans="1:82" ht="15" x14ac:dyDescent="0.2">
      <c r="A797" s="48"/>
      <c r="B797" s="48"/>
      <c r="C797" s="63" t="s">
        <v>734</v>
      </c>
      <c r="D797" s="49"/>
      <c r="E797" s="50"/>
      <c r="F797" s="50"/>
      <c r="G797" s="50"/>
      <c r="H797" s="52"/>
      <c r="I797" s="51"/>
      <c r="J797" s="52"/>
      <c r="K797" s="51"/>
      <c r="L797" s="52">
        <f>L795</f>
        <v>470.81</v>
      </c>
    </row>
    <row r="798" spans="1:82" ht="14.25" x14ac:dyDescent="0.2">
      <c r="A798" s="46" t="s">
        <v>836</v>
      </c>
      <c r="B798" s="48" t="str">
        <f>Source!F308</f>
        <v>999-9900</v>
      </c>
      <c r="C798" s="48" t="str">
        <f>Source!G308</f>
        <v>Строительный мусор</v>
      </c>
      <c r="D798" s="49" t="str">
        <f>Source!H308</f>
        <v>т</v>
      </c>
      <c r="E798" s="50">
        <f>SmtRes!AT213</f>
        <v>0.11</v>
      </c>
      <c r="F798" s="50"/>
      <c r="G798" s="50">
        <f>Source!I308</f>
        <v>2.3099999999999999E-2</v>
      </c>
      <c r="H798" s="52">
        <f>Source!AL308+Source!AO308+Source!AM308+Source!AN308</f>
        <v>0</v>
      </c>
      <c r="I798" s="51"/>
      <c r="J798" s="52"/>
      <c r="K798" s="51"/>
      <c r="L798" s="52">
        <f>Source!P308</f>
        <v>0</v>
      </c>
      <c r="AD798">
        <f>ROUND((Source!AT308/100)*((ROUND(ROUND(Source!AO308,2)*Source!I308, 2)+ROUND(ROUND(Source!AN308,2)*Source!I308, 2))), 2)</f>
        <v>0</v>
      </c>
      <c r="AE798">
        <f>ROUND((Source!AU308/100)*((ROUND(ROUND(Source!AO308,2)*Source!I308, 2)+ROUND(ROUND(Source!AN308,2)*Source!I308, 2))), 2)</f>
        <v>0</v>
      </c>
      <c r="AN798">
        <f>L798</f>
        <v>0</v>
      </c>
      <c r="AW798">
        <f>L798</f>
        <v>0</v>
      </c>
      <c r="AZ798">
        <f>Source!X308</f>
        <v>0</v>
      </c>
      <c r="BA798">
        <f>Source!Y308</f>
        <v>0</v>
      </c>
      <c r="CD798">
        <v>1</v>
      </c>
    </row>
    <row r="799" spans="1:82" ht="14.25" x14ac:dyDescent="0.2">
      <c r="A799" s="48"/>
      <c r="B799" s="48"/>
      <c r="C799" s="48" t="s">
        <v>735</v>
      </c>
      <c r="D799" s="49"/>
      <c r="E799" s="50"/>
      <c r="F799" s="50"/>
      <c r="G799" s="50"/>
      <c r="H799" s="52"/>
      <c r="I799" s="51"/>
      <c r="J799" s="52"/>
      <c r="K799" s="51"/>
      <c r="L799" s="52">
        <f>SUM(AR793:AR802)+SUM(AS793:AS802)+SUM(AT793:AT802)+SUM(AU793:AU802)+SUM(AV793:AV802)</f>
        <v>470.81</v>
      </c>
    </row>
    <row r="800" spans="1:82" ht="14.25" x14ac:dyDescent="0.2">
      <c r="A800" s="48"/>
      <c r="B800" s="48" t="s">
        <v>25</v>
      </c>
      <c r="C800" s="48" t="s">
        <v>736</v>
      </c>
      <c r="D800" s="49" t="s">
        <v>737</v>
      </c>
      <c r="E800" s="50">
        <f>Source!BZ307</f>
        <v>89</v>
      </c>
      <c r="F800" s="50"/>
      <c r="G800" s="50">
        <f>Source!AT307</f>
        <v>89</v>
      </c>
      <c r="H800" s="52"/>
      <c r="I800" s="51"/>
      <c r="J800" s="52"/>
      <c r="K800" s="51"/>
      <c r="L800" s="52">
        <f>SUM(AZ793:AZ802)</f>
        <v>419.02</v>
      </c>
    </row>
    <row r="801" spans="1:101" ht="14.25" x14ac:dyDescent="0.2">
      <c r="A801" s="56"/>
      <c r="B801" s="56" t="s">
        <v>26</v>
      </c>
      <c r="C801" s="56" t="s">
        <v>738</v>
      </c>
      <c r="D801" s="57" t="s">
        <v>737</v>
      </c>
      <c r="E801" s="58">
        <f>Source!CA307</f>
        <v>49</v>
      </c>
      <c r="F801" s="58"/>
      <c r="G801" s="58">
        <f>Source!AU307</f>
        <v>49</v>
      </c>
      <c r="H801" s="59"/>
      <c r="I801" s="60"/>
      <c r="J801" s="59"/>
      <c r="K801" s="60"/>
      <c r="L801" s="59">
        <f>SUM(BA793:BA802)</f>
        <v>230.7</v>
      </c>
    </row>
    <row r="802" spans="1:101" ht="15" x14ac:dyDescent="0.2">
      <c r="C802" s="124" t="s">
        <v>739</v>
      </c>
      <c r="D802" s="124"/>
      <c r="E802" s="124"/>
      <c r="F802" s="124"/>
      <c r="G802" s="124"/>
      <c r="H802" s="124"/>
      <c r="I802" s="125">
        <f>IF(E793&lt;&gt;0,K802/E793, 0)</f>
        <v>5335.8571428571431</v>
      </c>
      <c r="J802" s="125"/>
      <c r="K802" s="125">
        <f>L795+L800+L801+SUM(L798:L798)</f>
        <v>1120.53</v>
      </c>
      <c r="L802" s="125"/>
      <c r="AD802">
        <f>ROUND((Source!AT307/100)*((ROUND(SUMIF(SmtRes!AQ212:'SmtRes'!AQ213,"=1",SmtRes!AD212:'SmtRes'!AD213)*Source!I307, 2)+ROUND(SUMIF(SmtRes!AQ212:'SmtRes'!AQ213,"=1",SmtRes!AC212:'SmtRes'!AC213)*Source!I307, 2))), 2)</f>
        <v>111.14</v>
      </c>
      <c r="AE802">
        <f>ROUND((Source!AU307/100)*((ROUND(SUMIF(SmtRes!AQ212:'SmtRes'!AQ213,"=1",SmtRes!AD212:'SmtRes'!AD213)*Source!I307, 2)+ROUND(SUMIF(SmtRes!AQ212:'SmtRes'!AQ213,"=1",SmtRes!AC212:'SmtRes'!AC213)*Source!I307, 2))), 2)</f>
        <v>61.19</v>
      </c>
      <c r="AN802" s="61">
        <f>L795+L800+L801</f>
        <v>1120.53</v>
      </c>
      <c r="AO802">
        <f>0</f>
        <v>0</v>
      </c>
      <c r="AQ802" t="s">
        <v>740</v>
      </c>
      <c r="AR802" s="61">
        <f>L795</f>
        <v>470.81</v>
      </c>
      <c r="AT802">
        <f>0</f>
        <v>0</v>
      </c>
      <c r="AV802" t="s">
        <v>740</v>
      </c>
      <c r="AW802">
        <f>0</f>
        <v>0</v>
      </c>
      <c r="AZ802">
        <f>Source!X307</f>
        <v>419.02</v>
      </c>
      <c r="BA802">
        <f>Source!Y307</f>
        <v>230.7</v>
      </c>
      <c r="CD802">
        <v>1</v>
      </c>
    </row>
    <row r="803" spans="1:101" ht="28.5" x14ac:dyDescent="0.2">
      <c r="A803" s="46" t="s">
        <v>289</v>
      </c>
      <c r="B803" s="48" t="s">
        <v>837</v>
      </c>
      <c r="C803" s="48" t="str">
        <f>Source!G309</f>
        <v>Разборка оснований покрытия полов: дощатых оснований щитового паркета</v>
      </c>
      <c r="D803" s="49" t="str">
        <f>Source!H309</f>
        <v>100 м2</v>
      </c>
      <c r="E803" s="50">
        <f>Source!K309</f>
        <v>0.3</v>
      </c>
      <c r="F803" s="50"/>
      <c r="G803" s="50">
        <f>Source!I309</f>
        <v>0.3</v>
      </c>
      <c r="H803" s="52"/>
      <c r="I803" s="51"/>
      <c r="J803" s="52"/>
      <c r="K803" s="51"/>
      <c r="L803" s="52"/>
    </row>
    <row r="804" spans="1:101" x14ac:dyDescent="0.2">
      <c r="C804" s="53" t="str">
        <f>"Объем: "&amp;Source!I309&amp;"=30/"&amp;"100"</f>
        <v>Объем: 0,3=30/100</v>
      </c>
    </row>
    <row r="805" spans="1:101" ht="15" x14ac:dyDescent="0.2">
      <c r="A805" s="47"/>
      <c r="B805" s="50">
        <v>1</v>
      </c>
      <c r="C805" s="47" t="s">
        <v>730</v>
      </c>
      <c r="D805" s="49" t="s">
        <v>428</v>
      </c>
      <c r="E805" s="54"/>
      <c r="F805" s="50"/>
      <c r="G805" s="50">
        <f>Source!U309</f>
        <v>4.47</v>
      </c>
      <c r="H805" s="50"/>
      <c r="I805" s="50"/>
      <c r="J805" s="50"/>
      <c r="K805" s="50"/>
      <c r="L805" s="55">
        <f>SUM(L806:L806)-SUMIF(CE806:CE806, 1, L806:L806)</f>
        <v>2658.22</v>
      </c>
    </row>
    <row r="806" spans="1:101" ht="14.25" x14ac:dyDescent="0.2">
      <c r="A806" s="48"/>
      <c r="B806" s="48" t="s">
        <v>576</v>
      </c>
      <c r="C806" s="56" t="s">
        <v>577</v>
      </c>
      <c r="D806" s="57" t="s">
        <v>428</v>
      </c>
      <c r="E806" s="58">
        <v>14.9</v>
      </c>
      <c r="F806" s="58"/>
      <c r="G806" s="58">
        <f>SmtRes!CX214</f>
        <v>4.47</v>
      </c>
      <c r="H806" s="59"/>
      <c r="I806" s="60"/>
      <c r="J806" s="59">
        <f>SmtRes!CZ214</f>
        <v>594.67999999999995</v>
      </c>
      <c r="K806" s="60"/>
      <c r="L806" s="59">
        <f>SmtRes!DI214</f>
        <v>2658.22</v>
      </c>
    </row>
    <row r="807" spans="1:101" ht="15" x14ac:dyDescent="0.2">
      <c r="A807" s="48"/>
      <c r="B807" s="48"/>
      <c r="C807" s="63" t="s">
        <v>734</v>
      </c>
      <c r="D807" s="49"/>
      <c r="E807" s="50"/>
      <c r="F807" s="50"/>
      <c r="G807" s="50"/>
      <c r="H807" s="52"/>
      <c r="I807" s="51"/>
      <c r="J807" s="52"/>
      <c r="K807" s="51"/>
      <c r="L807" s="52">
        <f>L805</f>
        <v>2658.22</v>
      </c>
    </row>
    <row r="808" spans="1:101" ht="14.25" x14ac:dyDescent="0.2">
      <c r="A808" s="46" t="s">
        <v>838</v>
      </c>
      <c r="B808" s="48" t="str">
        <f>Source!F310</f>
        <v>999-9900</v>
      </c>
      <c r="C808" s="48" t="str">
        <f>Source!G310</f>
        <v>Строительный мусор</v>
      </c>
      <c r="D808" s="49" t="str">
        <f>Source!H310</f>
        <v>т</v>
      </c>
      <c r="E808" s="50">
        <f>SmtRes!AT215</f>
        <v>1.92</v>
      </c>
      <c r="F808" s="50"/>
      <c r="G808" s="50">
        <f>Source!I310</f>
        <v>0.57599999999999996</v>
      </c>
      <c r="H808" s="52">
        <f>Source!AL310+Source!AO310+Source!AM310+Source!AN310</f>
        <v>0</v>
      </c>
      <c r="I808" s="51"/>
      <c r="J808" s="52"/>
      <c r="K808" s="51"/>
      <c r="L808" s="52">
        <f>Source!P310</f>
        <v>0</v>
      </c>
      <c r="AD808">
        <f>ROUND((Source!AT310/100)*((ROUND(ROUND(Source!AO310,2)*Source!I310, 2)+ROUND(ROUND(Source!AN310,2)*Source!I310, 2))), 2)</f>
        <v>0</v>
      </c>
      <c r="AE808">
        <f>ROUND((Source!AU310/100)*((ROUND(ROUND(Source!AO310,2)*Source!I310, 2)+ROUND(ROUND(Source!AN310,2)*Source!I310, 2))), 2)</f>
        <v>0</v>
      </c>
      <c r="AN808">
        <f>L808</f>
        <v>0</v>
      </c>
      <c r="AW808">
        <f>L808</f>
        <v>0</v>
      </c>
      <c r="AZ808">
        <f>Source!X310</f>
        <v>0</v>
      </c>
      <c r="BA808">
        <f>Source!Y310</f>
        <v>0</v>
      </c>
      <c r="CD808">
        <v>1</v>
      </c>
    </row>
    <row r="809" spans="1:101" ht="14.25" x14ac:dyDescent="0.2">
      <c r="A809" s="48"/>
      <c r="B809" s="48"/>
      <c r="C809" s="48" t="s">
        <v>735</v>
      </c>
      <c r="D809" s="49"/>
      <c r="E809" s="50"/>
      <c r="F809" s="50"/>
      <c r="G809" s="50"/>
      <c r="H809" s="52"/>
      <c r="I809" s="51"/>
      <c r="J809" s="52"/>
      <c r="K809" s="51"/>
      <c r="L809" s="52">
        <f>SUM(AR803:AR812)+SUM(AS803:AS812)+SUM(AT803:AT812)+SUM(AU803:AU812)+SUM(AV803:AV812)</f>
        <v>2658.22</v>
      </c>
    </row>
    <row r="810" spans="1:101" ht="14.25" x14ac:dyDescent="0.2">
      <c r="A810" s="48"/>
      <c r="B810" s="48" t="s">
        <v>25</v>
      </c>
      <c r="C810" s="48" t="s">
        <v>736</v>
      </c>
      <c r="D810" s="49" t="s">
        <v>737</v>
      </c>
      <c r="E810" s="50">
        <f>Source!BZ309</f>
        <v>89</v>
      </c>
      <c r="F810" s="50"/>
      <c r="G810" s="50">
        <f>Source!AT309</f>
        <v>89</v>
      </c>
      <c r="H810" s="52"/>
      <c r="I810" s="51"/>
      <c r="J810" s="52"/>
      <c r="K810" s="51"/>
      <c r="L810" s="52">
        <f>SUM(AZ803:AZ812)</f>
        <v>2365.8200000000002</v>
      </c>
    </row>
    <row r="811" spans="1:101" ht="14.25" x14ac:dyDescent="0.2">
      <c r="A811" s="56"/>
      <c r="B811" s="56" t="s">
        <v>26</v>
      </c>
      <c r="C811" s="56" t="s">
        <v>738</v>
      </c>
      <c r="D811" s="57" t="s">
        <v>737</v>
      </c>
      <c r="E811" s="58">
        <f>Source!CA309</f>
        <v>49</v>
      </c>
      <c r="F811" s="58"/>
      <c r="G811" s="58">
        <f>Source!AU309</f>
        <v>49</v>
      </c>
      <c r="H811" s="59"/>
      <c r="I811" s="60"/>
      <c r="J811" s="59"/>
      <c r="K811" s="60"/>
      <c r="L811" s="59">
        <f>SUM(BA803:BA812)</f>
        <v>1302.53</v>
      </c>
    </row>
    <row r="812" spans="1:101" ht="15" x14ac:dyDescent="0.2">
      <c r="C812" s="124" t="s">
        <v>739</v>
      </c>
      <c r="D812" s="124"/>
      <c r="E812" s="124"/>
      <c r="F812" s="124"/>
      <c r="G812" s="124"/>
      <c r="H812" s="124"/>
      <c r="I812" s="125">
        <f>IF(E803&lt;&gt;0,K812/E803, 0)</f>
        <v>21088.566666666666</v>
      </c>
      <c r="J812" s="125"/>
      <c r="K812" s="125">
        <f>L805+L810+L811+SUM(L808:L808)</f>
        <v>6326.57</v>
      </c>
      <c r="L812" s="125"/>
      <c r="AD812">
        <f>ROUND((Source!AT309/100)*((ROUND(SUMIF(SmtRes!AQ214:'SmtRes'!AQ215,"=1",SmtRes!AD214:'SmtRes'!AD215)*Source!I309, 2)+ROUND(SUMIF(SmtRes!AQ214:'SmtRes'!AQ215,"=1",SmtRes!AC214:'SmtRes'!AC215)*Source!I309, 2))), 2)</f>
        <v>158.78</v>
      </c>
      <c r="AE812">
        <f>ROUND((Source!AU309/100)*((ROUND(SUMIF(SmtRes!AQ214:'SmtRes'!AQ215,"=1",SmtRes!AD214:'SmtRes'!AD215)*Source!I309, 2)+ROUND(SUMIF(SmtRes!AQ214:'SmtRes'!AQ215,"=1",SmtRes!AC214:'SmtRes'!AC215)*Source!I309, 2))), 2)</f>
        <v>87.42</v>
      </c>
      <c r="AN812" s="61">
        <f>L805+L810+L811</f>
        <v>6326.57</v>
      </c>
      <c r="AO812">
        <f>0</f>
        <v>0</v>
      </c>
      <c r="AQ812" t="s">
        <v>740</v>
      </c>
      <c r="AR812" s="61">
        <f>L805</f>
        <v>2658.22</v>
      </c>
      <c r="AT812">
        <f>0</f>
        <v>0</v>
      </c>
      <c r="AV812" t="s">
        <v>740</v>
      </c>
      <c r="AW812">
        <f>0</f>
        <v>0</v>
      </c>
      <c r="AZ812">
        <f>Source!X309</f>
        <v>2365.8200000000002</v>
      </c>
      <c r="BA812">
        <f>Source!Y309</f>
        <v>1302.53</v>
      </c>
      <c r="CD812">
        <v>1</v>
      </c>
    </row>
    <row r="813" spans="1:101" ht="42.75" x14ac:dyDescent="0.2">
      <c r="A813" s="46" t="s">
        <v>294</v>
      </c>
      <c r="B813" s="48" t="s">
        <v>839</v>
      </c>
      <c r="C813" s="48" t="str">
        <f>Source!G311</f>
        <v>Устройство оснований полов из фанеры в один слой площадью: свыше 20 м2</v>
      </c>
      <c r="D813" s="49" t="str">
        <f>Source!H311</f>
        <v>100 м2</v>
      </c>
      <c r="E813" s="50">
        <f>Source!K311</f>
        <v>0.3</v>
      </c>
      <c r="F813" s="50"/>
      <c r="G813" s="50">
        <f>Source!I311</f>
        <v>0.3</v>
      </c>
      <c r="H813" s="52"/>
      <c r="I813" s="51"/>
      <c r="J813" s="52"/>
      <c r="K813" s="51"/>
      <c r="L813" s="52"/>
    </row>
    <row r="814" spans="1:101" ht="51" x14ac:dyDescent="0.2">
      <c r="B814" s="70" t="s">
        <v>638</v>
      </c>
      <c r="C814" s="133" t="s">
        <v>816</v>
      </c>
      <c r="D814" s="133"/>
      <c r="E814" s="133"/>
      <c r="F814" s="133"/>
      <c r="G814" s="133"/>
      <c r="H814" s="133"/>
      <c r="I814" s="133"/>
      <c r="J814" s="133"/>
      <c r="K814" s="133"/>
      <c r="L814" s="133"/>
      <c r="CW814" s="71" t="s">
        <v>816</v>
      </c>
    </row>
    <row r="815" spans="1:101" x14ac:dyDescent="0.2">
      <c r="C815" s="53" t="str">
        <f>"Объем: "&amp;Source!I311&amp;"=30/"&amp;"100"</f>
        <v>Объем: 0,3=30/100</v>
      </c>
    </row>
    <row r="816" spans="1:101" ht="15" x14ac:dyDescent="0.2">
      <c r="A816" s="47"/>
      <c r="B816" s="50">
        <v>1</v>
      </c>
      <c r="C816" s="47" t="s">
        <v>730</v>
      </c>
      <c r="D816" s="49" t="s">
        <v>428</v>
      </c>
      <c r="E816" s="54"/>
      <c r="F816" s="50"/>
      <c r="G816" s="50">
        <f>Source!U311</f>
        <v>10.967549999999999</v>
      </c>
      <c r="H816" s="50"/>
      <c r="I816" s="50"/>
      <c r="J816" s="50"/>
      <c r="K816" s="50"/>
      <c r="L816" s="55">
        <f>SUM(L817:L817)-SUMIF(CE817:CE817, 1, L817:L817)</f>
        <v>6821.38</v>
      </c>
    </row>
    <row r="817" spans="1:83" ht="14.25" x14ac:dyDescent="0.2">
      <c r="A817" s="48"/>
      <c r="B817" s="48" t="s">
        <v>580</v>
      </c>
      <c r="C817" s="48" t="s">
        <v>581</v>
      </c>
      <c r="D817" s="49" t="s">
        <v>428</v>
      </c>
      <c r="E817" s="50">
        <v>31.79</v>
      </c>
      <c r="F817" s="50">
        <f>ROUND(1.15,7)</f>
        <v>1.1499999999999999</v>
      </c>
      <c r="G817" s="50">
        <f>SmtRes!CX216</f>
        <v>10.967549999999999</v>
      </c>
      <c r="H817" s="52"/>
      <c r="I817" s="51"/>
      <c r="J817" s="52">
        <f>SmtRes!CZ216</f>
        <v>621.96</v>
      </c>
      <c r="K817" s="51"/>
      <c r="L817" s="52">
        <f>SmtRes!DI216</f>
        <v>6821.38</v>
      </c>
    </row>
    <row r="818" spans="1:83" ht="15" x14ac:dyDescent="0.2">
      <c r="A818" s="47"/>
      <c r="B818" s="50">
        <v>2</v>
      </c>
      <c r="C818" s="47" t="s">
        <v>731</v>
      </c>
      <c r="D818" s="49"/>
      <c r="E818" s="54"/>
      <c r="F818" s="50"/>
      <c r="G818" s="50"/>
      <c r="H818" s="50"/>
      <c r="I818" s="50"/>
      <c r="J818" s="50"/>
      <c r="K818" s="50"/>
      <c r="L818" s="55">
        <f>SUM(L819:L825)-SUMIF(CE819:CE825, 1, L819:L825)</f>
        <v>1025.6099999999997</v>
      </c>
    </row>
    <row r="819" spans="1:83" ht="15" x14ac:dyDescent="0.2">
      <c r="A819" s="47"/>
      <c r="B819" s="50"/>
      <c r="C819" s="47" t="s">
        <v>733</v>
      </c>
      <c r="D819" s="49" t="s">
        <v>428</v>
      </c>
      <c r="E819" s="54"/>
      <c r="F819" s="50"/>
      <c r="G819" s="50">
        <f>Source!V311</f>
        <v>2.6925000000000003</v>
      </c>
      <c r="H819" s="50"/>
      <c r="I819" s="50"/>
      <c r="J819" s="50"/>
      <c r="K819" s="50"/>
      <c r="L819" s="55">
        <f>SUMIF(CE820:CE825, 1, L820:L825)</f>
        <v>1964.4399999999998</v>
      </c>
      <c r="CE819">
        <v>1</v>
      </c>
    </row>
    <row r="820" spans="1:83" ht="42.75" x14ac:dyDescent="0.2">
      <c r="A820" s="48"/>
      <c r="B820" s="48" t="s">
        <v>431</v>
      </c>
      <c r="C820" s="48" t="s">
        <v>433</v>
      </c>
      <c r="D820" s="49" t="s">
        <v>434</v>
      </c>
      <c r="E820" s="50">
        <v>0.13</v>
      </c>
      <c r="F820" s="50">
        <f t="shared" ref="F820:F825" si="3">ROUND(1.25,7)</f>
        <v>1.25</v>
      </c>
      <c r="G820" s="50">
        <f>SmtRes!CX218</f>
        <v>4.8750000000000002E-2</v>
      </c>
      <c r="H820" s="52">
        <f>SmtRes!CZ218</f>
        <v>37.32</v>
      </c>
      <c r="I820" s="51">
        <f>SmtRes!AJ218</f>
        <v>1.57</v>
      </c>
      <c r="J820" s="52">
        <f>ROUND(H820*I820, 2)</f>
        <v>58.59</v>
      </c>
      <c r="K820" s="51"/>
      <c r="L820" s="52">
        <f>SmtRes!DG218</f>
        <v>2.86</v>
      </c>
    </row>
    <row r="821" spans="1:83" ht="28.5" x14ac:dyDescent="0.2">
      <c r="A821" s="48"/>
      <c r="B821" s="48" t="s">
        <v>435</v>
      </c>
      <c r="C821" s="48" t="s">
        <v>732</v>
      </c>
      <c r="D821" s="49" t="s">
        <v>428</v>
      </c>
      <c r="E821" s="50">
        <f>SmtRes!DO218*SmtRes!AT218</f>
        <v>0.13</v>
      </c>
      <c r="F821" s="50">
        <f t="shared" si="3"/>
        <v>1.25</v>
      </c>
      <c r="G821" s="50">
        <f>ROUND(E821*F821*G813, 7)</f>
        <v>4.8750000000000002E-2</v>
      </c>
      <c r="H821" s="52"/>
      <c r="I821" s="51"/>
      <c r="J821" s="52">
        <f>ROUND(SmtRes!AG218/SmtRes!DO218, 2)</f>
        <v>649.24</v>
      </c>
      <c r="K821" s="51"/>
      <c r="L821" s="52">
        <f>SmtRes!DH218</f>
        <v>31.65</v>
      </c>
      <c r="CE821">
        <v>1</v>
      </c>
    </row>
    <row r="822" spans="1:83" ht="28.5" x14ac:dyDescent="0.2">
      <c r="A822" s="48"/>
      <c r="B822" s="48" t="s">
        <v>463</v>
      </c>
      <c r="C822" s="48" t="s">
        <v>465</v>
      </c>
      <c r="D822" s="49" t="s">
        <v>434</v>
      </c>
      <c r="E822" s="50">
        <v>0.35</v>
      </c>
      <c r="F822" s="50">
        <f t="shared" si="3"/>
        <v>1.25</v>
      </c>
      <c r="G822" s="50">
        <f>SmtRes!CX219</f>
        <v>0.13125000000000001</v>
      </c>
      <c r="H822" s="52"/>
      <c r="I822" s="51"/>
      <c r="J822" s="52">
        <f>SmtRes!CZ219</f>
        <v>544.91999999999996</v>
      </c>
      <c r="K822" s="51"/>
      <c r="L822" s="52">
        <f>SmtRes!DG219</f>
        <v>71.52</v>
      </c>
    </row>
    <row r="823" spans="1:83" ht="28.5" x14ac:dyDescent="0.2">
      <c r="A823" s="48"/>
      <c r="B823" s="48" t="s">
        <v>466</v>
      </c>
      <c r="C823" s="48" t="s">
        <v>747</v>
      </c>
      <c r="D823" s="49" t="s">
        <v>428</v>
      </c>
      <c r="E823" s="50">
        <f>SmtRes!DO219*SmtRes!AT219</f>
        <v>0.35</v>
      </c>
      <c r="F823" s="50">
        <f t="shared" si="3"/>
        <v>1.25</v>
      </c>
      <c r="G823" s="50">
        <f>ROUND(E823*F823*G813, 7)</f>
        <v>0.13125000000000001</v>
      </c>
      <c r="H823" s="52"/>
      <c r="I823" s="51"/>
      <c r="J823" s="52">
        <f>ROUND(SmtRes!AG219/SmtRes!DO219, 2)</f>
        <v>731.08</v>
      </c>
      <c r="K823" s="51"/>
      <c r="L823" s="52">
        <f>SmtRes!DH219</f>
        <v>95.95</v>
      </c>
      <c r="CE823">
        <v>1</v>
      </c>
    </row>
    <row r="824" spans="1:83" ht="57" x14ac:dyDescent="0.2">
      <c r="A824" s="48"/>
      <c r="B824" s="48" t="s">
        <v>582</v>
      </c>
      <c r="C824" s="48" t="s">
        <v>584</v>
      </c>
      <c r="D824" s="49" t="s">
        <v>434</v>
      </c>
      <c r="E824" s="50">
        <v>6.7</v>
      </c>
      <c r="F824" s="50">
        <f t="shared" si="3"/>
        <v>1.25</v>
      </c>
      <c r="G824" s="50">
        <f>SmtRes!CX220</f>
        <v>2.5125000000000002</v>
      </c>
      <c r="H824" s="52"/>
      <c r="I824" s="51"/>
      <c r="J824" s="52">
        <f>SmtRes!CZ220</f>
        <v>378.6</v>
      </c>
      <c r="K824" s="51"/>
      <c r="L824" s="52">
        <f>SmtRes!DG220</f>
        <v>951.23</v>
      </c>
    </row>
    <row r="825" spans="1:83" ht="28.5" x14ac:dyDescent="0.2">
      <c r="A825" s="48"/>
      <c r="B825" s="48" t="s">
        <v>466</v>
      </c>
      <c r="C825" s="48" t="s">
        <v>747</v>
      </c>
      <c r="D825" s="49" t="s">
        <v>428</v>
      </c>
      <c r="E825" s="50">
        <f>SmtRes!DO220*SmtRes!AT220</f>
        <v>6.7</v>
      </c>
      <c r="F825" s="50">
        <f t="shared" si="3"/>
        <v>1.25</v>
      </c>
      <c r="G825" s="50">
        <f>ROUND(E825*F825*G813, 7)</f>
        <v>2.5125000000000002</v>
      </c>
      <c r="H825" s="52"/>
      <c r="I825" s="51"/>
      <c r="J825" s="52">
        <f>ROUND(SmtRes!AG220/SmtRes!DO220, 2)</f>
        <v>731.08</v>
      </c>
      <c r="K825" s="51"/>
      <c r="L825" s="52">
        <f>SmtRes!DH220</f>
        <v>1836.84</v>
      </c>
      <c r="CE825">
        <v>1</v>
      </c>
    </row>
    <row r="826" spans="1:83" ht="15" x14ac:dyDescent="0.2">
      <c r="A826" s="47"/>
      <c r="B826" s="50">
        <v>4</v>
      </c>
      <c r="C826" s="47" t="s">
        <v>742</v>
      </c>
      <c r="D826" s="49"/>
      <c r="E826" s="54"/>
      <c r="F826" s="50"/>
      <c r="G826" s="50"/>
      <c r="H826" s="50"/>
      <c r="I826" s="50"/>
      <c r="J826" s="50"/>
      <c r="K826" s="50"/>
      <c r="L826" s="55">
        <f>SUM(L827:L829)-SUMIF(CE827:CE829, 1, L827:L829)</f>
        <v>102.29</v>
      </c>
    </row>
    <row r="827" spans="1:83" ht="14.25" x14ac:dyDescent="0.2">
      <c r="A827" s="48"/>
      <c r="B827" s="48" t="s">
        <v>530</v>
      </c>
      <c r="C827" s="48" t="s">
        <v>532</v>
      </c>
      <c r="D827" s="49" t="s">
        <v>533</v>
      </c>
      <c r="E827" s="50">
        <v>10.119999999999999</v>
      </c>
      <c r="F827" s="50"/>
      <c r="G827" s="50">
        <f>SmtRes!CX221</f>
        <v>3.036</v>
      </c>
      <c r="H827" s="52"/>
      <c r="I827" s="51"/>
      <c r="J827" s="52">
        <f>SmtRes!CZ221</f>
        <v>6.92</v>
      </c>
      <c r="K827" s="51"/>
      <c r="L827" s="52">
        <f>SmtRes!DF221</f>
        <v>21.01</v>
      </c>
    </row>
    <row r="828" spans="1:83" ht="57" x14ac:dyDescent="0.2">
      <c r="A828" s="48"/>
      <c r="B828" s="48" t="s">
        <v>585</v>
      </c>
      <c r="C828" s="48" t="s">
        <v>587</v>
      </c>
      <c r="D828" s="49" t="s">
        <v>96</v>
      </c>
      <c r="E828" s="50">
        <v>1.8</v>
      </c>
      <c r="F828" s="50"/>
      <c r="G828" s="50">
        <f>SmtRes!CX222</f>
        <v>0.54</v>
      </c>
      <c r="H828" s="52">
        <f>SmtRes!CZ222</f>
        <v>114.9</v>
      </c>
      <c r="I828" s="51">
        <f>SmtRes!AI222</f>
        <v>1.31</v>
      </c>
      <c r="J828" s="52">
        <f>ROUND(H828*I828, 2)</f>
        <v>150.52000000000001</v>
      </c>
      <c r="K828" s="51"/>
      <c r="L828" s="52">
        <f>SmtRes!DF222</f>
        <v>81.28</v>
      </c>
    </row>
    <row r="829" spans="1:83" ht="42.75" x14ac:dyDescent="0.2">
      <c r="A829" s="48"/>
      <c r="B829" s="48" t="s">
        <v>588</v>
      </c>
      <c r="C829" s="56" t="s">
        <v>590</v>
      </c>
      <c r="D829" s="57" t="s">
        <v>34</v>
      </c>
      <c r="E829" s="58">
        <v>1.24</v>
      </c>
      <c r="F829" s="58">
        <f>ROUND(0,7)</f>
        <v>0</v>
      </c>
      <c r="G829" s="58">
        <f>SmtRes!CX224</f>
        <v>0</v>
      </c>
      <c r="H829" s="59"/>
      <c r="I829" s="60"/>
      <c r="J829" s="59">
        <f>SmtRes!CZ224</f>
        <v>30892.33</v>
      </c>
      <c r="K829" s="60"/>
      <c r="L829" s="59">
        <f>SmtRes!DF224</f>
        <v>0</v>
      </c>
    </row>
    <row r="830" spans="1:83" ht="15" x14ac:dyDescent="0.2">
      <c r="A830" s="48"/>
      <c r="B830" s="48"/>
      <c r="C830" s="63" t="s">
        <v>734</v>
      </c>
      <c r="D830" s="49"/>
      <c r="E830" s="50"/>
      <c r="F830" s="50"/>
      <c r="G830" s="50"/>
      <c r="H830" s="52"/>
      <c r="I830" s="51"/>
      <c r="J830" s="52"/>
      <c r="K830" s="51"/>
      <c r="L830" s="52">
        <f>L816+L818+L819+L826</f>
        <v>9913.7200000000012</v>
      </c>
    </row>
    <row r="831" spans="1:83" ht="42.75" x14ac:dyDescent="0.2">
      <c r="A831" s="46" t="s">
        <v>840</v>
      </c>
      <c r="B831" s="48" t="str">
        <f>Source!F312</f>
        <v>11.2.11.04-0050</v>
      </c>
      <c r="C831" s="48" t="str">
        <f>Source!G312</f>
        <v>Фанера с наружными слоями из шпона березы, марка ФК, сорт II/IV, шлифованная, толщина 9-10 мм</v>
      </c>
      <c r="D831" s="49" t="str">
        <f>Source!H312</f>
        <v>м3</v>
      </c>
      <c r="E831" s="50">
        <f>SmtRes!AT223</f>
        <v>1.1160000000000001</v>
      </c>
      <c r="F831" s="50"/>
      <c r="G831" s="50">
        <f>Source!I312</f>
        <v>0.33480000000000004</v>
      </c>
      <c r="H831" s="52"/>
      <c r="I831" s="51"/>
      <c r="J831" s="52">
        <f>Source!AK312</f>
        <v>32815.35</v>
      </c>
      <c r="K831" s="51"/>
      <c r="L831" s="52">
        <f>Source!P312</f>
        <v>10986.58</v>
      </c>
      <c r="AD831">
        <f>ROUND((Source!AT312/100)*((ROUND(ROUND(Source!AO312,2)*Source!I312, 2)+ROUND(ROUND(Source!AN312,2)*Source!I312, 2))), 2)</f>
        <v>0</v>
      </c>
      <c r="AE831">
        <f>ROUND((Source!AU312/100)*((ROUND(ROUND(Source!AO312,2)*Source!I312, 2)+ROUND(ROUND(Source!AN312,2)*Source!I312, 2))), 2)</f>
        <v>0</v>
      </c>
      <c r="AN831">
        <f>L831</f>
        <v>10986.58</v>
      </c>
      <c r="AW831">
        <f>L831</f>
        <v>10986.58</v>
      </c>
      <c r="AZ831">
        <f>Source!X312</f>
        <v>0</v>
      </c>
      <c r="BA831">
        <f>Source!Y312</f>
        <v>0</v>
      </c>
      <c r="CD831">
        <v>1</v>
      </c>
    </row>
    <row r="832" spans="1:83" ht="14.25" x14ac:dyDescent="0.2">
      <c r="A832" s="48"/>
      <c r="B832" s="48"/>
      <c r="C832" s="48" t="s">
        <v>735</v>
      </c>
      <c r="D832" s="49"/>
      <c r="E832" s="50"/>
      <c r="F832" s="50"/>
      <c r="G832" s="50"/>
      <c r="H832" s="52"/>
      <c r="I832" s="51"/>
      <c r="J832" s="52"/>
      <c r="K832" s="51"/>
      <c r="L832" s="52">
        <f>SUM(AR813:AR835)+SUM(AS813:AS835)+SUM(AT813:AT835)+SUM(AU813:AU835)+SUM(AV813:AV835)</f>
        <v>8785.82</v>
      </c>
    </row>
    <row r="833" spans="1:101" ht="28.5" x14ac:dyDescent="0.2">
      <c r="A833" s="48"/>
      <c r="B833" s="48" t="s">
        <v>820</v>
      </c>
      <c r="C833" s="48" t="s">
        <v>736</v>
      </c>
      <c r="D833" s="49" t="s">
        <v>737</v>
      </c>
      <c r="E833" s="50">
        <f>Source!BZ311</f>
        <v>112</v>
      </c>
      <c r="F833" s="50">
        <f>ROUND(0.9,7)</f>
        <v>0.9</v>
      </c>
      <c r="G833" s="50">
        <f>Source!AT311</f>
        <v>100.8</v>
      </c>
      <c r="H833" s="52"/>
      <c r="I833" s="51"/>
      <c r="J833" s="52"/>
      <c r="K833" s="51"/>
      <c r="L833" s="52">
        <f>SUM(AZ813:AZ835)</f>
        <v>8856.11</v>
      </c>
    </row>
    <row r="834" spans="1:101" ht="28.5" x14ac:dyDescent="0.2">
      <c r="A834" s="56"/>
      <c r="B834" s="56" t="s">
        <v>821</v>
      </c>
      <c r="C834" s="56" t="s">
        <v>738</v>
      </c>
      <c r="D834" s="57" t="s">
        <v>737</v>
      </c>
      <c r="E834" s="58">
        <f>Source!CA311</f>
        <v>65</v>
      </c>
      <c r="F834" s="58">
        <f>ROUND(0.85,7)</f>
        <v>0.85</v>
      </c>
      <c r="G834" s="58">
        <f>Source!AU311</f>
        <v>55.25</v>
      </c>
      <c r="H834" s="59"/>
      <c r="I834" s="60"/>
      <c r="J834" s="59"/>
      <c r="K834" s="60"/>
      <c r="L834" s="59">
        <f>SUM(BA813:BA835)</f>
        <v>4854.17</v>
      </c>
    </row>
    <row r="835" spans="1:101" ht="15" x14ac:dyDescent="0.2">
      <c r="C835" s="124" t="s">
        <v>739</v>
      </c>
      <c r="D835" s="124"/>
      <c r="E835" s="124"/>
      <c r="F835" s="124"/>
      <c r="G835" s="124"/>
      <c r="H835" s="124"/>
      <c r="I835" s="125">
        <f>IF(E813&lt;&gt;0,K835/E813, 0)</f>
        <v>115368.59999999999</v>
      </c>
      <c r="J835" s="125"/>
      <c r="K835" s="125">
        <f>L816+L818+L826+L833+L834+L819+SUM(L831:L831)</f>
        <v>34610.579999999994</v>
      </c>
      <c r="L835" s="125"/>
      <c r="AD835">
        <f>ROUND((Source!AT311/100)*((ROUND(SUMIF(SmtRes!AQ216:'SmtRes'!AQ224,"=1",SmtRes!AD216:'SmtRes'!AD224)*Source!I311, 2)+ROUND(SUMIF(SmtRes!AQ216:'SmtRes'!AQ224,"=1",SmtRes!AC216:'SmtRes'!AC224)*Source!I311, 2))), 2)</f>
        <v>826.57</v>
      </c>
      <c r="AE835">
        <f>ROUND((Source!AU311/100)*((ROUND(SUMIF(SmtRes!AQ216:'SmtRes'!AQ224,"=1",SmtRes!AD216:'SmtRes'!AD224)*Source!I311, 2)+ROUND(SUMIF(SmtRes!AQ216:'SmtRes'!AQ224,"=1",SmtRes!AC216:'SmtRes'!AC224)*Source!I311, 2))), 2)</f>
        <v>453.06</v>
      </c>
      <c r="AN835" s="61">
        <f>L816+L818+L826+L833+L834+L819</f>
        <v>23623.999999999996</v>
      </c>
      <c r="AO835" s="61">
        <f>L818</f>
        <v>1025.6099999999997</v>
      </c>
      <c r="AQ835" t="s">
        <v>740</v>
      </c>
      <c r="AR835" s="61">
        <f>L816</f>
        <v>6821.38</v>
      </c>
      <c r="AT835" s="61">
        <f>L819</f>
        <v>1964.4399999999998</v>
      </c>
      <c r="AV835" t="s">
        <v>740</v>
      </c>
      <c r="AW835" s="61">
        <f>L826</f>
        <v>102.29</v>
      </c>
      <c r="AZ835">
        <f>Source!X311</f>
        <v>8856.11</v>
      </c>
      <c r="BA835">
        <f>Source!Y311</f>
        <v>4854.17</v>
      </c>
      <c r="CD835">
        <v>1</v>
      </c>
    </row>
    <row r="836" spans="1:101" ht="28.5" x14ac:dyDescent="0.2">
      <c r="A836" s="46" t="s">
        <v>302</v>
      </c>
      <c r="B836" s="48" t="s">
        <v>841</v>
      </c>
      <c r="C836" s="48" t="str">
        <f>Source!G313</f>
        <v>Устройство покрытий: из досок ламинированных замковым способом</v>
      </c>
      <c r="D836" s="49" t="str">
        <f>Source!H313</f>
        <v>100 м2</v>
      </c>
      <c r="E836" s="50">
        <f>Source!K313</f>
        <v>0.3</v>
      </c>
      <c r="F836" s="50"/>
      <c r="G836" s="50">
        <f>Source!I313</f>
        <v>0.3</v>
      </c>
      <c r="H836" s="52"/>
      <c r="I836" s="51"/>
      <c r="J836" s="52"/>
      <c r="K836" s="51"/>
      <c r="L836" s="52"/>
    </row>
    <row r="837" spans="1:101" ht="51" x14ac:dyDescent="0.2">
      <c r="B837" s="70" t="s">
        <v>638</v>
      </c>
      <c r="C837" s="133" t="s">
        <v>816</v>
      </c>
      <c r="D837" s="133"/>
      <c r="E837" s="133"/>
      <c r="F837" s="133"/>
      <c r="G837" s="133"/>
      <c r="H837" s="133"/>
      <c r="I837" s="133"/>
      <c r="J837" s="133"/>
      <c r="K837" s="133"/>
      <c r="L837" s="133"/>
      <c r="CW837" s="71" t="s">
        <v>816</v>
      </c>
    </row>
    <row r="838" spans="1:101" x14ac:dyDescent="0.2">
      <c r="C838" s="53" t="str">
        <f>"Объем: "&amp;Source!I313&amp;"=30/"&amp;"100"</f>
        <v>Объем: 0,3=30/100</v>
      </c>
    </row>
    <row r="839" spans="1:101" ht="15" x14ac:dyDescent="0.2">
      <c r="A839" s="47"/>
      <c r="B839" s="50">
        <v>1</v>
      </c>
      <c r="C839" s="47" t="s">
        <v>730</v>
      </c>
      <c r="D839" s="49" t="s">
        <v>428</v>
      </c>
      <c r="E839" s="54"/>
      <c r="F839" s="50"/>
      <c r="G839" s="50">
        <f>Source!U313</f>
        <v>7.7797499999999999</v>
      </c>
      <c r="H839" s="50"/>
      <c r="I839" s="50"/>
      <c r="J839" s="50"/>
      <c r="K839" s="50"/>
      <c r="L839" s="55">
        <f>SUM(L840:L840)-SUMIF(CE840:CE840, 1, L840:L840)</f>
        <v>5050.92</v>
      </c>
    </row>
    <row r="840" spans="1:101" ht="14.25" x14ac:dyDescent="0.2">
      <c r="A840" s="48"/>
      <c r="B840" s="48" t="s">
        <v>436</v>
      </c>
      <c r="C840" s="48" t="s">
        <v>437</v>
      </c>
      <c r="D840" s="49" t="s">
        <v>428</v>
      </c>
      <c r="E840" s="50">
        <v>22.55</v>
      </c>
      <c r="F840" s="50">
        <f>ROUND(1.15,7)</f>
        <v>1.1499999999999999</v>
      </c>
      <c r="G840" s="50">
        <f>SmtRes!CX225</f>
        <v>7.7797499999999999</v>
      </c>
      <c r="H840" s="52"/>
      <c r="I840" s="51"/>
      <c r="J840" s="52">
        <f>SmtRes!CZ225</f>
        <v>649.24</v>
      </c>
      <c r="K840" s="51"/>
      <c r="L840" s="52">
        <f>SmtRes!DI225</f>
        <v>5050.92</v>
      </c>
    </row>
    <row r="841" spans="1:101" ht="15" x14ac:dyDescent="0.2">
      <c r="A841" s="47"/>
      <c r="B841" s="50">
        <v>2</v>
      </c>
      <c r="C841" s="47" t="s">
        <v>731</v>
      </c>
      <c r="D841" s="49"/>
      <c r="E841" s="54"/>
      <c r="F841" s="50"/>
      <c r="G841" s="50"/>
      <c r="H841" s="50"/>
      <c r="I841" s="50"/>
      <c r="J841" s="50"/>
      <c r="K841" s="50"/>
      <c r="L841" s="55">
        <f>SUM(L842:L844)-SUMIF(CE842:CE844, 1, L842:L844)</f>
        <v>20.430000000000007</v>
      </c>
    </row>
    <row r="842" spans="1:101" ht="15" x14ac:dyDescent="0.2">
      <c r="A842" s="47"/>
      <c r="B842" s="50"/>
      <c r="C842" s="47" t="s">
        <v>733</v>
      </c>
      <c r="D842" s="49" t="s">
        <v>428</v>
      </c>
      <c r="E842" s="54"/>
      <c r="F842" s="50"/>
      <c r="G842" s="50">
        <f>Source!V313</f>
        <v>3.7499999999999999E-2</v>
      </c>
      <c r="H842" s="50"/>
      <c r="I842" s="50"/>
      <c r="J842" s="50"/>
      <c r="K842" s="50"/>
      <c r="L842" s="55">
        <f>SUMIF(CE843:CE844, 1, L843:L844)</f>
        <v>27.42</v>
      </c>
      <c r="CE842">
        <v>1</v>
      </c>
    </row>
    <row r="843" spans="1:101" ht="28.5" x14ac:dyDescent="0.2">
      <c r="A843" s="48"/>
      <c r="B843" s="48" t="s">
        <v>463</v>
      </c>
      <c r="C843" s="48" t="s">
        <v>465</v>
      </c>
      <c r="D843" s="49" t="s">
        <v>434</v>
      </c>
      <c r="E843" s="50">
        <v>0.1</v>
      </c>
      <c r="F843" s="50">
        <f>ROUND(1.25,7)</f>
        <v>1.25</v>
      </c>
      <c r="G843" s="50">
        <f>SmtRes!CX227</f>
        <v>3.7499999999999999E-2</v>
      </c>
      <c r="H843" s="52"/>
      <c r="I843" s="51"/>
      <c r="J843" s="52">
        <f>SmtRes!CZ227</f>
        <v>544.91999999999996</v>
      </c>
      <c r="K843" s="51"/>
      <c r="L843" s="52">
        <f>SmtRes!DG227</f>
        <v>20.43</v>
      </c>
    </row>
    <row r="844" spans="1:101" ht="28.5" x14ac:dyDescent="0.2">
      <c r="A844" s="48"/>
      <c r="B844" s="48" t="s">
        <v>466</v>
      </c>
      <c r="C844" s="48" t="s">
        <v>747</v>
      </c>
      <c r="D844" s="49" t="s">
        <v>428</v>
      </c>
      <c r="E844" s="50">
        <f>SmtRes!DO227*SmtRes!AT227</f>
        <v>0.1</v>
      </c>
      <c r="F844" s="50">
        <f>ROUND(1.25,7)</f>
        <v>1.25</v>
      </c>
      <c r="G844" s="50">
        <f>ROUND(E844*F844*G836, 7)</f>
        <v>3.7499999999999999E-2</v>
      </c>
      <c r="H844" s="52"/>
      <c r="I844" s="51"/>
      <c r="J844" s="52">
        <f>ROUND(SmtRes!AG227/SmtRes!DO227, 2)</f>
        <v>731.08</v>
      </c>
      <c r="K844" s="51"/>
      <c r="L844" s="52">
        <f>SmtRes!DH227</f>
        <v>27.42</v>
      </c>
      <c r="CE844">
        <v>1</v>
      </c>
    </row>
    <row r="845" spans="1:101" ht="15" x14ac:dyDescent="0.2">
      <c r="A845" s="47"/>
      <c r="B845" s="50">
        <v>4</v>
      </c>
      <c r="C845" s="47" t="s">
        <v>742</v>
      </c>
      <c r="D845" s="49"/>
      <c r="E845" s="54"/>
      <c r="F845" s="50"/>
      <c r="G845" s="50"/>
      <c r="H845" s="50"/>
      <c r="I845" s="50"/>
      <c r="J845" s="50"/>
      <c r="K845" s="50"/>
      <c r="L845" s="55">
        <f>SUM(L846:L847)-SUMIF(CE846:CE847, 1, L846:L847)</f>
        <v>496.14</v>
      </c>
    </row>
    <row r="846" spans="1:101" ht="14.25" x14ac:dyDescent="0.2">
      <c r="A846" s="48"/>
      <c r="B846" s="48" t="s">
        <v>530</v>
      </c>
      <c r="C846" s="48" t="s">
        <v>532</v>
      </c>
      <c r="D846" s="49" t="s">
        <v>533</v>
      </c>
      <c r="E846" s="50">
        <v>0.58099999999999996</v>
      </c>
      <c r="F846" s="50"/>
      <c r="G846" s="50">
        <f>SmtRes!CX228</f>
        <v>0.17430000000000001</v>
      </c>
      <c r="H846" s="52"/>
      <c r="I846" s="51"/>
      <c r="J846" s="52">
        <f>SmtRes!CZ228</f>
        <v>6.92</v>
      </c>
      <c r="K846" s="51"/>
      <c r="L846" s="52">
        <f>SmtRes!DF228</f>
        <v>1.21</v>
      </c>
    </row>
    <row r="847" spans="1:101" ht="28.5" x14ac:dyDescent="0.2">
      <c r="A847" s="48"/>
      <c r="B847" s="48" t="s">
        <v>592</v>
      </c>
      <c r="C847" s="48" t="s">
        <v>594</v>
      </c>
      <c r="D847" s="49" t="s">
        <v>595</v>
      </c>
      <c r="E847" s="50">
        <v>10.5</v>
      </c>
      <c r="F847" s="50"/>
      <c r="G847" s="50">
        <f>SmtRes!CX229</f>
        <v>3.15</v>
      </c>
      <c r="H847" s="52">
        <f>SmtRes!CZ229</f>
        <v>108.36</v>
      </c>
      <c r="I847" s="51">
        <f>SmtRes!AI229</f>
        <v>1.45</v>
      </c>
      <c r="J847" s="52">
        <f>ROUND(H847*I847, 2)</f>
        <v>157.12</v>
      </c>
      <c r="K847" s="51"/>
      <c r="L847" s="52">
        <f>SmtRes!DF229</f>
        <v>494.93</v>
      </c>
    </row>
    <row r="848" spans="1:101" ht="28.5" x14ac:dyDescent="0.2">
      <c r="A848" s="48"/>
      <c r="B848" s="48" t="str">
        <f>EtalonRes!I228</f>
        <v>11.2.03.02</v>
      </c>
      <c r="C848" s="56" t="str">
        <f>EtalonRes!K228</f>
        <v>Покрытие напольное ламинированное (ламинат)</v>
      </c>
      <c r="D848" s="57" t="str">
        <f>EtalonRes!O228</f>
        <v>м2</v>
      </c>
      <c r="E848" s="58">
        <f>EtalonRes!X228</f>
        <v>102.5</v>
      </c>
      <c r="F848" s="58"/>
      <c r="G848" s="58">
        <f>ROUND(EtalonRes!AG228*Source!I313, 7)</f>
        <v>30.75</v>
      </c>
      <c r="H848" s="59"/>
      <c r="I848" s="60"/>
      <c r="J848" s="59"/>
      <c r="K848" s="60"/>
      <c r="L848" s="59"/>
    </row>
    <row r="849" spans="1:101" ht="15" x14ac:dyDescent="0.2">
      <c r="A849" s="48"/>
      <c r="B849" s="48"/>
      <c r="C849" s="63" t="s">
        <v>734</v>
      </c>
      <c r="D849" s="49"/>
      <c r="E849" s="50"/>
      <c r="F849" s="50"/>
      <c r="G849" s="50"/>
      <c r="H849" s="52"/>
      <c r="I849" s="51"/>
      <c r="J849" s="52"/>
      <c r="K849" s="51"/>
      <c r="L849" s="52">
        <f>L839+L841+L842+L845</f>
        <v>5594.9100000000008</v>
      </c>
    </row>
    <row r="850" spans="1:101" ht="42.75" x14ac:dyDescent="0.2">
      <c r="A850" s="46" t="s">
        <v>842</v>
      </c>
      <c r="B850" s="48" t="str">
        <f>Source!F314</f>
        <v>ТЦ_59.00.00.00_50_5003052454_07.07.2026_02_1.1</v>
      </c>
      <c r="C850" s="48" t="s">
        <v>843</v>
      </c>
      <c r="D850" s="49" t="str">
        <f>Source!H314</f>
        <v>м2</v>
      </c>
      <c r="E850" s="50">
        <f>SmtRes!AT230</f>
        <v>102.5</v>
      </c>
      <c r="F850" s="50"/>
      <c r="G850" s="50">
        <f>Source!I314</f>
        <v>30.75</v>
      </c>
      <c r="H850" s="52"/>
      <c r="I850" s="51"/>
      <c r="J850" s="52">
        <f>Source!AK314</f>
        <v>2195.08</v>
      </c>
      <c r="K850" s="51"/>
      <c r="L850" s="52">
        <f>Source!P314</f>
        <v>67498.710000000006</v>
      </c>
      <c r="AD850">
        <f>ROUND((Source!AT314/100)*((ROUND(ROUND(Source!AO314,2)*Source!I314, 2)+ROUND(ROUND(Source!AN314,2)*Source!I314, 2))), 2)</f>
        <v>0</v>
      </c>
      <c r="AE850">
        <f>ROUND((Source!AU314/100)*((ROUND(ROUND(Source!AO314,2)*Source!I314, 2)+ROUND(ROUND(Source!AN314,2)*Source!I314, 2))), 2)</f>
        <v>0</v>
      </c>
      <c r="AN850">
        <f>L850</f>
        <v>67498.710000000006</v>
      </c>
      <c r="AW850">
        <f>L850</f>
        <v>67498.710000000006</v>
      </c>
      <c r="AX850">
        <f>L850</f>
        <v>67498.710000000006</v>
      </c>
      <c r="AZ850">
        <f>Source!X314</f>
        <v>0</v>
      </c>
      <c r="BA850">
        <f>Source!Y314</f>
        <v>0</v>
      </c>
      <c r="CD850">
        <v>1</v>
      </c>
    </row>
    <row r="851" spans="1:101" ht="14.25" x14ac:dyDescent="0.2">
      <c r="A851" s="48"/>
      <c r="B851" s="48"/>
      <c r="C851" s="48" t="s">
        <v>735</v>
      </c>
      <c r="D851" s="49"/>
      <c r="E851" s="50"/>
      <c r="F851" s="50"/>
      <c r="G851" s="50"/>
      <c r="H851" s="52"/>
      <c r="I851" s="51"/>
      <c r="J851" s="52"/>
      <c r="K851" s="51"/>
      <c r="L851" s="52">
        <f>SUM(AR836:AR854)+SUM(AS836:AS854)+SUM(AT836:AT854)+SUM(AU836:AU854)+SUM(AV836:AV854)</f>
        <v>5078.34</v>
      </c>
    </row>
    <row r="852" spans="1:101" ht="28.5" x14ac:dyDescent="0.2">
      <c r="A852" s="48"/>
      <c r="B852" s="48" t="s">
        <v>820</v>
      </c>
      <c r="C852" s="48" t="s">
        <v>736</v>
      </c>
      <c r="D852" s="49" t="s">
        <v>737</v>
      </c>
      <c r="E852" s="50">
        <f>Source!BZ313</f>
        <v>112</v>
      </c>
      <c r="F852" s="50">
        <f>ROUND(0.9,7)</f>
        <v>0.9</v>
      </c>
      <c r="G852" s="50">
        <f>Source!AT313</f>
        <v>100.8</v>
      </c>
      <c r="H852" s="52"/>
      <c r="I852" s="51"/>
      <c r="J852" s="52"/>
      <c r="K852" s="51"/>
      <c r="L852" s="52">
        <f>SUM(AZ836:AZ854)</f>
        <v>5118.97</v>
      </c>
    </row>
    <row r="853" spans="1:101" ht="28.5" x14ac:dyDescent="0.2">
      <c r="A853" s="56"/>
      <c r="B853" s="56" t="s">
        <v>821</v>
      </c>
      <c r="C853" s="56" t="s">
        <v>738</v>
      </c>
      <c r="D853" s="57" t="s">
        <v>737</v>
      </c>
      <c r="E853" s="58">
        <f>Source!CA313</f>
        <v>65</v>
      </c>
      <c r="F853" s="58">
        <f>ROUND(0.85,7)</f>
        <v>0.85</v>
      </c>
      <c r="G853" s="58">
        <f>Source!AU313</f>
        <v>55.25</v>
      </c>
      <c r="H853" s="59"/>
      <c r="I853" s="60"/>
      <c r="J853" s="59"/>
      <c r="K853" s="60"/>
      <c r="L853" s="59">
        <f>SUM(BA836:BA854)</f>
        <v>2805.78</v>
      </c>
    </row>
    <row r="854" spans="1:101" ht="15" x14ac:dyDescent="0.2">
      <c r="C854" s="124" t="s">
        <v>739</v>
      </c>
      <c r="D854" s="124"/>
      <c r="E854" s="124"/>
      <c r="F854" s="124"/>
      <c r="G854" s="124"/>
      <c r="H854" s="124"/>
      <c r="I854" s="125">
        <f>IF(E836&lt;&gt;0,K854/E836, 0)</f>
        <v>270061.2333333334</v>
      </c>
      <c r="J854" s="125"/>
      <c r="K854" s="125">
        <f>L839+L841+L845+L852+L853+L842+SUM(L850:L850)</f>
        <v>81018.37000000001</v>
      </c>
      <c r="L854" s="125"/>
      <c r="AD854">
        <f>ROUND((Source!AT313/100)*((ROUND(SUMIF(SmtRes!AQ225:'SmtRes'!AQ230,"=1",SmtRes!AD225:'SmtRes'!AD230)*Source!I313, 2)+ROUND(SUMIF(SmtRes!AQ225:'SmtRes'!AQ230,"=1",SmtRes!AC225:'SmtRes'!AC230)*Source!I313, 2))), 2)</f>
        <v>417.4</v>
      </c>
      <c r="AE854">
        <f>ROUND((Source!AU313/100)*((ROUND(SUMIF(SmtRes!AQ225:'SmtRes'!AQ230,"=1",SmtRes!AD225:'SmtRes'!AD230)*Source!I313, 2)+ROUND(SUMIF(SmtRes!AQ225:'SmtRes'!AQ230,"=1",SmtRes!AC225:'SmtRes'!AC230)*Source!I313, 2))), 2)</f>
        <v>228.78</v>
      </c>
      <c r="AN854" s="61">
        <f>L839+L841+L845+L852+L853+L842</f>
        <v>13519.660000000002</v>
      </c>
      <c r="AO854" s="61">
        <f>L841</f>
        <v>20.430000000000007</v>
      </c>
      <c r="AQ854" t="s">
        <v>740</v>
      </c>
      <c r="AR854" s="61">
        <f>L839</f>
        <v>5050.92</v>
      </c>
      <c r="AT854" s="61">
        <f>L842</f>
        <v>27.42</v>
      </c>
      <c r="AV854" t="s">
        <v>740</v>
      </c>
      <c r="AW854" s="61">
        <f>L845</f>
        <v>496.14</v>
      </c>
      <c r="AZ854">
        <f>Source!X313</f>
        <v>5118.97</v>
      </c>
      <c r="BA854">
        <f>Source!Y313</f>
        <v>2805.78</v>
      </c>
      <c r="CD854">
        <v>1</v>
      </c>
    </row>
    <row r="855" spans="1:101" ht="28.5" x14ac:dyDescent="0.2">
      <c r="A855" s="46" t="s">
        <v>311</v>
      </c>
      <c r="B855" s="48" t="s">
        <v>844</v>
      </c>
      <c r="C855" s="48" t="str">
        <f>Source!G315</f>
        <v>Устройство плинтусов поливинилхлоридных: на клее КН-2</v>
      </c>
      <c r="D855" s="49" t="str">
        <f>Source!H315</f>
        <v>100 м</v>
      </c>
      <c r="E855" s="50">
        <f>Source!K315</f>
        <v>0.21</v>
      </c>
      <c r="F855" s="50"/>
      <c r="G855" s="50">
        <f>Source!I315</f>
        <v>0.21</v>
      </c>
      <c r="H855" s="52"/>
      <c r="I855" s="51"/>
      <c r="J855" s="52"/>
      <c r="K855" s="51"/>
      <c r="L855" s="52"/>
    </row>
    <row r="856" spans="1:101" ht="51" x14ac:dyDescent="0.2">
      <c r="B856" s="70" t="s">
        <v>638</v>
      </c>
      <c r="C856" s="133" t="s">
        <v>816</v>
      </c>
      <c r="D856" s="133"/>
      <c r="E856" s="133"/>
      <c r="F856" s="133"/>
      <c r="G856" s="133"/>
      <c r="H856" s="133"/>
      <c r="I856" s="133"/>
      <c r="J856" s="133"/>
      <c r="K856" s="133"/>
      <c r="L856" s="133"/>
      <c r="CW856" s="71" t="s">
        <v>816</v>
      </c>
    </row>
    <row r="857" spans="1:101" x14ac:dyDescent="0.2">
      <c r="C857" s="53" t="str">
        <f>"Объем: "&amp;Source!I315&amp;"=21/"&amp;"100"</f>
        <v>Объем: 0,21=21/100</v>
      </c>
    </row>
    <row r="858" spans="1:101" ht="15" x14ac:dyDescent="0.2">
      <c r="A858" s="47"/>
      <c r="B858" s="50">
        <v>1</v>
      </c>
      <c r="C858" s="47" t="s">
        <v>730</v>
      </c>
      <c r="D858" s="49" t="s">
        <v>428</v>
      </c>
      <c r="E858" s="54"/>
      <c r="F858" s="50"/>
      <c r="G858" s="50">
        <f>Source!U315</f>
        <v>2.1759149999999998</v>
      </c>
      <c r="H858" s="50"/>
      <c r="I858" s="50"/>
      <c r="J858" s="50"/>
      <c r="K858" s="50"/>
      <c r="L858" s="55">
        <f>SUM(L859:L859)-SUMIF(CE859:CE859, 1, L859:L859)</f>
        <v>1614.51</v>
      </c>
    </row>
    <row r="859" spans="1:101" ht="14.25" x14ac:dyDescent="0.2">
      <c r="A859" s="48"/>
      <c r="B859" s="48" t="s">
        <v>596</v>
      </c>
      <c r="C859" s="48" t="s">
        <v>597</v>
      </c>
      <c r="D859" s="49" t="s">
        <v>428</v>
      </c>
      <c r="E859" s="50">
        <v>9.01</v>
      </c>
      <c r="F859" s="50">
        <f>ROUND(1.15,7)</f>
        <v>1.1499999999999999</v>
      </c>
      <c r="G859" s="50">
        <f>SmtRes!CX231</f>
        <v>2.1759149999999998</v>
      </c>
      <c r="H859" s="52"/>
      <c r="I859" s="51"/>
      <c r="J859" s="52">
        <f>SmtRes!CZ231</f>
        <v>741.99</v>
      </c>
      <c r="K859" s="51"/>
      <c r="L859" s="52">
        <f>SmtRes!DI231</f>
        <v>1614.51</v>
      </c>
    </row>
    <row r="860" spans="1:101" ht="15" x14ac:dyDescent="0.2">
      <c r="A860" s="47"/>
      <c r="B860" s="50">
        <v>2</v>
      </c>
      <c r="C860" s="47" t="s">
        <v>731</v>
      </c>
      <c r="D860" s="49"/>
      <c r="E860" s="54"/>
      <c r="F860" s="50"/>
      <c r="G860" s="50"/>
      <c r="H860" s="50"/>
      <c r="I860" s="50"/>
      <c r="J860" s="50"/>
      <c r="K860" s="50"/>
      <c r="L860" s="55">
        <f>SUM(L861:L865)-SUMIF(CE861:CE865, 1, L861:L865)</f>
        <v>4.3699999999999974</v>
      </c>
    </row>
    <row r="861" spans="1:101" ht="15" x14ac:dyDescent="0.2">
      <c r="A861" s="47"/>
      <c r="B861" s="50"/>
      <c r="C861" s="47" t="s">
        <v>733</v>
      </c>
      <c r="D861" s="49" t="s">
        <v>428</v>
      </c>
      <c r="E861" s="54"/>
      <c r="F861" s="50"/>
      <c r="G861" s="50">
        <f>Source!V315</f>
        <v>9.1874999999999995E-3</v>
      </c>
      <c r="H861" s="50"/>
      <c r="I861" s="50"/>
      <c r="J861" s="50"/>
      <c r="K861" s="50"/>
      <c r="L861" s="55">
        <f>SUMIF(CE862:CE865, 1, L862:L865)</f>
        <v>6.6099999999999994</v>
      </c>
      <c r="CE861">
        <v>1</v>
      </c>
    </row>
    <row r="862" spans="1:101" ht="42.75" x14ac:dyDescent="0.2">
      <c r="A862" s="48"/>
      <c r="B862" s="48" t="s">
        <v>431</v>
      </c>
      <c r="C862" s="48" t="s">
        <v>433</v>
      </c>
      <c r="D862" s="49" t="s">
        <v>434</v>
      </c>
      <c r="E862" s="50">
        <v>5.0000000000000001E-3</v>
      </c>
      <c r="F862" s="50">
        <f>ROUND(1.25,7)</f>
        <v>1.25</v>
      </c>
      <c r="G862" s="50">
        <f>SmtRes!CX233</f>
        <v>1.3125000000000001E-3</v>
      </c>
      <c r="H862" s="52">
        <f>SmtRes!CZ233</f>
        <v>37.32</v>
      </c>
      <c r="I862" s="51">
        <f>SmtRes!AJ233</f>
        <v>1.57</v>
      </c>
      <c r="J862" s="52">
        <f>ROUND(H862*I862, 2)</f>
        <v>58.59</v>
      </c>
      <c r="K862" s="51"/>
      <c r="L862" s="52">
        <f>SmtRes!DG233</f>
        <v>0.08</v>
      </c>
    </row>
    <row r="863" spans="1:101" ht="28.5" x14ac:dyDescent="0.2">
      <c r="A863" s="48"/>
      <c r="B863" s="48" t="s">
        <v>435</v>
      </c>
      <c r="C863" s="48" t="s">
        <v>732</v>
      </c>
      <c r="D863" s="49" t="s">
        <v>428</v>
      </c>
      <c r="E863" s="50">
        <f>SmtRes!DO233*SmtRes!AT233</f>
        <v>5.0000000000000001E-3</v>
      </c>
      <c r="F863" s="50">
        <f>ROUND(1.25,7)</f>
        <v>1.25</v>
      </c>
      <c r="G863" s="50">
        <f>ROUND(E863*F863*G855, 7)</f>
        <v>1.3125000000000001E-3</v>
      </c>
      <c r="H863" s="52"/>
      <c r="I863" s="51"/>
      <c r="J863" s="52">
        <f>ROUND(SmtRes!AG233/SmtRes!DO233, 2)</f>
        <v>649.24</v>
      </c>
      <c r="K863" s="51"/>
      <c r="L863" s="52">
        <f>SmtRes!DH233</f>
        <v>0.85</v>
      </c>
      <c r="CE863">
        <v>1</v>
      </c>
    </row>
    <row r="864" spans="1:101" ht="28.5" x14ac:dyDescent="0.2">
      <c r="A864" s="48"/>
      <c r="B864" s="48" t="s">
        <v>463</v>
      </c>
      <c r="C864" s="48" t="s">
        <v>465</v>
      </c>
      <c r="D864" s="49" t="s">
        <v>434</v>
      </c>
      <c r="E864" s="50">
        <v>0.03</v>
      </c>
      <c r="F864" s="50">
        <f>ROUND(1.25,7)</f>
        <v>1.25</v>
      </c>
      <c r="G864" s="50">
        <f>SmtRes!CX234</f>
        <v>7.8750000000000001E-3</v>
      </c>
      <c r="H864" s="52"/>
      <c r="I864" s="51"/>
      <c r="J864" s="52">
        <f>SmtRes!CZ234</f>
        <v>544.91999999999996</v>
      </c>
      <c r="K864" s="51"/>
      <c r="L864" s="52">
        <f>SmtRes!DG234</f>
        <v>4.29</v>
      </c>
    </row>
    <row r="865" spans="1:83" ht="28.5" x14ac:dyDescent="0.2">
      <c r="A865" s="48"/>
      <c r="B865" s="48" t="s">
        <v>466</v>
      </c>
      <c r="C865" s="48" t="s">
        <v>747</v>
      </c>
      <c r="D865" s="49" t="s">
        <v>428</v>
      </c>
      <c r="E865" s="50">
        <f>SmtRes!DO234*SmtRes!AT234</f>
        <v>0.03</v>
      </c>
      <c r="F865" s="50">
        <f>ROUND(1.25,7)</f>
        <v>1.25</v>
      </c>
      <c r="G865" s="50">
        <f>ROUND(E865*F865*G855, 7)</f>
        <v>7.8750000000000001E-3</v>
      </c>
      <c r="H865" s="52"/>
      <c r="I865" s="51"/>
      <c r="J865" s="52">
        <f>ROUND(SmtRes!AG234/SmtRes!DO234, 2)</f>
        <v>731.08</v>
      </c>
      <c r="K865" s="51"/>
      <c r="L865" s="52">
        <f>SmtRes!DH234</f>
        <v>5.76</v>
      </c>
      <c r="CE865">
        <v>1</v>
      </c>
    </row>
    <row r="866" spans="1:83" ht="15" x14ac:dyDescent="0.2">
      <c r="A866" s="47"/>
      <c r="B866" s="50">
        <v>4</v>
      </c>
      <c r="C866" s="47" t="s">
        <v>742</v>
      </c>
      <c r="D866" s="49"/>
      <c r="E866" s="54"/>
      <c r="F866" s="50"/>
      <c r="G866" s="50"/>
      <c r="H866" s="50"/>
      <c r="I866" s="50"/>
      <c r="J866" s="50"/>
      <c r="K866" s="50"/>
      <c r="L866" s="55">
        <f>SUM(L867:L867)-SUMIF(CE867:CE867, 1, L867:L867)</f>
        <v>215.83</v>
      </c>
    </row>
    <row r="867" spans="1:83" ht="14.25" x14ac:dyDescent="0.2">
      <c r="A867" s="48"/>
      <c r="B867" s="48" t="s">
        <v>598</v>
      </c>
      <c r="C867" s="48" t="s">
        <v>600</v>
      </c>
      <c r="D867" s="49" t="s">
        <v>96</v>
      </c>
      <c r="E867" s="50">
        <v>5.15</v>
      </c>
      <c r="F867" s="50"/>
      <c r="G867" s="50">
        <f>SmtRes!CX235</f>
        <v>1.0814999999999999</v>
      </c>
      <c r="H867" s="52">
        <f>SmtRes!CZ235</f>
        <v>113.39</v>
      </c>
      <c r="I867" s="51">
        <f>SmtRes!AI235</f>
        <v>1.76</v>
      </c>
      <c r="J867" s="52">
        <f>ROUND(H867*I867, 2)</f>
        <v>199.57</v>
      </c>
      <c r="K867" s="51"/>
      <c r="L867" s="52">
        <f>SmtRes!DF235</f>
        <v>215.83</v>
      </c>
    </row>
    <row r="868" spans="1:83" ht="14.25" x14ac:dyDescent="0.2">
      <c r="A868" s="48"/>
      <c r="B868" s="48" t="str">
        <f>EtalonRes!I234</f>
        <v>11.3.03.06</v>
      </c>
      <c r="C868" s="56" t="str">
        <f>EtalonRes!K234</f>
        <v>Плинтуса для полов пластиковые</v>
      </c>
      <c r="D868" s="57" t="str">
        <f>EtalonRes!O234</f>
        <v>м</v>
      </c>
      <c r="E868" s="58">
        <f>EtalonRes!X234</f>
        <v>101</v>
      </c>
      <c r="F868" s="58"/>
      <c r="G868" s="58">
        <f>ROUND(EtalonRes!AG234*Source!I315, 7)</f>
        <v>21.21</v>
      </c>
      <c r="H868" s="59"/>
      <c r="I868" s="60"/>
      <c r="J868" s="59"/>
      <c r="K868" s="60"/>
      <c r="L868" s="59"/>
    </row>
    <row r="869" spans="1:83" ht="15" x14ac:dyDescent="0.2">
      <c r="A869" s="48"/>
      <c r="B869" s="48"/>
      <c r="C869" s="63" t="s">
        <v>734</v>
      </c>
      <c r="D869" s="49"/>
      <c r="E869" s="50"/>
      <c r="F869" s="50"/>
      <c r="G869" s="50"/>
      <c r="H869" s="52"/>
      <c r="I869" s="51"/>
      <c r="J869" s="52"/>
      <c r="K869" s="51"/>
      <c r="L869" s="52">
        <f>L858+L860+L861+L866</f>
        <v>1841.3199999999997</v>
      </c>
    </row>
    <row r="870" spans="1:83" ht="42.75" x14ac:dyDescent="0.2">
      <c r="A870" s="46" t="s">
        <v>845</v>
      </c>
      <c r="B870" s="48" t="str">
        <f>Source!F316</f>
        <v>ТЦ_59.00.00.00_77_7709980962_08.07.2026_02_2.1</v>
      </c>
      <c r="C870" s="48" t="s">
        <v>846</v>
      </c>
      <c r="D870" s="49" t="str">
        <f>Source!H316</f>
        <v>МП</v>
      </c>
      <c r="E870" s="50">
        <f>SmtRes!AT236</f>
        <v>101</v>
      </c>
      <c r="F870" s="50"/>
      <c r="G870" s="50">
        <f>Source!I316</f>
        <v>21.21</v>
      </c>
      <c r="H870" s="52"/>
      <c r="I870" s="51"/>
      <c r="J870" s="52">
        <f>Source!AK316</f>
        <v>978.5</v>
      </c>
      <c r="K870" s="51"/>
      <c r="L870" s="52">
        <f>Source!P316</f>
        <v>20753.990000000002</v>
      </c>
      <c r="AD870">
        <f>ROUND((Source!AT316/100)*((ROUND(ROUND(Source!AO316,2)*Source!I316, 2)+ROUND(ROUND(Source!AN316,2)*Source!I316, 2))), 2)</f>
        <v>0</v>
      </c>
      <c r="AE870">
        <f>ROUND((Source!AU316/100)*((ROUND(ROUND(Source!AO316,2)*Source!I316, 2)+ROUND(ROUND(Source!AN316,2)*Source!I316, 2))), 2)</f>
        <v>0</v>
      </c>
      <c r="AN870">
        <f>L870</f>
        <v>20753.990000000002</v>
      </c>
      <c r="AW870">
        <f>L870</f>
        <v>20753.990000000002</v>
      </c>
      <c r="AX870">
        <f>L870</f>
        <v>20753.990000000002</v>
      </c>
      <c r="AZ870">
        <f>Source!X316</f>
        <v>0</v>
      </c>
      <c r="BA870">
        <f>Source!Y316</f>
        <v>0</v>
      </c>
      <c r="CD870">
        <v>1</v>
      </c>
    </row>
    <row r="871" spans="1:83" ht="14.25" x14ac:dyDescent="0.2">
      <c r="A871" s="48"/>
      <c r="B871" s="48"/>
      <c r="C871" s="48" t="s">
        <v>735</v>
      </c>
      <c r="D871" s="49"/>
      <c r="E871" s="50"/>
      <c r="F871" s="50"/>
      <c r="G871" s="50"/>
      <c r="H871" s="52"/>
      <c r="I871" s="51"/>
      <c r="J871" s="52"/>
      <c r="K871" s="51"/>
      <c r="L871" s="52">
        <f>SUM(AR855:AR874)+SUM(AS855:AS874)+SUM(AT855:AT874)+SUM(AU855:AU874)+SUM(AV855:AV874)</f>
        <v>1621.12</v>
      </c>
    </row>
    <row r="872" spans="1:83" ht="28.5" x14ac:dyDescent="0.2">
      <c r="A872" s="48"/>
      <c r="B872" s="48" t="s">
        <v>820</v>
      </c>
      <c r="C872" s="48" t="s">
        <v>736</v>
      </c>
      <c r="D872" s="49" t="s">
        <v>737</v>
      </c>
      <c r="E872" s="50">
        <f>Source!BZ315</f>
        <v>112</v>
      </c>
      <c r="F872" s="50">
        <f>ROUND(0.9,7)</f>
        <v>0.9</v>
      </c>
      <c r="G872" s="50">
        <f>Source!AT315</f>
        <v>100.8</v>
      </c>
      <c r="H872" s="52"/>
      <c r="I872" s="51"/>
      <c r="J872" s="52"/>
      <c r="K872" s="51"/>
      <c r="L872" s="52">
        <f>SUM(AZ855:AZ874)</f>
        <v>1634.09</v>
      </c>
    </row>
    <row r="873" spans="1:83" ht="28.5" x14ac:dyDescent="0.2">
      <c r="A873" s="56"/>
      <c r="B873" s="56" t="s">
        <v>821</v>
      </c>
      <c r="C873" s="56" t="s">
        <v>738</v>
      </c>
      <c r="D873" s="57" t="s">
        <v>737</v>
      </c>
      <c r="E873" s="58">
        <f>Source!CA315</f>
        <v>65</v>
      </c>
      <c r="F873" s="58">
        <f>ROUND(0.85,7)</f>
        <v>0.85</v>
      </c>
      <c r="G873" s="58">
        <f>Source!AU315</f>
        <v>55.25</v>
      </c>
      <c r="H873" s="59"/>
      <c r="I873" s="60"/>
      <c r="J873" s="59"/>
      <c r="K873" s="60"/>
      <c r="L873" s="59">
        <f>SUM(BA855:BA874)</f>
        <v>895.67</v>
      </c>
    </row>
    <row r="874" spans="1:83" ht="15" x14ac:dyDescent="0.2">
      <c r="C874" s="124" t="s">
        <v>739</v>
      </c>
      <c r="D874" s="124"/>
      <c r="E874" s="124"/>
      <c r="F874" s="124"/>
      <c r="G874" s="124"/>
      <c r="H874" s="124"/>
      <c r="I874" s="125">
        <f>IF(E855&lt;&gt;0,K874/E855, 0)</f>
        <v>119643.19047619047</v>
      </c>
      <c r="J874" s="125"/>
      <c r="K874" s="125">
        <f>L858+L860+L866+L872+L873+L861+SUM(L870:L870)</f>
        <v>25125.07</v>
      </c>
      <c r="L874" s="125"/>
      <c r="AD874">
        <f>ROUND((Source!AT315/100)*((ROUND(SUMIF(SmtRes!AQ231:'SmtRes'!AQ236,"=1",SmtRes!AD231:'SmtRes'!AD236)*Source!I315, 2)+ROUND(SUMIF(SmtRes!AQ231:'SmtRes'!AQ236,"=1",SmtRes!AC231:'SmtRes'!AC236)*Source!I315, 2))), 2)</f>
        <v>449.26</v>
      </c>
      <c r="AE874">
        <f>ROUND((Source!AU315/100)*((ROUND(SUMIF(SmtRes!AQ231:'SmtRes'!AQ236,"=1",SmtRes!AD231:'SmtRes'!AD236)*Source!I315, 2)+ROUND(SUMIF(SmtRes!AQ231:'SmtRes'!AQ236,"=1",SmtRes!AC231:'SmtRes'!AC236)*Source!I315, 2))), 2)</f>
        <v>246.24</v>
      </c>
      <c r="AN874" s="61">
        <f>L858+L860+L866+L872+L873+L861</f>
        <v>4371.079999999999</v>
      </c>
      <c r="AO874" s="61">
        <f>L860</f>
        <v>4.3699999999999974</v>
      </c>
      <c r="AQ874" t="s">
        <v>740</v>
      </c>
      <c r="AR874" s="61">
        <f>L858</f>
        <v>1614.51</v>
      </c>
      <c r="AT874" s="61">
        <f>L861</f>
        <v>6.6099999999999994</v>
      </c>
      <c r="AV874" t="s">
        <v>740</v>
      </c>
      <c r="AW874" s="61">
        <f>L866</f>
        <v>215.83</v>
      </c>
      <c r="AZ874">
        <f>Source!X315</f>
        <v>1634.09</v>
      </c>
      <c r="BA874">
        <f>Source!Y315</f>
        <v>895.67</v>
      </c>
      <c r="CD874">
        <v>1</v>
      </c>
    </row>
    <row r="875" spans="1:83" ht="42.75" x14ac:dyDescent="0.2">
      <c r="A875" s="46" t="s">
        <v>319</v>
      </c>
      <c r="B875" s="48" t="s">
        <v>130</v>
      </c>
      <c r="C875" s="48" t="str">
        <f>Source!G317</f>
        <v>Погрузка в автотранспортное средство: мусор строительный с погрузкой вручную</v>
      </c>
      <c r="D875" s="49" t="str">
        <f>Source!H317</f>
        <v>1т груза</v>
      </c>
      <c r="E875" s="50">
        <f>Source!K317</f>
        <v>1.28</v>
      </c>
      <c r="F875" s="50"/>
      <c r="G875" s="50">
        <f>Source!I317</f>
        <v>1.28</v>
      </c>
      <c r="H875" s="52"/>
      <c r="I875" s="51"/>
      <c r="J875" s="52">
        <f>Source!AK317</f>
        <v>1490.12</v>
      </c>
      <c r="K875" s="51"/>
      <c r="L875" s="52">
        <f>Source!HD317</f>
        <v>1907.35</v>
      </c>
    </row>
    <row r="876" spans="1:83" x14ac:dyDescent="0.2">
      <c r="A876" s="72"/>
      <c r="B876" s="72"/>
      <c r="C876" s="73" t="str">
        <f>"Объем: "&amp;Source!I317&amp;"=0,96+"&amp;"0,32"</f>
        <v>Объем: 1,28=0,96+0,32</v>
      </c>
      <c r="D876" s="72"/>
      <c r="E876" s="72"/>
      <c r="F876" s="72"/>
      <c r="G876" s="72"/>
      <c r="H876" s="72"/>
      <c r="I876" s="72"/>
      <c r="J876" s="72"/>
      <c r="K876" s="72"/>
      <c r="L876" s="72"/>
    </row>
    <row r="877" spans="1:83" ht="15" x14ac:dyDescent="0.2">
      <c r="C877" s="124" t="s">
        <v>739</v>
      </c>
      <c r="D877" s="124"/>
      <c r="E877" s="124"/>
      <c r="F877" s="124"/>
      <c r="G877" s="124"/>
      <c r="H877" s="124"/>
      <c r="I877" s="125">
        <f>IF(E875&lt;&gt;0,K877/E875, 0)</f>
        <v>1490.1171875</v>
      </c>
      <c r="J877" s="125"/>
      <c r="K877" s="125">
        <f>L875</f>
        <v>1907.35</v>
      </c>
      <c r="L877" s="125"/>
      <c r="AD877">
        <f>ROUND((Source!AT317/100)*((ROUND(0*Source!I317, 2)+ROUND(0*Source!I317, 2))), 2)</f>
        <v>0</v>
      </c>
      <c r="AE877">
        <f>ROUND((Source!AU317/100)*((ROUND(0*Source!I317, 2)+ROUND(0*Source!I317, 2))), 2)</f>
        <v>0</v>
      </c>
      <c r="AN877" s="61">
        <f>L875</f>
        <v>1907.35</v>
      </c>
      <c r="AP877">
        <f>0</f>
        <v>0</v>
      </c>
      <c r="AQ877" t="s">
        <v>740</v>
      </c>
      <c r="AS877">
        <f>0</f>
        <v>0</v>
      </c>
      <c r="AU877">
        <f>0</f>
        <v>0</v>
      </c>
      <c r="AV877" t="s">
        <v>740</v>
      </c>
      <c r="AZ877">
        <f>Source!X317</f>
        <v>0</v>
      </c>
      <c r="BA877">
        <f>Source!Y317</f>
        <v>0</v>
      </c>
      <c r="BB877" s="61">
        <f>L875</f>
        <v>1907.35</v>
      </c>
      <c r="CD877">
        <v>1</v>
      </c>
    </row>
    <row r="878" spans="1:83" ht="128.25" x14ac:dyDescent="0.2">
      <c r="A878" s="65" t="s">
        <v>320</v>
      </c>
      <c r="B878" s="56" t="s">
        <v>138</v>
      </c>
      <c r="C878" s="56" t="str">
        <f>Source!G318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36 км</v>
      </c>
      <c r="D878" s="57" t="str">
        <f>Source!H318</f>
        <v>1т груза</v>
      </c>
      <c r="E878" s="58">
        <f>Source!K318</f>
        <v>0.6</v>
      </c>
      <c r="F878" s="58"/>
      <c r="G878" s="58">
        <f>Source!I318</f>
        <v>0.6</v>
      </c>
      <c r="H878" s="59"/>
      <c r="I878" s="60"/>
      <c r="J878" s="59">
        <f>Source!AK318</f>
        <v>519.79</v>
      </c>
      <c r="K878" s="60"/>
      <c r="L878" s="59">
        <f>Source!HD318</f>
        <v>311.87</v>
      </c>
    </row>
    <row r="879" spans="1:83" ht="15" x14ac:dyDescent="0.2">
      <c r="C879" s="124" t="s">
        <v>739</v>
      </c>
      <c r="D879" s="124"/>
      <c r="E879" s="124"/>
      <c r="F879" s="124"/>
      <c r="G879" s="124"/>
      <c r="H879" s="124"/>
      <c r="I879" s="125">
        <f>IF(E878&lt;&gt;0,K879/E878, 0)</f>
        <v>519.78333333333342</v>
      </c>
      <c r="J879" s="125"/>
      <c r="K879" s="125">
        <f>L878</f>
        <v>311.87</v>
      </c>
      <c r="L879" s="125"/>
      <c r="AD879">
        <f>ROUND((Source!AT318/100)*((ROUND(0*Source!I318, 2)+ROUND(0*Source!I318, 2))), 2)</f>
        <v>0</v>
      </c>
      <c r="AE879">
        <f>ROUND((Source!AU318/100)*((ROUND(0*Source!I318, 2)+ROUND(0*Source!I318, 2))), 2)</f>
        <v>0</v>
      </c>
      <c r="AN879" s="61">
        <f>L878</f>
        <v>311.87</v>
      </c>
      <c r="AP879">
        <f>0</f>
        <v>0</v>
      </c>
      <c r="AQ879" t="s">
        <v>740</v>
      </c>
      <c r="AS879">
        <f>0</f>
        <v>0</v>
      </c>
      <c r="AU879">
        <f>0</f>
        <v>0</v>
      </c>
      <c r="AV879" t="s">
        <v>740</v>
      </c>
      <c r="AZ879">
        <f>Source!X318</f>
        <v>0</v>
      </c>
      <c r="BA879">
        <f>Source!Y318</f>
        <v>0</v>
      </c>
      <c r="BB879" s="61">
        <f>L878</f>
        <v>311.87</v>
      </c>
      <c r="CD879">
        <v>1</v>
      </c>
    </row>
    <row r="881" spans="1:12" ht="15" x14ac:dyDescent="0.2">
      <c r="A881" s="67"/>
      <c r="B881" s="68"/>
      <c r="C881" s="129" t="s">
        <v>771</v>
      </c>
      <c r="D881" s="129"/>
      <c r="E881" s="129"/>
      <c r="F881" s="129"/>
      <c r="G881" s="129"/>
      <c r="H881" s="129"/>
      <c r="I881" s="55"/>
      <c r="J881" s="67"/>
      <c r="K881" s="69"/>
      <c r="L881" s="55">
        <f>L883+L884+L890+L894</f>
        <v>121937.48000000001</v>
      </c>
    </row>
    <row r="882" spans="1:12" ht="14.25" x14ac:dyDescent="0.2">
      <c r="A882" s="64"/>
      <c r="B882" s="66"/>
      <c r="C882" s="130" t="s">
        <v>772</v>
      </c>
      <c r="D882" s="131"/>
      <c r="E882" s="131"/>
      <c r="F882" s="131"/>
      <c r="G882" s="131"/>
      <c r="H882" s="131"/>
      <c r="I882" s="52"/>
      <c r="J882" s="64"/>
      <c r="K882" s="50"/>
      <c r="L882" s="52"/>
    </row>
    <row r="883" spans="1:12" ht="14.25" x14ac:dyDescent="0.2">
      <c r="A883" s="64"/>
      <c r="B883" s="66"/>
      <c r="C883" s="131" t="s">
        <v>773</v>
      </c>
      <c r="D883" s="131"/>
      <c r="E883" s="131"/>
      <c r="F883" s="131"/>
      <c r="G883" s="131"/>
      <c r="H883" s="131"/>
      <c r="I883" s="52"/>
      <c r="J883" s="64"/>
      <c r="K883" s="50"/>
      <c r="L883" s="52">
        <f>SUM(AR792:AR879)</f>
        <v>16615.84</v>
      </c>
    </row>
    <row r="884" spans="1:12" ht="14.25" hidden="1" x14ac:dyDescent="0.2">
      <c r="A884" s="64"/>
      <c r="B884" s="66"/>
      <c r="C884" s="131" t="s">
        <v>774</v>
      </c>
      <c r="D884" s="131"/>
      <c r="E884" s="131"/>
      <c r="F884" s="131"/>
      <c r="G884" s="131"/>
      <c r="H884" s="131"/>
      <c r="I884" s="52"/>
      <c r="J884" s="64"/>
      <c r="K884" s="50"/>
      <c r="L884" s="52">
        <f>L886+L889+L888</f>
        <v>3048.8799999999992</v>
      </c>
    </row>
    <row r="885" spans="1:12" ht="14.25" hidden="1" x14ac:dyDescent="0.2">
      <c r="A885" s="64"/>
      <c r="B885" s="66"/>
      <c r="C885" s="130" t="s">
        <v>775</v>
      </c>
      <c r="D885" s="131"/>
      <c r="E885" s="131"/>
      <c r="F885" s="131"/>
      <c r="G885" s="131"/>
      <c r="H885" s="131"/>
      <c r="I885" s="52"/>
      <c r="J885" s="64"/>
      <c r="K885" s="50"/>
      <c r="L885" s="52"/>
    </row>
    <row r="886" spans="1:12" ht="14.25" x14ac:dyDescent="0.2">
      <c r="A886" s="64"/>
      <c r="B886" s="66"/>
      <c r="C886" s="131" t="s">
        <v>774</v>
      </c>
      <c r="D886" s="131"/>
      <c r="E886" s="131"/>
      <c r="F886" s="131"/>
      <c r="G886" s="131"/>
      <c r="H886" s="131"/>
      <c r="I886" s="52"/>
      <c r="J886" s="64"/>
      <c r="K886" s="50"/>
      <c r="L886" s="52">
        <f>SUM(AO792:AO879)</f>
        <v>1050.4099999999996</v>
      </c>
    </row>
    <row r="887" spans="1:12" ht="14.25" hidden="1" x14ac:dyDescent="0.2">
      <c r="A887" s="64"/>
      <c r="B887" s="66"/>
      <c r="C887" s="130" t="s">
        <v>776</v>
      </c>
      <c r="D887" s="131"/>
      <c r="E887" s="131"/>
      <c r="F887" s="131"/>
      <c r="G887" s="131"/>
      <c r="H887" s="131"/>
      <c r="I887" s="52"/>
      <c r="J887" s="64"/>
      <c r="K887" s="50"/>
      <c r="L887" s="52"/>
    </row>
    <row r="888" spans="1:12" ht="14.25" x14ac:dyDescent="0.2">
      <c r="A888" s="64"/>
      <c r="B888" s="66"/>
      <c r="C888" s="131" t="s">
        <v>796</v>
      </c>
      <c r="D888" s="131"/>
      <c r="E888" s="131"/>
      <c r="F888" s="131"/>
      <c r="G888" s="131"/>
      <c r="H888" s="131"/>
      <c r="I888" s="52"/>
      <c r="J888" s="64"/>
      <c r="K888" s="50"/>
      <c r="L888" s="52">
        <f>SUM(AT792:AT879)</f>
        <v>1998.4699999999998</v>
      </c>
    </row>
    <row r="889" spans="1:12" ht="14.25" hidden="1" x14ac:dyDescent="0.2">
      <c r="A889" s="64"/>
      <c r="B889" s="66"/>
      <c r="C889" s="131" t="s">
        <v>777</v>
      </c>
      <c r="D889" s="131"/>
      <c r="E889" s="131"/>
      <c r="F889" s="131"/>
      <c r="G889" s="131"/>
      <c r="H889" s="131"/>
      <c r="I889" s="52"/>
      <c r="J889" s="64"/>
      <c r="K889" s="50"/>
      <c r="L889" s="52">
        <f>SUM(AV792:AV879)</f>
        <v>0</v>
      </c>
    </row>
    <row r="890" spans="1:12" ht="14.25" x14ac:dyDescent="0.2">
      <c r="A890" s="64"/>
      <c r="B890" s="66"/>
      <c r="C890" s="131" t="s">
        <v>778</v>
      </c>
      <c r="D890" s="131"/>
      <c r="E890" s="131"/>
      <c r="F890" s="131"/>
      <c r="G890" s="131"/>
      <c r="H890" s="131"/>
      <c r="I890" s="52"/>
      <c r="J890" s="64"/>
      <c r="K890" s="50"/>
      <c r="L890" s="52">
        <f>L892+L893</f>
        <v>100053.54000000001</v>
      </c>
    </row>
    <row r="891" spans="1:12" ht="14.25" x14ac:dyDescent="0.2">
      <c r="A891" s="64"/>
      <c r="B891" s="66"/>
      <c r="C891" s="130" t="s">
        <v>775</v>
      </c>
      <c r="D891" s="131"/>
      <c r="E891" s="131"/>
      <c r="F891" s="131"/>
      <c r="G891" s="131"/>
      <c r="H891" s="131"/>
      <c r="I891" s="52"/>
      <c r="J891" s="64"/>
      <c r="K891" s="50"/>
      <c r="L891" s="52"/>
    </row>
    <row r="892" spans="1:12" ht="14.25" x14ac:dyDescent="0.2">
      <c r="A892" s="64"/>
      <c r="B892" s="66"/>
      <c r="C892" s="131" t="s">
        <v>779</v>
      </c>
      <c r="D892" s="131"/>
      <c r="E892" s="131"/>
      <c r="F892" s="131"/>
      <c r="G892" s="131"/>
      <c r="H892" s="131"/>
      <c r="I892" s="52"/>
      <c r="J892" s="64"/>
      <c r="K892" s="50"/>
      <c r="L892" s="52">
        <f>SUM(AW792:AW879)-SUM(BK792:BK879)</f>
        <v>100053.54000000001</v>
      </c>
    </row>
    <row r="893" spans="1:12" ht="14.25" hidden="1" x14ac:dyDescent="0.2">
      <c r="A893" s="64"/>
      <c r="B893" s="66"/>
      <c r="C893" s="131" t="s">
        <v>780</v>
      </c>
      <c r="D893" s="131"/>
      <c r="E893" s="131"/>
      <c r="F893" s="131"/>
      <c r="G893" s="131"/>
      <c r="H893" s="131"/>
      <c r="I893" s="52"/>
      <c r="J893" s="64"/>
      <c r="K893" s="50"/>
      <c r="L893" s="52">
        <f>SUM(BC792:BC879)</f>
        <v>0</v>
      </c>
    </row>
    <row r="894" spans="1:12" ht="14.25" x14ac:dyDescent="0.2">
      <c r="A894" s="64"/>
      <c r="B894" s="66"/>
      <c r="C894" s="131" t="s">
        <v>781</v>
      </c>
      <c r="D894" s="131"/>
      <c r="E894" s="131"/>
      <c r="F894" s="131"/>
      <c r="G894" s="131"/>
      <c r="H894" s="131"/>
      <c r="I894" s="52"/>
      <c r="J894" s="64"/>
      <c r="K894" s="50"/>
      <c r="L894" s="52">
        <f>SUM(BB792:BB879)</f>
        <v>2219.2199999999998</v>
      </c>
    </row>
    <row r="895" spans="1:12" ht="14.25" x14ac:dyDescent="0.2">
      <c r="A895" s="64"/>
      <c r="B895" s="66"/>
      <c r="C895" s="131" t="s">
        <v>782</v>
      </c>
      <c r="D895" s="131"/>
      <c r="E895" s="131"/>
      <c r="F895" s="131"/>
      <c r="G895" s="131"/>
      <c r="H895" s="131"/>
      <c r="I895" s="52"/>
      <c r="J895" s="64"/>
      <c r="K895" s="50"/>
      <c r="L895" s="52">
        <f>SUM(AR792:AR879)+SUM(AT792:AT879)+SUM(AV792:AV879)</f>
        <v>18614.310000000001</v>
      </c>
    </row>
    <row r="896" spans="1:12" ht="14.25" x14ac:dyDescent="0.2">
      <c r="A896" s="64"/>
      <c r="B896" s="66"/>
      <c r="C896" s="131" t="s">
        <v>783</v>
      </c>
      <c r="D896" s="131"/>
      <c r="E896" s="131"/>
      <c r="F896" s="131"/>
      <c r="G896" s="131"/>
      <c r="H896" s="131"/>
      <c r="I896" s="52"/>
      <c r="J896" s="64"/>
      <c r="K896" s="50"/>
      <c r="L896" s="52">
        <f>SUM(AZ792:AZ879)</f>
        <v>18394.010000000002</v>
      </c>
    </row>
    <row r="897" spans="1:12" ht="14.25" x14ac:dyDescent="0.2">
      <c r="A897" s="64"/>
      <c r="B897" s="66"/>
      <c r="C897" s="131" t="s">
        <v>784</v>
      </c>
      <c r="D897" s="131"/>
      <c r="E897" s="131"/>
      <c r="F897" s="131"/>
      <c r="G897" s="131"/>
      <c r="H897" s="131"/>
      <c r="I897" s="52"/>
      <c r="J897" s="64"/>
      <c r="K897" s="50"/>
      <c r="L897" s="52">
        <f>SUM(BA792:BA879)</f>
        <v>10088.85</v>
      </c>
    </row>
    <row r="898" spans="1:12" ht="14.25" hidden="1" x14ac:dyDescent="0.2">
      <c r="A898" s="64"/>
      <c r="B898" s="66"/>
      <c r="C898" s="131" t="s">
        <v>785</v>
      </c>
      <c r="D898" s="131"/>
      <c r="E898" s="131"/>
      <c r="F898" s="131"/>
      <c r="G898" s="131"/>
      <c r="H898" s="131"/>
      <c r="I898" s="52"/>
      <c r="J898" s="64"/>
      <c r="K898" s="50"/>
      <c r="L898" s="52">
        <f>L900+L901</f>
        <v>0</v>
      </c>
    </row>
    <row r="899" spans="1:12" ht="14.25" hidden="1" x14ac:dyDescent="0.2">
      <c r="A899" s="64"/>
      <c r="B899" s="66"/>
      <c r="C899" s="130" t="s">
        <v>772</v>
      </c>
      <c r="D899" s="131"/>
      <c r="E899" s="131"/>
      <c r="F899" s="131"/>
      <c r="G899" s="131"/>
      <c r="H899" s="131"/>
      <c r="I899" s="52"/>
      <c r="J899" s="64"/>
      <c r="K899" s="50"/>
      <c r="L899" s="52"/>
    </row>
    <row r="900" spans="1:12" ht="14.25" hidden="1" x14ac:dyDescent="0.2">
      <c r="A900" s="64"/>
      <c r="B900" s="66"/>
      <c r="C900" s="131" t="s">
        <v>786</v>
      </c>
      <c r="D900" s="131"/>
      <c r="E900" s="131"/>
      <c r="F900" s="131"/>
      <c r="G900" s="131"/>
      <c r="H900" s="131"/>
      <c r="I900" s="52"/>
      <c r="J900" s="64"/>
      <c r="K900" s="50"/>
      <c r="L900" s="52">
        <f>SUM(BK792:BK879)</f>
        <v>0</v>
      </c>
    </row>
    <row r="901" spans="1:12" ht="14.25" hidden="1" x14ac:dyDescent="0.2">
      <c r="A901" s="64"/>
      <c r="B901" s="66"/>
      <c r="C901" s="131" t="s">
        <v>787</v>
      </c>
      <c r="D901" s="131"/>
      <c r="E901" s="131"/>
      <c r="F901" s="131"/>
      <c r="G901" s="131"/>
      <c r="H901" s="131"/>
      <c r="I901" s="52"/>
      <c r="J901" s="64"/>
      <c r="K901" s="50"/>
      <c r="L901" s="52">
        <f>SUM(BD792:BD879)</f>
        <v>0</v>
      </c>
    </row>
    <row r="902" spans="1:12" ht="14.25" hidden="1" x14ac:dyDescent="0.2">
      <c r="A902" s="64"/>
      <c r="B902" s="66"/>
      <c r="C902" s="131" t="s">
        <v>788</v>
      </c>
      <c r="D902" s="131"/>
      <c r="E902" s="131"/>
      <c r="F902" s="131"/>
      <c r="G902" s="131"/>
      <c r="H902" s="131"/>
      <c r="I902" s="52"/>
      <c r="J902" s="64"/>
      <c r="K902" s="50"/>
      <c r="L902" s="52"/>
    </row>
    <row r="903" spans="1:12" ht="14.25" hidden="1" x14ac:dyDescent="0.2">
      <c r="A903" s="64"/>
      <c r="B903" s="66"/>
      <c r="C903" s="131" t="s">
        <v>788</v>
      </c>
      <c r="D903" s="131"/>
      <c r="E903" s="131"/>
      <c r="F903" s="131"/>
      <c r="G903" s="131"/>
      <c r="H903" s="131"/>
      <c r="I903" s="52"/>
      <c r="J903" s="64"/>
      <c r="K903" s="50"/>
      <c r="L903" s="52">
        <f>SUM(BQ792:BQ879)</f>
        <v>0</v>
      </c>
    </row>
    <row r="904" spans="1:12" ht="14.25" hidden="1" x14ac:dyDescent="0.2">
      <c r="A904" s="64"/>
      <c r="B904" s="66"/>
      <c r="C904" s="131" t="s">
        <v>789</v>
      </c>
      <c r="D904" s="131"/>
      <c r="E904" s="131"/>
      <c r="F904" s="131"/>
      <c r="G904" s="131"/>
      <c r="H904" s="131"/>
      <c r="I904" s="52"/>
      <c r="J904" s="64"/>
      <c r="K904" s="50"/>
      <c r="L904" s="52">
        <f>SUM(BO792:BO879)</f>
        <v>0</v>
      </c>
    </row>
    <row r="905" spans="1:12" ht="15" x14ac:dyDescent="0.2">
      <c r="A905" s="67"/>
      <c r="B905" s="68"/>
      <c r="C905" s="129" t="s">
        <v>790</v>
      </c>
      <c r="D905" s="129"/>
      <c r="E905" s="129"/>
      <c r="F905" s="129"/>
      <c r="G905" s="129"/>
      <c r="H905" s="129"/>
      <c r="I905" s="55"/>
      <c r="J905" s="67"/>
      <c r="K905" s="69"/>
      <c r="L905" s="55">
        <f>L881+L896+L897+L898+L903+L904</f>
        <v>150420.34000000003</v>
      </c>
    </row>
    <row r="906" spans="1:12" ht="14.25" x14ac:dyDescent="0.2">
      <c r="A906" s="64"/>
      <c r="B906" s="66"/>
      <c r="C906" s="130" t="s">
        <v>791</v>
      </c>
      <c r="D906" s="131"/>
      <c r="E906" s="131"/>
      <c r="F906" s="131"/>
      <c r="G906" s="131"/>
      <c r="H906" s="131"/>
      <c r="I906" s="52"/>
      <c r="J906" s="64"/>
      <c r="K906" s="50"/>
      <c r="L906" s="52"/>
    </row>
    <row r="907" spans="1:12" ht="14.25" x14ac:dyDescent="0.2">
      <c r="A907" s="64"/>
      <c r="B907" s="66"/>
      <c r="C907" s="131" t="s">
        <v>792</v>
      </c>
      <c r="D907" s="131"/>
      <c r="E907" s="131"/>
      <c r="F907" s="131"/>
      <c r="G907" s="131"/>
      <c r="H907" s="131"/>
      <c r="I907" s="52"/>
      <c r="J907" s="64"/>
      <c r="K907" s="50"/>
      <c r="L907" s="52">
        <f>SUM(AX792:AX879)</f>
        <v>88252.700000000012</v>
      </c>
    </row>
    <row r="908" spans="1:12" ht="14.25" hidden="1" x14ac:dyDescent="0.2">
      <c r="A908" s="64"/>
      <c r="B908" s="66"/>
      <c r="C908" s="131" t="s">
        <v>793</v>
      </c>
      <c r="D908" s="131"/>
      <c r="E908" s="131"/>
      <c r="F908" s="131"/>
      <c r="G908" s="131"/>
      <c r="H908" s="131"/>
      <c r="I908" s="52"/>
      <c r="J908" s="64"/>
      <c r="K908" s="50"/>
      <c r="L908" s="52">
        <f>SUM(AY792:AY879)</f>
        <v>0</v>
      </c>
    </row>
    <row r="909" spans="1:12" ht="14.25" x14ac:dyDescent="0.2">
      <c r="A909" s="64"/>
      <c r="B909" s="66"/>
      <c r="C909" s="131" t="s">
        <v>794</v>
      </c>
      <c r="D909" s="131"/>
      <c r="E909" s="131"/>
      <c r="F909" s="132"/>
      <c r="G909" s="54">
        <f>Source!F342</f>
        <v>26.184915</v>
      </c>
      <c r="H909" s="64"/>
      <c r="I909" s="64"/>
      <c r="J909" s="64"/>
      <c r="K909" s="64"/>
      <c r="L909" s="64"/>
    </row>
    <row r="910" spans="1:12" ht="14.25" x14ac:dyDescent="0.2">
      <c r="A910" s="64"/>
      <c r="B910" s="66"/>
      <c r="C910" s="131" t="s">
        <v>795</v>
      </c>
      <c r="D910" s="131"/>
      <c r="E910" s="131"/>
      <c r="F910" s="132"/>
      <c r="G910" s="54">
        <f>Source!F343</f>
        <v>2.7391874999999999</v>
      </c>
      <c r="H910" s="64"/>
      <c r="I910" s="64"/>
      <c r="J910" s="64"/>
      <c r="K910" s="64"/>
      <c r="L910" s="64"/>
    </row>
    <row r="913" spans="1:83" ht="16.5" x14ac:dyDescent="0.2">
      <c r="A913" s="123" t="s">
        <v>847</v>
      </c>
      <c r="B913" s="123"/>
      <c r="C913" s="123"/>
      <c r="D913" s="123"/>
      <c r="E913" s="123"/>
      <c r="F913" s="123"/>
      <c r="G913" s="123"/>
      <c r="H913" s="123"/>
      <c r="I913" s="123"/>
      <c r="J913" s="123"/>
      <c r="K913" s="123"/>
      <c r="L913" s="123"/>
    </row>
    <row r="914" spans="1:83" ht="28.5" x14ac:dyDescent="0.2">
      <c r="A914" s="46" t="s">
        <v>322</v>
      </c>
      <c r="B914" s="48" t="s">
        <v>848</v>
      </c>
      <c r="C914" s="48" t="str">
        <f>Source!G354</f>
        <v>Ремонт штукатурки фасадов сухой растворной смесью</v>
      </c>
      <c r="D914" s="49" t="str">
        <f>Source!H354</f>
        <v>100 м2</v>
      </c>
      <c r="E914" s="50">
        <f>Source!K354</f>
        <v>0.22</v>
      </c>
      <c r="F914" s="50"/>
      <c r="G914" s="50">
        <f>Source!I354</f>
        <v>0.22</v>
      </c>
      <c r="H914" s="52"/>
      <c r="I914" s="51"/>
      <c r="J914" s="52"/>
      <c r="K914" s="51"/>
      <c r="L914" s="52"/>
    </row>
    <row r="915" spans="1:83" x14ac:dyDescent="0.2">
      <c r="C915" s="53" t="str">
        <f>"Объем: "&amp;Source!I354&amp;"=22/"&amp;"100"</f>
        <v>Объем: 0,22=22/100</v>
      </c>
    </row>
    <row r="916" spans="1:83" ht="15" x14ac:dyDescent="0.2">
      <c r="A916" s="47"/>
      <c r="B916" s="50">
        <v>1</v>
      </c>
      <c r="C916" s="47" t="s">
        <v>730</v>
      </c>
      <c r="D916" s="49" t="s">
        <v>428</v>
      </c>
      <c r="E916" s="54"/>
      <c r="F916" s="50"/>
      <c r="G916" s="50">
        <f>Source!U354</f>
        <v>13.840199999999999</v>
      </c>
      <c r="H916" s="50"/>
      <c r="I916" s="50"/>
      <c r="J916" s="50"/>
      <c r="K916" s="50"/>
      <c r="L916" s="55">
        <f>SUM(L917:L917)-SUMIF(CE917:CE917, 1, L917:L917)</f>
        <v>11175.41</v>
      </c>
    </row>
    <row r="917" spans="1:83" ht="14.25" x14ac:dyDescent="0.2">
      <c r="A917" s="48"/>
      <c r="B917" s="48" t="s">
        <v>602</v>
      </c>
      <c r="C917" s="48" t="s">
        <v>603</v>
      </c>
      <c r="D917" s="49" t="s">
        <v>428</v>
      </c>
      <c r="E917" s="50">
        <v>62.91</v>
      </c>
      <c r="F917" s="50"/>
      <c r="G917" s="50">
        <f>SmtRes!CX237</f>
        <v>13.840199999999999</v>
      </c>
      <c r="H917" s="52"/>
      <c r="I917" s="51"/>
      <c r="J917" s="52">
        <f>SmtRes!CZ237</f>
        <v>807.46</v>
      </c>
      <c r="K917" s="51"/>
      <c r="L917" s="52">
        <f>SmtRes!DI237</f>
        <v>11175.41</v>
      </c>
    </row>
    <row r="918" spans="1:83" ht="15" x14ac:dyDescent="0.2">
      <c r="A918" s="47"/>
      <c r="B918" s="50">
        <v>2</v>
      </c>
      <c r="C918" s="47" t="s">
        <v>731</v>
      </c>
      <c r="D918" s="49"/>
      <c r="E918" s="54"/>
      <c r="F918" s="50"/>
      <c r="G918" s="50"/>
      <c r="H918" s="50"/>
      <c r="I918" s="50"/>
      <c r="J918" s="50"/>
      <c r="K918" s="50"/>
      <c r="L918" s="55">
        <f>SUM(L919:L923)-SUMIF(CE919:CE923, 1, L919:L923)</f>
        <v>12.079999999999927</v>
      </c>
    </row>
    <row r="919" spans="1:83" ht="15" x14ac:dyDescent="0.2">
      <c r="A919" s="47"/>
      <c r="B919" s="50"/>
      <c r="C919" s="47" t="s">
        <v>733</v>
      </c>
      <c r="D919" s="49" t="s">
        <v>428</v>
      </c>
      <c r="E919" s="54"/>
      <c r="F919" s="50"/>
      <c r="G919" s="50">
        <f>Source!V354</f>
        <v>1.3661999999999999</v>
      </c>
      <c r="H919" s="50"/>
      <c r="I919" s="50"/>
      <c r="J919" s="50"/>
      <c r="K919" s="50"/>
      <c r="L919" s="55">
        <f>SUMIF(CE920:CE923, 1, L920:L923)</f>
        <v>886.99</v>
      </c>
      <c r="CE919">
        <v>1</v>
      </c>
    </row>
    <row r="920" spans="1:83" ht="42.75" x14ac:dyDescent="0.2">
      <c r="A920" s="48"/>
      <c r="B920" s="48" t="s">
        <v>431</v>
      </c>
      <c r="C920" s="48" t="s">
        <v>433</v>
      </c>
      <c r="D920" s="49" t="s">
        <v>434</v>
      </c>
      <c r="E920" s="50">
        <v>0.56999999999999995</v>
      </c>
      <c r="F920" s="50"/>
      <c r="G920" s="50">
        <f>SmtRes!CX239</f>
        <v>0.12540000000000001</v>
      </c>
      <c r="H920" s="52">
        <f>SmtRes!CZ239</f>
        <v>37.32</v>
      </c>
      <c r="I920" s="51">
        <f>SmtRes!AJ239</f>
        <v>1.57</v>
      </c>
      <c r="J920" s="52">
        <f>ROUND(H920*I920, 2)</f>
        <v>58.59</v>
      </c>
      <c r="K920" s="51"/>
      <c r="L920" s="52">
        <f>SmtRes!DG239</f>
        <v>7.35</v>
      </c>
    </row>
    <row r="921" spans="1:83" ht="28.5" x14ac:dyDescent="0.2">
      <c r="A921" s="48"/>
      <c r="B921" s="48" t="s">
        <v>435</v>
      </c>
      <c r="C921" s="48" t="s">
        <v>732</v>
      </c>
      <c r="D921" s="49" t="s">
        <v>428</v>
      </c>
      <c r="E921" s="50">
        <f>SmtRes!DO239*SmtRes!AT239</f>
        <v>0.56999999999999995</v>
      </c>
      <c r="F921" s="50"/>
      <c r="G921" s="50">
        <f>ROUND(E921*G914, 7)</f>
        <v>0.12540000000000001</v>
      </c>
      <c r="H921" s="52"/>
      <c r="I921" s="51"/>
      <c r="J921" s="52">
        <f>ROUND(SmtRes!AG239/SmtRes!DO239, 2)</f>
        <v>649.24</v>
      </c>
      <c r="K921" s="51"/>
      <c r="L921" s="52">
        <f>SmtRes!DH239</f>
        <v>81.41</v>
      </c>
      <c r="CE921">
        <v>1</v>
      </c>
    </row>
    <row r="922" spans="1:83" ht="28.5" x14ac:dyDescent="0.2">
      <c r="A922" s="48"/>
      <c r="B922" s="48" t="s">
        <v>527</v>
      </c>
      <c r="C922" s="48" t="s">
        <v>529</v>
      </c>
      <c r="D922" s="49" t="s">
        <v>434</v>
      </c>
      <c r="E922" s="50">
        <v>5.64</v>
      </c>
      <c r="F922" s="50"/>
      <c r="G922" s="50">
        <f>SmtRes!CX240</f>
        <v>1.2407999999999999</v>
      </c>
      <c r="H922" s="52">
        <f>SmtRes!CZ240</f>
        <v>2.31</v>
      </c>
      <c r="I922" s="51">
        <f>SmtRes!AJ240</f>
        <v>1.65</v>
      </c>
      <c r="J922" s="52">
        <f>ROUND(H922*I922, 2)</f>
        <v>3.81</v>
      </c>
      <c r="K922" s="51"/>
      <c r="L922" s="52">
        <f>SmtRes!DG240</f>
        <v>4.7300000000000004</v>
      </c>
    </row>
    <row r="923" spans="1:83" ht="28.5" x14ac:dyDescent="0.2">
      <c r="A923" s="48"/>
      <c r="B923" s="48" t="s">
        <v>435</v>
      </c>
      <c r="C923" s="48" t="s">
        <v>732</v>
      </c>
      <c r="D923" s="49" t="s">
        <v>428</v>
      </c>
      <c r="E923" s="50">
        <f>SmtRes!DO240*SmtRes!AT240</f>
        <v>5.64</v>
      </c>
      <c r="F923" s="50"/>
      <c r="G923" s="50">
        <f>ROUND(E923*G914, 7)</f>
        <v>1.2407999999999999</v>
      </c>
      <c r="H923" s="52"/>
      <c r="I923" s="51"/>
      <c r="J923" s="52">
        <f>ROUND(SmtRes!AG240/SmtRes!DO240, 2)</f>
        <v>649.24</v>
      </c>
      <c r="K923" s="51"/>
      <c r="L923" s="52">
        <f>SmtRes!DH240</f>
        <v>805.58</v>
      </c>
      <c r="CE923">
        <v>1</v>
      </c>
    </row>
    <row r="924" spans="1:83" ht="15" x14ac:dyDescent="0.2">
      <c r="A924" s="47"/>
      <c r="B924" s="50">
        <v>4</v>
      </c>
      <c r="C924" s="47" t="s">
        <v>742</v>
      </c>
      <c r="D924" s="49"/>
      <c r="E924" s="54"/>
      <c r="F924" s="50"/>
      <c r="G924" s="50"/>
      <c r="H924" s="50"/>
      <c r="I924" s="50"/>
      <c r="J924" s="50"/>
      <c r="K924" s="50"/>
      <c r="L924" s="55">
        <f>SUM(L925:L927)-SUMIF(CE925:CE927, 1, L925:L927)</f>
        <v>1219.6500000000001</v>
      </c>
    </row>
    <row r="925" spans="1:83" ht="14.25" x14ac:dyDescent="0.2">
      <c r="A925" s="48"/>
      <c r="B925" s="48" t="s">
        <v>467</v>
      </c>
      <c r="C925" s="48" t="s">
        <v>469</v>
      </c>
      <c r="D925" s="49" t="s">
        <v>34</v>
      </c>
      <c r="E925" s="50">
        <v>0.41</v>
      </c>
      <c r="F925" s="50"/>
      <c r="G925" s="50">
        <f>SmtRes!CX241</f>
        <v>9.0200000000000002E-2</v>
      </c>
      <c r="H925" s="52">
        <f>SmtRes!CZ241</f>
        <v>35.71</v>
      </c>
      <c r="I925" s="51">
        <f>SmtRes!AI241</f>
        <v>1.53</v>
      </c>
      <c r="J925" s="52">
        <f>ROUND(H925*I925, 2)</f>
        <v>54.64</v>
      </c>
      <c r="K925" s="51"/>
      <c r="L925" s="52">
        <f>SmtRes!DF241</f>
        <v>4.93</v>
      </c>
    </row>
    <row r="926" spans="1:83" ht="28.5" x14ac:dyDescent="0.2">
      <c r="A926" s="48"/>
      <c r="B926" s="48" t="s">
        <v>567</v>
      </c>
      <c r="C926" s="48" t="s">
        <v>569</v>
      </c>
      <c r="D926" s="49" t="s">
        <v>60</v>
      </c>
      <c r="E926" s="50">
        <v>2</v>
      </c>
      <c r="F926" s="50"/>
      <c r="G926" s="50">
        <f>SmtRes!CX242</f>
        <v>0.44</v>
      </c>
      <c r="H926" s="52">
        <f>SmtRes!CZ242</f>
        <v>531.44000000000005</v>
      </c>
      <c r="I926" s="51">
        <f>SmtRes!AI242</f>
        <v>1.35</v>
      </c>
      <c r="J926" s="52">
        <f>ROUND(H926*I926, 2)</f>
        <v>717.44</v>
      </c>
      <c r="K926" s="51"/>
      <c r="L926" s="52">
        <f>SmtRes!DF242</f>
        <v>315.67</v>
      </c>
    </row>
    <row r="927" spans="1:83" ht="14.25" x14ac:dyDescent="0.2">
      <c r="A927" s="48"/>
      <c r="B927" s="48" t="s">
        <v>604</v>
      </c>
      <c r="C927" s="48" t="s">
        <v>606</v>
      </c>
      <c r="D927" s="49" t="s">
        <v>30</v>
      </c>
      <c r="E927" s="50">
        <v>0.01</v>
      </c>
      <c r="F927" s="50"/>
      <c r="G927" s="50">
        <f>SmtRes!CX244</f>
        <v>2.2000000000000001E-3</v>
      </c>
      <c r="H927" s="52">
        <f>SmtRes!CZ244</f>
        <v>215084.63</v>
      </c>
      <c r="I927" s="51">
        <f>SmtRes!AI244</f>
        <v>1.9</v>
      </c>
      <c r="J927" s="52">
        <f>ROUND(H927*I927, 2)</f>
        <v>408660.8</v>
      </c>
      <c r="K927" s="51"/>
      <c r="L927" s="52">
        <f>SmtRes!DF244</f>
        <v>899.05</v>
      </c>
    </row>
    <row r="928" spans="1:83" ht="14.25" x14ac:dyDescent="0.2">
      <c r="A928" s="48"/>
      <c r="B928" s="48" t="str">
        <f>EtalonRes!I242</f>
        <v>04.3.02.09</v>
      </c>
      <c r="C928" s="56" t="str">
        <f>EtalonRes!K242</f>
        <v>Смеси на цементной основе</v>
      </c>
      <c r="D928" s="57" t="str">
        <f>EtalonRes!O242</f>
        <v>т</v>
      </c>
      <c r="E928" s="58">
        <f>EtalonRes!X242</f>
        <v>0.54</v>
      </c>
      <c r="F928" s="58"/>
      <c r="G928" s="58">
        <f>ROUND(EtalonRes!AG242*Source!I354, 7)</f>
        <v>0.1188</v>
      </c>
      <c r="H928" s="59"/>
      <c r="I928" s="60"/>
      <c r="J928" s="59"/>
      <c r="K928" s="60"/>
      <c r="L928" s="59"/>
    </row>
    <row r="929" spans="1:83" ht="15" x14ac:dyDescent="0.2">
      <c r="A929" s="48"/>
      <c r="B929" s="48"/>
      <c r="C929" s="63" t="s">
        <v>734</v>
      </c>
      <c r="D929" s="49"/>
      <c r="E929" s="50"/>
      <c r="F929" s="50"/>
      <c r="G929" s="50"/>
      <c r="H929" s="52"/>
      <c r="I929" s="51"/>
      <c r="J929" s="52"/>
      <c r="K929" s="51"/>
      <c r="L929" s="52">
        <f>L916+L918+L919+L924</f>
        <v>13294.13</v>
      </c>
    </row>
    <row r="930" spans="1:83" ht="42.75" x14ac:dyDescent="0.2">
      <c r="A930" s="46" t="s">
        <v>849</v>
      </c>
      <c r="B930" s="48" t="str">
        <f>Source!F355</f>
        <v>04.3.02.09-1015</v>
      </c>
      <c r="C930" s="48" t="str">
        <f>Source!G355</f>
        <v>Смеси сухие штукатурно-клеевые на цементной основе для наружных и внутренних работ, фракции 1,5 мм</v>
      </c>
      <c r="D930" s="49" t="str">
        <f>Source!H355</f>
        <v>кг</v>
      </c>
      <c r="E930" s="50">
        <f>SmtRes!AT243</f>
        <v>540</v>
      </c>
      <c r="F930" s="50"/>
      <c r="G930" s="50">
        <f>Source!I355</f>
        <v>118.8</v>
      </c>
      <c r="H930" s="52">
        <f>Source!AL355+Source!AO355+Source!AM355+Source!AN355</f>
        <v>19.16</v>
      </c>
      <c r="I930" s="51">
        <f>IF(Source!BC355&lt;&gt; 0, Source!BC355, 1)</f>
        <v>1.5</v>
      </c>
      <c r="J930" s="52">
        <f>ROUND(H930*I930, 2)</f>
        <v>28.74</v>
      </c>
      <c r="K930" s="51"/>
      <c r="L930" s="52">
        <f>Source!P355</f>
        <v>3414.31</v>
      </c>
      <c r="AD930">
        <f>ROUND((Source!AT355/100)*((ROUND(ROUND(Source!AO355,2)*Source!I355, 2)+ROUND(ROUND(Source!AN355,2)*Source!I355, 2))), 2)</f>
        <v>0</v>
      </c>
      <c r="AE930">
        <f>ROUND((Source!AU355/100)*((ROUND(ROUND(Source!AO355,2)*Source!I355, 2)+ROUND(ROUND(Source!AN355,2)*Source!I355, 2))), 2)</f>
        <v>0</v>
      </c>
      <c r="AN930">
        <f>L930</f>
        <v>3414.31</v>
      </c>
      <c r="AW930">
        <f>L930</f>
        <v>3414.31</v>
      </c>
      <c r="AZ930">
        <f>Source!X355</f>
        <v>0</v>
      </c>
      <c r="BA930">
        <f>Source!Y355</f>
        <v>0</v>
      </c>
      <c r="CD930">
        <v>1</v>
      </c>
    </row>
    <row r="931" spans="1:83" ht="14.25" x14ac:dyDescent="0.2">
      <c r="A931" s="48"/>
      <c r="B931" s="48"/>
      <c r="C931" s="48" t="s">
        <v>735</v>
      </c>
      <c r="D931" s="49"/>
      <c r="E931" s="50"/>
      <c r="F931" s="50"/>
      <c r="G931" s="50"/>
      <c r="H931" s="52"/>
      <c r="I931" s="51"/>
      <c r="J931" s="52"/>
      <c r="K931" s="51"/>
      <c r="L931" s="52">
        <f>SUM(AR914:AR934)+SUM(AS914:AS934)+SUM(AT914:AT934)+SUM(AU914:AU934)+SUM(AV914:AV934)</f>
        <v>12062.4</v>
      </c>
    </row>
    <row r="932" spans="1:83" ht="14.25" x14ac:dyDescent="0.2">
      <c r="A932" s="48"/>
      <c r="B932" s="48" t="s">
        <v>114</v>
      </c>
      <c r="C932" s="48" t="s">
        <v>765</v>
      </c>
      <c r="D932" s="49" t="s">
        <v>737</v>
      </c>
      <c r="E932" s="50">
        <f>Source!BZ354</f>
        <v>89</v>
      </c>
      <c r="F932" s="50"/>
      <c r="G932" s="50">
        <f>Source!AT354</f>
        <v>89</v>
      </c>
      <c r="H932" s="52"/>
      <c r="I932" s="51"/>
      <c r="J932" s="52"/>
      <c r="K932" s="51"/>
      <c r="L932" s="52">
        <f>SUM(AZ914:AZ934)</f>
        <v>10735.54</v>
      </c>
    </row>
    <row r="933" spans="1:83" ht="14.25" x14ac:dyDescent="0.2">
      <c r="A933" s="56"/>
      <c r="B933" s="56" t="s">
        <v>115</v>
      </c>
      <c r="C933" s="56" t="s">
        <v>766</v>
      </c>
      <c r="D933" s="57" t="s">
        <v>737</v>
      </c>
      <c r="E933" s="58">
        <f>Source!CA354</f>
        <v>44</v>
      </c>
      <c r="F933" s="58"/>
      <c r="G933" s="58">
        <f>Source!AU354</f>
        <v>44</v>
      </c>
      <c r="H933" s="59"/>
      <c r="I933" s="60"/>
      <c r="J933" s="59"/>
      <c r="K933" s="60"/>
      <c r="L933" s="59">
        <f>SUM(BA914:BA934)</f>
        <v>5307.46</v>
      </c>
    </row>
    <row r="934" spans="1:83" ht="15" x14ac:dyDescent="0.2">
      <c r="C934" s="124" t="s">
        <v>739</v>
      </c>
      <c r="D934" s="124"/>
      <c r="E934" s="124"/>
      <c r="F934" s="124"/>
      <c r="G934" s="124"/>
      <c r="H934" s="124"/>
      <c r="I934" s="125">
        <f>IF(E914&lt;&gt;0,K934/E914, 0)</f>
        <v>148870.18181818182</v>
      </c>
      <c r="J934" s="125"/>
      <c r="K934" s="125">
        <f>L916+L918+L924+L932+L933+L919+SUM(L930:L930)</f>
        <v>32751.440000000002</v>
      </c>
      <c r="L934" s="125"/>
      <c r="AD934">
        <f>ROUND((Source!AT354/100)*((ROUND(SUMIF(SmtRes!AQ237:'SmtRes'!AQ244,"=1",SmtRes!AD237:'SmtRes'!AD244)*Source!I354, 2)+ROUND(SUMIF(SmtRes!AQ237:'SmtRes'!AQ244,"=1",SmtRes!AC237:'SmtRes'!AC244)*Source!I354, 2))), 2)</f>
        <v>412.35</v>
      </c>
      <c r="AE934">
        <f>ROUND((Source!AU354/100)*((ROUND(SUMIF(SmtRes!AQ237:'SmtRes'!AQ244,"=1",SmtRes!AD237:'SmtRes'!AD244)*Source!I354, 2)+ROUND(SUMIF(SmtRes!AQ237:'SmtRes'!AQ244,"=1",SmtRes!AC237:'SmtRes'!AC244)*Source!I354, 2))), 2)</f>
        <v>203.86</v>
      </c>
      <c r="AN934" s="61">
        <f>L916+L918+L924+L932+L933+L919</f>
        <v>29337.13</v>
      </c>
      <c r="AO934" s="61">
        <f>L918</f>
        <v>12.079999999999927</v>
      </c>
      <c r="AQ934" t="s">
        <v>740</v>
      </c>
      <c r="AR934" s="61">
        <f>L916</f>
        <v>11175.41</v>
      </c>
      <c r="AT934" s="61">
        <f>L919</f>
        <v>886.99</v>
      </c>
      <c r="AV934" t="s">
        <v>740</v>
      </c>
      <c r="AW934" s="61">
        <f>L924</f>
        <v>1219.6500000000001</v>
      </c>
      <c r="AZ934">
        <f>Source!X354</f>
        <v>10735.54</v>
      </c>
      <c r="BA934">
        <f>Source!Y354</f>
        <v>5307.46</v>
      </c>
      <c r="CD934">
        <v>1</v>
      </c>
    </row>
    <row r="935" spans="1:83" ht="57" x14ac:dyDescent="0.2">
      <c r="A935" s="46" t="s">
        <v>330</v>
      </c>
      <c r="B935" s="48" t="s">
        <v>850</v>
      </c>
      <c r="C935" s="48" t="str">
        <f>Source!G356</f>
        <v>Окраска перхлорвиниловыми красками по подготовленной поверхности фасадов: простых за 2 раза с земли и лесов</v>
      </c>
      <c r="D935" s="49" t="str">
        <f>Source!H356</f>
        <v>100 м2</v>
      </c>
      <c r="E935" s="50">
        <f>Source!K356</f>
        <v>0.22</v>
      </c>
      <c r="F935" s="50"/>
      <c r="G935" s="50">
        <f>Source!I356</f>
        <v>0.22</v>
      </c>
      <c r="H935" s="52"/>
      <c r="I935" s="51"/>
      <c r="J935" s="52"/>
      <c r="K935" s="51"/>
      <c r="L935" s="52"/>
    </row>
    <row r="936" spans="1:83" x14ac:dyDescent="0.2">
      <c r="C936" s="53" t="str">
        <f>"Объем: "&amp;Source!I356&amp;"=22/"&amp;"100"</f>
        <v>Объем: 0,22=22/100</v>
      </c>
    </row>
    <row r="937" spans="1:83" ht="15" x14ac:dyDescent="0.2">
      <c r="A937" s="47"/>
      <c r="B937" s="50">
        <v>1</v>
      </c>
      <c r="C937" s="47" t="s">
        <v>730</v>
      </c>
      <c r="D937" s="49" t="s">
        <v>428</v>
      </c>
      <c r="E937" s="54"/>
      <c r="F937" s="50"/>
      <c r="G937" s="50">
        <f>Source!U356</f>
        <v>2.552</v>
      </c>
      <c r="H937" s="50"/>
      <c r="I937" s="50"/>
      <c r="J937" s="50"/>
      <c r="K937" s="50"/>
      <c r="L937" s="55">
        <f>SUM(L938:L938)-SUMIF(CE938:CE938, 1, L938:L938)</f>
        <v>1677.74</v>
      </c>
    </row>
    <row r="938" spans="1:83" ht="14.25" x14ac:dyDescent="0.2">
      <c r="A938" s="48"/>
      <c r="B938" s="48" t="s">
        <v>547</v>
      </c>
      <c r="C938" s="48" t="s">
        <v>548</v>
      </c>
      <c r="D938" s="49" t="s">
        <v>428</v>
      </c>
      <c r="E938" s="50">
        <v>11.6</v>
      </c>
      <c r="F938" s="50"/>
      <c r="G938" s="50">
        <f>SmtRes!CX245</f>
        <v>2.552</v>
      </c>
      <c r="H938" s="52"/>
      <c r="I938" s="51"/>
      <c r="J938" s="52">
        <f>SmtRes!CZ245</f>
        <v>657.42</v>
      </c>
      <c r="K938" s="51"/>
      <c r="L938" s="52">
        <f>SmtRes!DI245</f>
        <v>1677.74</v>
      </c>
    </row>
    <row r="939" spans="1:83" ht="15" x14ac:dyDescent="0.2">
      <c r="A939" s="47"/>
      <c r="B939" s="50">
        <v>2</v>
      </c>
      <c r="C939" s="47" t="s">
        <v>731</v>
      </c>
      <c r="D939" s="49"/>
      <c r="E939" s="54"/>
      <c r="F939" s="50"/>
      <c r="G939" s="50"/>
      <c r="H939" s="50"/>
      <c r="I939" s="50"/>
      <c r="J939" s="50"/>
      <c r="K939" s="50"/>
      <c r="L939" s="55">
        <f>SUM(L940:L945)-SUMIF(CE940:CE945, 1, L940:L945)</f>
        <v>40.67</v>
      </c>
    </row>
    <row r="940" spans="1:83" ht="15" x14ac:dyDescent="0.2">
      <c r="A940" s="47"/>
      <c r="B940" s="50"/>
      <c r="C940" s="47" t="s">
        <v>733</v>
      </c>
      <c r="D940" s="49" t="s">
        <v>428</v>
      </c>
      <c r="E940" s="54"/>
      <c r="F940" s="50"/>
      <c r="G940" s="50">
        <f>Source!V356</f>
        <v>1.7600000000000001E-2</v>
      </c>
      <c r="H940" s="50"/>
      <c r="I940" s="50"/>
      <c r="J940" s="50"/>
      <c r="K940" s="50"/>
      <c r="L940" s="55">
        <f>SUMIF(CE941:CE945, 1, L941:L945)</f>
        <v>12.87</v>
      </c>
      <c r="CE940">
        <v>1</v>
      </c>
    </row>
    <row r="941" spans="1:83" ht="28.5" x14ac:dyDescent="0.2">
      <c r="A941" s="48"/>
      <c r="B941" s="48" t="s">
        <v>538</v>
      </c>
      <c r="C941" s="48" t="s">
        <v>540</v>
      </c>
      <c r="D941" s="49" t="s">
        <v>434</v>
      </c>
      <c r="E941" s="50">
        <v>0.09</v>
      </c>
      <c r="F941" s="50"/>
      <c r="G941" s="50">
        <f>SmtRes!CX247</f>
        <v>1.9800000000000002E-2</v>
      </c>
      <c r="H941" s="52">
        <f>SmtRes!CZ247</f>
        <v>6.62</v>
      </c>
      <c r="I941" s="51">
        <f>SmtRes!AJ247</f>
        <v>1.5</v>
      </c>
      <c r="J941" s="52">
        <f>ROUND(H941*I941, 2)</f>
        <v>9.93</v>
      </c>
      <c r="K941" s="51"/>
      <c r="L941" s="52">
        <f>SmtRes!DG247</f>
        <v>0.2</v>
      </c>
    </row>
    <row r="942" spans="1:83" ht="28.5" x14ac:dyDescent="0.2">
      <c r="A942" s="48"/>
      <c r="B942" s="48" t="s">
        <v>463</v>
      </c>
      <c r="C942" s="48" t="s">
        <v>465</v>
      </c>
      <c r="D942" s="49" t="s">
        <v>434</v>
      </c>
      <c r="E942" s="50">
        <v>0.08</v>
      </c>
      <c r="F942" s="50"/>
      <c r="G942" s="50">
        <f>SmtRes!CX248</f>
        <v>1.7600000000000001E-2</v>
      </c>
      <c r="H942" s="52"/>
      <c r="I942" s="51"/>
      <c r="J942" s="52">
        <f>SmtRes!CZ248</f>
        <v>544.91999999999996</v>
      </c>
      <c r="K942" s="51"/>
      <c r="L942" s="52">
        <f>SmtRes!DG248</f>
        <v>9.59</v>
      </c>
    </row>
    <row r="943" spans="1:83" ht="28.5" x14ac:dyDescent="0.2">
      <c r="A943" s="48"/>
      <c r="B943" s="48" t="s">
        <v>466</v>
      </c>
      <c r="C943" s="48" t="s">
        <v>747</v>
      </c>
      <c r="D943" s="49" t="s">
        <v>428</v>
      </c>
      <c r="E943" s="50">
        <f>SmtRes!DO248*SmtRes!AT248</f>
        <v>0.08</v>
      </c>
      <c r="F943" s="50"/>
      <c r="G943" s="50">
        <f>ROUND(E943*G935, 7)</f>
        <v>1.7600000000000001E-2</v>
      </c>
      <c r="H943" s="52"/>
      <c r="I943" s="51"/>
      <c r="J943" s="52">
        <f>ROUND(SmtRes!AG248/SmtRes!DO248, 2)</f>
        <v>731.08</v>
      </c>
      <c r="K943" s="51"/>
      <c r="L943" s="52">
        <f>SmtRes!DH248</f>
        <v>12.87</v>
      </c>
      <c r="CE943">
        <v>1</v>
      </c>
    </row>
    <row r="944" spans="1:83" ht="57" x14ac:dyDescent="0.2">
      <c r="A944" s="48"/>
      <c r="B944" s="48" t="s">
        <v>549</v>
      </c>
      <c r="C944" s="48" t="s">
        <v>551</v>
      </c>
      <c r="D944" s="49" t="s">
        <v>434</v>
      </c>
      <c r="E944" s="50">
        <v>5.2</v>
      </c>
      <c r="F944" s="50"/>
      <c r="G944" s="50">
        <f>SmtRes!CX249</f>
        <v>1.1439999999999999</v>
      </c>
      <c r="H944" s="52">
        <f>SmtRes!CZ249</f>
        <v>11.85</v>
      </c>
      <c r="I944" s="51">
        <f>SmtRes!AJ249</f>
        <v>1.3</v>
      </c>
      <c r="J944" s="52">
        <f>ROUND(H944*I944, 2)</f>
        <v>15.41</v>
      </c>
      <c r="K944" s="51"/>
      <c r="L944" s="52">
        <f>SmtRes!DG249</f>
        <v>17.63</v>
      </c>
    </row>
    <row r="945" spans="1:82" ht="42.75" x14ac:dyDescent="0.2">
      <c r="A945" s="48"/>
      <c r="B945" s="48" t="s">
        <v>552</v>
      </c>
      <c r="C945" s="48" t="s">
        <v>554</v>
      </c>
      <c r="D945" s="49" t="s">
        <v>434</v>
      </c>
      <c r="E945" s="50">
        <v>10.4</v>
      </c>
      <c r="F945" s="50"/>
      <c r="G945" s="50">
        <f>SmtRes!CX250</f>
        <v>2.2879999999999998</v>
      </c>
      <c r="H945" s="52">
        <f>SmtRes!CZ250</f>
        <v>4.5199999999999996</v>
      </c>
      <c r="I945" s="51">
        <f>SmtRes!AJ250</f>
        <v>1.28</v>
      </c>
      <c r="J945" s="52">
        <f>ROUND(H945*I945, 2)</f>
        <v>5.79</v>
      </c>
      <c r="K945" s="51"/>
      <c r="L945" s="52">
        <f>SmtRes!DG250</f>
        <v>13.25</v>
      </c>
    </row>
    <row r="946" spans="1:82" ht="15" x14ac:dyDescent="0.2">
      <c r="A946" s="47"/>
      <c r="B946" s="50">
        <v>4</v>
      </c>
      <c r="C946" s="47" t="s">
        <v>742</v>
      </c>
      <c r="D946" s="49"/>
      <c r="E946" s="54"/>
      <c r="F946" s="50"/>
      <c r="G946" s="50"/>
      <c r="H946" s="50"/>
      <c r="I946" s="50"/>
      <c r="J946" s="50"/>
      <c r="K946" s="50"/>
      <c r="L946" s="55">
        <f>SUM(L947:L948)-SUMIF(CE947:CE948, 1, L947:L948)</f>
        <v>38.82</v>
      </c>
    </row>
    <row r="947" spans="1:82" ht="14.25" x14ac:dyDescent="0.2">
      <c r="A947" s="48"/>
      <c r="B947" s="48" t="s">
        <v>519</v>
      </c>
      <c r="C947" s="48" t="s">
        <v>521</v>
      </c>
      <c r="D947" s="49" t="s">
        <v>96</v>
      </c>
      <c r="E947" s="50">
        <v>0.41</v>
      </c>
      <c r="F947" s="50"/>
      <c r="G947" s="50">
        <f>SmtRes!CX251</f>
        <v>9.0200000000000002E-2</v>
      </c>
      <c r="H947" s="52">
        <f>SmtRes!CZ251</f>
        <v>56.11</v>
      </c>
      <c r="I947" s="51">
        <f>SmtRes!AI251</f>
        <v>1.6</v>
      </c>
      <c r="J947" s="52">
        <f>ROUND(H947*I947, 2)</f>
        <v>89.78</v>
      </c>
      <c r="K947" s="51"/>
      <c r="L947" s="52">
        <f>SmtRes!DF251</f>
        <v>8.1</v>
      </c>
    </row>
    <row r="948" spans="1:82" ht="14.25" x14ac:dyDescent="0.2">
      <c r="A948" s="48"/>
      <c r="B948" s="48" t="s">
        <v>555</v>
      </c>
      <c r="C948" s="48" t="s">
        <v>557</v>
      </c>
      <c r="D948" s="49" t="s">
        <v>96</v>
      </c>
      <c r="E948" s="50">
        <v>1.6</v>
      </c>
      <c r="F948" s="50"/>
      <c r="G948" s="50">
        <f>SmtRes!CX253</f>
        <v>0.35199999999999998</v>
      </c>
      <c r="H948" s="52">
        <f>SmtRes!CZ253</f>
        <v>60.6</v>
      </c>
      <c r="I948" s="51">
        <f>SmtRes!AI253</f>
        <v>1.44</v>
      </c>
      <c r="J948" s="52">
        <f>ROUND(H948*I948, 2)</f>
        <v>87.26</v>
      </c>
      <c r="K948" s="51"/>
      <c r="L948" s="52">
        <f>SmtRes!DF253</f>
        <v>30.72</v>
      </c>
    </row>
    <row r="949" spans="1:82" ht="14.25" x14ac:dyDescent="0.2">
      <c r="A949" s="48"/>
      <c r="B949" s="48" t="str">
        <f>EtalonRes!I251</f>
        <v>14.4.02.07</v>
      </c>
      <c r="C949" s="56" t="str">
        <f>EtalonRes!K251</f>
        <v>Краски перхлорвиниловые</v>
      </c>
      <c r="D949" s="57" t="str">
        <f>EtalonRes!O251</f>
        <v>т</v>
      </c>
      <c r="E949" s="58">
        <f>EtalonRes!X251</f>
        <v>5.3800000000000001E-2</v>
      </c>
      <c r="F949" s="58"/>
      <c r="G949" s="58">
        <f>ROUND(EtalonRes!AG251*Source!I356, 7)</f>
        <v>1.1835999999999999E-2</v>
      </c>
      <c r="H949" s="59"/>
      <c r="I949" s="60"/>
      <c r="J949" s="59"/>
      <c r="K949" s="60"/>
      <c r="L949" s="59"/>
    </row>
    <row r="950" spans="1:82" ht="15" x14ac:dyDescent="0.2">
      <c r="A950" s="48"/>
      <c r="B950" s="48"/>
      <c r="C950" s="63" t="s">
        <v>734</v>
      </c>
      <c r="D950" s="49"/>
      <c r="E950" s="50"/>
      <c r="F950" s="50"/>
      <c r="G950" s="50"/>
      <c r="H950" s="52"/>
      <c r="I950" s="51"/>
      <c r="J950" s="52"/>
      <c r="K950" s="51"/>
      <c r="L950" s="52">
        <f>L937+L939+L940+L946</f>
        <v>1770.1</v>
      </c>
    </row>
    <row r="951" spans="1:82" ht="14.25" x14ac:dyDescent="0.2">
      <c r="A951" s="46" t="s">
        <v>851</v>
      </c>
      <c r="B951" s="48" t="str">
        <f>Source!F357</f>
        <v>14.4.02.07-0002</v>
      </c>
      <c r="C951" s="48" t="str">
        <f>Source!G357</f>
        <v>Эмаль ХВ-161</v>
      </c>
      <c r="D951" s="49" t="str">
        <f>Source!H357</f>
        <v>т</v>
      </c>
      <c r="E951" s="50">
        <f>SmtRes!AT252</f>
        <v>5.3800000000000001E-2</v>
      </c>
      <c r="F951" s="50"/>
      <c r="G951" s="50">
        <f>Source!I357</f>
        <v>1.1835999999999999E-2</v>
      </c>
      <c r="H951" s="52">
        <f>Source!AL357+Source!AO357+Source!AM357+Source!AN357</f>
        <v>119850.13</v>
      </c>
      <c r="I951" s="51">
        <f>IF(Source!BC357&lt;&gt; 0, Source!BC357, 1)</f>
        <v>1.0900000000000001</v>
      </c>
      <c r="J951" s="52">
        <f>ROUND(H951*I951, 2)</f>
        <v>130636.64</v>
      </c>
      <c r="K951" s="51"/>
      <c r="L951" s="52">
        <f>Source!P357</f>
        <v>1546.22</v>
      </c>
      <c r="AD951">
        <f>ROUND((Source!AT357/100)*((ROUND(ROUND(Source!AO357,2)*Source!I357, 2)+ROUND(ROUND(Source!AN357,2)*Source!I357, 2))), 2)</f>
        <v>0</v>
      </c>
      <c r="AE951">
        <f>ROUND((Source!AU357/100)*((ROUND(ROUND(Source!AO357,2)*Source!I357, 2)+ROUND(ROUND(Source!AN357,2)*Source!I357, 2))), 2)</f>
        <v>0</v>
      </c>
      <c r="AN951">
        <f>L951</f>
        <v>1546.22</v>
      </c>
      <c r="AW951">
        <f>L951</f>
        <v>1546.22</v>
      </c>
      <c r="AZ951">
        <f>Source!X357</f>
        <v>0</v>
      </c>
      <c r="BA951">
        <f>Source!Y357</f>
        <v>0</v>
      </c>
      <c r="CD951">
        <v>1</v>
      </c>
    </row>
    <row r="952" spans="1:82" ht="14.25" x14ac:dyDescent="0.2">
      <c r="A952" s="48"/>
      <c r="B952" s="48"/>
      <c r="C952" s="48" t="s">
        <v>735</v>
      </c>
      <c r="D952" s="49"/>
      <c r="E952" s="50"/>
      <c r="F952" s="50"/>
      <c r="G952" s="50"/>
      <c r="H952" s="52"/>
      <c r="I952" s="51"/>
      <c r="J952" s="52"/>
      <c r="K952" s="51"/>
      <c r="L952" s="52">
        <f>SUM(AR935:AR955)+SUM(AS935:AS955)+SUM(AT935:AT955)+SUM(AU935:AU955)+SUM(AV935:AV955)</f>
        <v>1690.61</v>
      </c>
    </row>
    <row r="953" spans="1:82" ht="14.25" x14ac:dyDescent="0.2">
      <c r="A953" s="48"/>
      <c r="B953" s="48" t="s">
        <v>123</v>
      </c>
      <c r="C953" s="48" t="s">
        <v>769</v>
      </c>
      <c r="D953" s="49" t="s">
        <v>737</v>
      </c>
      <c r="E953" s="50">
        <f>Source!BZ356</f>
        <v>90</v>
      </c>
      <c r="F953" s="50"/>
      <c r="G953" s="50">
        <f>Source!AT356</f>
        <v>90</v>
      </c>
      <c r="H953" s="52"/>
      <c r="I953" s="51"/>
      <c r="J953" s="52"/>
      <c r="K953" s="51"/>
      <c r="L953" s="52">
        <f>SUM(AZ935:AZ955)</f>
        <v>1521.55</v>
      </c>
    </row>
    <row r="954" spans="1:82" ht="14.25" x14ac:dyDescent="0.2">
      <c r="A954" s="56"/>
      <c r="B954" s="56" t="s">
        <v>124</v>
      </c>
      <c r="C954" s="56" t="s">
        <v>770</v>
      </c>
      <c r="D954" s="57" t="s">
        <v>737</v>
      </c>
      <c r="E954" s="58">
        <f>Source!CA356</f>
        <v>46</v>
      </c>
      <c r="F954" s="58"/>
      <c r="G954" s="58">
        <f>Source!AU356</f>
        <v>46</v>
      </c>
      <c r="H954" s="59"/>
      <c r="I954" s="60"/>
      <c r="J954" s="59"/>
      <c r="K954" s="60"/>
      <c r="L954" s="59">
        <f>SUM(BA935:BA955)</f>
        <v>777.68</v>
      </c>
    </row>
    <row r="955" spans="1:82" ht="15" x14ac:dyDescent="0.2">
      <c r="C955" s="124" t="s">
        <v>739</v>
      </c>
      <c r="D955" s="124"/>
      <c r="E955" s="124"/>
      <c r="F955" s="124"/>
      <c r="G955" s="124"/>
      <c r="H955" s="124"/>
      <c r="I955" s="125">
        <f>IF(E935&lt;&gt;0,K955/E935, 0)</f>
        <v>25525.227272727268</v>
      </c>
      <c r="J955" s="125"/>
      <c r="K955" s="125">
        <f>L937+L939+L946+L953+L954+L940+SUM(L951:L951)</f>
        <v>5615.5499999999993</v>
      </c>
      <c r="L955" s="125"/>
      <c r="AD955">
        <f>ROUND((Source!AT356/100)*((ROUND(SUMIF(SmtRes!AQ245:'SmtRes'!AQ253,"=1",SmtRes!AD245:'SmtRes'!AD253)*Source!I356, 2)+ROUND(SUMIF(SmtRes!AQ245:'SmtRes'!AQ253,"=1",SmtRes!AC245:'SmtRes'!AC253)*Source!I356, 2))), 2)</f>
        <v>274.92</v>
      </c>
      <c r="AE955">
        <f>ROUND((Source!AU356/100)*((ROUND(SUMIF(SmtRes!AQ245:'SmtRes'!AQ253,"=1",SmtRes!AD245:'SmtRes'!AD253)*Source!I356, 2)+ROUND(SUMIF(SmtRes!AQ245:'SmtRes'!AQ253,"=1",SmtRes!AC245:'SmtRes'!AC253)*Source!I356, 2))), 2)</f>
        <v>140.52000000000001</v>
      </c>
      <c r="AN955" s="61">
        <f>L937+L939+L946+L953+L954+L940</f>
        <v>4069.3299999999995</v>
      </c>
      <c r="AO955" s="61">
        <f>L939</f>
        <v>40.67</v>
      </c>
      <c r="AQ955" t="s">
        <v>740</v>
      </c>
      <c r="AR955" s="61">
        <f>L937</f>
        <v>1677.74</v>
      </c>
      <c r="AT955" s="61">
        <f>L940</f>
        <v>12.87</v>
      </c>
      <c r="AV955" t="s">
        <v>740</v>
      </c>
      <c r="AW955" s="61">
        <f>L946</f>
        <v>38.82</v>
      </c>
      <c r="AZ955">
        <f>Source!X356</f>
        <v>1521.55</v>
      </c>
      <c r="BA955">
        <f>Source!Y356</f>
        <v>777.68</v>
      </c>
      <c r="CD955">
        <v>1</v>
      </c>
    </row>
    <row r="956" spans="1:82" ht="71.25" x14ac:dyDescent="0.2">
      <c r="A956" s="46" t="s">
        <v>335</v>
      </c>
      <c r="B956" s="48" t="s">
        <v>852</v>
      </c>
      <c r="C956" s="48" t="str">
        <f>Source!G358</f>
        <v>Ремонт штукатурки внутренних стен по камню и бетону цементно-известковым раствором, площадью отдельных мест: более 10 м2 толщиной слоя до 20 мм</v>
      </c>
      <c r="D956" s="49" t="str">
        <f>Source!H358</f>
        <v>100 м2</v>
      </c>
      <c r="E956" s="50">
        <f>Source!K358</f>
        <v>0.245</v>
      </c>
      <c r="F956" s="50"/>
      <c r="G956" s="50">
        <f>Source!I358</f>
        <v>0.245</v>
      </c>
      <c r="H956" s="52"/>
      <c r="I956" s="51"/>
      <c r="J956" s="52"/>
      <c r="K956" s="51"/>
      <c r="L956" s="52"/>
    </row>
    <row r="957" spans="1:82" x14ac:dyDescent="0.2">
      <c r="C957" s="53" t="str">
        <f>"Объем: "&amp;Source!I358&amp;"=24,5/"&amp;"100"</f>
        <v>Объем: 0,245=24,5/100</v>
      </c>
    </row>
    <row r="958" spans="1:82" ht="15" x14ac:dyDescent="0.2">
      <c r="A958" s="47"/>
      <c r="B958" s="50">
        <v>1</v>
      </c>
      <c r="C958" s="47" t="s">
        <v>730</v>
      </c>
      <c r="D958" s="49" t="s">
        <v>428</v>
      </c>
      <c r="E958" s="54"/>
      <c r="F958" s="50"/>
      <c r="G958" s="50">
        <f>Source!U358</f>
        <v>34.949249999999999</v>
      </c>
      <c r="H958" s="50"/>
      <c r="I958" s="50"/>
      <c r="J958" s="50"/>
      <c r="K958" s="50"/>
      <c r="L958" s="55">
        <f>SUM(L959:L959)-SUMIF(CE959:CE959, 1, L959:L959)</f>
        <v>23548.46</v>
      </c>
    </row>
    <row r="959" spans="1:82" ht="14.25" x14ac:dyDescent="0.2">
      <c r="A959" s="48"/>
      <c r="B959" s="48" t="s">
        <v>607</v>
      </c>
      <c r="C959" s="48" t="s">
        <v>608</v>
      </c>
      <c r="D959" s="49" t="s">
        <v>428</v>
      </c>
      <c r="E959" s="50">
        <v>142.65</v>
      </c>
      <c r="F959" s="50"/>
      <c r="G959" s="50">
        <f>SmtRes!CX254</f>
        <v>34.949249999999999</v>
      </c>
      <c r="H959" s="52"/>
      <c r="I959" s="51"/>
      <c r="J959" s="52">
        <f>SmtRes!CZ254</f>
        <v>673.79</v>
      </c>
      <c r="K959" s="51"/>
      <c r="L959" s="52">
        <f>SmtRes!DI254</f>
        <v>23548.46</v>
      </c>
    </row>
    <row r="960" spans="1:82" ht="15" x14ac:dyDescent="0.2">
      <c r="A960" s="47"/>
      <c r="B960" s="50">
        <v>2</v>
      </c>
      <c r="C960" s="47" t="s">
        <v>731</v>
      </c>
      <c r="D960" s="49"/>
      <c r="E960" s="54"/>
      <c r="F960" s="50"/>
      <c r="G960" s="50"/>
      <c r="H960" s="50"/>
      <c r="I960" s="50"/>
      <c r="J960" s="50"/>
      <c r="K960" s="50"/>
      <c r="L960" s="55">
        <f>SUM(L961:L965)-SUMIF(CE961:CE965, 1, L961:L965)</f>
        <v>157.59000000000003</v>
      </c>
    </row>
    <row r="961" spans="1:83" ht="15" x14ac:dyDescent="0.2">
      <c r="A961" s="47"/>
      <c r="B961" s="50"/>
      <c r="C961" s="47" t="s">
        <v>733</v>
      </c>
      <c r="D961" s="49" t="s">
        <v>428</v>
      </c>
      <c r="E961" s="54"/>
      <c r="F961" s="50"/>
      <c r="G961" s="50">
        <f>Source!V358</f>
        <v>0.40915000000000001</v>
      </c>
      <c r="H961" s="50"/>
      <c r="I961" s="50"/>
      <c r="J961" s="50"/>
      <c r="K961" s="50"/>
      <c r="L961" s="55">
        <f>SUMIF(CE962:CE965, 1, L962:L965)</f>
        <v>285.68</v>
      </c>
      <c r="CE961">
        <v>1</v>
      </c>
    </row>
    <row r="962" spans="1:83" ht="71.25" x14ac:dyDescent="0.2">
      <c r="A962" s="48"/>
      <c r="B962" s="48" t="s">
        <v>541</v>
      </c>
      <c r="C962" s="48" t="s">
        <v>543</v>
      </c>
      <c r="D962" s="49" t="s">
        <v>434</v>
      </c>
      <c r="E962" s="50">
        <v>1</v>
      </c>
      <c r="F962" s="50"/>
      <c r="G962" s="50">
        <f>SmtRes!CX256</f>
        <v>0.245</v>
      </c>
      <c r="H962" s="52"/>
      <c r="I962" s="51"/>
      <c r="J962" s="52">
        <f>SmtRes!CZ256</f>
        <v>603.94000000000005</v>
      </c>
      <c r="K962" s="51"/>
      <c r="L962" s="52">
        <f>SmtRes!DG256</f>
        <v>147.97</v>
      </c>
    </row>
    <row r="963" spans="1:83" ht="28.5" x14ac:dyDescent="0.2">
      <c r="A963" s="48"/>
      <c r="B963" s="48" t="s">
        <v>466</v>
      </c>
      <c r="C963" s="48" t="s">
        <v>747</v>
      </c>
      <c r="D963" s="49" t="s">
        <v>428</v>
      </c>
      <c r="E963" s="50">
        <f>SmtRes!DO256*SmtRes!AT256</f>
        <v>1</v>
      </c>
      <c r="F963" s="50"/>
      <c r="G963" s="50">
        <f>ROUND(E963*G956, 7)</f>
        <v>0.245</v>
      </c>
      <c r="H963" s="52"/>
      <c r="I963" s="51"/>
      <c r="J963" s="52">
        <f>ROUND(SmtRes!AG256/SmtRes!DO256, 2)</f>
        <v>731.08</v>
      </c>
      <c r="K963" s="51"/>
      <c r="L963" s="52">
        <f>SmtRes!DH256</f>
        <v>179.11</v>
      </c>
      <c r="CE963">
        <v>1</v>
      </c>
    </row>
    <row r="964" spans="1:83" ht="42.75" x14ac:dyDescent="0.2">
      <c r="A964" s="48"/>
      <c r="B964" s="48" t="s">
        <v>431</v>
      </c>
      <c r="C964" s="48" t="s">
        <v>433</v>
      </c>
      <c r="D964" s="49" t="s">
        <v>434</v>
      </c>
      <c r="E964" s="50">
        <v>0.67</v>
      </c>
      <c r="F964" s="50"/>
      <c r="G964" s="50">
        <f>SmtRes!CX257</f>
        <v>0.16414999999999999</v>
      </c>
      <c r="H964" s="52">
        <f>SmtRes!CZ257</f>
        <v>37.32</v>
      </c>
      <c r="I964" s="51">
        <f>SmtRes!AJ257</f>
        <v>1.57</v>
      </c>
      <c r="J964" s="52">
        <f>ROUND(H964*I964, 2)</f>
        <v>58.59</v>
      </c>
      <c r="K964" s="51"/>
      <c r="L964" s="52">
        <f>SmtRes!DG257</f>
        <v>9.6199999999999992</v>
      </c>
    </row>
    <row r="965" spans="1:83" ht="28.5" x14ac:dyDescent="0.2">
      <c r="A965" s="48"/>
      <c r="B965" s="48" t="s">
        <v>435</v>
      </c>
      <c r="C965" s="48" t="s">
        <v>732</v>
      </c>
      <c r="D965" s="49" t="s">
        <v>428</v>
      </c>
      <c r="E965" s="50">
        <f>SmtRes!DO257*SmtRes!AT257</f>
        <v>0.67</v>
      </c>
      <c r="F965" s="50"/>
      <c r="G965" s="50">
        <f>ROUND(E965*G956, 7)</f>
        <v>0.16414999999999999</v>
      </c>
      <c r="H965" s="52"/>
      <c r="I965" s="51"/>
      <c r="J965" s="52">
        <f>ROUND(SmtRes!AG257/SmtRes!DO257, 2)</f>
        <v>649.24</v>
      </c>
      <c r="K965" s="51"/>
      <c r="L965" s="52">
        <f>SmtRes!DH257</f>
        <v>106.57</v>
      </c>
      <c r="CE965">
        <v>1</v>
      </c>
    </row>
    <row r="966" spans="1:83" ht="15" x14ac:dyDescent="0.2">
      <c r="A966" s="47"/>
      <c r="B966" s="50">
        <v>4</v>
      </c>
      <c r="C966" s="47" t="s">
        <v>742</v>
      </c>
      <c r="D966" s="49"/>
      <c r="E966" s="54"/>
      <c r="F966" s="50"/>
      <c r="G966" s="50"/>
      <c r="H966" s="50"/>
      <c r="I966" s="50"/>
      <c r="J966" s="50"/>
      <c r="K966" s="50"/>
      <c r="L966" s="55">
        <f>SUM(L967:L968)-SUMIF(CE967:CE968, 1, L967:L968)</f>
        <v>2564.56</v>
      </c>
    </row>
    <row r="967" spans="1:83" ht="14.25" x14ac:dyDescent="0.2">
      <c r="A967" s="48"/>
      <c r="B967" s="48" t="s">
        <v>467</v>
      </c>
      <c r="C967" s="48" t="s">
        <v>469</v>
      </c>
      <c r="D967" s="49" t="s">
        <v>34</v>
      </c>
      <c r="E967" s="50">
        <v>0.35</v>
      </c>
      <c r="F967" s="50"/>
      <c r="G967" s="50">
        <f>SmtRes!CX258</f>
        <v>8.5750000000000007E-2</v>
      </c>
      <c r="H967" s="52">
        <f>SmtRes!CZ258</f>
        <v>35.71</v>
      </c>
      <c r="I967" s="51">
        <f>SmtRes!AI258</f>
        <v>1.53</v>
      </c>
      <c r="J967" s="52">
        <f>ROUND(H967*I967, 2)</f>
        <v>54.64</v>
      </c>
      <c r="K967" s="51"/>
      <c r="L967" s="52">
        <f>SmtRes!DF258</f>
        <v>4.6900000000000004</v>
      </c>
    </row>
    <row r="968" spans="1:83" ht="28.5" x14ac:dyDescent="0.2">
      <c r="A968" s="48"/>
      <c r="B968" s="48" t="s">
        <v>544</v>
      </c>
      <c r="C968" s="56" t="s">
        <v>546</v>
      </c>
      <c r="D968" s="57" t="s">
        <v>34</v>
      </c>
      <c r="E968" s="58">
        <v>2.2000000000000002</v>
      </c>
      <c r="F968" s="58"/>
      <c r="G968" s="58">
        <f>SmtRes!CX259</f>
        <v>0.53900000000000003</v>
      </c>
      <c r="H968" s="59">
        <f>SmtRes!CZ259</f>
        <v>3392.36</v>
      </c>
      <c r="I968" s="60">
        <f>SmtRes!AI259</f>
        <v>1.4</v>
      </c>
      <c r="J968" s="59">
        <f>ROUND(H968*I968, 2)</f>
        <v>4749.3</v>
      </c>
      <c r="K968" s="60"/>
      <c r="L968" s="59">
        <f>SmtRes!DF259</f>
        <v>2559.87</v>
      </c>
    </row>
    <row r="969" spans="1:83" ht="15" x14ac:dyDescent="0.2">
      <c r="A969" s="48"/>
      <c r="B969" s="48"/>
      <c r="C969" s="63" t="s">
        <v>734</v>
      </c>
      <c r="D969" s="49"/>
      <c r="E969" s="50"/>
      <c r="F969" s="50"/>
      <c r="G969" s="50"/>
      <c r="H969" s="52"/>
      <c r="I969" s="51"/>
      <c r="J969" s="52"/>
      <c r="K969" s="51"/>
      <c r="L969" s="52">
        <f>L958+L960+L961+L966</f>
        <v>26556.29</v>
      </c>
    </row>
    <row r="970" spans="1:83" ht="14.25" x14ac:dyDescent="0.2">
      <c r="A970" s="46" t="s">
        <v>853</v>
      </c>
      <c r="B970" s="48" t="str">
        <f>Source!F359</f>
        <v>999-9900</v>
      </c>
      <c r="C970" s="48" t="str">
        <f>Source!G359</f>
        <v>Строительный мусор</v>
      </c>
      <c r="D970" s="49" t="str">
        <f>Source!H359</f>
        <v>т</v>
      </c>
      <c r="E970" s="50">
        <f>SmtRes!AT260</f>
        <v>3.38</v>
      </c>
      <c r="F970" s="50"/>
      <c r="G970" s="50">
        <f>Source!I359</f>
        <v>0.82809999999999995</v>
      </c>
      <c r="H970" s="52">
        <f>Source!AL359+Source!AO359+Source!AM359+Source!AN359</f>
        <v>0</v>
      </c>
      <c r="I970" s="51"/>
      <c r="J970" s="52"/>
      <c r="K970" s="51"/>
      <c r="L970" s="52">
        <f>Source!P359</f>
        <v>0</v>
      </c>
      <c r="AD970">
        <f>ROUND((Source!AT359/100)*((ROUND(ROUND(Source!AO359,2)*Source!I359, 2)+ROUND(ROUND(Source!AN359,2)*Source!I359, 2))), 2)</f>
        <v>0</v>
      </c>
      <c r="AE970">
        <f>ROUND((Source!AU359/100)*((ROUND(ROUND(Source!AO359,2)*Source!I359, 2)+ROUND(ROUND(Source!AN359,2)*Source!I359, 2))), 2)</f>
        <v>0</v>
      </c>
      <c r="AN970">
        <f>L970</f>
        <v>0</v>
      </c>
      <c r="AW970">
        <f>L970</f>
        <v>0</v>
      </c>
      <c r="AZ970">
        <f>Source!X359</f>
        <v>0</v>
      </c>
      <c r="BA970">
        <f>Source!Y359</f>
        <v>0</v>
      </c>
      <c r="CD970">
        <v>1</v>
      </c>
    </row>
    <row r="971" spans="1:83" ht="14.25" x14ac:dyDescent="0.2">
      <c r="A971" s="48"/>
      <c r="B971" s="48"/>
      <c r="C971" s="48" t="s">
        <v>735</v>
      </c>
      <c r="D971" s="49"/>
      <c r="E971" s="50"/>
      <c r="F971" s="50"/>
      <c r="G971" s="50"/>
      <c r="H971" s="52"/>
      <c r="I971" s="51"/>
      <c r="J971" s="52"/>
      <c r="K971" s="51"/>
      <c r="L971" s="52">
        <f>SUM(AR956:AR974)+SUM(AS956:AS974)+SUM(AT956:AT974)+SUM(AU956:AU974)+SUM(AV956:AV974)</f>
        <v>23834.14</v>
      </c>
    </row>
    <row r="972" spans="1:83" ht="14.25" x14ac:dyDescent="0.2">
      <c r="A972" s="48"/>
      <c r="B972" s="48" t="s">
        <v>114</v>
      </c>
      <c r="C972" s="48" t="s">
        <v>765</v>
      </c>
      <c r="D972" s="49" t="s">
        <v>737</v>
      </c>
      <c r="E972" s="50">
        <f>Source!BZ358</f>
        <v>89</v>
      </c>
      <c r="F972" s="50"/>
      <c r="G972" s="50">
        <f>Source!AT358</f>
        <v>89</v>
      </c>
      <c r="H972" s="52"/>
      <c r="I972" s="51"/>
      <c r="J972" s="52"/>
      <c r="K972" s="51"/>
      <c r="L972" s="52">
        <f>SUM(AZ956:AZ974)</f>
        <v>21212.38</v>
      </c>
    </row>
    <row r="973" spans="1:83" ht="14.25" x14ac:dyDescent="0.2">
      <c r="A973" s="56"/>
      <c r="B973" s="56" t="s">
        <v>115</v>
      </c>
      <c r="C973" s="56" t="s">
        <v>766</v>
      </c>
      <c r="D973" s="57" t="s">
        <v>737</v>
      </c>
      <c r="E973" s="58">
        <f>Source!CA358</f>
        <v>44</v>
      </c>
      <c r="F973" s="58"/>
      <c r="G973" s="58">
        <f>Source!AU358</f>
        <v>44</v>
      </c>
      <c r="H973" s="59"/>
      <c r="I973" s="60"/>
      <c r="J973" s="59"/>
      <c r="K973" s="60"/>
      <c r="L973" s="59">
        <f>SUM(BA956:BA974)</f>
        <v>10487.02</v>
      </c>
    </row>
    <row r="974" spans="1:83" ht="15" x14ac:dyDescent="0.2">
      <c r="C974" s="124" t="s">
        <v>739</v>
      </c>
      <c r="D974" s="124"/>
      <c r="E974" s="124"/>
      <c r="F974" s="124"/>
      <c r="G974" s="124"/>
      <c r="H974" s="124"/>
      <c r="I974" s="125">
        <f>IF(E956&lt;&gt;0,K974/E956, 0)</f>
        <v>237778.32653061228</v>
      </c>
      <c r="J974" s="125"/>
      <c r="K974" s="125">
        <f>L958+L960+L966+L972+L973+L961+SUM(L970:L970)</f>
        <v>58255.69000000001</v>
      </c>
      <c r="L974" s="125"/>
      <c r="AD974">
        <f>ROUND((Source!AT358/100)*((ROUND(SUMIF(SmtRes!AQ254:'SmtRes'!AQ260,"=1",SmtRes!AD254:'SmtRes'!AD260)*Source!I358, 2)+ROUND(SUMIF(SmtRes!AQ254:'SmtRes'!AQ260,"=1",SmtRes!AC254:'SmtRes'!AC260)*Source!I358, 2))), 2)</f>
        <v>447.9</v>
      </c>
      <c r="AE974">
        <f>ROUND((Source!AU358/100)*((ROUND(SUMIF(SmtRes!AQ254:'SmtRes'!AQ260,"=1",SmtRes!AD254:'SmtRes'!AD260)*Source!I358, 2)+ROUND(SUMIF(SmtRes!AQ254:'SmtRes'!AQ260,"=1",SmtRes!AC254:'SmtRes'!AC260)*Source!I358, 2))), 2)</f>
        <v>221.43</v>
      </c>
      <c r="AN974" s="61">
        <f>L958+L960+L966+L972+L973+L961</f>
        <v>58255.69000000001</v>
      </c>
      <c r="AO974" s="61">
        <f>L960</f>
        <v>157.59000000000003</v>
      </c>
      <c r="AQ974" t="s">
        <v>740</v>
      </c>
      <c r="AR974" s="61">
        <f>L958</f>
        <v>23548.46</v>
      </c>
      <c r="AT974" s="61">
        <f>L961</f>
        <v>285.68</v>
      </c>
      <c r="AV974" t="s">
        <v>740</v>
      </c>
      <c r="AW974" s="61">
        <f>L966</f>
        <v>2564.56</v>
      </c>
      <c r="AZ974">
        <f>Source!X358</f>
        <v>21212.38</v>
      </c>
      <c r="BA974">
        <f>Source!Y358</f>
        <v>10487.02</v>
      </c>
      <c r="CD974">
        <v>1</v>
      </c>
    </row>
    <row r="975" spans="1:83" ht="71.25" x14ac:dyDescent="0.2">
      <c r="A975" s="46" t="s">
        <v>340</v>
      </c>
      <c r="B975" s="48" t="s">
        <v>854</v>
      </c>
      <c r="C975" s="48" t="str">
        <f>Source!G360</f>
        <v>Окрашивание водоэмульсионными составами поверхностей стен, ранее окрашенных: водоэмульсионной краской с расчисткой старой краски до 10%</v>
      </c>
      <c r="D975" s="49" t="str">
        <f>Source!H360</f>
        <v>100 м2</v>
      </c>
      <c r="E975" s="50">
        <f>Source!K360</f>
        <v>0.245</v>
      </c>
      <c r="F975" s="50"/>
      <c r="G975" s="50">
        <f>Source!I360</f>
        <v>0.245</v>
      </c>
      <c r="H975" s="52"/>
      <c r="I975" s="51"/>
      <c r="J975" s="52"/>
      <c r="K975" s="51"/>
      <c r="L975" s="52"/>
    </row>
    <row r="976" spans="1:83" x14ac:dyDescent="0.2">
      <c r="C976" s="53" t="str">
        <f>"Объем: "&amp;Source!I360&amp;"=24,5/"&amp;"100"</f>
        <v>Объем: 0,245=24,5/100</v>
      </c>
    </row>
    <row r="977" spans="1:83" ht="15" x14ac:dyDescent="0.2">
      <c r="A977" s="47"/>
      <c r="B977" s="50">
        <v>1</v>
      </c>
      <c r="C977" s="47" t="s">
        <v>730</v>
      </c>
      <c r="D977" s="49" t="s">
        <v>428</v>
      </c>
      <c r="E977" s="54"/>
      <c r="F977" s="50"/>
      <c r="G977" s="50">
        <f>Source!U360</f>
        <v>4.6304999999999996</v>
      </c>
      <c r="H977" s="50"/>
      <c r="I977" s="50"/>
      <c r="J977" s="50"/>
      <c r="K977" s="50"/>
      <c r="L977" s="55">
        <f>SUM(L978:L978)-SUMIF(CE978:CE978, 1, L978:L978)</f>
        <v>3044.18</v>
      </c>
    </row>
    <row r="978" spans="1:83" ht="14.25" x14ac:dyDescent="0.2">
      <c r="A978" s="48"/>
      <c r="B978" s="48" t="s">
        <v>547</v>
      </c>
      <c r="C978" s="48" t="s">
        <v>548</v>
      </c>
      <c r="D978" s="49" t="s">
        <v>428</v>
      </c>
      <c r="E978" s="50">
        <v>18.899999999999999</v>
      </c>
      <c r="F978" s="50"/>
      <c r="G978" s="50">
        <f>SmtRes!CX261</f>
        <v>4.6304999999999996</v>
      </c>
      <c r="H978" s="52"/>
      <c r="I978" s="51"/>
      <c r="J978" s="52">
        <f>SmtRes!CZ261</f>
        <v>657.42</v>
      </c>
      <c r="K978" s="51"/>
      <c r="L978" s="52">
        <f>SmtRes!DI261</f>
        <v>3044.18</v>
      </c>
    </row>
    <row r="979" spans="1:83" ht="15" x14ac:dyDescent="0.2">
      <c r="A979" s="47"/>
      <c r="B979" s="50">
        <v>2</v>
      </c>
      <c r="C979" s="47" t="s">
        <v>731</v>
      </c>
      <c r="D979" s="49"/>
      <c r="E979" s="54"/>
      <c r="F979" s="50"/>
      <c r="G979" s="50"/>
      <c r="H979" s="50"/>
      <c r="I979" s="50"/>
      <c r="J979" s="50"/>
      <c r="K979" s="50"/>
      <c r="L979" s="55">
        <f>SUM(L980:L984)-SUMIF(CE980:CE984, 1, L980:L984)</f>
        <v>9.4500000000000028</v>
      </c>
    </row>
    <row r="980" spans="1:83" ht="15" x14ac:dyDescent="0.2">
      <c r="A980" s="47"/>
      <c r="B980" s="50"/>
      <c r="C980" s="47" t="s">
        <v>733</v>
      </c>
      <c r="D980" s="49" t="s">
        <v>428</v>
      </c>
      <c r="E980" s="54"/>
      <c r="F980" s="50"/>
      <c r="G980" s="50">
        <f>Source!V360</f>
        <v>3.9199999999999999E-2</v>
      </c>
      <c r="H980" s="50"/>
      <c r="I980" s="50"/>
      <c r="J980" s="50"/>
      <c r="K980" s="50"/>
      <c r="L980" s="55">
        <f>SUMIF(CE981:CE984, 1, L981:L984)</f>
        <v>26.66</v>
      </c>
      <c r="CE980">
        <v>1</v>
      </c>
    </row>
    <row r="981" spans="1:83" ht="42.75" x14ac:dyDescent="0.2">
      <c r="A981" s="48"/>
      <c r="B981" s="48" t="s">
        <v>431</v>
      </c>
      <c r="C981" s="48" t="s">
        <v>433</v>
      </c>
      <c r="D981" s="49" t="s">
        <v>434</v>
      </c>
      <c r="E981" s="50">
        <v>0.1</v>
      </c>
      <c r="F981" s="50"/>
      <c r="G981" s="50">
        <f>SmtRes!CX263</f>
        <v>2.4500000000000001E-2</v>
      </c>
      <c r="H981" s="52">
        <f>SmtRes!CZ263</f>
        <v>37.32</v>
      </c>
      <c r="I981" s="51">
        <f>SmtRes!AJ263</f>
        <v>1.57</v>
      </c>
      <c r="J981" s="52">
        <f>ROUND(H981*I981, 2)</f>
        <v>58.59</v>
      </c>
      <c r="K981" s="51"/>
      <c r="L981" s="52">
        <f>SmtRes!DG263</f>
        <v>1.44</v>
      </c>
    </row>
    <row r="982" spans="1:83" ht="28.5" x14ac:dyDescent="0.2">
      <c r="A982" s="48"/>
      <c r="B982" s="48" t="s">
        <v>435</v>
      </c>
      <c r="C982" s="48" t="s">
        <v>732</v>
      </c>
      <c r="D982" s="49" t="s">
        <v>428</v>
      </c>
      <c r="E982" s="50">
        <f>SmtRes!DO263*SmtRes!AT263</f>
        <v>0.1</v>
      </c>
      <c r="F982" s="50"/>
      <c r="G982" s="50">
        <f>ROUND(E982*G975, 7)</f>
        <v>2.4500000000000001E-2</v>
      </c>
      <c r="H982" s="52"/>
      <c r="I982" s="51"/>
      <c r="J982" s="52">
        <f>ROUND(SmtRes!AG263/SmtRes!DO263, 2)</f>
        <v>649.24</v>
      </c>
      <c r="K982" s="51"/>
      <c r="L982" s="52">
        <f>SmtRes!DH263</f>
        <v>15.91</v>
      </c>
      <c r="CE982">
        <v>1</v>
      </c>
    </row>
    <row r="983" spans="1:83" ht="28.5" x14ac:dyDescent="0.2">
      <c r="A983" s="48"/>
      <c r="B983" s="48" t="s">
        <v>463</v>
      </c>
      <c r="C983" s="48" t="s">
        <v>465</v>
      </c>
      <c r="D983" s="49" t="s">
        <v>434</v>
      </c>
      <c r="E983" s="50">
        <v>0.06</v>
      </c>
      <c r="F983" s="50"/>
      <c r="G983" s="50">
        <f>SmtRes!CX264</f>
        <v>1.47E-2</v>
      </c>
      <c r="H983" s="52"/>
      <c r="I983" s="51"/>
      <c r="J983" s="52">
        <f>SmtRes!CZ264</f>
        <v>544.91999999999996</v>
      </c>
      <c r="K983" s="51"/>
      <c r="L983" s="52">
        <f>SmtRes!DG264</f>
        <v>8.01</v>
      </c>
    </row>
    <row r="984" spans="1:83" ht="28.5" x14ac:dyDescent="0.2">
      <c r="A984" s="48"/>
      <c r="B984" s="48" t="s">
        <v>466</v>
      </c>
      <c r="C984" s="48" t="s">
        <v>747</v>
      </c>
      <c r="D984" s="49" t="s">
        <v>428</v>
      </c>
      <c r="E984" s="50">
        <f>SmtRes!DO264*SmtRes!AT264</f>
        <v>0.06</v>
      </c>
      <c r="F984" s="50"/>
      <c r="G984" s="50">
        <f>ROUND(E984*G975, 7)</f>
        <v>1.47E-2</v>
      </c>
      <c r="H984" s="52"/>
      <c r="I984" s="51"/>
      <c r="J984" s="52">
        <f>ROUND(SmtRes!AG264/SmtRes!DO264, 2)</f>
        <v>731.08</v>
      </c>
      <c r="K984" s="51"/>
      <c r="L984" s="52">
        <f>SmtRes!DH264</f>
        <v>10.75</v>
      </c>
      <c r="CE984">
        <v>1</v>
      </c>
    </row>
    <row r="985" spans="1:83" ht="15" x14ac:dyDescent="0.2">
      <c r="A985" s="47"/>
      <c r="B985" s="50">
        <v>4</v>
      </c>
      <c r="C985" s="47" t="s">
        <v>742</v>
      </c>
      <c r="D985" s="49"/>
      <c r="E985" s="54"/>
      <c r="F985" s="50"/>
      <c r="G985" s="50"/>
      <c r="H985" s="50"/>
      <c r="I985" s="50"/>
      <c r="J985" s="50"/>
      <c r="K985" s="50"/>
      <c r="L985" s="55">
        <f>SUM(L986:L992)-SUMIF(CE986:CE992, 1, L986:L992)</f>
        <v>2435.04</v>
      </c>
    </row>
    <row r="986" spans="1:83" ht="14.25" x14ac:dyDescent="0.2">
      <c r="A986" s="48"/>
      <c r="B986" s="48" t="s">
        <v>467</v>
      </c>
      <c r="C986" s="48" t="s">
        <v>469</v>
      </c>
      <c r="D986" s="49" t="s">
        <v>34</v>
      </c>
      <c r="E986" s="50">
        <v>0.34</v>
      </c>
      <c r="F986" s="50"/>
      <c r="G986" s="50">
        <f>SmtRes!CX265</f>
        <v>8.3299999999999999E-2</v>
      </c>
      <c r="H986" s="52">
        <f>SmtRes!CZ265</f>
        <v>35.71</v>
      </c>
      <c r="I986" s="51">
        <f>SmtRes!AI265</f>
        <v>1.53</v>
      </c>
      <c r="J986" s="52">
        <f t="shared" ref="J986:J992" si="4">ROUND(H986*I986, 2)</f>
        <v>54.64</v>
      </c>
      <c r="K986" s="51"/>
      <c r="L986" s="52">
        <f>SmtRes!DF265</f>
        <v>4.55</v>
      </c>
    </row>
    <row r="987" spans="1:83" ht="14.25" x14ac:dyDescent="0.2">
      <c r="A987" s="48"/>
      <c r="B987" s="48" t="s">
        <v>558</v>
      </c>
      <c r="C987" s="48" t="s">
        <v>560</v>
      </c>
      <c r="D987" s="49" t="s">
        <v>279</v>
      </c>
      <c r="E987" s="50">
        <v>2.4</v>
      </c>
      <c r="F987" s="50"/>
      <c r="G987" s="50">
        <f>SmtRes!CX266</f>
        <v>0.58799999999999997</v>
      </c>
      <c r="H987" s="52">
        <f>SmtRes!CZ266</f>
        <v>18.59</v>
      </c>
      <c r="I987" s="51">
        <f>SmtRes!AI266</f>
        <v>1.35</v>
      </c>
      <c r="J987" s="52">
        <f t="shared" si="4"/>
        <v>25.1</v>
      </c>
      <c r="K987" s="51"/>
      <c r="L987" s="52">
        <f>SmtRes!DF266</f>
        <v>14.76</v>
      </c>
    </row>
    <row r="988" spans="1:83" ht="14.25" x14ac:dyDescent="0.2">
      <c r="A988" s="48"/>
      <c r="B988" s="48" t="s">
        <v>561</v>
      </c>
      <c r="C988" s="48" t="s">
        <v>563</v>
      </c>
      <c r="D988" s="49" t="s">
        <v>30</v>
      </c>
      <c r="E988" s="50">
        <v>4.1000000000000003E-3</v>
      </c>
      <c r="F988" s="50"/>
      <c r="G988" s="50">
        <f>SmtRes!CX267</f>
        <v>1.0045E-3</v>
      </c>
      <c r="H988" s="52">
        <f>SmtRes!CZ267</f>
        <v>3616.92</v>
      </c>
      <c r="I988" s="51">
        <f>SmtRes!AI267</f>
        <v>1.35</v>
      </c>
      <c r="J988" s="52">
        <f t="shared" si="4"/>
        <v>4882.84</v>
      </c>
      <c r="K988" s="51"/>
      <c r="L988" s="52">
        <f>SmtRes!DF267</f>
        <v>4.9000000000000004</v>
      </c>
    </row>
    <row r="989" spans="1:83" ht="14.25" x14ac:dyDescent="0.2">
      <c r="A989" s="48"/>
      <c r="B989" s="48" t="s">
        <v>564</v>
      </c>
      <c r="C989" s="48" t="s">
        <v>566</v>
      </c>
      <c r="D989" s="49" t="s">
        <v>96</v>
      </c>
      <c r="E989" s="50">
        <v>2.64</v>
      </c>
      <c r="F989" s="50"/>
      <c r="G989" s="50">
        <f>SmtRes!CX268</f>
        <v>0.64680000000000004</v>
      </c>
      <c r="H989" s="52">
        <f>SmtRes!CZ268</f>
        <v>2507.62</v>
      </c>
      <c r="I989" s="51">
        <f>SmtRes!AI268</f>
        <v>1.35</v>
      </c>
      <c r="J989" s="52">
        <f t="shared" si="4"/>
        <v>3385.29</v>
      </c>
      <c r="K989" s="51"/>
      <c r="L989" s="52">
        <f>SmtRes!DF268</f>
        <v>2189.61</v>
      </c>
    </row>
    <row r="990" spans="1:83" ht="28.5" x14ac:dyDescent="0.2">
      <c r="A990" s="48"/>
      <c r="B990" s="48" t="s">
        <v>567</v>
      </c>
      <c r="C990" s="48" t="s">
        <v>569</v>
      </c>
      <c r="D990" s="49" t="s">
        <v>60</v>
      </c>
      <c r="E990" s="50">
        <v>0.8</v>
      </c>
      <c r="F990" s="50"/>
      <c r="G990" s="50">
        <f>SmtRes!CX269</f>
        <v>0.19600000000000001</v>
      </c>
      <c r="H990" s="52">
        <f>SmtRes!CZ269</f>
        <v>531.44000000000005</v>
      </c>
      <c r="I990" s="51">
        <f>SmtRes!AI269</f>
        <v>1.35</v>
      </c>
      <c r="J990" s="52">
        <f t="shared" si="4"/>
        <v>717.44</v>
      </c>
      <c r="K990" s="51"/>
      <c r="L990" s="52">
        <f>SmtRes!DF269</f>
        <v>140.62</v>
      </c>
    </row>
    <row r="991" spans="1:83" ht="42.75" x14ac:dyDescent="0.2">
      <c r="A991" s="48"/>
      <c r="B991" s="48" t="s">
        <v>570</v>
      </c>
      <c r="C991" s="48" t="s">
        <v>572</v>
      </c>
      <c r="D991" s="49" t="s">
        <v>96</v>
      </c>
      <c r="E991" s="50">
        <v>1.43</v>
      </c>
      <c r="F991" s="50"/>
      <c r="G991" s="50">
        <f>SmtRes!CX270</f>
        <v>0.35034999999999999</v>
      </c>
      <c r="H991" s="52">
        <f>SmtRes!CZ270</f>
        <v>93.01</v>
      </c>
      <c r="I991" s="51">
        <f>SmtRes!AI270</f>
        <v>1.08</v>
      </c>
      <c r="J991" s="52">
        <f t="shared" si="4"/>
        <v>100.45</v>
      </c>
      <c r="K991" s="51"/>
      <c r="L991" s="52">
        <f>SmtRes!DF270</f>
        <v>35.19</v>
      </c>
    </row>
    <row r="992" spans="1:83" ht="14.25" x14ac:dyDescent="0.2">
      <c r="A992" s="48"/>
      <c r="B992" s="48" t="s">
        <v>573</v>
      </c>
      <c r="C992" s="48" t="s">
        <v>575</v>
      </c>
      <c r="D992" s="49" t="s">
        <v>30</v>
      </c>
      <c r="E992" s="50">
        <v>5.1000000000000004E-3</v>
      </c>
      <c r="F992" s="50"/>
      <c r="G992" s="50">
        <f>SmtRes!CX272</f>
        <v>1.2495E-3</v>
      </c>
      <c r="H992" s="52">
        <f>SmtRes!CZ272</f>
        <v>25237.94</v>
      </c>
      <c r="I992" s="51">
        <f>SmtRes!AI272</f>
        <v>1.44</v>
      </c>
      <c r="J992" s="52">
        <f t="shared" si="4"/>
        <v>36342.629999999997</v>
      </c>
      <c r="K992" s="51"/>
      <c r="L992" s="52">
        <f>SmtRes!DF272</f>
        <v>45.41</v>
      </c>
    </row>
    <row r="993" spans="1:82" ht="14.25" x14ac:dyDescent="0.2">
      <c r="A993" s="48"/>
      <c r="B993" s="48" t="str">
        <f>EtalonRes!I270</f>
        <v>14.3.02.01</v>
      </c>
      <c r="C993" s="56" t="str">
        <f>EtalonRes!K270</f>
        <v>Краска водоэмульсионная</v>
      </c>
      <c r="D993" s="57" t="str">
        <f>EtalonRes!O270</f>
        <v>т</v>
      </c>
      <c r="E993" s="58">
        <f>EtalonRes!X270</f>
        <v>6.3E-2</v>
      </c>
      <c r="F993" s="58"/>
      <c r="G993" s="58">
        <f>ROUND(EtalonRes!AG270*Source!I360, 7)</f>
        <v>1.5435000000000001E-2</v>
      </c>
      <c r="H993" s="59"/>
      <c r="I993" s="60"/>
      <c r="J993" s="59"/>
      <c r="K993" s="60"/>
      <c r="L993" s="59"/>
    </row>
    <row r="994" spans="1:82" ht="15" x14ac:dyDescent="0.2">
      <c r="A994" s="48"/>
      <c r="B994" s="48"/>
      <c r="C994" s="63" t="s">
        <v>734</v>
      </c>
      <c r="D994" s="49"/>
      <c r="E994" s="50"/>
      <c r="F994" s="50"/>
      <c r="G994" s="50"/>
      <c r="H994" s="52"/>
      <c r="I994" s="51"/>
      <c r="J994" s="52"/>
      <c r="K994" s="51"/>
      <c r="L994" s="52">
        <f>L977+L979+L980+L985</f>
        <v>5515.33</v>
      </c>
    </row>
    <row r="995" spans="1:82" ht="28.5" x14ac:dyDescent="0.2">
      <c r="A995" s="46" t="s">
        <v>855</v>
      </c>
      <c r="B995" s="48" t="str">
        <f>Source!F361</f>
        <v>14.3.02.01-0111</v>
      </c>
      <c r="C995" s="48" t="str">
        <f>Source!G361</f>
        <v>Краска водно-дисперсионная акрилатная ВД-АК-101</v>
      </c>
      <c r="D995" s="49" t="str">
        <f>Source!H361</f>
        <v>т</v>
      </c>
      <c r="E995" s="50">
        <f>SmtRes!AT271</f>
        <v>6.3E-2</v>
      </c>
      <c r="F995" s="50"/>
      <c r="G995" s="50">
        <f>Source!I361</f>
        <v>1.5434999999999999E-2</v>
      </c>
      <c r="H995" s="52">
        <f>Source!AL361+Source!AO361+Source!AM361+Source!AN361</f>
        <v>52265.82</v>
      </c>
      <c r="I995" s="51">
        <f>IF(Source!BC361&lt;&gt; 0, Source!BC361, 1)</f>
        <v>1.75</v>
      </c>
      <c r="J995" s="52">
        <f>ROUND(H995*I995, 2)</f>
        <v>91465.19</v>
      </c>
      <c r="K995" s="51"/>
      <c r="L995" s="52">
        <f>Source!P361</f>
        <v>1411.77</v>
      </c>
      <c r="AD995">
        <f>ROUND((Source!AT361/100)*((ROUND(ROUND(Source!AO361,2)*Source!I361, 2)+ROUND(ROUND(Source!AN361,2)*Source!I361, 2))), 2)</f>
        <v>0</v>
      </c>
      <c r="AE995">
        <f>ROUND((Source!AU361/100)*((ROUND(ROUND(Source!AO361,2)*Source!I361, 2)+ROUND(ROUND(Source!AN361,2)*Source!I361, 2))), 2)</f>
        <v>0</v>
      </c>
      <c r="AN995">
        <f>L995</f>
        <v>1411.77</v>
      </c>
      <c r="AW995">
        <f>L995</f>
        <v>1411.77</v>
      </c>
      <c r="AZ995">
        <f>Source!X361</f>
        <v>0</v>
      </c>
      <c r="BA995">
        <f>Source!Y361</f>
        <v>0</v>
      </c>
      <c r="CD995">
        <v>1</v>
      </c>
    </row>
    <row r="996" spans="1:82" ht="14.25" x14ac:dyDescent="0.2">
      <c r="A996" s="48"/>
      <c r="B996" s="48"/>
      <c r="C996" s="48" t="s">
        <v>735</v>
      </c>
      <c r="D996" s="49"/>
      <c r="E996" s="50"/>
      <c r="F996" s="50"/>
      <c r="G996" s="50"/>
      <c r="H996" s="52"/>
      <c r="I996" s="51"/>
      <c r="J996" s="52"/>
      <c r="K996" s="51"/>
      <c r="L996" s="52">
        <f>SUM(AR975:AR999)+SUM(AS975:AS999)+SUM(AT975:AT999)+SUM(AU975:AU999)+SUM(AV975:AV999)</f>
        <v>3070.8399999999997</v>
      </c>
    </row>
    <row r="997" spans="1:82" ht="14.25" x14ac:dyDescent="0.2">
      <c r="A997" s="48"/>
      <c r="B997" s="48" t="s">
        <v>123</v>
      </c>
      <c r="C997" s="48" t="s">
        <v>769</v>
      </c>
      <c r="D997" s="49" t="s">
        <v>737</v>
      </c>
      <c r="E997" s="50">
        <f>Source!BZ360</f>
        <v>90</v>
      </c>
      <c r="F997" s="50"/>
      <c r="G997" s="50">
        <f>Source!AT360</f>
        <v>90</v>
      </c>
      <c r="H997" s="52"/>
      <c r="I997" s="51"/>
      <c r="J997" s="52"/>
      <c r="K997" s="51"/>
      <c r="L997" s="52">
        <f>SUM(AZ975:AZ999)</f>
        <v>2763.76</v>
      </c>
    </row>
    <row r="998" spans="1:82" ht="14.25" x14ac:dyDescent="0.2">
      <c r="A998" s="56"/>
      <c r="B998" s="56" t="s">
        <v>124</v>
      </c>
      <c r="C998" s="56" t="s">
        <v>770</v>
      </c>
      <c r="D998" s="57" t="s">
        <v>737</v>
      </c>
      <c r="E998" s="58">
        <f>Source!CA360</f>
        <v>46</v>
      </c>
      <c r="F998" s="58"/>
      <c r="G998" s="58">
        <f>Source!AU360</f>
        <v>46</v>
      </c>
      <c r="H998" s="59"/>
      <c r="I998" s="60"/>
      <c r="J998" s="59"/>
      <c r="K998" s="60"/>
      <c r="L998" s="59">
        <f>SUM(BA975:BA999)</f>
        <v>1412.59</v>
      </c>
    </row>
    <row r="999" spans="1:82" ht="15" x14ac:dyDescent="0.2">
      <c r="C999" s="124" t="s">
        <v>739</v>
      </c>
      <c r="D999" s="124"/>
      <c r="E999" s="124"/>
      <c r="F999" s="124"/>
      <c r="G999" s="124"/>
      <c r="H999" s="124"/>
      <c r="I999" s="125">
        <f>IF(E975&lt;&gt;0,K999/E975, 0)</f>
        <v>45320.204081632655</v>
      </c>
      <c r="J999" s="125"/>
      <c r="K999" s="125">
        <f>L977+L979+L985+L997+L998+L980+SUM(L995:L995)</f>
        <v>11103.45</v>
      </c>
      <c r="L999" s="125"/>
      <c r="AD999">
        <f>ROUND((Source!AT360/100)*((ROUND(SUMIF(SmtRes!AQ261:'SmtRes'!AQ272,"=1",SmtRes!AD261:'SmtRes'!AD272)*Source!I360, 2)+ROUND(SUMIF(SmtRes!AQ261:'SmtRes'!AQ272,"=1",SmtRes!AC261:'SmtRes'!AC272)*Source!I360, 2))), 2)</f>
        <v>449.33</v>
      </c>
      <c r="AE999">
        <f>ROUND((Source!AU360/100)*((ROUND(SUMIF(SmtRes!AQ261:'SmtRes'!AQ272,"=1",SmtRes!AD261:'SmtRes'!AD272)*Source!I360, 2)+ROUND(SUMIF(SmtRes!AQ261:'SmtRes'!AQ272,"=1",SmtRes!AC261:'SmtRes'!AC272)*Source!I360, 2))), 2)</f>
        <v>229.66</v>
      </c>
      <c r="AN999" s="61">
        <f>L977+L979+L985+L997+L998+L980</f>
        <v>9691.68</v>
      </c>
      <c r="AO999" s="61">
        <f>L979</f>
        <v>9.4500000000000028</v>
      </c>
      <c r="AQ999" t="s">
        <v>740</v>
      </c>
      <c r="AR999" s="61">
        <f>L977</f>
        <v>3044.18</v>
      </c>
      <c r="AT999" s="61">
        <f>L980</f>
        <v>26.66</v>
      </c>
      <c r="AV999" t="s">
        <v>740</v>
      </c>
      <c r="AW999" s="61">
        <f>L985</f>
        <v>2435.04</v>
      </c>
      <c r="AZ999">
        <f>Source!X360</f>
        <v>2763.76</v>
      </c>
      <c r="BA999">
        <f>Source!Y360</f>
        <v>1412.59</v>
      </c>
      <c r="CD999">
        <v>1</v>
      </c>
    </row>
    <row r="1000" spans="1:82" ht="42.75" x14ac:dyDescent="0.2">
      <c r="A1000" s="65" t="s">
        <v>348</v>
      </c>
      <c r="B1000" s="56" t="s">
        <v>130</v>
      </c>
      <c r="C1000" s="56" t="str">
        <f>Source!G362</f>
        <v>Погрузка в автотранспортное средство: мусор строительный с погрузкой вручную</v>
      </c>
      <c r="D1000" s="57" t="str">
        <f>Source!H362</f>
        <v>1т груза</v>
      </c>
      <c r="E1000" s="58">
        <f>Source!K362</f>
        <v>0.82809999999999995</v>
      </c>
      <c r="F1000" s="58"/>
      <c r="G1000" s="58">
        <f>Source!I362</f>
        <v>0.82809999999999995</v>
      </c>
      <c r="H1000" s="59"/>
      <c r="I1000" s="60"/>
      <c r="J1000" s="59">
        <f>Source!AK362</f>
        <v>1490.12</v>
      </c>
      <c r="K1000" s="60"/>
      <c r="L1000" s="59">
        <f>Source!HD362</f>
        <v>1233.97</v>
      </c>
    </row>
    <row r="1001" spans="1:82" ht="15" x14ac:dyDescent="0.2">
      <c r="C1001" s="124" t="s">
        <v>739</v>
      </c>
      <c r="D1001" s="124"/>
      <c r="E1001" s="124"/>
      <c r="F1001" s="124"/>
      <c r="G1001" s="124"/>
      <c r="H1001" s="124"/>
      <c r="I1001" s="125">
        <f>IF(E1000&lt;&gt;0,K1001/E1000, 0)</f>
        <v>1490.1219659461419</v>
      </c>
      <c r="J1001" s="125"/>
      <c r="K1001" s="125">
        <f>L1000</f>
        <v>1233.97</v>
      </c>
      <c r="L1001" s="125"/>
      <c r="AD1001">
        <f>ROUND((Source!AT362/100)*((ROUND(0*Source!I362, 2)+ROUND(0*Source!I362, 2))), 2)</f>
        <v>0</v>
      </c>
      <c r="AE1001">
        <f>ROUND((Source!AU362/100)*((ROUND(0*Source!I362, 2)+ROUND(0*Source!I362, 2))), 2)</f>
        <v>0</v>
      </c>
      <c r="AN1001" s="61">
        <f>L1000</f>
        <v>1233.97</v>
      </c>
      <c r="AP1001">
        <f>0</f>
        <v>0</v>
      </c>
      <c r="AQ1001" t="s">
        <v>740</v>
      </c>
      <c r="AS1001">
        <f>0</f>
        <v>0</v>
      </c>
      <c r="AU1001">
        <f>0</f>
        <v>0</v>
      </c>
      <c r="AV1001" t="s">
        <v>740</v>
      </c>
      <c r="AZ1001">
        <f>Source!X362</f>
        <v>0</v>
      </c>
      <c r="BA1001">
        <f>Source!Y362</f>
        <v>0</v>
      </c>
      <c r="BB1001" s="61">
        <f>L1000</f>
        <v>1233.97</v>
      </c>
      <c r="CD1001">
        <v>1</v>
      </c>
    </row>
    <row r="1002" spans="1:82" ht="128.25" x14ac:dyDescent="0.2">
      <c r="A1002" s="65" t="s">
        <v>349</v>
      </c>
      <c r="B1002" s="56" t="s">
        <v>138</v>
      </c>
      <c r="C1002" s="56" t="str">
        <f>Source!G363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36 км</v>
      </c>
      <c r="D1002" s="57" t="str">
        <f>Source!H363</f>
        <v>1т груза</v>
      </c>
      <c r="E1002" s="58">
        <f>Source!K363</f>
        <v>0.82809999999999995</v>
      </c>
      <c r="F1002" s="58"/>
      <c r="G1002" s="58">
        <f>Source!I363</f>
        <v>0.82809999999999995</v>
      </c>
      <c r="H1002" s="59"/>
      <c r="I1002" s="60"/>
      <c r="J1002" s="59">
        <f>Source!AK363</f>
        <v>519.79</v>
      </c>
      <c r="K1002" s="60"/>
      <c r="L1002" s="59">
        <f>Source!HD363</f>
        <v>430.44</v>
      </c>
    </row>
    <row r="1003" spans="1:82" ht="15" x14ac:dyDescent="0.2">
      <c r="C1003" s="124" t="s">
        <v>739</v>
      </c>
      <c r="D1003" s="124"/>
      <c r="E1003" s="124"/>
      <c r="F1003" s="124"/>
      <c r="G1003" s="124"/>
      <c r="H1003" s="124"/>
      <c r="I1003" s="125">
        <f>IF(E1002&lt;&gt;0,K1003/E1002, 0)</f>
        <v>519.79229561647151</v>
      </c>
      <c r="J1003" s="125"/>
      <c r="K1003" s="125">
        <f>L1002</f>
        <v>430.44</v>
      </c>
      <c r="L1003" s="125"/>
      <c r="AD1003">
        <f>ROUND((Source!AT363/100)*((ROUND(0*Source!I363, 2)+ROUND(0*Source!I363, 2))), 2)</f>
        <v>0</v>
      </c>
      <c r="AE1003">
        <f>ROUND((Source!AU363/100)*((ROUND(0*Source!I363, 2)+ROUND(0*Source!I363, 2))), 2)</f>
        <v>0</v>
      </c>
      <c r="AN1003" s="61">
        <f>L1002</f>
        <v>430.44</v>
      </c>
      <c r="AP1003">
        <f>0</f>
        <v>0</v>
      </c>
      <c r="AQ1003" t="s">
        <v>740</v>
      </c>
      <c r="AS1003">
        <f>0</f>
        <v>0</v>
      </c>
      <c r="AU1003">
        <f>0</f>
        <v>0</v>
      </c>
      <c r="AV1003" t="s">
        <v>740</v>
      </c>
      <c r="AZ1003">
        <f>Source!X363</f>
        <v>0</v>
      </c>
      <c r="BA1003">
        <f>Source!Y363</f>
        <v>0</v>
      </c>
      <c r="BB1003" s="61">
        <f>L1002</f>
        <v>430.44</v>
      </c>
      <c r="CD1003">
        <v>1</v>
      </c>
    </row>
    <row r="1005" spans="1:82" ht="15" x14ac:dyDescent="0.2">
      <c r="A1005" s="67"/>
      <c r="B1005" s="68"/>
      <c r="C1005" s="129" t="s">
        <v>771</v>
      </c>
      <c r="D1005" s="129"/>
      <c r="E1005" s="129"/>
      <c r="F1005" s="129"/>
      <c r="G1005" s="129"/>
      <c r="H1005" s="129"/>
      <c r="I1005" s="55"/>
      <c r="J1005" s="67"/>
      <c r="K1005" s="69"/>
      <c r="L1005" s="55">
        <f>L1007+L1008+L1014+L1018</f>
        <v>55172.56</v>
      </c>
    </row>
    <row r="1006" spans="1:82" ht="14.25" x14ac:dyDescent="0.2">
      <c r="A1006" s="64"/>
      <c r="B1006" s="66"/>
      <c r="C1006" s="130" t="s">
        <v>772</v>
      </c>
      <c r="D1006" s="131"/>
      <c r="E1006" s="131"/>
      <c r="F1006" s="131"/>
      <c r="G1006" s="131"/>
      <c r="H1006" s="131"/>
      <c r="I1006" s="52"/>
      <c r="J1006" s="64"/>
      <c r="K1006" s="50"/>
      <c r="L1006" s="52"/>
    </row>
    <row r="1007" spans="1:82" ht="14.25" x14ac:dyDescent="0.2">
      <c r="A1007" s="64"/>
      <c r="B1007" s="66"/>
      <c r="C1007" s="131" t="s">
        <v>773</v>
      </c>
      <c r="D1007" s="131"/>
      <c r="E1007" s="131"/>
      <c r="F1007" s="131"/>
      <c r="G1007" s="131"/>
      <c r="H1007" s="131"/>
      <c r="I1007" s="52"/>
      <c r="J1007" s="64"/>
      <c r="K1007" s="50"/>
      <c r="L1007" s="52">
        <f>SUM(AR913:AR1003)</f>
        <v>39445.79</v>
      </c>
    </row>
    <row r="1008" spans="1:82" ht="14.25" hidden="1" x14ac:dyDescent="0.2">
      <c r="A1008" s="64"/>
      <c r="B1008" s="66"/>
      <c r="C1008" s="131" t="s">
        <v>774</v>
      </c>
      <c r="D1008" s="131"/>
      <c r="E1008" s="131"/>
      <c r="F1008" s="131"/>
      <c r="G1008" s="131"/>
      <c r="H1008" s="131"/>
      <c r="I1008" s="52"/>
      <c r="J1008" s="64"/>
      <c r="K1008" s="50"/>
      <c r="L1008" s="52">
        <f>L1010+L1013+L1012</f>
        <v>1431.99</v>
      </c>
    </row>
    <row r="1009" spans="1:12" ht="14.25" hidden="1" x14ac:dyDescent="0.2">
      <c r="A1009" s="64"/>
      <c r="B1009" s="66"/>
      <c r="C1009" s="130" t="s">
        <v>775</v>
      </c>
      <c r="D1009" s="131"/>
      <c r="E1009" s="131"/>
      <c r="F1009" s="131"/>
      <c r="G1009" s="131"/>
      <c r="H1009" s="131"/>
      <c r="I1009" s="52"/>
      <c r="J1009" s="64"/>
      <c r="K1009" s="50"/>
      <c r="L1009" s="52"/>
    </row>
    <row r="1010" spans="1:12" ht="14.25" x14ac:dyDescent="0.2">
      <c r="A1010" s="64"/>
      <c r="B1010" s="66"/>
      <c r="C1010" s="131" t="s">
        <v>774</v>
      </c>
      <c r="D1010" s="131"/>
      <c r="E1010" s="131"/>
      <c r="F1010" s="131"/>
      <c r="G1010" s="131"/>
      <c r="H1010" s="131"/>
      <c r="I1010" s="52"/>
      <c r="J1010" s="64"/>
      <c r="K1010" s="50"/>
      <c r="L1010" s="52">
        <f>SUM(AO913:AO1003)</f>
        <v>219.78999999999996</v>
      </c>
    </row>
    <row r="1011" spans="1:12" ht="14.25" hidden="1" x14ac:dyDescent="0.2">
      <c r="A1011" s="64"/>
      <c r="B1011" s="66"/>
      <c r="C1011" s="130" t="s">
        <v>776</v>
      </c>
      <c r="D1011" s="131"/>
      <c r="E1011" s="131"/>
      <c r="F1011" s="131"/>
      <c r="G1011" s="131"/>
      <c r="H1011" s="131"/>
      <c r="I1011" s="52"/>
      <c r="J1011" s="64"/>
      <c r="K1011" s="50"/>
      <c r="L1011" s="52"/>
    </row>
    <row r="1012" spans="1:12" ht="14.25" x14ac:dyDescent="0.2">
      <c r="A1012" s="64"/>
      <c r="B1012" s="66"/>
      <c r="C1012" s="131" t="s">
        <v>796</v>
      </c>
      <c r="D1012" s="131"/>
      <c r="E1012" s="131"/>
      <c r="F1012" s="131"/>
      <c r="G1012" s="131"/>
      <c r="H1012" s="131"/>
      <c r="I1012" s="52"/>
      <c r="J1012" s="64"/>
      <c r="K1012" s="50"/>
      <c r="L1012" s="52">
        <f>SUM(AT913:AT1003)</f>
        <v>1212.2</v>
      </c>
    </row>
    <row r="1013" spans="1:12" ht="14.25" hidden="1" x14ac:dyDescent="0.2">
      <c r="A1013" s="64"/>
      <c r="B1013" s="66"/>
      <c r="C1013" s="131" t="s">
        <v>777</v>
      </c>
      <c r="D1013" s="131"/>
      <c r="E1013" s="131"/>
      <c r="F1013" s="131"/>
      <c r="G1013" s="131"/>
      <c r="H1013" s="131"/>
      <c r="I1013" s="52"/>
      <c r="J1013" s="64"/>
      <c r="K1013" s="50"/>
      <c r="L1013" s="52">
        <f>SUM(AV913:AV1003)</f>
        <v>0</v>
      </c>
    </row>
    <row r="1014" spans="1:12" ht="14.25" x14ac:dyDescent="0.2">
      <c r="A1014" s="64"/>
      <c r="B1014" s="66"/>
      <c r="C1014" s="131" t="s">
        <v>778</v>
      </c>
      <c r="D1014" s="131"/>
      <c r="E1014" s="131"/>
      <c r="F1014" s="131"/>
      <c r="G1014" s="131"/>
      <c r="H1014" s="131"/>
      <c r="I1014" s="52"/>
      <c r="J1014" s="64"/>
      <c r="K1014" s="50"/>
      <c r="L1014" s="52">
        <f>L1016+L1017</f>
        <v>12630.369999999999</v>
      </c>
    </row>
    <row r="1015" spans="1:12" ht="14.25" x14ac:dyDescent="0.2">
      <c r="A1015" s="64"/>
      <c r="B1015" s="66"/>
      <c r="C1015" s="130" t="s">
        <v>775</v>
      </c>
      <c r="D1015" s="131"/>
      <c r="E1015" s="131"/>
      <c r="F1015" s="131"/>
      <c r="G1015" s="131"/>
      <c r="H1015" s="131"/>
      <c r="I1015" s="52"/>
      <c r="J1015" s="64"/>
      <c r="K1015" s="50"/>
      <c r="L1015" s="52"/>
    </row>
    <row r="1016" spans="1:12" ht="14.25" x14ac:dyDescent="0.2">
      <c r="A1016" s="64"/>
      <c r="B1016" s="66"/>
      <c r="C1016" s="131" t="s">
        <v>779</v>
      </c>
      <c r="D1016" s="131"/>
      <c r="E1016" s="131"/>
      <c r="F1016" s="131"/>
      <c r="G1016" s="131"/>
      <c r="H1016" s="131"/>
      <c r="I1016" s="52"/>
      <c r="J1016" s="64"/>
      <c r="K1016" s="50"/>
      <c r="L1016" s="52">
        <f>SUM(AW913:AW1003)-SUM(BK913:BK1003)</f>
        <v>12630.369999999999</v>
      </c>
    </row>
    <row r="1017" spans="1:12" ht="14.25" hidden="1" x14ac:dyDescent="0.2">
      <c r="A1017" s="64"/>
      <c r="B1017" s="66"/>
      <c r="C1017" s="131" t="s">
        <v>780</v>
      </c>
      <c r="D1017" s="131"/>
      <c r="E1017" s="131"/>
      <c r="F1017" s="131"/>
      <c r="G1017" s="131"/>
      <c r="H1017" s="131"/>
      <c r="I1017" s="52"/>
      <c r="J1017" s="64"/>
      <c r="K1017" s="50"/>
      <c r="L1017" s="52">
        <f>SUM(BC913:BC1003)</f>
        <v>0</v>
      </c>
    </row>
    <row r="1018" spans="1:12" ht="14.25" x14ac:dyDescent="0.2">
      <c r="A1018" s="64"/>
      <c r="B1018" s="66"/>
      <c r="C1018" s="131" t="s">
        <v>781</v>
      </c>
      <c r="D1018" s="131"/>
      <c r="E1018" s="131"/>
      <c r="F1018" s="131"/>
      <c r="G1018" s="131"/>
      <c r="H1018" s="131"/>
      <c r="I1018" s="52"/>
      <c r="J1018" s="64"/>
      <c r="K1018" s="50"/>
      <c r="L1018" s="52">
        <f>SUM(BB913:BB1003)</f>
        <v>1664.41</v>
      </c>
    </row>
    <row r="1019" spans="1:12" ht="14.25" x14ac:dyDescent="0.2">
      <c r="A1019" s="64"/>
      <c r="B1019" s="66"/>
      <c r="C1019" s="131" t="s">
        <v>782</v>
      </c>
      <c r="D1019" s="131"/>
      <c r="E1019" s="131"/>
      <c r="F1019" s="131"/>
      <c r="G1019" s="131"/>
      <c r="H1019" s="131"/>
      <c r="I1019" s="52"/>
      <c r="J1019" s="64"/>
      <c r="K1019" s="50"/>
      <c r="L1019" s="52">
        <f>SUM(AR913:AR1003)+SUM(AT913:AT1003)+SUM(AV913:AV1003)</f>
        <v>40657.99</v>
      </c>
    </row>
    <row r="1020" spans="1:12" ht="14.25" x14ac:dyDescent="0.2">
      <c r="A1020" s="64"/>
      <c r="B1020" s="66"/>
      <c r="C1020" s="131" t="s">
        <v>783</v>
      </c>
      <c r="D1020" s="131"/>
      <c r="E1020" s="131"/>
      <c r="F1020" s="131"/>
      <c r="G1020" s="131"/>
      <c r="H1020" s="131"/>
      <c r="I1020" s="52"/>
      <c r="J1020" s="64"/>
      <c r="K1020" s="50"/>
      <c r="L1020" s="52">
        <f>SUM(AZ913:AZ1003)</f>
        <v>36233.230000000003</v>
      </c>
    </row>
    <row r="1021" spans="1:12" ht="14.25" x14ac:dyDescent="0.2">
      <c r="A1021" s="64"/>
      <c r="B1021" s="66"/>
      <c r="C1021" s="131" t="s">
        <v>784</v>
      </c>
      <c r="D1021" s="131"/>
      <c r="E1021" s="131"/>
      <c r="F1021" s="131"/>
      <c r="G1021" s="131"/>
      <c r="H1021" s="131"/>
      <c r="I1021" s="52"/>
      <c r="J1021" s="64"/>
      <c r="K1021" s="50"/>
      <c r="L1021" s="52">
        <f>SUM(BA913:BA1003)</f>
        <v>17984.75</v>
      </c>
    </row>
    <row r="1022" spans="1:12" ht="14.25" hidden="1" x14ac:dyDescent="0.2">
      <c r="A1022" s="64"/>
      <c r="B1022" s="66"/>
      <c r="C1022" s="131" t="s">
        <v>785</v>
      </c>
      <c r="D1022" s="131"/>
      <c r="E1022" s="131"/>
      <c r="F1022" s="131"/>
      <c r="G1022" s="131"/>
      <c r="H1022" s="131"/>
      <c r="I1022" s="52"/>
      <c r="J1022" s="64"/>
      <c r="K1022" s="50"/>
      <c r="L1022" s="52">
        <f>L1024+L1025</f>
        <v>0</v>
      </c>
    </row>
    <row r="1023" spans="1:12" ht="14.25" hidden="1" x14ac:dyDescent="0.2">
      <c r="A1023" s="64"/>
      <c r="B1023" s="66"/>
      <c r="C1023" s="130" t="s">
        <v>772</v>
      </c>
      <c r="D1023" s="131"/>
      <c r="E1023" s="131"/>
      <c r="F1023" s="131"/>
      <c r="G1023" s="131"/>
      <c r="H1023" s="131"/>
      <c r="I1023" s="52"/>
      <c r="J1023" s="64"/>
      <c r="K1023" s="50"/>
      <c r="L1023" s="52"/>
    </row>
    <row r="1024" spans="1:12" ht="14.25" hidden="1" x14ac:dyDescent="0.2">
      <c r="A1024" s="64"/>
      <c r="B1024" s="66"/>
      <c r="C1024" s="131" t="s">
        <v>786</v>
      </c>
      <c r="D1024" s="131"/>
      <c r="E1024" s="131"/>
      <c r="F1024" s="131"/>
      <c r="G1024" s="131"/>
      <c r="H1024" s="131"/>
      <c r="I1024" s="52"/>
      <c r="J1024" s="64"/>
      <c r="K1024" s="50"/>
      <c r="L1024" s="52">
        <f>SUM(BK913:BK1003)</f>
        <v>0</v>
      </c>
    </row>
    <row r="1025" spans="1:12" ht="14.25" hidden="1" x14ac:dyDescent="0.2">
      <c r="A1025" s="64"/>
      <c r="B1025" s="66"/>
      <c r="C1025" s="131" t="s">
        <v>787</v>
      </c>
      <c r="D1025" s="131"/>
      <c r="E1025" s="131"/>
      <c r="F1025" s="131"/>
      <c r="G1025" s="131"/>
      <c r="H1025" s="131"/>
      <c r="I1025" s="52"/>
      <c r="J1025" s="64"/>
      <c r="K1025" s="50"/>
      <c r="L1025" s="52">
        <f>SUM(BD913:BD1003)</f>
        <v>0</v>
      </c>
    </row>
    <row r="1026" spans="1:12" ht="14.25" hidden="1" x14ac:dyDescent="0.2">
      <c r="A1026" s="64"/>
      <c r="B1026" s="66"/>
      <c r="C1026" s="131" t="s">
        <v>788</v>
      </c>
      <c r="D1026" s="131"/>
      <c r="E1026" s="131"/>
      <c r="F1026" s="131"/>
      <c r="G1026" s="131"/>
      <c r="H1026" s="131"/>
      <c r="I1026" s="52"/>
      <c r="J1026" s="64"/>
      <c r="K1026" s="50"/>
      <c r="L1026" s="52"/>
    </row>
    <row r="1027" spans="1:12" ht="14.25" hidden="1" x14ac:dyDescent="0.2">
      <c r="A1027" s="64"/>
      <c r="B1027" s="66"/>
      <c r="C1027" s="131" t="s">
        <v>788</v>
      </c>
      <c r="D1027" s="131"/>
      <c r="E1027" s="131"/>
      <c r="F1027" s="131"/>
      <c r="G1027" s="131"/>
      <c r="H1027" s="131"/>
      <c r="I1027" s="52"/>
      <c r="J1027" s="64"/>
      <c r="K1027" s="50"/>
      <c r="L1027" s="52">
        <f>SUM(BQ913:BQ1003)</f>
        <v>0</v>
      </c>
    </row>
    <row r="1028" spans="1:12" ht="14.25" hidden="1" x14ac:dyDescent="0.2">
      <c r="A1028" s="64"/>
      <c r="B1028" s="66"/>
      <c r="C1028" s="131" t="s">
        <v>789</v>
      </c>
      <c r="D1028" s="131"/>
      <c r="E1028" s="131"/>
      <c r="F1028" s="131"/>
      <c r="G1028" s="131"/>
      <c r="H1028" s="131"/>
      <c r="I1028" s="52"/>
      <c r="J1028" s="64"/>
      <c r="K1028" s="50"/>
      <c r="L1028" s="52">
        <f>SUM(BO913:BO1003)</f>
        <v>0</v>
      </c>
    </row>
    <row r="1029" spans="1:12" ht="15" x14ac:dyDescent="0.2">
      <c r="A1029" s="67"/>
      <c r="B1029" s="68"/>
      <c r="C1029" s="129" t="s">
        <v>790</v>
      </c>
      <c r="D1029" s="129"/>
      <c r="E1029" s="129"/>
      <c r="F1029" s="129"/>
      <c r="G1029" s="129"/>
      <c r="H1029" s="129"/>
      <c r="I1029" s="55"/>
      <c r="J1029" s="67"/>
      <c r="K1029" s="69"/>
      <c r="L1029" s="55">
        <f>L1005+L1020+L1021+L1022+L1027+L1028</f>
        <v>109390.54000000001</v>
      </c>
    </row>
    <row r="1030" spans="1:12" ht="14.25" x14ac:dyDescent="0.2">
      <c r="A1030" s="64"/>
      <c r="B1030" s="66"/>
      <c r="C1030" s="130" t="s">
        <v>791</v>
      </c>
      <c r="D1030" s="131"/>
      <c r="E1030" s="131"/>
      <c r="F1030" s="131"/>
      <c r="G1030" s="131"/>
      <c r="H1030" s="131"/>
      <c r="I1030" s="52"/>
      <c r="J1030" s="64"/>
      <c r="K1030" s="50"/>
      <c r="L1030" s="52"/>
    </row>
    <row r="1031" spans="1:12" ht="14.25" hidden="1" x14ac:dyDescent="0.2">
      <c r="A1031" s="64"/>
      <c r="B1031" s="66"/>
      <c r="C1031" s="131" t="s">
        <v>792</v>
      </c>
      <c r="D1031" s="131"/>
      <c r="E1031" s="131"/>
      <c r="F1031" s="131"/>
      <c r="G1031" s="131"/>
      <c r="H1031" s="131"/>
      <c r="I1031" s="52"/>
      <c r="J1031" s="64"/>
      <c r="K1031" s="50"/>
      <c r="L1031" s="52">
        <f>SUM(AX913:AX1003)</f>
        <v>0</v>
      </c>
    </row>
    <row r="1032" spans="1:12" ht="14.25" hidden="1" x14ac:dyDescent="0.2">
      <c r="A1032" s="64"/>
      <c r="B1032" s="66"/>
      <c r="C1032" s="131" t="s">
        <v>793</v>
      </c>
      <c r="D1032" s="131"/>
      <c r="E1032" s="131"/>
      <c r="F1032" s="131"/>
      <c r="G1032" s="131"/>
      <c r="H1032" s="131"/>
      <c r="I1032" s="52"/>
      <c r="J1032" s="64"/>
      <c r="K1032" s="50"/>
      <c r="L1032" s="52">
        <f>SUM(AY913:AY1003)</f>
        <v>0</v>
      </c>
    </row>
    <row r="1033" spans="1:12" ht="14.25" x14ac:dyDescent="0.2">
      <c r="A1033" s="64"/>
      <c r="B1033" s="66"/>
      <c r="C1033" s="131" t="s">
        <v>794</v>
      </c>
      <c r="D1033" s="131"/>
      <c r="E1033" s="131"/>
      <c r="F1033" s="132"/>
      <c r="G1033" s="54">
        <f>Source!F387</f>
        <v>55.97195</v>
      </c>
      <c r="H1033" s="64"/>
      <c r="I1033" s="64"/>
      <c r="J1033" s="64"/>
      <c r="K1033" s="64"/>
      <c r="L1033" s="64"/>
    </row>
    <row r="1034" spans="1:12" ht="14.25" x14ac:dyDescent="0.2">
      <c r="A1034" s="64"/>
      <c r="B1034" s="66"/>
      <c r="C1034" s="131" t="s">
        <v>795</v>
      </c>
      <c r="D1034" s="131"/>
      <c r="E1034" s="131"/>
      <c r="F1034" s="132"/>
      <c r="G1034" s="54">
        <f>Source!F388</f>
        <v>1.8321499999999999</v>
      </c>
      <c r="H1034" s="64"/>
      <c r="I1034" s="64"/>
      <c r="J1034" s="64"/>
      <c r="K1034" s="64"/>
      <c r="L1034" s="64"/>
    </row>
    <row r="1037" spans="1:12" ht="15" x14ac:dyDescent="0.2">
      <c r="A1037" s="74"/>
      <c r="B1037" s="75"/>
      <c r="C1037" s="134" t="s">
        <v>856</v>
      </c>
      <c r="D1037" s="134"/>
      <c r="E1037" s="134"/>
      <c r="F1037" s="134"/>
      <c r="G1037" s="134"/>
      <c r="H1037" s="134"/>
      <c r="I1037" s="76"/>
      <c r="J1037" s="74"/>
      <c r="K1037" s="77"/>
      <c r="L1037" s="76"/>
    </row>
    <row r="1039" spans="1:12" ht="15" x14ac:dyDescent="0.2">
      <c r="A1039" s="67"/>
      <c r="B1039" s="68"/>
      <c r="C1039" s="129" t="s">
        <v>857</v>
      </c>
      <c r="D1039" s="129"/>
      <c r="E1039" s="129"/>
      <c r="F1039" s="129"/>
      <c r="G1039" s="129"/>
      <c r="H1039" s="129"/>
      <c r="I1039" s="55"/>
      <c r="J1039" s="67"/>
      <c r="K1039" s="69"/>
      <c r="L1039" s="55">
        <f>L1041+L1056+L1057</f>
        <v>491621</v>
      </c>
    </row>
    <row r="1040" spans="1:12" ht="14.25" x14ac:dyDescent="0.2">
      <c r="A1040" s="64"/>
      <c r="B1040" s="66"/>
      <c r="C1040" s="130" t="s">
        <v>772</v>
      </c>
      <c r="D1040" s="131"/>
      <c r="E1040" s="131"/>
      <c r="F1040" s="131"/>
      <c r="G1040" s="131"/>
      <c r="H1040" s="131"/>
      <c r="I1040" s="52"/>
      <c r="J1040" s="64"/>
      <c r="K1040" s="50"/>
      <c r="L1040" s="52"/>
    </row>
    <row r="1041" spans="1:12" ht="14.25" x14ac:dyDescent="0.2">
      <c r="A1041" s="64"/>
      <c r="B1041" s="66"/>
      <c r="C1041" s="131" t="s">
        <v>858</v>
      </c>
      <c r="D1041" s="131"/>
      <c r="E1041" s="131"/>
      <c r="F1041" s="131"/>
      <c r="G1041" s="131"/>
      <c r="H1041" s="131"/>
      <c r="I1041" s="52"/>
      <c r="J1041" s="64"/>
      <c r="K1041" s="50"/>
      <c r="L1041" s="52">
        <f>L1043+L1044+L1050+L1054</f>
        <v>302973.26</v>
      </c>
    </row>
    <row r="1042" spans="1:12" ht="14.25" x14ac:dyDescent="0.2">
      <c r="A1042" s="64"/>
      <c r="B1042" s="66"/>
      <c r="C1042" s="130" t="s">
        <v>772</v>
      </c>
      <c r="D1042" s="131"/>
      <c r="E1042" s="131"/>
      <c r="F1042" s="131"/>
      <c r="G1042" s="131"/>
      <c r="H1042" s="131"/>
      <c r="I1042" s="52"/>
      <c r="J1042" s="64"/>
      <c r="K1042" s="50"/>
      <c r="L1042" s="52"/>
    </row>
    <row r="1043" spans="1:12" ht="14.25" x14ac:dyDescent="0.2">
      <c r="A1043" s="64"/>
      <c r="B1043" s="66"/>
      <c r="C1043" s="131" t="s">
        <v>859</v>
      </c>
      <c r="D1043" s="131"/>
      <c r="E1043" s="131"/>
      <c r="F1043" s="131"/>
      <c r="G1043" s="131"/>
      <c r="H1043" s="131"/>
      <c r="I1043" s="52"/>
      <c r="J1043" s="64"/>
      <c r="K1043" s="50"/>
      <c r="L1043" s="52">
        <f>SUMIF(CD60:CD1035, 1, AR60:AR1035)</f>
        <v>127179.28999999998</v>
      </c>
    </row>
    <row r="1044" spans="1:12" ht="14.25" hidden="1" x14ac:dyDescent="0.2">
      <c r="A1044" s="64"/>
      <c r="B1044" s="66"/>
      <c r="C1044" s="131" t="s">
        <v>774</v>
      </c>
      <c r="D1044" s="131"/>
      <c r="E1044" s="131"/>
      <c r="F1044" s="131"/>
      <c r="G1044" s="131"/>
      <c r="H1044" s="131"/>
      <c r="I1044" s="52"/>
      <c r="J1044" s="64"/>
      <c r="K1044" s="50"/>
      <c r="L1044" s="52">
        <f>L1046+L1049+L1048</f>
        <v>5688.74</v>
      </c>
    </row>
    <row r="1045" spans="1:12" ht="14.25" hidden="1" x14ac:dyDescent="0.2">
      <c r="A1045" s="64"/>
      <c r="B1045" s="66"/>
      <c r="C1045" s="130" t="s">
        <v>775</v>
      </c>
      <c r="D1045" s="131"/>
      <c r="E1045" s="131"/>
      <c r="F1045" s="131"/>
      <c r="G1045" s="131"/>
      <c r="H1045" s="131"/>
      <c r="I1045" s="52"/>
      <c r="J1045" s="64"/>
      <c r="K1045" s="50"/>
      <c r="L1045" s="52"/>
    </row>
    <row r="1046" spans="1:12" ht="14.25" x14ac:dyDescent="0.2">
      <c r="A1046" s="64"/>
      <c r="B1046" s="66"/>
      <c r="C1046" s="131" t="s">
        <v>774</v>
      </c>
      <c r="D1046" s="131"/>
      <c r="E1046" s="131"/>
      <c r="F1046" s="131"/>
      <c r="G1046" s="131"/>
      <c r="H1046" s="131"/>
      <c r="I1046" s="52"/>
      <c r="J1046" s="64"/>
      <c r="K1046" s="50"/>
      <c r="L1046" s="52">
        <f>SUMIF(CD60:CD1035, 1, AO60:AO1035)</f>
        <v>1980.2199999999996</v>
      </c>
    </row>
    <row r="1047" spans="1:12" ht="14.25" hidden="1" x14ac:dyDescent="0.2">
      <c r="A1047" s="64"/>
      <c r="B1047" s="66"/>
      <c r="C1047" s="130" t="s">
        <v>776</v>
      </c>
      <c r="D1047" s="131"/>
      <c r="E1047" s="131"/>
      <c r="F1047" s="131"/>
      <c r="G1047" s="131"/>
      <c r="H1047" s="131"/>
      <c r="I1047" s="52"/>
      <c r="J1047" s="64"/>
      <c r="K1047" s="50"/>
      <c r="L1047" s="52"/>
    </row>
    <row r="1048" spans="1:12" ht="14.25" x14ac:dyDescent="0.2">
      <c r="A1048" s="64"/>
      <c r="B1048" s="66"/>
      <c r="C1048" s="131" t="s">
        <v>796</v>
      </c>
      <c r="D1048" s="131"/>
      <c r="E1048" s="131"/>
      <c r="F1048" s="131"/>
      <c r="G1048" s="131"/>
      <c r="H1048" s="131"/>
      <c r="I1048" s="52"/>
      <c r="J1048" s="64"/>
      <c r="K1048" s="50"/>
      <c r="L1048" s="52">
        <f>SUMIF(CD60:CD1035, 1, AT60:AT1035)</f>
        <v>3708.52</v>
      </c>
    </row>
    <row r="1049" spans="1:12" ht="14.25" hidden="1" x14ac:dyDescent="0.2">
      <c r="A1049" s="64"/>
      <c r="B1049" s="66"/>
      <c r="C1049" s="131" t="s">
        <v>777</v>
      </c>
      <c r="D1049" s="131"/>
      <c r="E1049" s="131"/>
      <c r="F1049" s="131"/>
      <c r="G1049" s="131"/>
      <c r="H1049" s="131"/>
      <c r="I1049" s="52"/>
      <c r="J1049" s="64"/>
      <c r="K1049" s="50"/>
      <c r="L1049" s="52">
        <f>SUMIF(CD60:CD1035, 1, AV60:AV1035)</f>
        <v>0</v>
      </c>
    </row>
    <row r="1050" spans="1:12" ht="14.25" x14ac:dyDescent="0.2">
      <c r="A1050" s="64"/>
      <c r="B1050" s="66"/>
      <c r="C1050" s="131" t="s">
        <v>778</v>
      </c>
      <c r="D1050" s="131"/>
      <c r="E1050" s="131"/>
      <c r="F1050" s="131"/>
      <c r="G1050" s="131"/>
      <c r="H1050" s="131"/>
      <c r="I1050" s="52"/>
      <c r="J1050" s="64"/>
      <c r="K1050" s="50"/>
      <c r="L1050" s="52">
        <f>L1052+L1053</f>
        <v>161397.82999999999</v>
      </c>
    </row>
    <row r="1051" spans="1:12" ht="14.25" x14ac:dyDescent="0.2">
      <c r="A1051" s="64"/>
      <c r="B1051" s="66"/>
      <c r="C1051" s="130" t="s">
        <v>775</v>
      </c>
      <c r="D1051" s="131"/>
      <c r="E1051" s="131"/>
      <c r="F1051" s="131"/>
      <c r="G1051" s="131"/>
      <c r="H1051" s="131"/>
      <c r="I1051" s="52"/>
      <c r="J1051" s="64"/>
      <c r="K1051" s="50"/>
      <c r="L1051" s="52"/>
    </row>
    <row r="1052" spans="1:12" ht="14.25" x14ac:dyDescent="0.2">
      <c r="A1052" s="64"/>
      <c r="B1052" s="66"/>
      <c r="C1052" s="131" t="s">
        <v>779</v>
      </c>
      <c r="D1052" s="131"/>
      <c r="E1052" s="131"/>
      <c r="F1052" s="131"/>
      <c r="G1052" s="131"/>
      <c r="H1052" s="131"/>
      <c r="I1052" s="52"/>
      <c r="J1052" s="64"/>
      <c r="K1052" s="50"/>
      <c r="L1052" s="52">
        <f>SUMIF(CD60:CD1035, 1, AW60:AW1035)-SUMIF(CD60:CD1035, 1, BK60:BK1035)</f>
        <v>161397.82999999999</v>
      </c>
    </row>
    <row r="1053" spans="1:12" ht="14.25" hidden="1" x14ac:dyDescent="0.2">
      <c r="A1053" s="64"/>
      <c r="B1053" s="66"/>
      <c r="C1053" s="131" t="s">
        <v>780</v>
      </c>
      <c r="D1053" s="131"/>
      <c r="E1053" s="131"/>
      <c r="F1053" s="131"/>
      <c r="G1053" s="131"/>
      <c r="H1053" s="131"/>
      <c r="I1053" s="52"/>
      <c r="J1053" s="64"/>
      <c r="K1053" s="50"/>
      <c r="L1053" s="52">
        <f>SUMIF(CD60:CD1035, 1, BC60:BC1035)</f>
        <v>0</v>
      </c>
    </row>
    <row r="1054" spans="1:12" ht="14.25" x14ac:dyDescent="0.2">
      <c r="A1054" s="64"/>
      <c r="B1054" s="66"/>
      <c r="C1054" s="131" t="s">
        <v>781</v>
      </c>
      <c r="D1054" s="131"/>
      <c r="E1054" s="131"/>
      <c r="F1054" s="131"/>
      <c r="G1054" s="131"/>
      <c r="H1054" s="131"/>
      <c r="I1054" s="52"/>
      <c r="J1054" s="64"/>
      <c r="K1054" s="50"/>
      <c r="L1054" s="52">
        <f>SUMIF(CD60:CD1035, 1, BB60:BB1035)</f>
        <v>8707.4000000000015</v>
      </c>
    </row>
    <row r="1055" spans="1:12" ht="14.25" x14ac:dyDescent="0.2">
      <c r="A1055" s="64"/>
      <c r="B1055" s="66"/>
      <c r="C1055" s="131" t="s">
        <v>860</v>
      </c>
      <c r="D1055" s="131"/>
      <c r="E1055" s="131"/>
      <c r="F1055" s="131"/>
      <c r="G1055" s="131"/>
      <c r="H1055" s="131"/>
      <c r="I1055" s="52"/>
      <c r="J1055" s="64"/>
      <c r="K1055" s="50"/>
      <c r="L1055" s="52">
        <f>SUMIF(CD60:CD1035, 1, AR60:AR1035)+SUMIF(CD60:CD1035, 1, AT60:AT1035)+SUMIF(CD60:CD1035, 1, AV60:AV1035)</f>
        <v>130887.80999999998</v>
      </c>
    </row>
    <row r="1056" spans="1:12" ht="14.25" x14ac:dyDescent="0.2">
      <c r="A1056" s="64"/>
      <c r="B1056" s="66"/>
      <c r="C1056" s="131" t="s">
        <v>861</v>
      </c>
      <c r="D1056" s="131"/>
      <c r="E1056" s="131"/>
      <c r="F1056" s="131"/>
      <c r="G1056" s="131"/>
      <c r="H1056" s="131"/>
      <c r="I1056" s="52"/>
      <c r="J1056" s="64"/>
      <c r="K1056" s="50"/>
      <c r="L1056" s="52">
        <f>SUMIF(CD60:CD1035, 1, AZ60:AZ1035)</f>
        <v>123710.20000000001</v>
      </c>
    </row>
    <row r="1057" spans="1:12" ht="14.25" x14ac:dyDescent="0.2">
      <c r="A1057" s="64"/>
      <c r="B1057" s="66"/>
      <c r="C1057" s="131" t="s">
        <v>862</v>
      </c>
      <c r="D1057" s="131"/>
      <c r="E1057" s="131"/>
      <c r="F1057" s="131"/>
      <c r="G1057" s="131"/>
      <c r="H1057" s="131"/>
      <c r="I1057" s="52"/>
      <c r="J1057" s="64"/>
      <c r="K1057" s="50"/>
      <c r="L1057" s="52">
        <f>SUMIF(CD60:CD1035, 1, BA60:BA1035)</f>
        <v>64937.539999999994</v>
      </c>
    </row>
    <row r="1058" spans="1:12" hidden="1" x14ac:dyDescent="0.2"/>
    <row r="1059" spans="1:12" ht="15" hidden="1" x14ac:dyDescent="0.2">
      <c r="A1059" s="67"/>
      <c r="B1059" s="68"/>
      <c r="C1059" s="129" t="s">
        <v>863</v>
      </c>
      <c r="D1059" s="129"/>
      <c r="E1059" s="129"/>
      <c r="F1059" s="129"/>
      <c r="G1059" s="129"/>
      <c r="H1059" s="129"/>
      <c r="I1059" s="55"/>
      <c r="J1059" s="67"/>
      <c r="K1059" s="69"/>
      <c r="L1059" s="55">
        <f>L1061+L1076+L1077</f>
        <v>0</v>
      </c>
    </row>
    <row r="1060" spans="1:12" ht="14.25" hidden="1" x14ac:dyDescent="0.2">
      <c r="A1060" s="64"/>
      <c r="B1060" s="66"/>
      <c r="C1060" s="130" t="s">
        <v>772</v>
      </c>
      <c r="D1060" s="131"/>
      <c r="E1060" s="131"/>
      <c r="F1060" s="131"/>
      <c r="G1060" s="131"/>
      <c r="H1060" s="131"/>
      <c r="I1060" s="52"/>
      <c r="J1060" s="64"/>
      <c r="K1060" s="50"/>
      <c r="L1060" s="52"/>
    </row>
    <row r="1061" spans="1:12" ht="14.25" hidden="1" x14ac:dyDescent="0.2">
      <c r="A1061" s="64"/>
      <c r="B1061" s="66"/>
      <c r="C1061" s="131" t="s">
        <v>858</v>
      </c>
      <c r="D1061" s="131"/>
      <c r="E1061" s="131"/>
      <c r="F1061" s="131"/>
      <c r="G1061" s="131"/>
      <c r="H1061" s="131"/>
      <c r="I1061" s="52"/>
      <c r="J1061" s="64"/>
      <c r="K1061" s="50"/>
      <c r="L1061" s="52">
        <f>L1063+L1064+L1070+L1074</f>
        <v>0</v>
      </c>
    </row>
    <row r="1062" spans="1:12" ht="14.25" hidden="1" x14ac:dyDescent="0.2">
      <c r="A1062" s="64"/>
      <c r="B1062" s="66"/>
      <c r="C1062" s="130" t="s">
        <v>772</v>
      </c>
      <c r="D1062" s="131"/>
      <c r="E1062" s="131"/>
      <c r="F1062" s="131"/>
      <c r="G1062" s="131"/>
      <c r="H1062" s="131"/>
      <c r="I1062" s="52"/>
      <c r="J1062" s="64"/>
      <c r="K1062" s="50"/>
      <c r="L1062" s="52"/>
    </row>
    <row r="1063" spans="1:12" ht="14.25" hidden="1" x14ac:dyDescent="0.2">
      <c r="A1063" s="64"/>
      <c r="B1063" s="66"/>
      <c r="C1063" s="131" t="s">
        <v>859</v>
      </c>
      <c r="D1063" s="131"/>
      <c r="E1063" s="131"/>
      <c r="F1063" s="131"/>
      <c r="G1063" s="131"/>
      <c r="H1063" s="131"/>
      <c r="I1063" s="52"/>
      <c r="J1063" s="64"/>
      <c r="K1063" s="50"/>
      <c r="L1063" s="52">
        <f>SUMIF(CD60:CD1057, 2, AR60:AR1057)</f>
        <v>0</v>
      </c>
    </row>
    <row r="1064" spans="1:12" ht="14.25" hidden="1" x14ac:dyDescent="0.2">
      <c r="A1064" s="64"/>
      <c r="B1064" s="66"/>
      <c r="C1064" s="131" t="s">
        <v>774</v>
      </c>
      <c r="D1064" s="131"/>
      <c r="E1064" s="131"/>
      <c r="F1064" s="131"/>
      <c r="G1064" s="131"/>
      <c r="H1064" s="131"/>
      <c r="I1064" s="52"/>
      <c r="J1064" s="64"/>
      <c r="K1064" s="50"/>
      <c r="L1064" s="52">
        <f>L1066+L1069+L1068</f>
        <v>0</v>
      </c>
    </row>
    <row r="1065" spans="1:12" ht="14.25" hidden="1" x14ac:dyDescent="0.2">
      <c r="A1065" s="64"/>
      <c r="B1065" s="66"/>
      <c r="C1065" s="130" t="s">
        <v>775</v>
      </c>
      <c r="D1065" s="131"/>
      <c r="E1065" s="131"/>
      <c r="F1065" s="131"/>
      <c r="G1065" s="131"/>
      <c r="H1065" s="131"/>
      <c r="I1065" s="52"/>
      <c r="J1065" s="64"/>
      <c r="K1065" s="50"/>
      <c r="L1065" s="52"/>
    </row>
    <row r="1066" spans="1:12" ht="14.25" hidden="1" x14ac:dyDescent="0.2">
      <c r="A1066" s="64"/>
      <c r="B1066" s="66"/>
      <c r="C1066" s="131" t="s">
        <v>774</v>
      </c>
      <c r="D1066" s="131"/>
      <c r="E1066" s="131"/>
      <c r="F1066" s="131"/>
      <c r="G1066" s="131"/>
      <c r="H1066" s="131"/>
      <c r="I1066" s="52"/>
      <c r="J1066" s="64"/>
      <c r="K1066" s="50"/>
      <c r="L1066" s="52">
        <f>SUMIF(CD60:CD1057, 2, AO60:AO1057)</f>
        <v>0</v>
      </c>
    </row>
    <row r="1067" spans="1:12" ht="14.25" hidden="1" x14ac:dyDescent="0.2">
      <c r="A1067" s="64"/>
      <c r="B1067" s="66"/>
      <c r="C1067" s="130" t="s">
        <v>776</v>
      </c>
      <c r="D1067" s="131"/>
      <c r="E1067" s="131"/>
      <c r="F1067" s="131"/>
      <c r="G1067" s="131"/>
      <c r="H1067" s="131"/>
      <c r="I1067" s="52"/>
      <c r="J1067" s="64"/>
      <c r="K1067" s="50"/>
      <c r="L1067" s="52"/>
    </row>
    <row r="1068" spans="1:12" ht="14.25" hidden="1" x14ac:dyDescent="0.2">
      <c r="A1068" s="64"/>
      <c r="B1068" s="66"/>
      <c r="C1068" s="131" t="s">
        <v>796</v>
      </c>
      <c r="D1068" s="131"/>
      <c r="E1068" s="131"/>
      <c r="F1068" s="131"/>
      <c r="G1068" s="131"/>
      <c r="H1068" s="131"/>
      <c r="I1068" s="52"/>
      <c r="J1068" s="64"/>
      <c r="K1068" s="50"/>
      <c r="L1068" s="52">
        <f>SUMIF(CD60:CD1057, 2, AT60:AT1057)</f>
        <v>0</v>
      </c>
    </row>
    <row r="1069" spans="1:12" ht="14.25" hidden="1" x14ac:dyDescent="0.2">
      <c r="A1069" s="64"/>
      <c r="B1069" s="66"/>
      <c r="C1069" s="131" t="s">
        <v>777</v>
      </c>
      <c r="D1069" s="131"/>
      <c r="E1069" s="131"/>
      <c r="F1069" s="131"/>
      <c r="G1069" s="131"/>
      <c r="H1069" s="131"/>
      <c r="I1069" s="52"/>
      <c r="J1069" s="64"/>
      <c r="K1069" s="50"/>
      <c r="L1069" s="52">
        <f>SUMIF(CD60:CD1057, 2, AV60:AV1057)</f>
        <v>0</v>
      </c>
    </row>
    <row r="1070" spans="1:12" ht="14.25" hidden="1" x14ac:dyDescent="0.2">
      <c r="A1070" s="64"/>
      <c r="B1070" s="66"/>
      <c r="C1070" s="131" t="s">
        <v>778</v>
      </c>
      <c r="D1070" s="131"/>
      <c r="E1070" s="131"/>
      <c r="F1070" s="131"/>
      <c r="G1070" s="131"/>
      <c r="H1070" s="131"/>
      <c r="I1070" s="52"/>
      <c r="J1070" s="64"/>
      <c r="K1070" s="50"/>
      <c r="L1070" s="52">
        <f>L1072+L1073</f>
        <v>0</v>
      </c>
    </row>
    <row r="1071" spans="1:12" ht="14.25" hidden="1" x14ac:dyDescent="0.2">
      <c r="A1071" s="64"/>
      <c r="B1071" s="66"/>
      <c r="C1071" s="130" t="s">
        <v>775</v>
      </c>
      <c r="D1071" s="131"/>
      <c r="E1071" s="131"/>
      <c r="F1071" s="131"/>
      <c r="G1071" s="131"/>
      <c r="H1071" s="131"/>
      <c r="I1071" s="52"/>
      <c r="J1071" s="64"/>
      <c r="K1071" s="50"/>
      <c r="L1071" s="52"/>
    </row>
    <row r="1072" spans="1:12" ht="14.25" hidden="1" x14ac:dyDescent="0.2">
      <c r="A1072" s="64"/>
      <c r="B1072" s="66"/>
      <c r="C1072" s="131" t="s">
        <v>779</v>
      </c>
      <c r="D1072" s="131"/>
      <c r="E1072" s="131"/>
      <c r="F1072" s="131"/>
      <c r="G1072" s="131"/>
      <c r="H1072" s="131"/>
      <c r="I1072" s="52"/>
      <c r="J1072" s="64"/>
      <c r="K1072" s="50"/>
      <c r="L1072" s="52">
        <f>SUMIF(CD60:CD1057, 2, AW60:AW1057)-SUMIF(CD60:CD1057, 2, BK60:BK1057)</f>
        <v>0</v>
      </c>
    </row>
    <row r="1073" spans="1:12" ht="14.25" hidden="1" x14ac:dyDescent="0.2">
      <c r="A1073" s="64"/>
      <c r="B1073" s="66"/>
      <c r="C1073" s="131" t="s">
        <v>780</v>
      </c>
      <c r="D1073" s="131"/>
      <c r="E1073" s="131"/>
      <c r="F1073" s="131"/>
      <c r="G1073" s="131"/>
      <c r="H1073" s="131"/>
      <c r="I1073" s="52"/>
      <c r="J1073" s="64"/>
      <c r="K1073" s="50"/>
      <c r="L1073" s="52">
        <f>SUMIF(CD60:CD1057, 2, BC60:BC1057)</f>
        <v>0</v>
      </c>
    </row>
    <row r="1074" spans="1:12" ht="14.25" hidden="1" x14ac:dyDescent="0.2">
      <c r="A1074" s="64"/>
      <c r="B1074" s="66"/>
      <c r="C1074" s="131" t="s">
        <v>781</v>
      </c>
      <c r="D1074" s="131"/>
      <c r="E1074" s="131"/>
      <c r="F1074" s="131"/>
      <c r="G1074" s="131"/>
      <c r="H1074" s="131"/>
      <c r="I1074" s="52"/>
      <c r="J1074" s="64"/>
      <c r="K1074" s="50"/>
      <c r="L1074" s="52">
        <f>SUMIF(CD60:CD1057, 2, BB60:BB1057)</f>
        <v>0</v>
      </c>
    </row>
    <row r="1075" spans="1:12" ht="14.25" hidden="1" x14ac:dyDescent="0.2">
      <c r="A1075" s="64"/>
      <c r="B1075" s="66"/>
      <c r="C1075" s="131" t="s">
        <v>860</v>
      </c>
      <c r="D1075" s="131"/>
      <c r="E1075" s="131"/>
      <c r="F1075" s="131"/>
      <c r="G1075" s="131"/>
      <c r="H1075" s="131"/>
      <c r="I1075" s="52"/>
      <c r="J1075" s="64"/>
      <c r="K1075" s="50"/>
      <c r="L1075" s="52">
        <f>SUMIF(CD60:CD1057, 2, AR60:AR1057)+SUMIF(CD60:CD1057, 2, AT60:AT1057)+SUMIF(CD60:CD1057, 2, AV60:AV1057)</f>
        <v>0</v>
      </c>
    </row>
    <row r="1076" spans="1:12" ht="14.25" hidden="1" x14ac:dyDescent="0.2">
      <c r="A1076" s="64"/>
      <c r="B1076" s="66"/>
      <c r="C1076" s="131" t="s">
        <v>861</v>
      </c>
      <c r="D1076" s="131"/>
      <c r="E1076" s="131"/>
      <c r="F1076" s="131"/>
      <c r="G1076" s="131"/>
      <c r="H1076" s="131"/>
      <c r="I1076" s="52"/>
      <c r="J1076" s="64"/>
      <c r="K1076" s="50"/>
      <c r="L1076" s="52">
        <f>SUMIF(CD60:CD1057, 2, AZ60:AZ1057)</f>
        <v>0</v>
      </c>
    </row>
    <row r="1077" spans="1:12" ht="14.25" hidden="1" x14ac:dyDescent="0.2">
      <c r="A1077" s="64"/>
      <c r="B1077" s="66"/>
      <c r="C1077" s="131" t="s">
        <v>862</v>
      </c>
      <c r="D1077" s="131"/>
      <c r="E1077" s="131"/>
      <c r="F1077" s="131"/>
      <c r="G1077" s="131"/>
      <c r="H1077" s="131"/>
      <c r="I1077" s="52"/>
      <c r="J1077" s="64"/>
      <c r="K1077" s="50"/>
      <c r="L1077" s="52">
        <f>SUMIF(CD60:CD1057, 2, BA60:BA1057)</f>
        <v>0</v>
      </c>
    </row>
    <row r="1078" spans="1:12" hidden="1" x14ac:dyDescent="0.2"/>
    <row r="1079" spans="1:12" ht="15" hidden="1" x14ac:dyDescent="0.2">
      <c r="A1079" s="67"/>
      <c r="B1079" s="68"/>
      <c r="C1079" s="129" t="s">
        <v>864</v>
      </c>
      <c r="D1079" s="129"/>
      <c r="E1079" s="129"/>
      <c r="F1079" s="129"/>
      <c r="G1079" s="129"/>
      <c r="H1079" s="129"/>
      <c r="I1079" s="55"/>
      <c r="J1079" s="67"/>
      <c r="K1079" s="69"/>
      <c r="L1079" s="55">
        <f>L1081+L1082</f>
        <v>0</v>
      </c>
    </row>
    <row r="1080" spans="1:12" ht="14.25" hidden="1" x14ac:dyDescent="0.2">
      <c r="A1080" s="64"/>
      <c r="B1080" s="66"/>
      <c r="C1080" s="130" t="s">
        <v>772</v>
      </c>
      <c r="D1080" s="131"/>
      <c r="E1080" s="131"/>
      <c r="F1080" s="131"/>
      <c r="G1080" s="131"/>
      <c r="H1080" s="131"/>
      <c r="I1080" s="52"/>
      <c r="J1080" s="64"/>
      <c r="K1080" s="50"/>
      <c r="L1080" s="52"/>
    </row>
    <row r="1081" spans="1:12" ht="14.25" hidden="1" x14ac:dyDescent="0.2">
      <c r="A1081" s="64"/>
      <c r="B1081" s="66"/>
      <c r="C1081" s="131" t="s">
        <v>786</v>
      </c>
      <c r="D1081" s="131"/>
      <c r="E1081" s="131"/>
      <c r="F1081" s="131"/>
      <c r="G1081" s="131"/>
      <c r="H1081" s="131"/>
      <c r="I1081" s="52"/>
      <c r="J1081" s="64"/>
      <c r="K1081" s="50"/>
      <c r="L1081" s="52">
        <f>SUMIF(CD60:CD1077, 3, BK60:BK1077)</f>
        <v>0</v>
      </c>
    </row>
    <row r="1082" spans="1:12" ht="14.25" hidden="1" x14ac:dyDescent="0.2">
      <c r="A1082" s="64"/>
      <c r="B1082" s="66"/>
      <c r="C1082" s="131" t="s">
        <v>787</v>
      </c>
      <c r="D1082" s="131"/>
      <c r="E1082" s="131"/>
      <c r="F1082" s="131"/>
      <c r="G1082" s="131"/>
      <c r="H1082" s="131"/>
      <c r="I1082" s="52"/>
      <c r="J1082" s="64"/>
      <c r="K1082" s="50"/>
      <c r="L1082" s="52">
        <f>SUMIF(CD60:CD1077, 3, BD60:BD1077)</f>
        <v>0</v>
      </c>
    </row>
    <row r="1083" spans="1:12" hidden="1" x14ac:dyDescent="0.2"/>
    <row r="1084" spans="1:12" ht="15" hidden="1" x14ac:dyDescent="0.2">
      <c r="A1084" s="67"/>
      <c r="B1084" s="68"/>
      <c r="C1084" s="129" t="s">
        <v>865</v>
      </c>
      <c r="D1084" s="129"/>
      <c r="E1084" s="129"/>
      <c r="F1084" s="129"/>
      <c r="G1084" s="129"/>
      <c r="H1084" s="129"/>
      <c r="I1084" s="55"/>
      <c r="J1084" s="67"/>
      <c r="K1084" s="69"/>
      <c r="L1084" s="55">
        <f>L1092+L1107+L1108+L1086+L1087+L1088+L1089</f>
        <v>0</v>
      </c>
    </row>
    <row r="1085" spans="1:12" ht="14.25" hidden="1" x14ac:dyDescent="0.2">
      <c r="A1085" s="64"/>
      <c r="B1085" s="66"/>
      <c r="C1085" s="130" t="s">
        <v>772</v>
      </c>
      <c r="D1085" s="131"/>
      <c r="E1085" s="131"/>
      <c r="F1085" s="131"/>
      <c r="G1085" s="131"/>
      <c r="H1085" s="131"/>
      <c r="I1085" s="52"/>
      <c r="J1085" s="64"/>
      <c r="K1085" s="50"/>
      <c r="L1085" s="52"/>
    </row>
    <row r="1086" spans="1:12" ht="14.25" hidden="1" x14ac:dyDescent="0.2">
      <c r="A1086" s="64"/>
      <c r="B1086" s="66"/>
      <c r="C1086" s="131" t="s">
        <v>866</v>
      </c>
      <c r="D1086" s="131"/>
      <c r="E1086" s="131"/>
      <c r="F1086" s="131"/>
      <c r="G1086" s="131"/>
      <c r="H1086" s="131"/>
      <c r="I1086" s="52"/>
      <c r="J1086" s="64"/>
      <c r="K1086" s="50"/>
      <c r="L1086" s="52"/>
    </row>
    <row r="1087" spans="1:12" ht="14.25" hidden="1" x14ac:dyDescent="0.2">
      <c r="A1087" s="64"/>
      <c r="B1087" s="66"/>
      <c r="C1087" s="131" t="s">
        <v>866</v>
      </c>
      <c r="D1087" s="131"/>
      <c r="E1087" s="131"/>
      <c r="F1087" s="131"/>
      <c r="G1087" s="131"/>
      <c r="H1087" s="131"/>
      <c r="I1087" s="52"/>
      <c r="J1087" s="64"/>
      <c r="K1087" s="50"/>
      <c r="L1087" s="52">
        <f>SUM(BQ60:BQ1082)</f>
        <v>0</v>
      </c>
    </row>
    <row r="1088" spans="1:12" ht="14.25" hidden="1" x14ac:dyDescent="0.2">
      <c r="A1088" s="64"/>
      <c r="B1088" s="66"/>
      <c r="C1088" s="131" t="s">
        <v>867</v>
      </c>
      <c r="D1088" s="131"/>
      <c r="E1088" s="131"/>
      <c r="F1088" s="131"/>
      <c r="G1088" s="131"/>
      <c r="H1088" s="131"/>
      <c r="I1088" s="52"/>
      <c r="J1088" s="64"/>
      <c r="K1088" s="50"/>
      <c r="L1088" s="52">
        <f>SUMIF(CD60:CD1082, 4, BB60:BB1082)+SUMIF(CD60:CD1082, 4, BC60:BC1082)+SUMIF(CD60:CD1082, 4, BD60:BD1082)</f>
        <v>0</v>
      </c>
    </row>
    <row r="1089" spans="1:12" ht="14.25" hidden="1" x14ac:dyDescent="0.2">
      <c r="A1089" s="64"/>
      <c r="B1089" s="66"/>
      <c r="C1089" s="131" t="s">
        <v>868</v>
      </c>
      <c r="D1089" s="131"/>
      <c r="E1089" s="131"/>
      <c r="F1089" s="131"/>
      <c r="G1089" s="131"/>
      <c r="H1089" s="131"/>
      <c r="I1089" s="52"/>
      <c r="J1089" s="64"/>
      <c r="K1089" s="50"/>
      <c r="L1089" s="52">
        <f>SUM(BO60:BO1082)</f>
        <v>0</v>
      </c>
    </row>
    <row r="1090" spans="1:12" ht="14.25" hidden="1" x14ac:dyDescent="0.2">
      <c r="A1090" s="64"/>
      <c r="B1090" s="66"/>
      <c r="C1090" s="131" t="s">
        <v>869</v>
      </c>
      <c r="D1090" s="131"/>
      <c r="E1090" s="131"/>
      <c r="F1090" s="131"/>
      <c r="G1090" s="131"/>
      <c r="H1090" s="131"/>
      <c r="I1090" s="52"/>
      <c r="J1090" s="64"/>
      <c r="K1090" s="50"/>
      <c r="L1090" s="52">
        <f>L1092+L1107+L1108</f>
        <v>0</v>
      </c>
    </row>
    <row r="1091" spans="1:12" ht="14.25" hidden="1" x14ac:dyDescent="0.2">
      <c r="A1091" s="64"/>
      <c r="B1091" s="66"/>
      <c r="C1091" s="130" t="s">
        <v>772</v>
      </c>
      <c r="D1091" s="131"/>
      <c r="E1091" s="131"/>
      <c r="F1091" s="131"/>
      <c r="G1091" s="131"/>
      <c r="H1091" s="131"/>
      <c r="I1091" s="52"/>
      <c r="J1091" s="64"/>
      <c r="K1091" s="50"/>
      <c r="L1091" s="52"/>
    </row>
    <row r="1092" spans="1:12" ht="14.25" hidden="1" x14ac:dyDescent="0.2">
      <c r="A1092" s="64"/>
      <c r="B1092" s="66"/>
      <c r="C1092" s="131" t="s">
        <v>858</v>
      </c>
      <c r="D1092" s="131"/>
      <c r="E1092" s="131"/>
      <c r="F1092" s="131"/>
      <c r="G1092" s="131"/>
      <c r="H1092" s="131"/>
      <c r="I1092" s="52"/>
      <c r="J1092" s="64"/>
      <c r="K1092" s="50"/>
      <c r="L1092" s="52">
        <f>L1094+L1095+L1101+L1105</f>
        <v>0</v>
      </c>
    </row>
    <row r="1093" spans="1:12" ht="14.25" hidden="1" x14ac:dyDescent="0.2">
      <c r="A1093" s="64"/>
      <c r="B1093" s="66"/>
      <c r="C1093" s="130" t="s">
        <v>772</v>
      </c>
      <c r="D1093" s="131"/>
      <c r="E1093" s="131"/>
      <c r="F1093" s="131"/>
      <c r="G1093" s="131"/>
      <c r="H1093" s="131"/>
      <c r="I1093" s="52"/>
      <c r="J1093" s="64"/>
      <c r="K1093" s="50"/>
      <c r="L1093" s="52"/>
    </row>
    <row r="1094" spans="1:12" ht="14.25" hidden="1" x14ac:dyDescent="0.2">
      <c r="A1094" s="64"/>
      <c r="B1094" s="66"/>
      <c r="C1094" s="131" t="s">
        <v>859</v>
      </c>
      <c r="D1094" s="131"/>
      <c r="E1094" s="131"/>
      <c r="F1094" s="131"/>
      <c r="G1094" s="131"/>
      <c r="H1094" s="131"/>
      <c r="I1094" s="52"/>
      <c r="J1094" s="64"/>
      <c r="K1094" s="50"/>
      <c r="L1094" s="52">
        <f>SUMIF(CD60:CD1082, 4, AR60:AR1082)</f>
        <v>0</v>
      </c>
    </row>
    <row r="1095" spans="1:12" ht="14.25" hidden="1" x14ac:dyDescent="0.2">
      <c r="A1095" s="64"/>
      <c r="B1095" s="66"/>
      <c r="C1095" s="131" t="s">
        <v>774</v>
      </c>
      <c r="D1095" s="131"/>
      <c r="E1095" s="131"/>
      <c r="F1095" s="131"/>
      <c r="G1095" s="131"/>
      <c r="H1095" s="131"/>
      <c r="I1095" s="52"/>
      <c r="J1095" s="64"/>
      <c r="K1095" s="50"/>
      <c r="L1095" s="52">
        <f>L1097+L1100+L1099</f>
        <v>0</v>
      </c>
    </row>
    <row r="1096" spans="1:12" ht="14.25" hidden="1" x14ac:dyDescent="0.2">
      <c r="A1096" s="64"/>
      <c r="B1096" s="66"/>
      <c r="C1096" s="130" t="s">
        <v>775</v>
      </c>
      <c r="D1096" s="131"/>
      <c r="E1096" s="131"/>
      <c r="F1096" s="131"/>
      <c r="G1096" s="131"/>
      <c r="H1096" s="131"/>
      <c r="I1096" s="52"/>
      <c r="J1096" s="64"/>
      <c r="K1096" s="50"/>
      <c r="L1096" s="52"/>
    </row>
    <row r="1097" spans="1:12" ht="14.25" hidden="1" x14ac:dyDescent="0.2">
      <c r="A1097" s="64"/>
      <c r="B1097" s="66"/>
      <c r="C1097" s="131" t="s">
        <v>774</v>
      </c>
      <c r="D1097" s="131"/>
      <c r="E1097" s="131"/>
      <c r="F1097" s="131"/>
      <c r="G1097" s="131"/>
      <c r="H1097" s="131"/>
      <c r="I1097" s="52"/>
      <c r="J1097" s="64"/>
      <c r="K1097" s="50"/>
      <c r="L1097" s="52">
        <f>SUMIF(CD60:CD1082, 4, AO60:AO1082)</f>
        <v>0</v>
      </c>
    </row>
    <row r="1098" spans="1:12" ht="14.25" hidden="1" x14ac:dyDescent="0.2">
      <c r="A1098" s="64"/>
      <c r="B1098" s="66"/>
      <c r="C1098" s="130" t="s">
        <v>776</v>
      </c>
      <c r="D1098" s="131"/>
      <c r="E1098" s="131"/>
      <c r="F1098" s="131"/>
      <c r="G1098" s="131"/>
      <c r="H1098" s="131"/>
      <c r="I1098" s="52"/>
      <c r="J1098" s="64"/>
      <c r="K1098" s="50"/>
      <c r="L1098" s="52"/>
    </row>
    <row r="1099" spans="1:12" ht="14.25" hidden="1" x14ac:dyDescent="0.2">
      <c r="A1099" s="64"/>
      <c r="B1099" s="66"/>
      <c r="C1099" s="131" t="s">
        <v>796</v>
      </c>
      <c r="D1099" s="131"/>
      <c r="E1099" s="131"/>
      <c r="F1099" s="131"/>
      <c r="G1099" s="131"/>
      <c r="H1099" s="131"/>
      <c r="I1099" s="52"/>
      <c r="J1099" s="64"/>
      <c r="K1099" s="50"/>
      <c r="L1099" s="52">
        <f>SUMIF(CD60:CD1082, 4, AT60:AT1082)</f>
        <v>0</v>
      </c>
    </row>
    <row r="1100" spans="1:12" ht="14.25" hidden="1" x14ac:dyDescent="0.2">
      <c r="A1100" s="64"/>
      <c r="B1100" s="66"/>
      <c r="C1100" s="131" t="s">
        <v>777</v>
      </c>
      <c r="D1100" s="131"/>
      <c r="E1100" s="131"/>
      <c r="F1100" s="131"/>
      <c r="G1100" s="131"/>
      <c r="H1100" s="131"/>
      <c r="I1100" s="52"/>
      <c r="J1100" s="64"/>
      <c r="K1100" s="50"/>
      <c r="L1100" s="52">
        <f>SUMIF(CD60:CD1082, 4, AV60:AV1082)</f>
        <v>0</v>
      </c>
    </row>
    <row r="1101" spans="1:12" ht="14.25" hidden="1" x14ac:dyDescent="0.2">
      <c r="A1101" s="64"/>
      <c r="B1101" s="66"/>
      <c r="C1101" s="131" t="s">
        <v>778</v>
      </c>
      <c r="D1101" s="131"/>
      <c r="E1101" s="131"/>
      <c r="F1101" s="131"/>
      <c r="G1101" s="131"/>
      <c r="H1101" s="131"/>
      <c r="I1101" s="52"/>
      <c r="J1101" s="64"/>
      <c r="K1101" s="50"/>
      <c r="L1101" s="52">
        <f>L1103+L1104</f>
        <v>0</v>
      </c>
    </row>
    <row r="1102" spans="1:12" ht="14.25" hidden="1" x14ac:dyDescent="0.2">
      <c r="A1102" s="64"/>
      <c r="B1102" s="66"/>
      <c r="C1102" s="130" t="s">
        <v>775</v>
      </c>
      <c r="D1102" s="131"/>
      <c r="E1102" s="131"/>
      <c r="F1102" s="131"/>
      <c r="G1102" s="131"/>
      <c r="H1102" s="131"/>
      <c r="I1102" s="52"/>
      <c r="J1102" s="64"/>
      <c r="K1102" s="50"/>
      <c r="L1102" s="52"/>
    </row>
    <row r="1103" spans="1:12" ht="14.25" hidden="1" x14ac:dyDescent="0.2">
      <c r="A1103" s="64"/>
      <c r="B1103" s="66"/>
      <c r="C1103" s="131" t="s">
        <v>779</v>
      </c>
      <c r="D1103" s="131"/>
      <c r="E1103" s="131"/>
      <c r="F1103" s="131"/>
      <c r="G1103" s="131"/>
      <c r="H1103" s="131"/>
      <c r="I1103" s="52"/>
      <c r="J1103" s="64"/>
      <c r="K1103" s="50"/>
      <c r="L1103" s="52">
        <f>SUMIF(CD60:CD1082, 4, AW60:AW1082)-SUMIF(CD60:CD1082, 4, BK60:BK1082)</f>
        <v>0</v>
      </c>
    </row>
    <row r="1104" spans="1:12" ht="14.25" hidden="1" x14ac:dyDescent="0.2">
      <c r="A1104" s="64"/>
      <c r="B1104" s="66"/>
      <c r="C1104" s="131" t="s">
        <v>780</v>
      </c>
      <c r="D1104" s="131"/>
      <c r="E1104" s="131"/>
      <c r="F1104" s="131"/>
      <c r="G1104" s="131"/>
      <c r="H1104" s="131"/>
      <c r="I1104" s="52"/>
      <c r="J1104" s="64"/>
      <c r="K1104" s="50"/>
      <c r="L1104" s="52">
        <f>SUMIF(CD60:CD1082, 4, BC60:BC1082)</f>
        <v>0</v>
      </c>
    </row>
    <row r="1105" spans="1:12" ht="14.25" hidden="1" x14ac:dyDescent="0.2">
      <c r="A1105" s="64"/>
      <c r="B1105" s="66"/>
      <c r="C1105" s="131" t="s">
        <v>781</v>
      </c>
      <c r="D1105" s="131"/>
      <c r="E1105" s="131"/>
      <c r="F1105" s="131"/>
      <c r="G1105" s="131"/>
      <c r="H1105" s="131"/>
      <c r="I1105" s="52"/>
      <c r="J1105" s="64"/>
      <c r="K1105" s="50"/>
      <c r="L1105" s="52">
        <f>SUMIF(CD60:CD1082, 4, BB60:BB1082)</f>
        <v>0</v>
      </c>
    </row>
    <row r="1106" spans="1:12" ht="14.25" hidden="1" x14ac:dyDescent="0.2">
      <c r="A1106" s="64"/>
      <c r="B1106" s="66"/>
      <c r="C1106" s="131" t="s">
        <v>860</v>
      </c>
      <c r="D1106" s="131"/>
      <c r="E1106" s="131"/>
      <c r="F1106" s="131"/>
      <c r="G1106" s="131"/>
      <c r="H1106" s="131"/>
      <c r="I1106" s="52"/>
      <c r="J1106" s="64"/>
      <c r="K1106" s="50"/>
      <c r="L1106" s="52">
        <f>SUMIF(CD60:CD1082, 4, AR60:AR1082)+SUMIF(CD60:CD1082, 4, AT60:AT1082)+SUMIF(CD60:CD1082, 4, AV60:AV1082)</f>
        <v>0</v>
      </c>
    </row>
    <row r="1107" spans="1:12" ht="14.25" hidden="1" x14ac:dyDescent="0.2">
      <c r="A1107" s="64"/>
      <c r="B1107" s="66"/>
      <c r="C1107" s="131" t="s">
        <v>861</v>
      </c>
      <c r="D1107" s="131"/>
      <c r="E1107" s="131"/>
      <c r="F1107" s="131"/>
      <c r="G1107" s="131"/>
      <c r="H1107" s="131"/>
      <c r="I1107" s="52"/>
      <c r="J1107" s="64"/>
      <c r="K1107" s="50"/>
      <c r="L1107" s="52">
        <f>SUMIF(CD60:CD1082, 4, AZ60:AZ1082)</f>
        <v>0</v>
      </c>
    </row>
    <row r="1108" spans="1:12" ht="14.25" hidden="1" x14ac:dyDescent="0.2">
      <c r="A1108" s="64"/>
      <c r="B1108" s="66"/>
      <c r="C1108" s="131" t="s">
        <v>862</v>
      </c>
      <c r="D1108" s="131"/>
      <c r="E1108" s="131"/>
      <c r="F1108" s="131"/>
      <c r="G1108" s="131"/>
      <c r="H1108" s="131"/>
      <c r="I1108" s="52"/>
      <c r="J1108" s="64"/>
      <c r="K1108" s="50"/>
      <c r="L1108" s="52">
        <f>SUMIF(CD60:CD1082, 4, BA60:BA1082)</f>
        <v>0</v>
      </c>
    </row>
    <row r="1110" spans="1:12" ht="15" x14ac:dyDescent="0.2">
      <c r="A1110" s="67"/>
      <c r="B1110" s="68"/>
      <c r="C1110" s="129" t="s">
        <v>870</v>
      </c>
      <c r="D1110" s="129"/>
      <c r="E1110" s="129"/>
      <c r="F1110" s="129"/>
      <c r="G1110" s="129"/>
      <c r="H1110" s="129"/>
      <c r="I1110" s="55"/>
      <c r="J1110" s="67"/>
      <c r="K1110" s="69"/>
      <c r="L1110" s="55">
        <f>L1039+L1059+L1079+L1084</f>
        <v>491621</v>
      </c>
    </row>
    <row r="1111" spans="1:12" ht="14.25" x14ac:dyDescent="0.2">
      <c r="A1111" s="64"/>
      <c r="B1111" s="66"/>
      <c r="C1111" s="130" t="s">
        <v>772</v>
      </c>
      <c r="D1111" s="131"/>
      <c r="E1111" s="131"/>
      <c r="F1111" s="131"/>
      <c r="G1111" s="131"/>
      <c r="H1111" s="131"/>
      <c r="I1111" s="52"/>
      <c r="J1111" s="64"/>
      <c r="K1111" s="50"/>
      <c r="L1111" s="52"/>
    </row>
    <row r="1112" spans="1:12" ht="14.25" x14ac:dyDescent="0.2">
      <c r="A1112" s="64"/>
      <c r="B1112" s="66"/>
      <c r="C1112" s="131" t="s">
        <v>858</v>
      </c>
      <c r="D1112" s="131"/>
      <c r="E1112" s="131"/>
      <c r="F1112" s="131"/>
      <c r="G1112" s="131"/>
      <c r="H1112" s="131"/>
      <c r="I1112" s="52"/>
      <c r="J1112" s="64"/>
      <c r="K1112" s="50"/>
      <c r="L1112" s="52">
        <f>L1114+L1115+L1121+L1125</f>
        <v>302973.26</v>
      </c>
    </row>
    <row r="1113" spans="1:12" ht="14.25" x14ac:dyDescent="0.2">
      <c r="A1113" s="64"/>
      <c r="B1113" s="66"/>
      <c r="C1113" s="130" t="s">
        <v>772</v>
      </c>
      <c r="D1113" s="131"/>
      <c r="E1113" s="131"/>
      <c r="F1113" s="131"/>
      <c r="G1113" s="131"/>
      <c r="H1113" s="131"/>
      <c r="I1113" s="52"/>
      <c r="J1113" s="64"/>
      <c r="K1113" s="50"/>
      <c r="L1113" s="52"/>
    </row>
    <row r="1114" spans="1:12" ht="14.25" x14ac:dyDescent="0.2">
      <c r="A1114" s="64"/>
      <c r="B1114" s="66"/>
      <c r="C1114" s="131" t="s">
        <v>859</v>
      </c>
      <c r="D1114" s="131"/>
      <c r="E1114" s="131"/>
      <c r="F1114" s="131"/>
      <c r="G1114" s="131"/>
      <c r="H1114" s="131"/>
      <c r="I1114" s="52"/>
      <c r="J1114" s="64"/>
      <c r="K1114" s="50"/>
      <c r="L1114" s="52">
        <f>SUM(AR60:AR1108)</f>
        <v>127179.28999999998</v>
      </c>
    </row>
    <row r="1115" spans="1:12" ht="14.25" hidden="1" x14ac:dyDescent="0.2">
      <c r="A1115" s="64"/>
      <c r="B1115" s="66"/>
      <c r="C1115" s="131" t="s">
        <v>774</v>
      </c>
      <c r="D1115" s="131"/>
      <c r="E1115" s="131"/>
      <c r="F1115" s="131"/>
      <c r="G1115" s="131"/>
      <c r="H1115" s="131"/>
      <c r="I1115" s="52"/>
      <c r="J1115" s="64"/>
      <c r="K1115" s="50"/>
      <c r="L1115" s="52">
        <f>L1117+L1120+L1119</f>
        <v>5688.74</v>
      </c>
    </row>
    <row r="1116" spans="1:12" ht="14.25" hidden="1" x14ac:dyDescent="0.2">
      <c r="A1116" s="64"/>
      <c r="B1116" s="66"/>
      <c r="C1116" s="130" t="s">
        <v>775</v>
      </c>
      <c r="D1116" s="131"/>
      <c r="E1116" s="131"/>
      <c r="F1116" s="131"/>
      <c r="G1116" s="131"/>
      <c r="H1116" s="131"/>
      <c r="I1116" s="52"/>
      <c r="J1116" s="64"/>
      <c r="K1116" s="50"/>
      <c r="L1116" s="52"/>
    </row>
    <row r="1117" spans="1:12" ht="14.25" x14ac:dyDescent="0.2">
      <c r="A1117" s="64"/>
      <c r="B1117" s="66"/>
      <c r="C1117" s="131" t="s">
        <v>774</v>
      </c>
      <c r="D1117" s="131"/>
      <c r="E1117" s="131"/>
      <c r="F1117" s="131"/>
      <c r="G1117" s="131"/>
      <c r="H1117" s="131"/>
      <c r="I1117" s="52"/>
      <c r="J1117" s="64"/>
      <c r="K1117" s="50"/>
      <c r="L1117" s="52">
        <f>SUM(AO60:AO1108)</f>
        <v>1980.2199999999996</v>
      </c>
    </row>
    <row r="1118" spans="1:12" ht="14.25" hidden="1" x14ac:dyDescent="0.2">
      <c r="A1118" s="64"/>
      <c r="B1118" s="66"/>
      <c r="C1118" s="130" t="s">
        <v>776</v>
      </c>
      <c r="D1118" s="131"/>
      <c r="E1118" s="131"/>
      <c r="F1118" s="131"/>
      <c r="G1118" s="131"/>
      <c r="H1118" s="131"/>
      <c r="I1118" s="52"/>
      <c r="J1118" s="64"/>
      <c r="K1118" s="50"/>
      <c r="L1118" s="52"/>
    </row>
    <row r="1119" spans="1:12" ht="14.25" x14ac:dyDescent="0.2">
      <c r="A1119" s="64"/>
      <c r="B1119" s="66"/>
      <c r="C1119" s="131" t="s">
        <v>796</v>
      </c>
      <c r="D1119" s="131"/>
      <c r="E1119" s="131"/>
      <c r="F1119" s="131"/>
      <c r="G1119" s="131"/>
      <c r="H1119" s="131"/>
      <c r="I1119" s="52"/>
      <c r="J1119" s="64"/>
      <c r="K1119" s="50"/>
      <c r="L1119" s="52">
        <f>SUM(AT60:AT1108)</f>
        <v>3708.52</v>
      </c>
    </row>
    <row r="1120" spans="1:12" ht="14.25" hidden="1" x14ac:dyDescent="0.2">
      <c r="A1120" s="64"/>
      <c r="B1120" s="66"/>
      <c r="C1120" s="131" t="s">
        <v>777</v>
      </c>
      <c r="D1120" s="131"/>
      <c r="E1120" s="131"/>
      <c r="F1120" s="131"/>
      <c r="G1120" s="131"/>
      <c r="H1120" s="131"/>
      <c r="I1120" s="52"/>
      <c r="J1120" s="64"/>
      <c r="K1120" s="50"/>
      <c r="L1120" s="52">
        <f>SUM(AV60:AV1108)</f>
        <v>0</v>
      </c>
    </row>
    <row r="1121" spans="1:12" ht="14.25" x14ac:dyDescent="0.2">
      <c r="A1121" s="64"/>
      <c r="B1121" s="66"/>
      <c r="C1121" s="131" t="s">
        <v>778</v>
      </c>
      <c r="D1121" s="131"/>
      <c r="E1121" s="131"/>
      <c r="F1121" s="131"/>
      <c r="G1121" s="131"/>
      <c r="H1121" s="131"/>
      <c r="I1121" s="52"/>
      <c r="J1121" s="64"/>
      <c r="K1121" s="50"/>
      <c r="L1121" s="52">
        <f>L1123+L1124</f>
        <v>161397.82999999999</v>
      </c>
    </row>
    <row r="1122" spans="1:12" ht="14.25" x14ac:dyDescent="0.2">
      <c r="A1122" s="64"/>
      <c r="B1122" s="66"/>
      <c r="C1122" s="130" t="s">
        <v>775</v>
      </c>
      <c r="D1122" s="131"/>
      <c r="E1122" s="131"/>
      <c r="F1122" s="131"/>
      <c r="G1122" s="131"/>
      <c r="H1122" s="131"/>
      <c r="I1122" s="52"/>
      <c r="J1122" s="64"/>
      <c r="K1122" s="50"/>
      <c r="L1122" s="52"/>
    </row>
    <row r="1123" spans="1:12" ht="14.25" x14ac:dyDescent="0.2">
      <c r="A1123" s="64"/>
      <c r="B1123" s="66"/>
      <c r="C1123" s="131" t="s">
        <v>779</v>
      </c>
      <c r="D1123" s="131"/>
      <c r="E1123" s="131"/>
      <c r="F1123" s="131"/>
      <c r="G1123" s="131"/>
      <c r="H1123" s="131"/>
      <c r="I1123" s="52"/>
      <c r="J1123" s="64"/>
      <c r="K1123" s="50"/>
      <c r="L1123" s="52">
        <f>SUM(AW60:AW1108)-SUM(BK60:BK1108)</f>
        <v>161397.82999999999</v>
      </c>
    </row>
    <row r="1124" spans="1:12" ht="14.25" hidden="1" x14ac:dyDescent="0.2">
      <c r="A1124" s="64"/>
      <c r="B1124" s="66"/>
      <c r="C1124" s="131" t="s">
        <v>780</v>
      </c>
      <c r="D1124" s="131"/>
      <c r="E1124" s="131"/>
      <c r="F1124" s="131"/>
      <c r="G1124" s="131"/>
      <c r="H1124" s="131"/>
      <c r="I1124" s="52"/>
      <c r="J1124" s="64"/>
      <c r="K1124" s="50"/>
      <c r="L1124" s="52">
        <f>SUM(BC60:BC1108)</f>
        <v>0</v>
      </c>
    </row>
    <row r="1125" spans="1:12" ht="14.25" x14ac:dyDescent="0.2">
      <c r="A1125" s="64"/>
      <c r="B1125" s="66"/>
      <c r="C1125" s="131" t="s">
        <v>781</v>
      </c>
      <c r="D1125" s="131"/>
      <c r="E1125" s="131"/>
      <c r="F1125" s="131"/>
      <c r="G1125" s="131"/>
      <c r="H1125" s="131"/>
      <c r="I1125" s="52"/>
      <c r="J1125" s="64"/>
      <c r="K1125" s="50"/>
      <c r="L1125" s="52">
        <f>SUM(BB60:BB1108)</f>
        <v>8707.4000000000015</v>
      </c>
    </row>
    <row r="1126" spans="1:12" ht="14.25" x14ac:dyDescent="0.2">
      <c r="A1126" s="64"/>
      <c r="B1126" s="66"/>
      <c r="C1126" s="131" t="s">
        <v>782</v>
      </c>
      <c r="D1126" s="131"/>
      <c r="E1126" s="131"/>
      <c r="F1126" s="131"/>
      <c r="G1126" s="131"/>
      <c r="H1126" s="131"/>
      <c r="I1126" s="52"/>
      <c r="J1126" s="64"/>
      <c r="K1126" s="50"/>
      <c r="L1126" s="52">
        <f>SUM(AR60:AR1108)+SUM(AT60:AT1108)+SUM(AV60:AV1108)</f>
        <v>130887.80999999998</v>
      </c>
    </row>
    <row r="1127" spans="1:12" ht="14.25" x14ac:dyDescent="0.2">
      <c r="A1127" s="64"/>
      <c r="B1127" s="66"/>
      <c r="C1127" s="131" t="s">
        <v>783</v>
      </c>
      <c r="D1127" s="131"/>
      <c r="E1127" s="131"/>
      <c r="F1127" s="131"/>
      <c r="G1127" s="131"/>
      <c r="H1127" s="131"/>
      <c r="I1127" s="52"/>
      <c r="J1127" s="64"/>
      <c r="K1127" s="50"/>
      <c r="L1127" s="52">
        <f>SUM(AZ60:AZ1108)</f>
        <v>123710.20000000001</v>
      </c>
    </row>
    <row r="1128" spans="1:12" ht="14.25" x14ac:dyDescent="0.2">
      <c r="A1128" s="64"/>
      <c r="B1128" s="66"/>
      <c r="C1128" s="131" t="s">
        <v>784</v>
      </c>
      <c r="D1128" s="131"/>
      <c r="E1128" s="131"/>
      <c r="F1128" s="131"/>
      <c r="G1128" s="131"/>
      <c r="H1128" s="131"/>
      <c r="I1128" s="52"/>
      <c r="J1128" s="64"/>
      <c r="K1128" s="50"/>
      <c r="L1128" s="52">
        <f>SUM(BA60:BA1108)</f>
        <v>64937.539999999994</v>
      </c>
    </row>
    <row r="1129" spans="1:12" ht="14.25" hidden="1" x14ac:dyDescent="0.2">
      <c r="A1129" s="64"/>
      <c r="B1129" s="66"/>
      <c r="C1129" s="131" t="s">
        <v>871</v>
      </c>
      <c r="D1129" s="131"/>
      <c r="E1129" s="131"/>
      <c r="F1129" s="131"/>
      <c r="G1129" s="131"/>
      <c r="H1129" s="131"/>
      <c r="I1129" s="52"/>
      <c r="J1129" s="64"/>
      <c r="K1129" s="50"/>
      <c r="L1129" s="52">
        <f>L1131+L1132</f>
        <v>0</v>
      </c>
    </row>
    <row r="1130" spans="1:12" ht="14.25" hidden="1" x14ac:dyDescent="0.2">
      <c r="A1130" s="64"/>
      <c r="B1130" s="66"/>
      <c r="C1130" s="130" t="s">
        <v>772</v>
      </c>
      <c r="D1130" s="131"/>
      <c r="E1130" s="131"/>
      <c r="F1130" s="131"/>
      <c r="G1130" s="131"/>
      <c r="H1130" s="131"/>
      <c r="I1130" s="52"/>
      <c r="J1130" s="64"/>
      <c r="K1130" s="50"/>
      <c r="L1130" s="52"/>
    </row>
    <row r="1131" spans="1:12" ht="14.25" hidden="1" x14ac:dyDescent="0.2">
      <c r="A1131" s="64"/>
      <c r="B1131" s="66"/>
      <c r="C1131" s="131" t="s">
        <v>786</v>
      </c>
      <c r="D1131" s="131"/>
      <c r="E1131" s="131"/>
      <c r="F1131" s="131"/>
      <c r="G1131" s="131"/>
      <c r="H1131" s="131"/>
      <c r="I1131" s="52"/>
      <c r="J1131" s="64"/>
      <c r="K1131" s="50"/>
      <c r="L1131" s="52">
        <f>SUM(BK60:BK1108)</f>
        <v>0</v>
      </c>
    </row>
    <row r="1132" spans="1:12" ht="14.25" hidden="1" x14ac:dyDescent="0.2">
      <c r="A1132" s="64"/>
      <c r="B1132" s="66"/>
      <c r="C1132" s="131" t="s">
        <v>787</v>
      </c>
      <c r="D1132" s="131"/>
      <c r="E1132" s="131"/>
      <c r="F1132" s="131"/>
      <c r="G1132" s="131"/>
      <c r="H1132" s="131"/>
      <c r="I1132" s="52"/>
      <c r="J1132" s="64"/>
      <c r="K1132" s="50"/>
      <c r="L1132" s="52">
        <f>SUM(BD60:BD1108)</f>
        <v>0</v>
      </c>
    </row>
    <row r="1133" spans="1:12" ht="14.25" hidden="1" x14ac:dyDescent="0.2">
      <c r="A1133" s="64"/>
      <c r="B1133" s="66"/>
      <c r="C1133" s="131" t="s">
        <v>872</v>
      </c>
      <c r="D1133" s="131"/>
      <c r="E1133" s="131"/>
      <c r="F1133" s="131"/>
      <c r="G1133" s="131"/>
      <c r="H1133" s="131"/>
      <c r="I1133" s="52"/>
      <c r="J1133" s="64"/>
      <c r="K1133" s="50"/>
      <c r="L1133" s="52">
        <f>L1084</f>
        <v>0</v>
      </c>
    </row>
    <row r="1134" spans="1:12" ht="14.25" x14ac:dyDescent="0.2">
      <c r="A1134" s="64"/>
      <c r="B1134" s="66"/>
      <c r="C1134" s="129" t="s">
        <v>791</v>
      </c>
      <c r="D1134" s="131"/>
      <c r="E1134" s="131"/>
      <c r="F1134" s="131"/>
      <c r="G1134" s="131"/>
      <c r="H1134" s="131"/>
      <c r="I1134" s="52"/>
      <c r="J1134" s="64"/>
      <c r="K1134" s="50"/>
      <c r="L1134" s="52"/>
    </row>
    <row r="1135" spans="1:12" ht="14.25" x14ac:dyDescent="0.2">
      <c r="A1135" s="64"/>
      <c r="B1135" s="66"/>
      <c r="C1135" s="131" t="s">
        <v>792</v>
      </c>
      <c r="D1135" s="131"/>
      <c r="E1135" s="131"/>
      <c r="F1135" s="131"/>
      <c r="G1135" s="131"/>
      <c r="H1135" s="131"/>
      <c r="I1135" s="52"/>
      <c r="J1135" s="64"/>
      <c r="K1135" s="50"/>
      <c r="L1135" s="52">
        <f>SUM(AX60:AX1108)</f>
        <v>88252.700000000012</v>
      </c>
    </row>
    <row r="1136" spans="1:12" ht="14.25" hidden="1" x14ac:dyDescent="0.2">
      <c r="A1136" s="64"/>
      <c r="B1136" s="66"/>
      <c r="C1136" s="131" t="s">
        <v>793</v>
      </c>
      <c r="D1136" s="131"/>
      <c r="E1136" s="131"/>
      <c r="F1136" s="131"/>
      <c r="G1136" s="131"/>
      <c r="H1136" s="131"/>
      <c r="I1136" s="52"/>
      <c r="J1136" s="64"/>
      <c r="K1136" s="50"/>
      <c r="L1136" s="52">
        <f>SUM(AY60:AY1108)</f>
        <v>0</v>
      </c>
    </row>
    <row r="1137" spans="1:12" ht="14.25" x14ac:dyDescent="0.2">
      <c r="A1137" s="64"/>
      <c r="B1137" s="66"/>
      <c r="C1137" s="131" t="s">
        <v>794</v>
      </c>
      <c r="D1137" s="131"/>
      <c r="E1137" s="131"/>
      <c r="F1137" s="132"/>
      <c r="G1137" s="54">
        <f>Source!F417</f>
        <v>189.8517406</v>
      </c>
      <c r="H1137" s="64"/>
      <c r="I1137" s="64"/>
      <c r="J1137" s="64"/>
      <c r="K1137" s="64"/>
      <c r="L1137" s="64"/>
    </row>
    <row r="1138" spans="1:12" ht="14.25" x14ac:dyDescent="0.2">
      <c r="A1138" s="64"/>
      <c r="B1138" s="66"/>
      <c r="C1138" s="131" t="s">
        <v>795</v>
      </c>
      <c r="D1138" s="131"/>
      <c r="E1138" s="131"/>
      <c r="F1138" s="132"/>
      <c r="G1138" s="54">
        <f>Source!F418</f>
        <v>5.2866957000000001</v>
      </c>
      <c r="H1138" s="64"/>
      <c r="I1138" s="64"/>
      <c r="J1138" s="64"/>
      <c r="K1138" s="64"/>
      <c r="L1138" s="64"/>
    </row>
    <row r="1140" spans="1:12" ht="14.25" x14ac:dyDescent="0.2">
      <c r="C1140" s="135" t="str">
        <f>Source!H424</f>
        <v>Итого</v>
      </c>
      <c r="D1140" s="135"/>
      <c r="E1140" s="135"/>
      <c r="F1140" s="135"/>
      <c r="G1140" s="135"/>
      <c r="H1140" s="135"/>
      <c r="I1140" s="135"/>
      <c r="J1140" s="135"/>
      <c r="K1140" s="135"/>
      <c r="L1140" s="62">
        <f>IF(Source!Y424=0, "", Source!Y424)</f>
        <v>491621</v>
      </c>
    </row>
    <row r="1141" spans="1:12" ht="14.25" x14ac:dyDescent="0.2">
      <c r="C1141" s="135" t="str">
        <f>Source!H425</f>
        <v>НДС 22%</v>
      </c>
      <c r="D1141" s="135"/>
      <c r="E1141" s="135"/>
      <c r="F1141" s="135"/>
      <c r="G1141" s="135"/>
      <c r="H1141" s="135"/>
      <c r="I1141" s="135"/>
      <c r="J1141" s="135"/>
      <c r="K1141" s="135"/>
      <c r="L1141" s="62">
        <f>IF(Source!Y425=0, "", Source!Y425)</f>
        <v>108156.62</v>
      </c>
    </row>
    <row r="1142" spans="1:12" ht="14.25" x14ac:dyDescent="0.2">
      <c r="C1142" s="135" t="str">
        <f>Source!H426</f>
        <v>Итого с НДС</v>
      </c>
      <c r="D1142" s="135"/>
      <c r="E1142" s="135"/>
      <c r="F1142" s="135"/>
      <c r="G1142" s="135"/>
      <c r="H1142" s="135"/>
      <c r="I1142" s="135"/>
      <c r="J1142" s="135"/>
      <c r="K1142" s="135"/>
      <c r="L1142" s="62">
        <f>IF(Source!Y426=0, "", Source!Y426)</f>
        <v>599777.62</v>
      </c>
    </row>
    <row r="1145" spans="1:12" ht="14.25" customHeight="1" x14ac:dyDescent="0.2">
      <c r="A1145" s="82"/>
      <c r="B1145" s="83" t="s">
        <v>873</v>
      </c>
      <c r="C1145" s="84" t="str">
        <f>IF(Source!AC12&lt;&gt;"", Source!AC12," ")</f>
        <v xml:space="preserve"> </v>
      </c>
      <c r="D1145" s="38"/>
      <c r="E1145" s="38"/>
      <c r="F1145" s="38"/>
      <c r="G1145" s="38"/>
      <c r="H1145" s="18" t="str">
        <f>IF(Source!AB12&lt;&gt;"", Source!AB12," ")</f>
        <v xml:space="preserve"> </v>
      </c>
      <c r="I1145" s="28"/>
      <c r="J1145" s="28"/>
      <c r="K1145" s="42"/>
      <c r="L1145" s="42"/>
    </row>
    <row r="1146" spans="1:12" ht="14.25" customHeight="1" x14ac:dyDescent="0.2">
      <c r="A1146" s="82"/>
      <c r="B1146" s="85"/>
      <c r="C1146" s="136" t="s">
        <v>874</v>
      </c>
      <c r="D1146" s="136"/>
      <c r="E1146" s="136"/>
      <c r="F1146" s="136"/>
      <c r="G1146" s="136"/>
      <c r="H1146" s="28"/>
      <c r="I1146" s="28"/>
      <c r="J1146" s="28"/>
      <c r="K1146" s="42"/>
      <c r="L1146" s="42"/>
    </row>
    <row r="1147" spans="1:12" ht="14.25" customHeight="1" x14ac:dyDescent="0.2">
      <c r="A1147" s="82"/>
      <c r="B1147" s="85"/>
      <c r="C1147" s="17"/>
      <c r="D1147" s="17"/>
      <c r="E1147" s="17"/>
      <c r="F1147" s="17"/>
      <c r="G1147" s="17"/>
      <c r="H1147" s="28"/>
      <c r="I1147" s="28"/>
      <c r="J1147" s="28"/>
      <c r="K1147" s="42"/>
      <c r="L1147" s="42"/>
    </row>
    <row r="1148" spans="1:12" ht="14.25" customHeight="1" x14ac:dyDescent="0.2">
      <c r="A1148" s="82"/>
      <c r="B1148" s="83" t="s">
        <v>875</v>
      </c>
      <c r="C1148" s="84" t="str">
        <f>IF(Source!AE12&lt;&gt;"", Source!AE12," ")</f>
        <v xml:space="preserve"> </v>
      </c>
      <c r="D1148" s="38"/>
      <c r="E1148" s="38"/>
      <c r="F1148" s="38"/>
      <c r="G1148" s="38"/>
      <c r="H1148" s="18" t="str">
        <f>IF(Source!AD12&lt;&gt;"", Source!AD12," ")</f>
        <v xml:space="preserve"> </v>
      </c>
      <c r="I1148" s="28"/>
      <c r="J1148" s="28"/>
      <c r="K1148" s="42"/>
      <c r="L1148" s="42"/>
    </row>
    <row r="1149" spans="1:12" ht="14.25" customHeight="1" x14ac:dyDescent="0.2">
      <c r="A1149" s="17"/>
      <c r="B1149" s="17"/>
      <c r="C1149" s="136" t="s">
        <v>874</v>
      </c>
      <c r="D1149" s="136"/>
      <c r="E1149" s="136"/>
      <c r="F1149" s="136"/>
      <c r="G1149" s="136"/>
      <c r="H1149" s="28"/>
      <c r="I1149" s="28"/>
      <c r="J1149" s="28"/>
      <c r="K1149" s="42"/>
      <c r="L1149" s="42"/>
    </row>
  </sheetData>
  <mergeCells count="522">
    <mergeCell ref="C1138:F1138"/>
    <mergeCell ref="C1140:K1140"/>
    <mergeCell ref="C1141:K1141"/>
    <mergeCell ref="C1142:K1142"/>
    <mergeCell ref="C1146:G1146"/>
    <mergeCell ref="C1149:G1149"/>
    <mergeCell ref="C1132:H1132"/>
    <mergeCell ref="C1133:H1133"/>
    <mergeCell ref="C1134:H1134"/>
    <mergeCell ref="C1135:H1135"/>
    <mergeCell ref="C1136:H1136"/>
    <mergeCell ref="C1137:F1137"/>
    <mergeCell ref="C1126:H1126"/>
    <mergeCell ref="C1127:H1127"/>
    <mergeCell ref="C1128:H1128"/>
    <mergeCell ref="C1129:H1129"/>
    <mergeCell ref="C1130:H1130"/>
    <mergeCell ref="C1131:H1131"/>
    <mergeCell ref="C1120:H1120"/>
    <mergeCell ref="C1121:H1121"/>
    <mergeCell ref="C1122:H1122"/>
    <mergeCell ref="C1123:H1123"/>
    <mergeCell ref="C1124:H1124"/>
    <mergeCell ref="C1125:H1125"/>
    <mergeCell ref="C1114:H1114"/>
    <mergeCell ref="C1115:H1115"/>
    <mergeCell ref="C1116:H1116"/>
    <mergeCell ref="C1117:H1117"/>
    <mergeCell ref="C1118:H1118"/>
    <mergeCell ref="C1119:H1119"/>
    <mergeCell ref="C1107:H1107"/>
    <mergeCell ref="C1108:H1108"/>
    <mergeCell ref="C1110:H1110"/>
    <mergeCell ref="C1111:H1111"/>
    <mergeCell ref="C1112:H1112"/>
    <mergeCell ref="C1113:H1113"/>
    <mergeCell ref="C1101:H1101"/>
    <mergeCell ref="C1102:H1102"/>
    <mergeCell ref="C1103:H1103"/>
    <mergeCell ref="C1104:H1104"/>
    <mergeCell ref="C1105:H1105"/>
    <mergeCell ref="C1106:H1106"/>
    <mergeCell ref="C1095:H1095"/>
    <mergeCell ref="C1096:H1096"/>
    <mergeCell ref="C1097:H1097"/>
    <mergeCell ref="C1098:H1098"/>
    <mergeCell ref="C1099:H1099"/>
    <mergeCell ref="C1100:H1100"/>
    <mergeCell ref="C1089:H1089"/>
    <mergeCell ref="C1090:H1090"/>
    <mergeCell ref="C1091:H1091"/>
    <mergeCell ref="C1092:H1092"/>
    <mergeCell ref="C1093:H1093"/>
    <mergeCell ref="C1094:H1094"/>
    <mergeCell ref="C1082:H1082"/>
    <mergeCell ref="C1084:H1084"/>
    <mergeCell ref="C1085:H1085"/>
    <mergeCell ref="C1086:H1086"/>
    <mergeCell ref="C1087:H1087"/>
    <mergeCell ref="C1088:H1088"/>
    <mergeCell ref="C1075:H1075"/>
    <mergeCell ref="C1076:H1076"/>
    <mergeCell ref="C1077:H1077"/>
    <mergeCell ref="C1079:H1079"/>
    <mergeCell ref="C1080:H1080"/>
    <mergeCell ref="C1081:H1081"/>
    <mergeCell ref="C1069:H1069"/>
    <mergeCell ref="C1070:H1070"/>
    <mergeCell ref="C1071:H1071"/>
    <mergeCell ref="C1072:H1072"/>
    <mergeCell ref="C1073:H1073"/>
    <mergeCell ref="C1074:H1074"/>
    <mergeCell ref="C1063:H1063"/>
    <mergeCell ref="C1064:H1064"/>
    <mergeCell ref="C1065:H1065"/>
    <mergeCell ref="C1066:H1066"/>
    <mergeCell ref="C1067:H1067"/>
    <mergeCell ref="C1068:H1068"/>
    <mergeCell ref="C1056:H1056"/>
    <mergeCell ref="C1057:H1057"/>
    <mergeCell ref="C1059:H1059"/>
    <mergeCell ref="C1060:H1060"/>
    <mergeCell ref="C1061:H1061"/>
    <mergeCell ref="C1062:H1062"/>
    <mergeCell ref="C1050:H1050"/>
    <mergeCell ref="C1051:H1051"/>
    <mergeCell ref="C1052:H1052"/>
    <mergeCell ref="C1053:H1053"/>
    <mergeCell ref="C1054:H1054"/>
    <mergeCell ref="C1055:H1055"/>
    <mergeCell ref="C1044:H1044"/>
    <mergeCell ref="C1045:H1045"/>
    <mergeCell ref="C1046:H1046"/>
    <mergeCell ref="C1047:H1047"/>
    <mergeCell ref="C1048:H1048"/>
    <mergeCell ref="C1049:H1049"/>
    <mergeCell ref="C1037:H1037"/>
    <mergeCell ref="C1039:H1039"/>
    <mergeCell ref="C1040:H1040"/>
    <mergeCell ref="C1041:H1041"/>
    <mergeCell ref="C1042:H1042"/>
    <mergeCell ref="C1043:H1043"/>
    <mergeCell ref="C1029:H1029"/>
    <mergeCell ref="C1030:H1030"/>
    <mergeCell ref="C1031:H1031"/>
    <mergeCell ref="C1032:H1032"/>
    <mergeCell ref="C1033:F1033"/>
    <mergeCell ref="C1034:F1034"/>
    <mergeCell ref="C1023:H1023"/>
    <mergeCell ref="C1024:H1024"/>
    <mergeCell ref="C1025:H1025"/>
    <mergeCell ref="C1026:H1026"/>
    <mergeCell ref="C1027:H1027"/>
    <mergeCell ref="C1028:H1028"/>
    <mergeCell ref="C1017:H1017"/>
    <mergeCell ref="C1018:H1018"/>
    <mergeCell ref="C1019:H1019"/>
    <mergeCell ref="C1020:H1020"/>
    <mergeCell ref="C1021:H1021"/>
    <mergeCell ref="C1022:H1022"/>
    <mergeCell ref="C1011:H1011"/>
    <mergeCell ref="C1012:H1012"/>
    <mergeCell ref="C1013:H1013"/>
    <mergeCell ref="C1014:H1014"/>
    <mergeCell ref="C1015:H1015"/>
    <mergeCell ref="C1016:H1016"/>
    <mergeCell ref="C1005:H1005"/>
    <mergeCell ref="C1006:H1006"/>
    <mergeCell ref="C1007:H1007"/>
    <mergeCell ref="C1008:H1008"/>
    <mergeCell ref="C1009:H1009"/>
    <mergeCell ref="C1010:H1010"/>
    <mergeCell ref="C1001:H1001"/>
    <mergeCell ref="I1001:J1001"/>
    <mergeCell ref="K1001:L1001"/>
    <mergeCell ref="C1003:H1003"/>
    <mergeCell ref="I1003:J1003"/>
    <mergeCell ref="K1003:L1003"/>
    <mergeCell ref="C974:H974"/>
    <mergeCell ref="I974:J974"/>
    <mergeCell ref="K974:L974"/>
    <mergeCell ref="C999:H999"/>
    <mergeCell ref="I999:J999"/>
    <mergeCell ref="K999:L999"/>
    <mergeCell ref="A913:L913"/>
    <mergeCell ref="C934:H934"/>
    <mergeCell ref="I934:J934"/>
    <mergeCell ref="K934:L934"/>
    <mergeCell ref="C955:H955"/>
    <mergeCell ref="I955:J955"/>
    <mergeCell ref="K955:L955"/>
    <mergeCell ref="C905:H905"/>
    <mergeCell ref="C906:H906"/>
    <mergeCell ref="C907:H907"/>
    <mergeCell ref="C908:H908"/>
    <mergeCell ref="C909:F909"/>
    <mergeCell ref="C910:F910"/>
    <mergeCell ref="C899:H899"/>
    <mergeCell ref="C900:H900"/>
    <mergeCell ref="C901:H901"/>
    <mergeCell ref="C902:H902"/>
    <mergeCell ref="C903:H903"/>
    <mergeCell ref="C904:H904"/>
    <mergeCell ref="C893:H893"/>
    <mergeCell ref="C894:H894"/>
    <mergeCell ref="C895:H895"/>
    <mergeCell ref="C896:H896"/>
    <mergeCell ref="C897:H897"/>
    <mergeCell ref="C898:H898"/>
    <mergeCell ref="C887:H887"/>
    <mergeCell ref="C888:H888"/>
    <mergeCell ref="C889:H889"/>
    <mergeCell ref="C890:H890"/>
    <mergeCell ref="C891:H891"/>
    <mergeCell ref="C892:H892"/>
    <mergeCell ref="C881:H881"/>
    <mergeCell ref="C882:H882"/>
    <mergeCell ref="C883:H883"/>
    <mergeCell ref="C884:H884"/>
    <mergeCell ref="C885:H885"/>
    <mergeCell ref="C886:H886"/>
    <mergeCell ref="C877:H877"/>
    <mergeCell ref="I877:J877"/>
    <mergeCell ref="K877:L877"/>
    <mergeCell ref="C879:H879"/>
    <mergeCell ref="I879:J879"/>
    <mergeCell ref="K879:L879"/>
    <mergeCell ref="C837:L837"/>
    <mergeCell ref="C854:H854"/>
    <mergeCell ref="I854:J854"/>
    <mergeCell ref="K854:L854"/>
    <mergeCell ref="C856:L856"/>
    <mergeCell ref="C874:H874"/>
    <mergeCell ref="I874:J874"/>
    <mergeCell ref="K874:L874"/>
    <mergeCell ref="C812:H812"/>
    <mergeCell ref="I812:J812"/>
    <mergeCell ref="K812:L812"/>
    <mergeCell ref="C814:L814"/>
    <mergeCell ref="C835:H835"/>
    <mergeCell ref="I835:J835"/>
    <mergeCell ref="K835:L835"/>
    <mergeCell ref="C787:H787"/>
    <mergeCell ref="C788:F788"/>
    <mergeCell ref="C789:F789"/>
    <mergeCell ref="A792:L792"/>
    <mergeCell ref="C802:H802"/>
    <mergeCell ref="I802:J802"/>
    <mergeCell ref="K802:L802"/>
    <mergeCell ref="C781:H781"/>
    <mergeCell ref="C782:H782"/>
    <mergeCell ref="C783:H783"/>
    <mergeCell ref="C784:H784"/>
    <mergeCell ref="C785:H785"/>
    <mergeCell ref="C786:H786"/>
    <mergeCell ref="C775:H775"/>
    <mergeCell ref="C776:H776"/>
    <mergeCell ref="C777:H777"/>
    <mergeCell ref="C778:H778"/>
    <mergeCell ref="C779:H779"/>
    <mergeCell ref="C780:H780"/>
    <mergeCell ref="C769:H769"/>
    <mergeCell ref="C770:H770"/>
    <mergeCell ref="C771:H771"/>
    <mergeCell ref="C772:H772"/>
    <mergeCell ref="C773:H773"/>
    <mergeCell ref="C774:H774"/>
    <mergeCell ref="C763:H763"/>
    <mergeCell ref="C764:H764"/>
    <mergeCell ref="C765:H765"/>
    <mergeCell ref="C766:H766"/>
    <mergeCell ref="C767:H767"/>
    <mergeCell ref="C768:H768"/>
    <mergeCell ref="C755:H755"/>
    <mergeCell ref="C756:F756"/>
    <mergeCell ref="C757:F757"/>
    <mergeCell ref="C760:H760"/>
    <mergeCell ref="C761:H761"/>
    <mergeCell ref="C762:H762"/>
    <mergeCell ref="C749:H749"/>
    <mergeCell ref="C750:H750"/>
    <mergeCell ref="C751:H751"/>
    <mergeCell ref="C752:H752"/>
    <mergeCell ref="C753:H753"/>
    <mergeCell ref="C754:H754"/>
    <mergeCell ref="C743:H743"/>
    <mergeCell ref="C744:H744"/>
    <mergeCell ref="C745:H745"/>
    <mergeCell ref="C746:H746"/>
    <mergeCell ref="C747:H747"/>
    <mergeCell ref="C748:H748"/>
    <mergeCell ref="C737:H737"/>
    <mergeCell ref="C738:H738"/>
    <mergeCell ref="C739:H739"/>
    <mergeCell ref="C740:H740"/>
    <mergeCell ref="C741:H741"/>
    <mergeCell ref="C742:H742"/>
    <mergeCell ref="C731:H731"/>
    <mergeCell ref="C732:H732"/>
    <mergeCell ref="C733:H733"/>
    <mergeCell ref="C734:H734"/>
    <mergeCell ref="C735:H735"/>
    <mergeCell ref="C736:H736"/>
    <mergeCell ref="C726:H726"/>
    <mergeCell ref="I726:J726"/>
    <mergeCell ref="K726:L726"/>
    <mergeCell ref="C728:H728"/>
    <mergeCell ref="C729:H729"/>
    <mergeCell ref="C730:H730"/>
    <mergeCell ref="C715:H715"/>
    <mergeCell ref="C716:H716"/>
    <mergeCell ref="C717:F717"/>
    <mergeCell ref="C718:F718"/>
    <mergeCell ref="A721:L721"/>
    <mergeCell ref="C724:H724"/>
    <mergeCell ref="I724:J724"/>
    <mergeCell ref="K724:L724"/>
    <mergeCell ref="C709:H709"/>
    <mergeCell ref="C710:H710"/>
    <mergeCell ref="C711:H711"/>
    <mergeCell ref="C712:H712"/>
    <mergeCell ref="C713:H713"/>
    <mergeCell ref="C714:H714"/>
    <mergeCell ref="C703:H703"/>
    <mergeCell ref="C704:H704"/>
    <mergeCell ref="C705:H705"/>
    <mergeCell ref="C706:H706"/>
    <mergeCell ref="C707:H707"/>
    <mergeCell ref="C708:H708"/>
    <mergeCell ref="C697:H697"/>
    <mergeCell ref="C698:H698"/>
    <mergeCell ref="C699:H699"/>
    <mergeCell ref="C700:H700"/>
    <mergeCell ref="C701:H701"/>
    <mergeCell ref="C702:H702"/>
    <mergeCell ref="C691:H691"/>
    <mergeCell ref="C692:H692"/>
    <mergeCell ref="C693:H693"/>
    <mergeCell ref="C694:H694"/>
    <mergeCell ref="C695:H695"/>
    <mergeCell ref="C696:H696"/>
    <mergeCell ref="C674:L674"/>
    <mergeCell ref="C687:H687"/>
    <mergeCell ref="I687:J687"/>
    <mergeCell ref="K687:L687"/>
    <mergeCell ref="C689:H689"/>
    <mergeCell ref="C690:H690"/>
    <mergeCell ref="C647:H647"/>
    <mergeCell ref="I647:J647"/>
    <mergeCell ref="K647:L647"/>
    <mergeCell ref="C649:L649"/>
    <mergeCell ref="C672:H672"/>
    <mergeCell ref="I672:J672"/>
    <mergeCell ref="K672:L672"/>
    <mergeCell ref="C602:H602"/>
    <mergeCell ref="C603:H603"/>
    <mergeCell ref="C604:F604"/>
    <mergeCell ref="C605:F605"/>
    <mergeCell ref="A608:L608"/>
    <mergeCell ref="C633:H633"/>
    <mergeCell ref="I633:J633"/>
    <mergeCell ref="K633:L633"/>
    <mergeCell ref="C596:H596"/>
    <mergeCell ref="C597:H597"/>
    <mergeCell ref="C598:H598"/>
    <mergeCell ref="C599:H599"/>
    <mergeCell ref="C600:H600"/>
    <mergeCell ref="C601:H601"/>
    <mergeCell ref="C590:H590"/>
    <mergeCell ref="C591:H591"/>
    <mergeCell ref="C592:H592"/>
    <mergeCell ref="C593:H593"/>
    <mergeCell ref="C594:H594"/>
    <mergeCell ref="C595:H595"/>
    <mergeCell ref="C584:H584"/>
    <mergeCell ref="C585:H585"/>
    <mergeCell ref="C586:H586"/>
    <mergeCell ref="C587:H587"/>
    <mergeCell ref="C588:H588"/>
    <mergeCell ref="C589:H589"/>
    <mergeCell ref="C578:H578"/>
    <mergeCell ref="C579:H579"/>
    <mergeCell ref="C580:H580"/>
    <mergeCell ref="C581:H581"/>
    <mergeCell ref="C582:H582"/>
    <mergeCell ref="C583:H583"/>
    <mergeCell ref="C551:L551"/>
    <mergeCell ref="C574:H574"/>
    <mergeCell ref="I574:J574"/>
    <mergeCell ref="K574:L574"/>
    <mergeCell ref="C576:H576"/>
    <mergeCell ref="C577:H577"/>
    <mergeCell ref="C518:H518"/>
    <mergeCell ref="I518:J518"/>
    <mergeCell ref="K518:L518"/>
    <mergeCell ref="C520:L520"/>
    <mergeCell ref="C549:H549"/>
    <mergeCell ref="I549:J549"/>
    <mergeCell ref="K549:L549"/>
    <mergeCell ref="A465:L465"/>
    <mergeCell ref="C490:H490"/>
    <mergeCell ref="I490:J490"/>
    <mergeCell ref="K490:L490"/>
    <mergeCell ref="C504:H504"/>
    <mergeCell ref="I504:J504"/>
    <mergeCell ref="K504:L504"/>
    <mergeCell ref="C457:H457"/>
    <mergeCell ref="C458:H458"/>
    <mergeCell ref="C459:H459"/>
    <mergeCell ref="C460:H460"/>
    <mergeCell ref="C461:F461"/>
    <mergeCell ref="C462:F462"/>
    <mergeCell ref="C451:H451"/>
    <mergeCell ref="C452:H452"/>
    <mergeCell ref="C453:H453"/>
    <mergeCell ref="C454:H454"/>
    <mergeCell ref="C455:H455"/>
    <mergeCell ref="C456:H456"/>
    <mergeCell ref="C445:H445"/>
    <mergeCell ref="C446:H446"/>
    <mergeCell ref="C447:H447"/>
    <mergeCell ref="C448:H448"/>
    <mergeCell ref="C449:H449"/>
    <mergeCell ref="C450:H450"/>
    <mergeCell ref="C439:H439"/>
    <mergeCell ref="C440:H440"/>
    <mergeCell ref="C441:H441"/>
    <mergeCell ref="C442:H442"/>
    <mergeCell ref="C443:H443"/>
    <mergeCell ref="C444:H444"/>
    <mergeCell ref="C433:H433"/>
    <mergeCell ref="C434:H434"/>
    <mergeCell ref="C435:H435"/>
    <mergeCell ref="C436:H436"/>
    <mergeCell ref="C437:H437"/>
    <mergeCell ref="C438:H438"/>
    <mergeCell ref="C417:H417"/>
    <mergeCell ref="I417:J417"/>
    <mergeCell ref="K417:L417"/>
    <mergeCell ref="C431:H431"/>
    <mergeCell ref="I431:J431"/>
    <mergeCell ref="K431:L431"/>
    <mergeCell ref="C362:H362"/>
    <mergeCell ref="I362:J362"/>
    <mergeCell ref="K362:L362"/>
    <mergeCell ref="C386:H386"/>
    <mergeCell ref="I386:J386"/>
    <mergeCell ref="K386:L386"/>
    <mergeCell ref="K313:L313"/>
    <mergeCell ref="C341:H341"/>
    <mergeCell ref="I341:J341"/>
    <mergeCell ref="K341:L341"/>
    <mergeCell ref="A280:L280"/>
    <mergeCell ref="A282:L282"/>
    <mergeCell ref="C296:H296"/>
    <mergeCell ref="I296:J296"/>
    <mergeCell ref="K296:L296"/>
    <mergeCell ref="C278:H278"/>
    <mergeCell ref="C272:H272"/>
    <mergeCell ref="C273:H273"/>
    <mergeCell ref="C274:H274"/>
    <mergeCell ref="C275:H275"/>
    <mergeCell ref="C276:H276"/>
    <mergeCell ref="C277:H277"/>
    <mergeCell ref="C313:H313"/>
    <mergeCell ref="I313:J313"/>
    <mergeCell ref="C266:H266"/>
    <mergeCell ref="C267:H267"/>
    <mergeCell ref="C268:H268"/>
    <mergeCell ref="C269:H269"/>
    <mergeCell ref="C270:H270"/>
    <mergeCell ref="C271:H271"/>
    <mergeCell ref="C260:H260"/>
    <mergeCell ref="C261:H261"/>
    <mergeCell ref="C262:H262"/>
    <mergeCell ref="C263:H263"/>
    <mergeCell ref="C264:H264"/>
    <mergeCell ref="C265:H265"/>
    <mergeCell ref="C254:H254"/>
    <mergeCell ref="C255:H255"/>
    <mergeCell ref="C256:H256"/>
    <mergeCell ref="C257:H257"/>
    <mergeCell ref="C258:H258"/>
    <mergeCell ref="C259:H259"/>
    <mergeCell ref="C250:H250"/>
    <mergeCell ref="I250:J250"/>
    <mergeCell ref="K250:L250"/>
    <mergeCell ref="C252:H252"/>
    <mergeCell ref="I252:J252"/>
    <mergeCell ref="K252:L252"/>
    <mergeCell ref="C227:H227"/>
    <mergeCell ref="I227:J227"/>
    <mergeCell ref="K227:L227"/>
    <mergeCell ref="C248:H248"/>
    <mergeCell ref="I248:J248"/>
    <mergeCell ref="K248:L248"/>
    <mergeCell ref="C195:H195"/>
    <mergeCell ref="I195:J195"/>
    <mergeCell ref="K195:L195"/>
    <mergeCell ref="C209:H209"/>
    <mergeCell ref="I209:J209"/>
    <mergeCell ref="K209:L209"/>
    <mergeCell ref="C140:H140"/>
    <mergeCell ref="I140:J140"/>
    <mergeCell ref="K140:L140"/>
    <mergeCell ref="C164:H164"/>
    <mergeCell ref="I164:J164"/>
    <mergeCell ref="K164:L164"/>
    <mergeCell ref="C91:H91"/>
    <mergeCell ref="I91:J91"/>
    <mergeCell ref="K91:L91"/>
    <mergeCell ref="C119:H119"/>
    <mergeCell ref="I119:J119"/>
    <mergeCell ref="K119:L119"/>
    <mergeCell ref="E54:G57"/>
    <mergeCell ref="H54:L57"/>
    <mergeCell ref="A61:L61"/>
    <mergeCell ref="C75:H75"/>
    <mergeCell ref="I75:J75"/>
    <mergeCell ref="K75:L75"/>
    <mergeCell ref="C51:D51"/>
    <mergeCell ref="C52:D52"/>
    <mergeCell ref="A54:A58"/>
    <mergeCell ref="B54:B58"/>
    <mergeCell ref="C54:C58"/>
    <mergeCell ref="D54:D58"/>
    <mergeCell ref="A36:L36"/>
    <mergeCell ref="C41:L41"/>
    <mergeCell ref="C42:L42"/>
    <mergeCell ref="C46:D46"/>
    <mergeCell ref="C49:D49"/>
    <mergeCell ref="C50:D50"/>
    <mergeCell ref="A27:L27"/>
    <mergeCell ref="A28:L28"/>
    <mergeCell ref="A30:L30"/>
    <mergeCell ref="A31:L31"/>
    <mergeCell ref="A33:L33"/>
    <mergeCell ref="A35:L35"/>
    <mergeCell ref="A20:E20"/>
    <mergeCell ref="F20:L20"/>
    <mergeCell ref="A22:E22"/>
    <mergeCell ref="F22:L22"/>
    <mergeCell ref="A24:E24"/>
    <mergeCell ref="F24:L24"/>
    <mergeCell ref="A14:E14"/>
    <mergeCell ref="F14:L14"/>
    <mergeCell ref="A16:E16"/>
    <mergeCell ref="F16:L16"/>
    <mergeCell ref="A18:E18"/>
    <mergeCell ref="F18:L18"/>
    <mergeCell ref="B7:E7"/>
    <mergeCell ref="H7:L7"/>
    <mergeCell ref="A10:E10"/>
    <mergeCell ref="F10:L10"/>
    <mergeCell ref="A12:E12"/>
    <mergeCell ref="F12:L12"/>
    <mergeCell ref="B3:E3"/>
    <mergeCell ref="H3:L3"/>
    <mergeCell ref="B4:E4"/>
    <mergeCell ref="H4:L4"/>
    <mergeCell ref="B6:E6"/>
    <mergeCell ref="H6:L6"/>
  </mergeCells>
  <pageMargins left="0.4" right="0.2" top="0.2" bottom="0.4" header="0.2" footer="0.2"/>
  <pageSetup paperSize="9" scale="49" fitToHeight="0" orientation="portrait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2"/>
  <sheetViews>
    <sheetView zoomScaleNormal="100" workbookViewId="0"/>
  </sheetViews>
  <sheetFormatPr defaultRowHeight="12.75" x14ac:dyDescent="0.2"/>
  <cols>
    <col min="1" max="1" width="6.7109375" customWidth="1"/>
    <col min="2" max="2" width="75.7109375" customWidth="1"/>
    <col min="3" max="5" width="15.7109375" customWidth="1"/>
    <col min="30" max="32" width="0" hidden="1" customWidth="1"/>
  </cols>
  <sheetData>
    <row r="1" spans="1:5" x14ac:dyDescent="0.2">
      <c r="A1" s="14" t="str">
        <f>Source!B1</f>
        <v>Smeta.RU  (495) 974-1589</v>
      </c>
    </row>
    <row r="2" spans="1:5" ht="14.25" x14ac:dyDescent="0.2">
      <c r="C2" s="45"/>
      <c r="D2" s="45"/>
    </row>
    <row r="3" spans="1:5" ht="15" x14ac:dyDescent="0.25">
      <c r="C3" s="45"/>
      <c r="D3" s="86" t="s">
        <v>683</v>
      </c>
    </row>
    <row r="4" spans="1:5" ht="15" x14ac:dyDescent="0.25">
      <c r="C4" s="86"/>
      <c r="D4" s="86"/>
    </row>
    <row r="5" spans="1:5" ht="15" x14ac:dyDescent="0.25">
      <c r="C5" s="138" t="s">
        <v>876</v>
      </c>
      <c r="D5" s="138"/>
    </row>
    <row r="6" spans="1:5" ht="15" x14ac:dyDescent="0.25">
      <c r="C6" s="87"/>
      <c r="D6" s="87"/>
    </row>
    <row r="7" spans="1:5" ht="15" x14ac:dyDescent="0.25">
      <c r="C7" s="138" t="s">
        <v>876</v>
      </c>
      <c r="D7" s="138"/>
    </row>
    <row r="8" spans="1:5" ht="15" x14ac:dyDescent="0.25">
      <c r="C8" s="87"/>
      <c r="D8" s="87"/>
    </row>
    <row r="9" spans="1:5" ht="15" x14ac:dyDescent="0.25">
      <c r="C9" s="86" t="s">
        <v>877</v>
      </c>
      <c r="D9" s="45"/>
    </row>
    <row r="10" spans="1:5" ht="14.25" x14ac:dyDescent="0.2">
      <c r="A10" s="45"/>
      <c r="B10" s="45"/>
      <c r="C10" s="45"/>
      <c r="D10" s="45"/>
      <c r="E10" s="45"/>
    </row>
    <row r="11" spans="1:5" ht="15.75" x14ac:dyDescent="0.25">
      <c r="A11" s="139" t="str">
        <f>CONCATENATE("Дефектный акт ", IF(Source!AN15&lt;&gt;"", Source!AN15," "))</f>
        <v xml:space="preserve">Дефектный акт  </v>
      </c>
      <c r="B11" s="139"/>
      <c r="C11" s="139"/>
      <c r="D11" s="139"/>
      <c r="E11" s="45"/>
    </row>
    <row r="12" spans="1:5" ht="15" x14ac:dyDescent="0.25">
      <c r="A12" s="140" t="str">
        <f>CONCATENATE("На капитальный ремонт ", Source!G12)</f>
        <v>На капитальный ремонт крыльца, цоколь, ФОК, пом 308</v>
      </c>
      <c r="B12" s="140"/>
      <c r="C12" s="140"/>
      <c r="D12" s="140"/>
      <c r="E12" s="45"/>
    </row>
    <row r="13" spans="1:5" ht="14.25" x14ac:dyDescent="0.2">
      <c r="A13" s="45"/>
      <c r="B13" s="45"/>
      <c r="C13" s="45"/>
      <c r="D13" s="45"/>
      <c r="E13" s="45"/>
    </row>
    <row r="14" spans="1:5" ht="15" x14ac:dyDescent="0.2">
      <c r="A14" s="45"/>
      <c r="B14" s="88" t="s">
        <v>878</v>
      </c>
      <c r="C14" s="45"/>
      <c r="D14" s="45"/>
      <c r="E14" s="45"/>
    </row>
    <row r="15" spans="1:5" ht="15" x14ac:dyDescent="0.2">
      <c r="A15" s="45"/>
      <c r="B15" s="88" t="s">
        <v>879</v>
      </c>
      <c r="C15" s="45"/>
      <c r="D15" s="45"/>
      <c r="E15" s="45"/>
    </row>
    <row r="16" spans="1:5" ht="15" x14ac:dyDescent="0.2">
      <c r="A16" s="45"/>
      <c r="B16" s="88" t="s">
        <v>880</v>
      </c>
      <c r="C16" s="45"/>
      <c r="D16" s="45"/>
      <c r="E16" s="45"/>
    </row>
    <row r="17" spans="1:5" ht="28.5" x14ac:dyDescent="0.2">
      <c r="A17" s="89" t="s">
        <v>711</v>
      </c>
      <c r="B17" s="89" t="s">
        <v>713</v>
      </c>
      <c r="C17" s="89" t="s">
        <v>714</v>
      </c>
      <c r="D17" s="89" t="s">
        <v>715</v>
      </c>
      <c r="E17" s="90" t="s">
        <v>881</v>
      </c>
    </row>
    <row r="18" spans="1:5" ht="14.25" x14ac:dyDescent="0.2">
      <c r="A18" s="91">
        <v>1</v>
      </c>
      <c r="B18" s="91">
        <v>2</v>
      </c>
      <c r="C18" s="91">
        <v>3</v>
      </c>
      <c r="D18" s="91">
        <v>4</v>
      </c>
      <c r="E18" s="92">
        <v>5</v>
      </c>
    </row>
    <row r="19" spans="1:5" ht="16.5" x14ac:dyDescent="0.25">
      <c r="A19" s="137" t="str">
        <f>CONCATENATE("Локальная смета: ", Source!G20)</f>
        <v>Локальная смета: Новая локальная смета</v>
      </c>
      <c r="B19" s="137"/>
      <c r="C19" s="137"/>
      <c r="D19" s="137"/>
      <c r="E19" s="137"/>
    </row>
    <row r="20" spans="1:5" ht="16.5" x14ac:dyDescent="0.25">
      <c r="A20" s="137" t="str">
        <f>CONCATENATE("Раздел: ", Source!G24)</f>
        <v>Раздел: ул. Николоямская</v>
      </c>
      <c r="B20" s="137"/>
      <c r="C20" s="137"/>
      <c r="D20" s="137"/>
      <c r="E20" s="137"/>
    </row>
    <row r="21" spans="1:5" ht="14.25" x14ac:dyDescent="0.2">
      <c r="A21" s="97">
        <v>1</v>
      </c>
      <c r="B21" s="98" t="str">
        <f>Source!G28</f>
        <v>Разборка покрытий полов: из керамогранитных плит</v>
      </c>
      <c r="C21" s="99" t="str">
        <f>Source!H28</f>
        <v>100 м2</v>
      </c>
      <c r="D21" s="100">
        <f>Source!I28</f>
        <v>2.5499999999999998E-2</v>
      </c>
      <c r="E21" s="98"/>
    </row>
    <row r="22" spans="1:5" ht="28.5" x14ac:dyDescent="0.2">
      <c r="A22" s="97">
        <v>2</v>
      </c>
      <c r="B22" s="98" t="str">
        <f>Source!G30</f>
        <v>Разборка горизонтальных поверхностей железобетонных конструкций при помощи отбойных молотков, бетон марки: 150</v>
      </c>
      <c r="C22" s="99" t="str">
        <f>Source!H30</f>
        <v>м3</v>
      </c>
      <c r="D22" s="100">
        <f>Source!I30</f>
        <v>0.15</v>
      </c>
      <c r="E22" s="98"/>
    </row>
    <row r="23" spans="1:5" ht="14.25" x14ac:dyDescent="0.2">
      <c r="A23" s="97">
        <v>3</v>
      </c>
      <c r="B23" s="98" t="str">
        <f>Source!G31</f>
        <v>Устройство: железобетонных крылец</v>
      </c>
      <c r="C23" s="99" t="str">
        <f>Source!H31</f>
        <v>м3</v>
      </c>
      <c r="D23" s="100">
        <f>Source!I31</f>
        <v>0.15</v>
      </c>
      <c r="E23" s="98"/>
    </row>
    <row r="24" spans="1:5" ht="14.25" x14ac:dyDescent="0.2">
      <c r="A24" s="97">
        <v>4</v>
      </c>
      <c r="B24" s="98" t="str">
        <f>Source!G35</f>
        <v>Установка анкерных болтов: при бетонировании со связями из арматуры</v>
      </c>
      <c r="C24" s="99" t="str">
        <f>Source!H35</f>
        <v>т</v>
      </c>
      <c r="D24" s="100">
        <f>Source!I35</f>
        <v>5.9999999999999995E-4</v>
      </c>
      <c r="E24" s="98"/>
    </row>
    <row r="25" spans="1:5" ht="14.25" x14ac:dyDescent="0.2">
      <c r="A25" s="97">
        <v>5</v>
      </c>
      <c r="B25" s="98" t="str">
        <f>Source!G37</f>
        <v>Устройство гидроизоляции обмазочной: в один слой толщиной 2 мм</v>
      </c>
      <c r="C25" s="99" t="str">
        <f>Source!H37</f>
        <v>100 м2</v>
      </c>
      <c r="D25" s="100">
        <f>Source!I37</f>
        <v>1.8499999999999999E-2</v>
      </c>
      <c r="E25" s="98"/>
    </row>
    <row r="26" spans="1:5" ht="14.25" x14ac:dyDescent="0.2">
      <c r="A26" s="97">
        <v>6</v>
      </c>
      <c r="B26" s="98" t="str">
        <f>Source!G38</f>
        <v>Устройство покрытий из плит керамогранитных размером: 40х40 см</v>
      </c>
      <c r="C26" s="99" t="str">
        <f>Source!H38</f>
        <v>100 м2</v>
      </c>
      <c r="D26" s="100">
        <f>Source!I38</f>
        <v>1.8499999999999999E-2</v>
      </c>
      <c r="E26" s="98"/>
    </row>
    <row r="27" spans="1:5" ht="14.25" x14ac:dyDescent="0.2">
      <c r="A27" s="97">
        <v>7</v>
      </c>
      <c r="B27" s="98" t="str">
        <f>Source!G43</f>
        <v>Укладка металлического накладного профиля (порога)</v>
      </c>
      <c r="C27" s="99" t="str">
        <f>Source!H43</f>
        <v>100 м</v>
      </c>
      <c r="D27" s="100">
        <f>Source!I43</f>
        <v>3.5000000000000003E-2</v>
      </c>
      <c r="E27" s="98"/>
    </row>
    <row r="28" spans="1:5" ht="42.75" x14ac:dyDescent="0.2">
      <c r="A28" s="97">
        <v>8</v>
      </c>
      <c r="B28" s="98" t="str">
        <f>Source!G45</f>
        <v>Ремонт штукатурки гладких фасадов по камню и бетону с земли и лесов: цементно-известковым раствором площадью отдельных мест более 5 м2 толщиной слоя до 20 мм</v>
      </c>
      <c r="C28" s="99" t="str">
        <f>Source!H45</f>
        <v>100 м2</v>
      </c>
      <c r="D28" s="100">
        <f>Source!I45</f>
        <v>9.0999999999999998E-2</v>
      </c>
      <c r="E28" s="98"/>
    </row>
    <row r="29" spans="1:5" ht="28.5" x14ac:dyDescent="0.2">
      <c r="A29" s="97">
        <v>9</v>
      </c>
      <c r="B29" s="98" t="str">
        <f>Source!G47</f>
        <v>Окраска перхлорвиниловыми красками по подготовленной поверхности фасадов: сложных за 1 раз с земли и лесов</v>
      </c>
      <c r="C29" s="99" t="str">
        <f>Source!H47</f>
        <v>100 м2</v>
      </c>
      <c r="D29" s="100">
        <f>Source!I47</f>
        <v>9.0999999999999998E-2</v>
      </c>
      <c r="E29" s="98"/>
    </row>
    <row r="30" spans="1:5" ht="28.5" x14ac:dyDescent="0.2">
      <c r="A30" s="97">
        <v>10</v>
      </c>
      <c r="B30" s="98" t="str">
        <f>Source!G49</f>
        <v>Погрузка в автотранспортное средство: мусор строительный с погрузкой вручную</v>
      </c>
      <c r="C30" s="99" t="str">
        <f>Source!H49</f>
        <v>1т груза</v>
      </c>
      <c r="D30" s="100">
        <f>Source!I49</f>
        <v>1.1200000000000001</v>
      </c>
      <c r="E30" s="98"/>
    </row>
    <row r="31" spans="1:5" ht="71.25" x14ac:dyDescent="0.2">
      <c r="A31" s="97">
        <v>11</v>
      </c>
      <c r="B31" s="98" t="str">
        <f>Source!G50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36 км</v>
      </c>
      <c r="C31" s="99" t="str">
        <f>Source!H50</f>
        <v>1т груза</v>
      </c>
      <c r="D31" s="100">
        <f>Source!I50</f>
        <v>1.1200000000000001</v>
      </c>
      <c r="E31" s="98"/>
    </row>
    <row r="32" spans="1:5" ht="16.5" x14ac:dyDescent="0.25">
      <c r="A32" s="137" t="str">
        <f>CONCATENATE("Раздел: ", Source!G85)</f>
        <v>Раздел: ФОК</v>
      </c>
      <c r="B32" s="137"/>
      <c r="C32" s="137"/>
      <c r="D32" s="137"/>
      <c r="E32" s="137"/>
    </row>
    <row r="33" spans="1:5" ht="16.5" x14ac:dyDescent="0.25">
      <c r="A33" s="137" t="str">
        <f>CONCATENATE("Подраздел: ", Source!G89)</f>
        <v>Подраздел: площадка входа</v>
      </c>
      <c r="B33" s="137"/>
      <c r="C33" s="137"/>
      <c r="D33" s="137"/>
      <c r="E33" s="137"/>
    </row>
    <row r="34" spans="1:5" ht="14.25" x14ac:dyDescent="0.2">
      <c r="A34" s="97">
        <v>12</v>
      </c>
      <c r="B34" s="98" t="str">
        <f>Source!G93</f>
        <v>Разборка покрытий полов: из керамогранитных плит</v>
      </c>
      <c r="C34" s="99" t="str">
        <f>Source!H93</f>
        <v>100 м2</v>
      </c>
      <c r="D34" s="100">
        <f>Source!I93</f>
        <v>2.5499999999999998E-2</v>
      </c>
      <c r="E34" s="98"/>
    </row>
    <row r="35" spans="1:5" ht="28.5" x14ac:dyDescent="0.2">
      <c r="A35" s="97">
        <v>13</v>
      </c>
      <c r="B35" s="98" t="str">
        <f>Source!G95</f>
        <v>Разборка горизонтальных поверхностей железобетонных конструкций при помощи отбойных молотков, бетон марки: 150</v>
      </c>
      <c r="C35" s="99" t="str">
        <f>Source!H95</f>
        <v>м3</v>
      </c>
      <c r="D35" s="100">
        <f>Source!I95</f>
        <v>0.38250000000000001</v>
      </c>
      <c r="E35" s="98"/>
    </row>
    <row r="36" spans="1:5" ht="14.25" x14ac:dyDescent="0.2">
      <c r="A36" s="97">
        <v>14</v>
      </c>
      <c r="B36" s="98" t="str">
        <f>Source!G96</f>
        <v>Устройство: железобетонных крылец</v>
      </c>
      <c r="C36" s="99" t="str">
        <f>Source!H96</f>
        <v>м3</v>
      </c>
      <c r="D36" s="100">
        <f>Source!I96</f>
        <v>0.38250000000000001</v>
      </c>
      <c r="E36" s="98"/>
    </row>
    <row r="37" spans="1:5" ht="14.25" x14ac:dyDescent="0.2">
      <c r="A37" s="97">
        <v>15</v>
      </c>
      <c r="B37" s="98" t="str">
        <f>Source!G100</f>
        <v>Установка анкерных болтов: при бетонировании со связями из арматуры</v>
      </c>
      <c r="C37" s="99" t="str">
        <f>Source!H100</f>
        <v>т</v>
      </c>
      <c r="D37" s="100">
        <f>Source!I100</f>
        <v>8.0000000000000004E-4</v>
      </c>
      <c r="E37" s="98"/>
    </row>
    <row r="38" spans="1:5" ht="14.25" x14ac:dyDescent="0.2">
      <c r="A38" s="97">
        <v>16</v>
      </c>
      <c r="B38" s="98" t="str">
        <f>Source!G102</f>
        <v>Устройство гидроизоляции обмазочной: в один слой толщиной 2 мм</v>
      </c>
      <c r="C38" s="99" t="str">
        <f>Source!H102</f>
        <v>100 м2</v>
      </c>
      <c r="D38" s="100">
        <f>Source!I102</f>
        <v>3.2550000000000003E-2</v>
      </c>
      <c r="E38" s="98"/>
    </row>
    <row r="39" spans="1:5" ht="14.25" x14ac:dyDescent="0.2">
      <c r="A39" s="97">
        <v>17</v>
      </c>
      <c r="B39" s="98" t="str">
        <f>Source!G103</f>
        <v>Устройство покрытий из плит керамогранитных размером: 40х40 см</v>
      </c>
      <c r="C39" s="99" t="str">
        <f>Source!H103</f>
        <v>100 м2</v>
      </c>
      <c r="D39" s="100">
        <f>Source!I103</f>
        <v>3.2550000000000003E-2</v>
      </c>
      <c r="E39" s="98"/>
    </row>
    <row r="40" spans="1:5" ht="14.25" x14ac:dyDescent="0.2">
      <c r="A40" s="97">
        <v>18</v>
      </c>
      <c r="B40" s="98" t="str">
        <f>Source!G108</f>
        <v>Укладка металлического накладного профиля (порога)</v>
      </c>
      <c r="C40" s="99" t="str">
        <f>Source!H108</f>
        <v>100 м</v>
      </c>
      <c r="D40" s="100">
        <f>Source!I108</f>
        <v>4.7E-2</v>
      </c>
      <c r="E40" s="98"/>
    </row>
    <row r="41" spans="1:5" ht="16.5" x14ac:dyDescent="0.25">
      <c r="A41" s="137" t="str">
        <f>CONCATENATE("Подраздел: ", Source!G141)</f>
        <v>Подраздел: Раздевалка женская</v>
      </c>
      <c r="B41" s="137"/>
      <c r="C41" s="137"/>
      <c r="D41" s="137"/>
      <c r="E41" s="137"/>
    </row>
    <row r="42" spans="1:5" ht="42.75" x14ac:dyDescent="0.2">
      <c r="A42" s="97">
        <v>19</v>
      </c>
      <c r="B42" s="98" t="str">
        <f>Source!G145</f>
        <v>Окрашивание водоэмульсионными составами поверхностей стен, ранее окрашенных: водоэмульсионной краской с расчисткой старой краски свыше 10 до 35%</v>
      </c>
      <c r="C42" s="99" t="str">
        <f>Source!H145</f>
        <v>100 м2</v>
      </c>
      <c r="D42" s="100">
        <f>Source!I145</f>
        <v>0.20094000000000001</v>
      </c>
      <c r="E42" s="98"/>
    </row>
    <row r="43" spans="1:5" ht="14.25" x14ac:dyDescent="0.2">
      <c r="A43" s="97">
        <v>20</v>
      </c>
      <c r="B43" s="98" t="str">
        <f>Source!G147</f>
        <v>Разборка покрытий полов: из керамогранитных плит</v>
      </c>
      <c r="C43" s="99" t="str">
        <f>Source!H147</f>
        <v>100 м2</v>
      </c>
      <c r="D43" s="100">
        <f>Source!I147</f>
        <v>3.168E-2</v>
      </c>
      <c r="E43" s="98"/>
    </row>
    <row r="44" spans="1:5" ht="14.25" x14ac:dyDescent="0.2">
      <c r="A44" s="97">
        <v>21</v>
      </c>
      <c r="B44" s="98" t="str">
        <f>Source!G149</f>
        <v>Разборка плинтусов: керамогранитных</v>
      </c>
      <c r="C44" s="99" t="str">
        <f>Source!H149</f>
        <v>100 м</v>
      </c>
      <c r="D44" s="100">
        <f>Source!I149</f>
        <v>0.21</v>
      </c>
      <c r="E44" s="98"/>
    </row>
    <row r="45" spans="1:5" ht="14.25" x14ac:dyDescent="0.2">
      <c r="A45" s="97">
        <v>22</v>
      </c>
      <c r="B45" s="98" t="str">
        <f>Source!G151</f>
        <v>Устройство покрытий из плит керамогранитных размером: 40х40 см</v>
      </c>
      <c r="C45" s="99" t="str">
        <f>Source!H151</f>
        <v>100 м2</v>
      </c>
      <c r="D45" s="100">
        <f>Source!I151</f>
        <v>3.168E-2</v>
      </c>
      <c r="E45" s="98"/>
    </row>
    <row r="46" spans="1:5" ht="14.25" x14ac:dyDescent="0.2">
      <c r="A46" s="97">
        <v>23</v>
      </c>
      <c r="B46" s="98" t="str">
        <f>Source!G156</f>
        <v>Устройство плинтусов: из плиток керамогранитных</v>
      </c>
      <c r="C46" s="99" t="str">
        <f>Source!H156</f>
        <v>100 м</v>
      </c>
      <c r="D46" s="100">
        <f>Source!I156</f>
        <v>0.21</v>
      </c>
      <c r="E46" s="98"/>
    </row>
    <row r="47" spans="1:5" ht="16.5" x14ac:dyDescent="0.25">
      <c r="A47" s="137" t="str">
        <f>CONCATENATE("Подраздел: ", Source!G191)</f>
        <v>Подраздел: Раздевалка мужская</v>
      </c>
      <c r="B47" s="137"/>
      <c r="C47" s="137"/>
      <c r="D47" s="137"/>
      <c r="E47" s="137"/>
    </row>
    <row r="48" spans="1:5" ht="42.75" x14ac:dyDescent="0.2">
      <c r="A48" s="97">
        <v>24</v>
      </c>
      <c r="B48" s="98" t="str">
        <f>Source!G195</f>
        <v>Окрашивание водоэмульсионными составами поверхностей стен, ранее окрашенных: водоэмульсионной краской с расчисткой старой краски свыше 10 до 35%</v>
      </c>
      <c r="C48" s="99" t="str">
        <f>Source!H195</f>
        <v>100 м2</v>
      </c>
      <c r="D48" s="100">
        <f>Source!I195</f>
        <v>0.76656000000000002</v>
      </c>
      <c r="E48" s="98"/>
    </row>
    <row r="49" spans="1:5" ht="14.25" x14ac:dyDescent="0.2">
      <c r="A49" s="97">
        <v>25</v>
      </c>
      <c r="B49" s="98" t="str">
        <f>Source!G197</f>
        <v>Разборка плинтусов: керамогранитных</v>
      </c>
      <c r="C49" s="99" t="str">
        <f>Source!H197</f>
        <v>100 м</v>
      </c>
      <c r="D49" s="100">
        <f>Source!I197</f>
        <v>0.1</v>
      </c>
      <c r="E49" s="98"/>
    </row>
    <row r="50" spans="1:5" ht="14.25" x14ac:dyDescent="0.2">
      <c r="A50" s="97">
        <v>26</v>
      </c>
      <c r="B50" s="98" t="str">
        <f>Source!G199</f>
        <v>Устройство плинтусов: из плиток керамогранитных</v>
      </c>
      <c r="C50" s="99" t="str">
        <f>Source!H199</f>
        <v>100 м</v>
      </c>
      <c r="D50" s="100">
        <f>Source!I199</f>
        <v>0.1</v>
      </c>
      <c r="E50" s="98"/>
    </row>
    <row r="51" spans="1:5" ht="14.25" x14ac:dyDescent="0.2">
      <c r="A51" s="97">
        <v>27</v>
      </c>
      <c r="B51" s="98" t="str">
        <f>Source!G203</f>
        <v>Укладка металлического накладного профиля (порога)</v>
      </c>
      <c r="C51" s="99" t="str">
        <f>Source!H203</f>
        <v>100 м</v>
      </c>
      <c r="D51" s="100">
        <f>Source!I203</f>
        <v>0.05</v>
      </c>
      <c r="E51" s="98"/>
    </row>
    <row r="52" spans="1:5" ht="16.5" x14ac:dyDescent="0.25">
      <c r="A52" s="137" t="str">
        <f>CONCATENATE("Подраздел: ", Source!G236)</f>
        <v>Подраздел: Строительный мусор</v>
      </c>
      <c r="B52" s="137"/>
      <c r="C52" s="137"/>
      <c r="D52" s="137"/>
      <c r="E52" s="137"/>
    </row>
    <row r="53" spans="1:5" ht="28.5" x14ac:dyDescent="0.2">
      <c r="A53" s="97">
        <v>28</v>
      </c>
      <c r="B53" s="98" t="str">
        <f>Source!G240</f>
        <v>Погрузка в автотранспортное средство: мусор строительный с погрузкой вручную</v>
      </c>
      <c r="C53" s="99" t="str">
        <f>Source!H240</f>
        <v>1т груза</v>
      </c>
      <c r="D53" s="100">
        <f>Source!I240</f>
        <v>1.28</v>
      </c>
      <c r="E53" s="98"/>
    </row>
    <row r="54" spans="1:5" ht="71.25" x14ac:dyDescent="0.2">
      <c r="A54" s="97">
        <v>29</v>
      </c>
      <c r="B54" s="98" t="str">
        <f>Source!G241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36 км</v>
      </c>
      <c r="C54" s="99" t="str">
        <f>Source!H241</f>
        <v>1т груза</v>
      </c>
      <c r="D54" s="100">
        <f>Source!I241</f>
        <v>1.28</v>
      </c>
      <c r="E54" s="98"/>
    </row>
    <row r="55" spans="1:5" ht="16.5" x14ac:dyDescent="0.25">
      <c r="A55" s="137" t="str">
        <f>CONCATENATE("Раздел: ", Source!G303)</f>
        <v>Раздел: помещение 308  (земляной вал, д.73)</v>
      </c>
      <c r="B55" s="137"/>
      <c r="C55" s="137"/>
      <c r="D55" s="137"/>
      <c r="E55" s="137"/>
    </row>
    <row r="56" spans="1:5" ht="14.25" x14ac:dyDescent="0.2">
      <c r="A56" s="97">
        <v>30</v>
      </c>
      <c r="B56" s="98" t="str">
        <f>Source!G307</f>
        <v>Разборка плинтусов: деревянных и из пластмассовых материалов</v>
      </c>
      <c r="C56" s="99" t="str">
        <f>Source!H307</f>
        <v>100 м</v>
      </c>
      <c r="D56" s="100">
        <f>Source!I307</f>
        <v>0.21</v>
      </c>
      <c r="E56" s="98"/>
    </row>
    <row r="57" spans="1:5" ht="28.5" x14ac:dyDescent="0.2">
      <c r="A57" s="97">
        <v>31</v>
      </c>
      <c r="B57" s="98" t="str">
        <f>Source!G309</f>
        <v>Разборка оснований покрытия полов: дощатых оснований щитового паркета</v>
      </c>
      <c r="C57" s="99" t="str">
        <f>Source!H309</f>
        <v>100 м2</v>
      </c>
      <c r="D57" s="100">
        <f>Source!I309</f>
        <v>0.3</v>
      </c>
      <c r="E57" s="98"/>
    </row>
    <row r="58" spans="1:5" ht="28.5" x14ac:dyDescent="0.2">
      <c r="A58" s="97">
        <v>32</v>
      </c>
      <c r="B58" s="98" t="str">
        <f>Source!G311</f>
        <v>Устройство оснований полов из фанеры в один слой площадью: свыше 20 м2</v>
      </c>
      <c r="C58" s="99" t="str">
        <f>Source!H311</f>
        <v>100 м2</v>
      </c>
      <c r="D58" s="100">
        <f>Source!I311</f>
        <v>0.3</v>
      </c>
      <c r="E58" s="98"/>
    </row>
    <row r="59" spans="1:5" ht="14.25" x14ac:dyDescent="0.2">
      <c r="A59" s="97">
        <v>33</v>
      </c>
      <c r="B59" s="98" t="str">
        <f>Source!G313</f>
        <v>Устройство покрытий: из досок ламинированных замковым способом</v>
      </c>
      <c r="C59" s="99" t="str">
        <f>Source!H313</f>
        <v>100 м2</v>
      </c>
      <c r="D59" s="100">
        <f>Source!I313</f>
        <v>0.3</v>
      </c>
      <c r="E59" s="98"/>
    </row>
    <row r="60" spans="1:5" ht="14.25" x14ac:dyDescent="0.2">
      <c r="A60" s="97">
        <v>34</v>
      </c>
      <c r="B60" s="98" t="str">
        <f>Source!G315</f>
        <v>Устройство плинтусов поливинилхлоридных: на клее КН-2</v>
      </c>
      <c r="C60" s="99" t="str">
        <f>Source!H315</f>
        <v>100 м</v>
      </c>
      <c r="D60" s="100">
        <f>Source!I315</f>
        <v>0.21</v>
      </c>
      <c r="E60" s="98"/>
    </row>
    <row r="61" spans="1:5" ht="28.5" x14ac:dyDescent="0.2">
      <c r="A61" s="97">
        <v>35</v>
      </c>
      <c r="B61" s="98" t="str">
        <f>Source!G317</f>
        <v>Погрузка в автотранспортное средство: мусор строительный с погрузкой вручную</v>
      </c>
      <c r="C61" s="99" t="str">
        <f>Source!H317</f>
        <v>1т груза</v>
      </c>
      <c r="D61" s="100">
        <f>Source!I317</f>
        <v>1.28</v>
      </c>
      <c r="E61" s="98"/>
    </row>
    <row r="62" spans="1:5" ht="71.25" x14ac:dyDescent="0.2">
      <c r="A62" s="97">
        <v>36</v>
      </c>
      <c r="B62" s="98" t="str">
        <f>Source!G318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36 км</v>
      </c>
      <c r="C62" s="99" t="str">
        <f>Source!H318</f>
        <v>1т груза</v>
      </c>
      <c r="D62" s="100">
        <f>Source!I318</f>
        <v>0.6</v>
      </c>
      <c r="E62" s="98"/>
    </row>
    <row r="63" spans="1:5" ht="16.5" x14ac:dyDescent="0.25">
      <c r="A63" s="137" t="str">
        <f>CONCATENATE("Раздел: ", Source!G350)</f>
        <v>Раздел: Ремонт входной группы ул. Народного Ополчения, д.38, корп.2</v>
      </c>
      <c r="B63" s="137"/>
      <c r="C63" s="137"/>
      <c r="D63" s="137"/>
      <c r="E63" s="137"/>
    </row>
    <row r="64" spans="1:5" ht="14.25" x14ac:dyDescent="0.2">
      <c r="A64" s="97">
        <v>37</v>
      </c>
      <c r="B64" s="98" t="str">
        <f>Source!G354</f>
        <v>Ремонт штукатурки фасадов сухой растворной смесью</v>
      </c>
      <c r="C64" s="99" t="str">
        <f>Source!H354</f>
        <v>100 м2</v>
      </c>
      <c r="D64" s="100">
        <f>Source!I354</f>
        <v>0.22</v>
      </c>
      <c r="E64" s="98"/>
    </row>
    <row r="65" spans="1:5" ht="28.5" x14ac:dyDescent="0.2">
      <c r="A65" s="97">
        <v>38</v>
      </c>
      <c r="B65" s="98" t="str">
        <f>Source!G356</f>
        <v>Окраска перхлорвиниловыми красками по подготовленной поверхности фасадов: простых за 2 раза с земли и лесов</v>
      </c>
      <c r="C65" s="99" t="str">
        <f>Source!H356</f>
        <v>100 м2</v>
      </c>
      <c r="D65" s="100">
        <f>Source!I356</f>
        <v>0.22</v>
      </c>
      <c r="E65" s="98"/>
    </row>
    <row r="66" spans="1:5" ht="42.75" x14ac:dyDescent="0.2">
      <c r="A66" s="97">
        <v>39</v>
      </c>
      <c r="B66" s="98" t="str">
        <f>Source!G358</f>
        <v>Ремонт штукатурки внутренних стен по камню и бетону цементно-известковым раствором, площадью отдельных мест: более 10 м2 толщиной слоя до 20 мм</v>
      </c>
      <c r="C66" s="99" t="str">
        <f>Source!H358</f>
        <v>100 м2</v>
      </c>
      <c r="D66" s="100">
        <f>Source!I358</f>
        <v>0.245</v>
      </c>
      <c r="E66" s="98"/>
    </row>
    <row r="67" spans="1:5" ht="42.75" x14ac:dyDescent="0.2">
      <c r="A67" s="97">
        <v>40</v>
      </c>
      <c r="B67" s="98" t="str">
        <f>Source!G360</f>
        <v>Окрашивание водоэмульсионными составами поверхностей стен, ранее окрашенных: водоэмульсионной краской с расчисткой старой краски до 10%</v>
      </c>
      <c r="C67" s="99" t="str">
        <f>Source!H360</f>
        <v>100 м2</v>
      </c>
      <c r="D67" s="100">
        <f>Source!I360</f>
        <v>0.245</v>
      </c>
      <c r="E67" s="98"/>
    </row>
    <row r="68" spans="1:5" ht="28.5" x14ac:dyDescent="0.2">
      <c r="A68" s="97">
        <v>41</v>
      </c>
      <c r="B68" s="98" t="str">
        <f>Source!G362</f>
        <v>Погрузка в автотранспортное средство: мусор строительный с погрузкой вручную</v>
      </c>
      <c r="C68" s="99" t="str">
        <f>Source!H362</f>
        <v>1т груза</v>
      </c>
      <c r="D68" s="100">
        <f>Source!I362</f>
        <v>0.82809999999999995</v>
      </c>
      <c r="E68" s="98"/>
    </row>
    <row r="69" spans="1:5" ht="71.25" x14ac:dyDescent="0.2">
      <c r="A69" s="93">
        <v>42</v>
      </c>
      <c r="B69" s="94" t="str">
        <f>Source!G363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36 км</v>
      </c>
      <c r="C69" s="95" t="str">
        <f>Source!H363</f>
        <v>1т груза</v>
      </c>
      <c r="D69" s="96">
        <f>Source!I363</f>
        <v>0.82809999999999995</v>
      </c>
      <c r="E69" s="94"/>
    </row>
    <row r="72" spans="1:5" ht="15" x14ac:dyDescent="0.25">
      <c r="A72" s="101" t="s">
        <v>882</v>
      </c>
      <c r="B72" s="101"/>
      <c r="C72" s="101" t="s">
        <v>883</v>
      </c>
      <c r="D72" s="101"/>
      <c r="E72" s="101"/>
    </row>
  </sheetData>
  <mergeCells count="13">
    <mergeCell ref="A63:E63"/>
    <mergeCell ref="A32:E32"/>
    <mergeCell ref="A33:E33"/>
    <mergeCell ref="A41:E41"/>
    <mergeCell ref="A47:E47"/>
    <mergeCell ref="A52:E52"/>
    <mergeCell ref="A55:E55"/>
    <mergeCell ref="A20:E20"/>
    <mergeCell ref="C5:D5"/>
    <mergeCell ref="C7:D7"/>
    <mergeCell ref="A11:D11"/>
    <mergeCell ref="A12:D12"/>
    <mergeCell ref="A19:E19"/>
  </mergeCells>
  <pageMargins left="0.4" right="0.2" top="0.2" bottom="0.4" header="0.2" footer="0.2"/>
  <pageSetup paperSize="9" scale="77" fitToHeight="0" orientation="portrait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94"/>
  <sheetViews>
    <sheetView workbookViewId="0">
      <selection activeCell="A490" sqref="A490:AX490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21931</v>
      </c>
      <c r="M1">
        <v>10</v>
      </c>
      <c r="N1">
        <v>12</v>
      </c>
      <c r="O1">
        <v>1</v>
      </c>
      <c r="P1">
        <v>0</v>
      </c>
      <c r="Q1">
        <v>4</v>
      </c>
    </row>
    <row r="12" spans="1:133" x14ac:dyDescent="0.2">
      <c r="A12" s="1">
        <v>1</v>
      </c>
      <c r="B12" s="1">
        <v>488</v>
      </c>
      <c r="C12" s="1">
        <v>0</v>
      </c>
      <c r="D12" s="1">
        <f>ROW(A428)</f>
        <v>428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18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46161</v>
      </c>
      <c r="CT12" s="1">
        <v>567</v>
      </c>
      <c r="CU12" s="1">
        <v>18</v>
      </c>
      <c r="CV12" s="1" t="s">
        <v>679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55" x14ac:dyDescent="0.2">
      <c r="A18" s="3">
        <v>52</v>
      </c>
      <c r="B18" s="3">
        <f t="shared" ref="B18:G18" si="0">B428</f>
        <v>488</v>
      </c>
      <c r="C18" s="3">
        <f t="shared" si="0"/>
        <v>1</v>
      </c>
      <c r="D18" s="3">
        <f t="shared" si="0"/>
        <v>12</v>
      </c>
      <c r="E18" s="3">
        <f t="shared" si="0"/>
        <v>0</v>
      </c>
      <c r="F18" s="3" t="str">
        <f t="shared" si="0"/>
        <v>Новый объект</v>
      </c>
      <c r="G18" s="3" t="str">
        <f t="shared" si="0"/>
        <v>крыльца, цоколь, ФОК, пом 308</v>
      </c>
      <c r="H18" s="3"/>
      <c r="I18" s="3"/>
      <c r="J18" s="3"/>
      <c r="K18" s="3"/>
      <c r="L18" s="3"/>
      <c r="M18" s="3"/>
      <c r="N18" s="3"/>
      <c r="O18" s="3">
        <f t="shared" ref="O18:AT18" si="1">O428</f>
        <v>294265.86</v>
      </c>
      <c r="P18" s="3">
        <f t="shared" si="1"/>
        <v>161397.82999999999</v>
      </c>
      <c r="Q18" s="3">
        <f t="shared" si="1"/>
        <v>1980.22</v>
      </c>
      <c r="R18" s="3">
        <f t="shared" si="1"/>
        <v>3708.52</v>
      </c>
      <c r="S18" s="3">
        <f t="shared" si="1"/>
        <v>127179.29</v>
      </c>
      <c r="T18" s="3">
        <f t="shared" si="1"/>
        <v>0</v>
      </c>
      <c r="U18" s="3">
        <f t="shared" si="1"/>
        <v>189.8517406</v>
      </c>
      <c r="V18" s="3">
        <f t="shared" si="1"/>
        <v>5.2866957000000001</v>
      </c>
      <c r="W18" s="3">
        <f t="shared" si="1"/>
        <v>0</v>
      </c>
      <c r="X18" s="3">
        <f t="shared" si="1"/>
        <v>123710.2</v>
      </c>
      <c r="Y18" s="3">
        <f t="shared" si="1"/>
        <v>64937.54</v>
      </c>
      <c r="Z18" s="3">
        <f t="shared" si="1"/>
        <v>0</v>
      </c>
      <c r="AA18" s="3">
        <f t="shared" si="1"/>
        <v>0</v>
      </c>
      <c r="AB18" s="3">
        <f t="shared" si="1"/>
        <v>0</v>
      </c>
      <c r="AC18" s="3">
        <f t="shared" si="1"/>
        <v>0</v>
      </c>
      <c r="AD18" s="3">
        <f t="shared" si="1"/>
        <v>0</v>
      </c>
      <c r="AE18" s="3">
        <f t="shared" si="1"/>
        <v>0</v>
      </c>
      <c r="AF18" s="3">
        <f t="shared" si="1"/>
        <v>0</v>
      </c>
      <c r="AG18" s="3">
        <f t="shared" si="1"/>
        <v>0</v>
      </c>
      <c r="AH18" s="3">
        <f t="shared" si="1"/>
        <v>0</v>
      </c>
      <c r="AI18" s="3">
        <f t="shared" si="1"/>
        <v>0</v>
      </c>
      <c r="AJ18" s="3">
        <f t="shared" si="1"/>
        <v>0</v>
      </c>
      <c r="AK18" s="3">
        <f t="shared" si="1"/>
        <v>0</v>
      </c>
      <c r="AL18" s="3">
        <f t="shared" si="1"/>
        <v>0</v>
      </c>
      <c r="AM18" s="3">
        <f t="shared" si="1"/>
        <v>0</v>
      </c>
      <c r="AN18" s="3">
        <f t="shared" si="1"/>
        <v>0</v>
      </c>
      <c r="AO18" s="3">
        <f t="shared" si="1"/>
        <v>0</v>
      </c>
      <c r="AP18" s="3">
        <f t="shared" si="1"/>
        <v>0</v>
      </c>
      <c r="AQ18" s="3">
        <f t="shared" si="1"/>
        <v>0</v>
      </c>
      <c r="AR18" s="3">
        <f t="shared" si="1"/>
        <v>491621</v>
      </c>
      <c r="AS18" s="3">
        <f t="shared" si="1"/>
        <v>491621</v>
      </c>
      <c r="AT18" s="3">
        <f t="shared" si="1"/>
        <v>0</v>
      </c>
      <c r="AU18" s="3">
        <f t="shared" ref="AU18:BZ18" si="2">AU428</f>
        <v>0</v>
      </c>
      <c r="AV18" s="3">
        <f t="shared" si="2"/>
        <v>161397.82999999999</v>
      </c>
      <c r="AW18" s="3">
        <f t="shared" si="2"/>
        <v>161397.82999999999</v>
      </c>
      <c r="AX18" s="3">
        <f t="shared" si="2"/>
        <v>0</v>
      </c>
      <c r="AY18" s="3">
        <f t="shared" si="2"/>
        <v>161397.82999999999</v>
      </c>
      <c r="AZ18" s="3">
        <f t="shared" si="2"/>
        <v>0</v>
      </c>
      <c r="BA18" s="3">
        <f t="shared" si="2"/>
        <v>0</v>
      </c>
      <c r="BB18" s="3">
        <f t="shared" si="2"/>
        <v>0</v>
      </c>
      <c r="BC18" s="3">
        <f t="shared" si="2"/>
        <v>0</v>
      </c>
      <c r="BD18" s="3">
        <f t="shared" si="2"/>
        <v>8707.4</v>
      </c>
      <c r="BE18" s="3">
        <f t="shared" si="2"/>
        <v>0</v>
      </c>
      <c r="BF18" s="3">
        <f t="shared" si="2"/>
        <v>0</v>
      </c>
      <c r="BG18" s="3">
        <f t="shared" si="2"/>
        <v>0</v>
      </c>
      <c r="BH18" s="3">
        <f t="shared" si="2"/>
        <v>0</v>
      </c>
      <c r="BI18" s="3">
        <f t="shared" si="2"/>
        <v>0</v>
      </c>
      <c r="BJ18" s="3">
        <f t="shared" si="2"/>
        <v>0</v>
      </c>
      <c r="BK18" s="3">
        <f t="shared" si="2"/>
        <v>0</v>
      </c>
      <c r="BL18" s="3">
        <f t="shared" si="2"/>
        <v>0</v>
      </c>
      <c r="BM18" s="3">
        <f t="shared" si="2"/>
        <v>0</v>
      </c>
      <c r="BN18" s="3">
        <f t="shared" si="2"/>
        <v>0</v>
      </c>
      <c r="BO18" s="3">
        <f t="shared" si="2"/>
        <v>0</v>
      </c>
      <c r="BP18" s="3">
        <f t="shared" si="2"/>
        <v>0</v>
      </c>
      <c r="BQ18" s="3">
        <f t="shared" si="2"/>
        <v>0</v>
      </c>
      <c r="BR18" s="3">
        <f t="shared" si="2"/>
        <v>0</v>
      </c>
      <c r="BS18" s="3">
        <f t="shared" si="2"/>
        <v>0</v>
      </c>
      <c r="BT18" s="3">
        <f t="shared" si="2"/>
        <v>0</v>
      </c>
      <c r="BU18" s="3">
        <f t="shared" si="2"/>
        <v>0</v>
      </c>
      <c r="BV18" s="3">
        <f t="shared" si="2"/>
        <v>0</v>
      </c>
      <c r="BW18" s="3">
        <f t="shared" si="2"/>
        <v>0</v>
      </c>
      <c r="BX18" s="3">
        <f t="shared" si="2"/>
        <v>0</v>
      </c>
      <c r="BY18" s="3">
        <f t="shared" si="2"/>
        <v>0</v>
      </c>
      <c r="BZ18" s="3">
        <f t="shared" si="2"/>
        <v>0</v>
      </c>
      <c r="CA18" s="3">
        <f t="shared" ref="CA18:DF18" si="3">CA428</f>
        <v>0</v>
      </c>
      <c r="CB18" s="3">
        <f t="shared" si="3"/>
        <v>0</v>
      </c>
      <c r="CC18" s="3">
        <f t="shared" si="3"/>
        <v>0</v>
      </c>
      <c r="CD18" s="3">
        <f t="shared" si="3"/>
        <v>0</v>
      </c>
      <c r="CE18" s="3">
        <f t="shared" si="3"/>
        <v>0</v>
      </c>
      <c r="CF18" s="3">
        <f t="shared" si="3"/>
        <v>0</v>
      </c>
      <c r="CG18" s="3">
        <f t="shared" si="3"/>
        <v>0</v>
      </c>
      <c r="CH18" s="3">
        <f t="shared" si="3"/>
        <v>0</v>
      </c>
      <c r="CI18" s="3">
        <f t="shared" si="3"/>
        <v>0</v>
      </c>
      <c r="CJ18" s="3">
        <f t="shared" si="3"/>
        <v>0</v>
      </c>
      <c r="CK18" s="3">
        <f t="shared" si="3"/>
        <v>0</v>
      </c>
      <c r="CL18" s="3">
        <f t="shared" si="3"/>
        <v>0</v>
      </c>
      <c r="CM18" s="3">
        <f t="shared" si="3"/>
        <v>0</v>
      </c>
      <c r="CN18" s="3">
        <f t="shared" si="3"/>
        <v>0</v>
      </c>
      <c r="CO18" s="3">
        <f t="shared" si="3"/>
        <v>0</v>
      </c>
      <c r="CP18" s="3">
        <f t="shared" si="3"/>
        <v>0</v>
      </c>
      <c r="CQ18" s="3">
        <f t="shared" si="3"/>
        <v>0</v>
      </c>
      <c r="CR18" s="3">
        <f t="shared" si="3"/>
        <v>0</v>
      </c>
      <c r="CS18" s="3">
        <f t="shared" si="3"/>
        <v>0</v>
      </c>
      <c r="CT18" s="3">
        <f t="shared" si="3"/>
        <v>0</v>
      </c>
      <c r="CU18" s="3">
        <f t="shared" si="3"/>
        <v>0</v>
      </c>
      <c r="CV18" s="3">
        <f t="shared" si="3"/>
        <v>0</v>
      </c>
      <c r="CW18" s="3">
        <f t="shared" si="3"/>
        <v>0</v>
      </c>
      <c r="CX18" s="3">
        <f t="shared" si="3"/>
        <v>0</v>
      </c>
      <c r="CY18" s="3">
        <f t="shared" si="3"/>
        <v>0</v>
      </c>
      <c r="CZ18" s="3">
        <f t="shared" si="3"/>
        <v>0</v>
      </c>
      <c r="DA18" s="3">
        <f t="shared" si="3"/>
        <v>0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0</v>
      </c>
      <c r="DF18" s="3">
        <f t="shared" si="3"/>
        <v>0</v>
      </c>
      <c r="DG18" s="4">
        <f t="shared" ref="DG18:EL18" si="4">DG428</f>
        <v>0</v>
      </c>
      <c r="DH18" s="4">
        <f t="shared" si="4"/>
        <v>0</v>
      </c>
      <c r="DI18" s="4">
        <f t="shared" si="4"/>
        <v>0</v>
      </c>
      <c r="DJ18" s="4">
        <f t="shared" si="4"/>
        <v>0</v>
      </c>
      <c r="DK18" s="4">
        <f t="shared" si="4"/>
        <v>0</v>
      </c>
      <c r="DL18" s="4">
        <f t="shared" si="4"/>
        <v>0</v>
      </c>
      <c r="DM18" s="4">
        <f t="shared" si="4"/>
        <v>0</v>
      </c>
      <c r="DN18" s="4">
        <f t="shared" si="4"/>
        <v>0</v>
      </c>
      <c r="DO18" s="4">
        <f t="shared" si="4"/>
        <v>0</v>
      </c>
      <c r="DP18" s="4">
        <f t="shared" si="4"/>
        <v>0</v>
      </c>
      <c r="DQ18" s="4">
        <f t="shared" si="4"/>
        <v>0</v>
      </c>
      <c r="DR18" s="4">
        <f t="shared" si="4"/>
        <v>0</v>
      </c>
      <c r="DS18" s="4">
        <f t="shared" si="4"/>
        <v>0</v>
      </c>
      <c r="DT18" s="4">
        <f t="shared" si="4"/>
        <v>0</v>
      </c>
      <c r="DU18" s="4">
        <f t="shared" si="4"/>
        <v>0</v>
      </c>
      <c r="DV18" s="4">
        <f t="shared" si="4"/>
        <v>0</v>
      </c>
      <c r="DW18" s="4">
        <f t="shared" si="4"/>
        <v>0</v>
      </c>
      <c r="DX18" s="4">
        <f t="shared" si="4"/>
        <v>0</v>
      </c>
      <c r="DY18" s="4">
        <f t="shared" si="4"/>
        <v>0</v>
      </c>
      <c r="DZ18" s="4">
        <f t="shared" si="4"/>
        <v>0</v>
      </c>
      <c r="EA18" s="4">
        <f t="shared" si="4"/>
        <v>0</v>
      </c>
      <c r="EB18" s="4">
        <f t="shared" si="4"/>
        <v>0</v>
      </c>
      <c r="EC18" s="4">
        <f t="shared" si="4"/>
        <v>0</v>
      </c>
      <c r="ED18" s="4">
        <f t="shared" si="4"/>
        <v>0</v>
      </c>
      <c r="EE18" s="4">
        <f t="shared" si="4"/>
        <v>0</v>
      </c>
      <c r="EF18" s="4">
        <f t="shared" si="4"/>
        <v>0</v>
      </c>
      <c r="EG18" s="4">
        <f t="shared" si="4"/>
        <v>0</v>
      </c>
      <c r="EH18" s="4">
        <f t="shared" si="4"/>
        <v>0</v>
      </c>
      <c r="EI18" s="4">
        <f t="shared" si="4"/>
        <v>0</v>
      </c>
      <c r="EJ18" s="4">
        <f t="shared" si="4"/>
        <v>0</v>
      </c>
      <c r="EK18" s="4">
        <f t="shared" si="4"/>
        <v>0</v>
      </c>
      <c r="EL18" s="4">
        <f t="shared" si="4"/>
        <v>0</v>
      </c>
      <c r="EM18" s="4">
        <f t="shared" ref="EM18:FR18" si="5">EM428</f>
        <v>0</v>
      </c>
      <c r="EN18" s="4">
        <f t="shared" si="5"/>
        <v>0</v>
      </c>
      <c r="EO18" s="4">
        <f t="shared" si="5"/>
        <v>0</v>
      </c>
      <c r="EP18" s="4">
        <f t="shared" si="5"/>
        <v>0</v>
      </c>
      <c r="EQ18" s="4">
        <f t="shared" si="5"/>
        <v>0</v>
      </c>
      <c r="ER18" s="4">
        <f t="shared" si="5"/>
        <v>0</v>
      </c>
      <c r="ES18" s="4">
        <f t="shared" si="5"/>
        <v>0</v>
      </c>
      <c r="ET18" s="4">
        <f t="shared" si="5"/>
        <v>0</v>
      </c>
      <c r="EU18" s="4">
        <f t="shared" si="5"/>
        <v>0</v>
      </c>
      <c r="EV18" s="4">
        <f t="shared" si="5"/>
        <v>0</v>
      </c>
      <c r="EW18" s="4">
        <f t="shared" si="5"/>
        <v>0</v>
      </c>
      <c r="EX18" s="4">
        <f t="shared" si="5"/>
        <v>0</v>
      </c>
      <c r="EY18" s="4">
        <f t="shared" si="5"/>
        <v>0</v>
      </c>
      <c r="EZ18" s="4">
        <f t="shared" si="5"/>
        <v>0</v>
      </c>
      <c r="FA18" s="4">
        <f t="shared" si="5"/>
        <v>0</v>
      </c>
      <c r="FB18" s="4">
        <f t="shared" si="5"/>
        <v>0</v>
      </c>
      <c r="FC18" s="4">
        <f t="shared" si="5"/>
        <v>0</v>
      </c>
      <c r="FD18" s="4">
        <f t="shared" si="5"/>
        <v>0</v>
      </c>
      <c r="FE18" s="4">
        <f t="shared" si="5"/>
        <v>0</v>
      </c>
      <c r="FF18" s="4">
        <f t="shared" si="5"/>
        <v>0</v>
      </c>
      <c r="FG18" s="4">
        <f t="shared" si="5"/>
        <v>0</v>
      </c>
      <c r="FH18" s="4">
        <f t="shared" si="5"/>
        <v>0</v>
      </c>
      <c r="FI18" s="4">
        <f t="shared" si="5"/>
        <v>0</v>
      </c>
      <c r="FJ18" s="4">
        <f t="shared" si="5"/>
        <v>0</v>
      </c>
      <c r="FK18" s="4">
        <f t="shared" si="5"/>
        <v>0</v>
      </c>
      <c r="FL18" s="4">
        <f t="shared" si="5"/>
        <v>0</v>
      </c>
      <c r="FM18" s="4">
        <f t="shared" si="5"/>
        <v>0</v>
      </c>
      <c r="FN18" s="4">
        <f t="shared" si="5"/>
        <v>0</v>
      </c>
      <c r="FO18" s="4">
        <f t="shared" si="5"/>
        <v>0</v>
      </c>
      <c r="FP18" s="4">
        <f t="shared" si="5"/>
        <v>0</v>
      </c>
      <c r="FQ18" s="4">
        <f t="shared" si="5"/>
        <v>0</v>
      </c>
      <c r="FR18" s="4">
        <f t="shared" si="5"/>
        <v>0</v>
      </c>
      <c r="FS18" s="4">
        <f t="shared" ref="FS18:GX18" si="6">FS428</f>
        <v>0</v>
      </c>
      <c r="FT18" s="4">
        <f t="shared" si="6"/>
        <v>0</v>
      </c>
      <c r="FU18" s="4">
        <f t="shared" si="6"/>
        <v>0</v>
      </c>
      <c r="FV18" s="4">
        <f t="shared" si="6"/>
        <v>0</v>
      </c>
      <c r="FW18" s="4">
        <f t="shared" si="6"/>
        <v>0</v>
      </c>
      <c r="FX18" s="4">
        <f t="shared" si="6"/>
        <v>0</v>
      </c>
      <c r="FY18" s="4">
        <f t="shared" si="6"/>
        <v>0</v>
      </c>
      <c r="FZ18" s="4">
        <f t="shared" si="6"/>
        <v>0</v>
      </c>
      <c r="GA18" s="4">
        <f t="shared" si="6"/>
        <v>0</v>
      </c>
      <c r="GB18" s="4">
        <f t="shared" si="6"/>
        <v>0</v>
      </c>
      <c r="GC18" s="4">
        <f t="shared" si="6"/>
        <v>0</v>
      </c>
      <c r="GD18" s="4">
        <f t="shared" si="6"/>
        <v>0</v>
      </c>
      <c r="GE18" s="4">
        <f t="shared" si="6"/>
        <v>0</v>
      </c>
      <c r="GF18" s="4">
        <f t="shared" si="6"/>
        <v>0</v>
      </c>
      <c r="GG18" s="4">
        <f t="shared" si="6"/>
        <v>0</v>
      </c>
      <c r="GH18" s="4">
        <f t="shared" si="6"/>
        <v>0</v>
      </c>
      <c r="GI18" s="4">
        <f t="shared" si="6"/>
        <v>0</v>
      </c>
      <c r="GJ18" s="4">
        <f t="shared" si="6"/>
        <v>0</v>
      </c>
      <c r="GK18" s="4">
        <f t="shared" si="6"/>
        <v>0</v>
      </c>
      <c r="GL18" s="4">
        <f t="shared" si="6"/>
        <v>0</v>
      </c>
      <c r="GM18" s="4">
        <f t="shared" si="6"/>
        <v>0</v>
      </c>
      <c r="GN18" s="4">
        <f t="shared" si="6"/>
        <v>0</v>
      </c>
      <c r="GO18" s="4">
        <f t="shared" si="6"/>
        <v>0</v>
      </c>
      <c r="GP18" s="4">
        <f t="shared" si="6"/>
        <v>0</v>
      </c>
      <c r="GQ18" s="4">
        <f t="shared" si="6"/>
        <v>0</v>
      </c>
      <c r="GR18" s="4">
        <f t="shared" si="6"/>
        <v>0</v>
      </c>
      <c r="GS18" s="4">
        <f t="shared" si="6"/>
        <v>0</v>
      </c>
      <c r="GT18" s="4">
        <f t="shared" si="6"/>
        <v>0</v>
      </c>
      <c r="GU18" s="4">
        <f t="shared" si="6"/>
        <v>0</v>
      </c>
      <c r="GV18" s="4">
        <f t="shared" si="6"/>
        <v>0</v>
      </c>
      <c r="GW18" s="4">
        <f t="shared" si="6"/>
        <v>0</v>
      </c>
      <c r="GX18" s="4">
        <f t="shared" si="6"/>
        <v>0</v>
      </c>
    </row>
    <row r="20" spans="1:255" x14ac:dyDescent="0.2">
      <c r="A20" s="1">
        <v>3</v>
      </c>
      <c r="B20" s="1">
        <v>1</v>
      </c>
      <c r="C20" s="1"/>
      <c r="D20" s="1">
        <f>ROW(A395)</f>
        <v>395</v>
      </c>
      <c r="E20" s="1"/>
      <c r="F20" s="1" t="s">
        <v>14</v>
      </c>
      <c r="G20" s="1" t="s">
        <v>14</v>
      </c>
      <c r="H20" s="1" t="s">
        <v>3</v>
      </c>
      <c r="I20" s="1">
        <v>0</v>
      </c>
      <c r="J20" s="1" t="s">
        <v>3</v>
      </c>
      <c r="K20" s="1">
        <v>0</v>
      </c>
      <c r="L20" s="1" t="s">
        <v>14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55" x14ac:dyDescent="0.2">
      <c r="A22" s="3">
        <v>52</v>
      </c>
      <c r="B22" s="3">
        <f t="shared" ref="B22:G22" si="7">B395</f>
        <v>1</v>
      </c>
      <c r="C22" s="3">
        <f t="shared" si="7"/>
        <v>3</v>
      </c>
      <c r="D22" s="3">
        <f t="shared" si="7"/>
        <v>20</v>
      </c>
      <c r="E22" s="3">
        <f t="shared" si="7"/>
        <v>0</v>
      </c>
      <c r="F22" s="3" t="str">
        <f t="shared" si="7"/>
        <v>Новая локальная смета</v>
      </c>
      <c r="G22" s="3" t="str">
        <f t="shared" si="7"/>
        <v>Новая локальная смета</v>
      </c>
      <c r="H22" s="3"/>
      <c r="I22" s="3"/>
      <c r="J22" s="3"/>
      <c r="K22" s="3"/>
      <c r="L22" s="3"/>
      <c r="M22" s="3"/>
      <c r="N22" s="3"/>
      <c r="O22" s="3">
        <f t="shared" ref="O22:AT22" si="8">O395</f>
        <v>294265.86</v>
      </c>
      <c r="P22" s="3">
        <f t="shared" si="8"/>
        <v>161397.82999999999</v>
      </c>
      <c r="Q22" s="3">
        <f t="shared" si="8"/>
        <v>1980.22</v>
      </c>
      <c r="R22" s="3">
        <f t="shared" si="8"/>
        <v>3708.52</v>
      </c>
      <c r="S22" s="3">
        <f t="shared" si="8"/>
        <v>127179.29</v>
      </c>
      <c r="T22" s="3">
        <f t="shared" si="8"/>
        <v>0</v>
      </c>
      <c r="U22" s="3">
        <f t="shared" si="8"/>
        <v>189.8517406</v>
      </c>
      <c r="V22" s="3">
        <f t="shared" si="8"/>
        <v>5.2866957000000001</v>
      </c>
      <c r="W22" s="3">
        <f t="shared" si="8"/>
        <v>0</v>
      </c>
      <c r="X22" s="3">
        <f t="shared" si="8"/>
        <v>123710.2</v>
      </c>
      <c r="Y22" s="3">
        <f t="shared" si="8"/>
        <v>64937.54</v>
      </c>
      <c r="Z22" s="3">
        <f t="shared" si="8"/>
        <v>0</v>
      </c>
      <c r="AA22" s="3">
        <f t="shared" si="8"/>
        <v>0</v>
      </c>
      <c r="AB22" s="3">
        <f t="shared" si="8"/>
        <v>0</v>
      </c>
      <c r="AC22" s="3">
        <f t="shared" si="8"/>
        <v>0</v>
      </c>
      <c r="AD22" s="3">
        <f t="shared" si="8"/>
        <v>0</v>
      </c>
      <c r="AE22" s="3">
        <f t="shared" si="8"/>
        <v>0</v>
      </c>
      <c r="AF22" s="3">
        <f t="shared" si="8"/>
        <v>0</v>
      </c>
      <c r="AG22" s="3">
        <f t="shared" si="8"/>
        <v>0</v>
      </c>
      <c r="AH22" s="3">
        <f t="shared" si="8"/>
        <v>0</v>
      </c>
      <c r="AI22" s="3">
        <f t="shared" si="8"/>
        <v>0</v>
      </c>
      <c r="AJ22" s="3">
        <f t="shared" si="8"/>
        <v>0</v>
      </c>
      <c r="AK22" s="3">
        <f t="shared" si="8"/>
        <v>0</v>
      </c>
      <c r="AL22" s="3">
        <f t="shared" si="8"/>
        <v>0</v>
      </c>
      <c r="AM22" s="3">
        <f t="shared" si="8"/>
        <v>0</v>
      </c>
      <c r="AN22" s="3">
        <f t="shared" si="8"/>
        <v>0</v>
      </c>
      <c r="AO22" s="3">
        <f t="shared" si="8"/>
        <v>0</v>
      </c>
      <c r="AP22" s="3">
        <f t="shared" si="8"/>
        <v>0</v>
      </c>
      <c r="AQ22" s="3">
        <f t="shared" si="8"/>
        <v>0</v>
      </c>
      <c r="AR22" s="3">
        <f t="shared" si="8"/>
        <v>491621</v>
      </c>
      <c r="AS22" s="3">
        <f t="shared" si="8"/>
        <v>491621</v>
      </c>
      <c r="AT22" s="3">
        <f t="shared" si="8"/>
        <v>0</v>
      </c>
      <c r="AU22" s="3">
        <f t="shared" ref="AU22:BZ22" si="9">AU395</f>
        <v>0</v>
      </c>
      <c r="AV22" s="3">
        <f t="shared" si="9"/>
        <v>161397.82999999999</v>
      </c>
      <c r="AW22" s="3">
        <f t="shared" si="9"/>
        <v>161397.82999999999</v>
      </c>
      <c r="AX22" s="3">
        <f t="shared" si="9"/>
        <v>0</v>
      </c>
      <c r="AY22" s="3">
        <f t="shared" si="9"/>
        <v>161397.82999999999</v>
      </c>
      <c r="AZ22" s="3">
        <f t="shared" si="9"/>
        <v>0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8707.4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si="9"/>
        <v>0</v>
      </c>
      <c r="BQ22" s="3">
        <f t="shared" si="9"/>
        <v>0</v>
      </c>
      <c r="BR22" s="3">
        <f t="shared" si="9"/>
        <v>0</v>
      </c>
      <c r="BS22" s="3">
        <f t="shared" si="9"/>
        <v>0</v>
      </c>
      <c r="BT22" s="3">
        <f t="shared" si="9"/>
        <v>0</v>
      </c>
      <c r="BU22" s="3">
        <f t="shared" si="9"/>
        <v>0</v>
      </c>
      <c r="BV22" s="3">
        <f t="shared" si="9"/>
        <v>0</v>
      </c>
      <c r="BW22" s="3">
        <f t="shared" si="9"/>
        <v>0</v>
      </c>
      <c r="BX22" s="3">
        <f t="shared" si="9"/>
        <v>0</v>
      </c>
      <c r="BY22" s="3">
        <f t="shared" si="9"/>
        <v>0</v>
      </c>
      <c r="BZ22" s="3">
        <f t="shared" si="9"/>
        <v>0</v>
      </c>
      <c r="CA22" s="3">
        <f t="shared" ref="CA22:DF22" si="10">CA395</f>
        <v>0</v>
      </c>
      <c r="CB22" s="3">
        <f t="shared" si="10"/>
        <v>0</v>
      </c>
      <c r="CC22" s="3">
        <f t="shared" si="10"/>
        <v>0</v>
      </c>
      <c r="CD22" s="3">
        <f t="shared" si="10"/>
        <v>0</v>
      </c>
      <c r="CE22" s="3">
        <f t="shared" si="10"/>
        <v>0</v>
      </c>
      <c r="CF22" s="3">
        <f t="shared" si="10"/>
        <v>0</v>
      </c>
      <c r="CG22" s="3">
        <f t="shared" si="10"/>
        <v>0</v>
      </c>
      <c r="CH22" s="3">
        <f t="shared" si="10"/>
        <v>0</v>
      </c>
      <c r="CI22" s="3">
        <f t="shared" si="10"/>
        <v>0</v>
      </c>
      <c r="CJ22" s="3">
        <f t="shared" si="10"/>
        <v>0</v>
      </c>
      <c r="CK22" s="3">
        <f t="shared" si="10"/>
        <v>0</v>
      </c>
      <c r="CL22" s="3">
        <f t="shared" si="10"/>
        <v>0</v>
      </c>
      <c r="CM22" s="3">
        <f t="shared" si="10"/>
        <v>0</v>
      </c>
      <c r="CN22" s="3">
        <f t="shared" si="10"/>
        <v>0</v>
      </c>
      <c r="CO22" s="3">
        <f t="shared" si="10"/>
        <v>0</v>
      </c>
      <c r="CP22" s="3">
        <f t="shared" si="10"/>
        <v>0</v>
      </c>
      <c r="CQ22" s="3">
        <f t="shared" si="10"/>
        <v>0</v>
      </c>
      <c r="CR22" s="3">
        <f t="shared" si="10"/>
        <v>0</v>
      </c>
      <c r="CS22" s="3">
        <f t="shared" si="10"/>
        <v>0</v>
      </c>
      <c r="CT22" s="3">
        <f t="shared" si="10"/>
        <v>0</v>
      </c>
      <c r="CU22" s="3">
        <f t="shared" si="10"/>
        <v>0</v>
      </c>
      <c r="CV22" s="3">
        <f t="shared" si="10"/>
        <v>0</v>
      </c>
      <c r="CW22" s="3">
        <f t="shared" si="10"/>
        <v>0</v>
      </c>
      <c r="CX22" s="3">
        <f t="shared" si="10"/>
        <v>0</v>
      </c>
      <c r="CY22" s="3">
        <f t="shared" si="10"/>
        <v>0</v>
      </c>
      <c r="CZ22" s="3">
        <f t="shared" si="10"/>
        <v>0</v>
      </c>
      <c r="DA22" s="3">
        <f t="shared" si="10"/>
        <v>0</v>
      </c>
      <c r="DB22" s="3">
        <f t="shared" si="10"/>
        <v>0</v>
      </c>
      <c r="DC22" s="3">
        <f t="shared" si="10"/>
        <v>0</v>
      </c>
      <c r="DD22" s="3">
        <f t="shared" si="10"/>
        <v>0</v>
      </c>
      <c r="DE22" s="3">
        <f t="shared" si="10"/>
        <v>0</v>
      </c>
      <c r="DF22" s="3">
        <f t="shared" si="10"/>
        <v>0</v>
      </c>
      <c r="DG22" s="4">
        <f t="shared" ref="DG22:EL22" si="11">DG395</f>
        <v>0</v>
      </c>
      <c r="DH22" s="4">
        <f t="shared" si="11"/>
        <v>0</v>
      </c>
      <c r="DI22" s="4">
        <f t="shared" si="11"/>
        <v>0</v>
      </c>
      <c r="DJ22" s="4">
        <f t="shared" si="11"/>
        <v>0</v>
      </c>
      <c r="DK22" s="4">
        <f t="shared" si="11"/>
        <v>0</v>
      </c>
      <c r="DL22" s="4">
        <f t="shared" si="11"/>
        <v>0</v>
      </c>
      <c r="DM22" s="4">
        <f t="shared" si="11"/>
        <v>0</v>
      </c>
      <c r="DN22" s="4">
        <f t="shared" si="11"/>
        <v>0</v>
      </c>
      <c r="DO22" s="4">
        <f t="shared" si="11"/>
        <v>0</v>
      </c>
      <c r="DP22" s="4">
        <f t="shared" si="11"/>
        <v>0</v>
      </c>
      <c r="DQ22" s="4">
        <f t="shared" si="11"/>
        <v>0</v>
      </c>
      <c r="DR22" s="4">
        <f t="shared" si="11"/>
        <v>0</v>
      </c>
      <c r="DS22" s="4">
        <f t="shared" si="11"/>
        <v>0</v>
      </c>
      <c r="DT22" s="4">
        <f t="shared" si="11"/>
        <v>0</v>
      </c>
      <c r="DU22" s="4">
        <f t="shared" si="11"/>
        <v>0</v>
      </c>
      <c r="DV22" s="4">
        <f t="shared" si="11"/>
        <v>0</v>
      </c>
      <c r="DW22" s="4">
        <f t="shared" si="11"/>
        <v>0</v>
      </c>
      <c r="DX22" s="4">
        <f t="shared" si="11"/>
        <v>0</v>
      </c>
      <c r="DY22" s="4">
        <f t="shared" si="11"/>
        <v>0</v>
      </c>
      <c r="DZ22" s="4">
        <f t="shared" si="11"/>
        <v>0</v>
      </c>
      <c r="EA22" s="4">
        <f t="shared" si="11"/>
        <v>0</v>
      </c>
      <c r="EB22" s="4">
        <f t="shared" si="11"/>
        <v>0</v>
      </c>
      <c r="EC22" s="4">
        <f t="shared" si="11"/>
        <v>0</v>
      </c>
      <c r="ED22" s="4">
        <f t="shared" si="11"/>
        <v>0</v>
      </c>
      <c r="EE22" s="4">
        <f t="shared" si="11"/>
        <v>0</v>
      </c>
      <c r="EF22" s="4">
        <f t="shared" si="11"/>
        <v>0</v>
      </c>
      <c r="EG22" s="4">
        <f t="shared" si="11"/>
        <v>0</v>
      </c>
      <c r="EH22" s="4">
        <f t="shared" si="11"/>
        <v>0</v>
      </c>
      <c r="EI22" s="4">
        <f t="shared" si="11"/>
        <v>0</v>
      </c>
      <c r="EJ22" s="4">
        <f t="shared" si="11"/>
        <v>0</v>
      </c>
      <c r="EK22" s="4">
        <f t="shared" si="11"/>
        <v>0</v>
      </c>
      <c r="EL22" s="4">
        <f t="shared" si="11"/>
        <v>0</v>
      </c>
      <c r="EM22" s="4">
        <f t="shared" ref="EM22:FR22" si="12">EM395</f>
        <v>0</v>
      </c>
      <c r="EN22" s="4">
        <f t="shared" si="12"/>
        <v>0</v>
      </c>
      <c r="EO22" s="4">
        <f t="shared" si="12"/>
        <v>0</v>
      </c>
      <c r="EP22" s="4">
        <f t="shared" si="12"/>
        <v>0</v>
      </c>
      <c r="EQ22" s="4">
        <f t="shared" si="12"/>
        <v>0</v>
      </c>
      <c r="ER22" s="4">
        <f t="shared" si="12"/>
        <v>0</v>
      </c>
      <c r="ES22" s="4">
        <f t="shared" si="12"/>
        <v>0</v>
      </c>
      <c r="ET22" s="4">
        <f t="shared" si="12"/>
        <v>0</v>
      </c>
      <c r="EU22" s="4">
        <f t="shared" si="12"/>
        <v>0</v>
      </c>
      <c r="EV22" s="4">
        <f t="shared" si="12"/>
        <v>0</v>
      </c>
      <c r="EW22" s="4">
        <f t="shared" si="12"/>
        <v>0</v>
      </c>
      <c r="EX22" s="4">
        <f t="shared" si="12"/>
        <v>0</v>
      </c>
      <c r="EY22" s="4">
        <f t="shared" si="12"/>
        <v>0</v>
      </c>
      <c r="EZ22" s="4">
        <f t="shared" si="12"/>
        <v>0</v>
      </c>
      <c r="FA22" s="4">
        <f t="shared" si="12"/>
        <v>0</v>
      </c>
      <c r="FB22" s="4">
        <f t="shared" si="12"/>
        <v>0</v>
      </c>
      <c r="FC22" s="4">
        <f t="shared" si="12"/>
        <v>0</v>
      </c>
      <c r="FD22" s="4">
        <f t="shared" si="12"/>
        <v>0</v>
      </c>
      <c r="FE22" s="4">
        <f t="shared" si="12"/>
        <v>0</v>
      </c>
      <c r="FF22" s="4">
        <f t="shared" si="12"/>
        <v>0</v>
      </c>
      <c r="FG22" s="4">
        <f t="shared" si="12"/>
        <v>0</v>
      </c>
      <c r="FH22" s="4">
        <f t="shared" si="12"/>
        <v>0</v>
      </c>
      <c r="FI22" s="4">
        <f t="shared" si="12"/>
        <v>0</v>
      </c>
      <c r="FJ22" s="4">
        <f t="shared" si="12"/>
        <v>0</v>
      </c>
      <c r="FK22" s="4">
        <f t="shared" si="12"/>
        <v>0</v>
      </c>
      <c r="FL22" s="4">
        <f t="shared" si="12"/>
        <v>0</v>
      </c>
      <c r="FM22" s="4">
        <f t="shared" si="12"/>
        <v>0</v>
      </c>
      <c r="FN22" s="4">
        <f t="shared" si="12"/>
        <v>0</v>
      </c>
      <c r="FO22" s="4">
        <f t="shared" si="12"/>
        <v>0</v>
      </c>
      <c r="FP22" s="4">
        <f t="shared" si="12"/>
        <v>0</v>
      </c>
      <c r="FQ22" s="4">
        <f t="shared" si="12"/>
        <v>0</v>
      </c>
      <c r="FR22" s="4">
        <f t="shared" si="12"/>
        <v>0</v>
      </c>
      <c r="FS22" s="4">
        <f t="shared" ref="FS22:GX22" si="13">FS395</f>
        <v>0</v>
      </c>
      <c r="FT22" s="4">
        <f t="shared" si="13"/>
        <v>0</v>
      </c>
      <c r="FU22" s="4">
        <f t="shared" si="13"/>
        <v>0</v>
      </c>
      <c r="FV22" s="4">
        <f t="shared" si="13"/>
        <v>0</v>
      </c>
      <c r="FW22" s="4">
        <f t="shared" si="13"/>
        <v>0</v>
      </c>
      <c r="FX22" s="4">
        <f t="shared" si="13"/>
        <v>0</v>
      </c>
      <c r="FY22" s="4">
        <f t="shared" si="13"/>
        <v>0</v>
      </c>
      <c r="FZ22" s="4">
        <f t="shared" si="13"/>
        <v>0</v>
      </c>
      <c r="GA22" s="4">
        <f t="shared" si="13"/>
        <v>0</v>
      </c>
      <c r="GB22" s="4">
        <f t="shared" si="13"/>
        <v>0</v>
      </c>
      <c r="GC22" s="4">
        <f t="shared" si="13"/>
        <v>0</v>
      </c>
      <c r="GD22" s="4">
        <f t="shared" si="13"/>
        <v>0</v>
      </c>
      <c r="GE22" s="4">
        <f t="shared" si="13"/>
        <v>0</v>
      </c>
      <c r="GF22" s="4">
        <f t="shared" si="13"/>
        <v>0</v>
      </c>
      <c r="GG22" s="4">
        <f t="shared" si="13"/>
        <v>0</v>
      </c>
      <c r="GH22" s="4">
        <f t="shared" si="13"/>
        <v>0</v>
      </c>
      <c r="GI22" s="4">
        <f t="shared" si="13"/>
        <v>0</v>
      </c>
      <c r="GJ22" s="4">
        <f t="shared" si="13"/>
        <v>0</v>
      </c>
      <c r="GK22" s="4">
        <f t="shared" si="13"/>
        <v>0</v>
      </c>
      <c r="GL22" s="4">
        <f t="shared" si="13"/>
        <v>0</v>
      </c>
      <c r="GM22" s="4">
        <f t="shared" si="13"/>
        <v>0</v>
      </c>
      <c r="GN22" s="4">
        <f t="shared" si="13"/>
        <v>0</v>
      </c>
      <c r="GO22" s="4">
        <f t="shared" si="13"/>
        <v>0</v>
      </c>
      <c r="GP22" s="4">
        <f t="shared" si="13"/>
        <v>0</v>
      </c>
      <c r="GQ22" s="4">
        <f t="shared" si="13"/>
        <v>0</v>
      </c>
      <c r="GR22" s="4">
        <f t="shared" si="13"/>
        <v>0</v>
      </c>
      <c r="GS22" s="4">
        <f t="shared" si="13"/>
        <v>0</v>
      </c>
      <c r="GT22" s="4">
        <f t="shared" si="13"/>
        <v>0</v>
      </c>
      <c r="GU22" s="4">
        <f t="shared" si="13"/>
        <v>0</v>
      </c>
      <c r="GV22" s="4">
        <f t="shared" si="13"/>
        <v>0</v>
      </c>
      <c r="GW22" s="4">
        <f t="shared" si="13"/>
        <v>0</v>
      </c>
      <c r="GX22" s="4">
        <f t="shared" si="13"/>
        <v>0</v>
      </c>
    </row>
    <row r="24" spans="1:255" x14ac:dyDescent="0.2">
      <c r="A24" s="1">
        <v>4</v>
      </c>
      <c r="B24" s="1">
        <v>1</v>
      </c>
      <c r="C24" s="1"/>
      <c r="D24" s="1">
        <f>ROW(A52)</f>
        <v>52</v>
      </c>
      <c r="E24" s="1"/>
      <c r="F24" s="1" t="s">
        <v>15</v>
      </c>
      <c r="G24" s="1" t="s">
        <v>16</v>
      </c>
      <c r="H24" s="1" t="s">
        <v>3</v>
      </c>
      <c r="I24" s="1">
        <v>0</v>
      </c>
      <c r="J24" s="1"/>
      <c r="K24" s="1">
        <v>0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55" x14ac:dyDescent="0.2">
      <c r="A26" s="3">
        <v>52</v>
      </c>
      <c r="B26" s="3">
        <f t="shared" ref="B26:G26" si="14">B52</f>
        <v>1</v>
      </c>
      <c r="C26" s="3">
        <f t="shared" si="14"/>
        <v>4</v>
      </c>
      <c r="D26" s="3">
        <f t="shared" si="14"/>
        <v>24</v>
      </c>
      <c r="E26" s="3">
        <f t="shared" si="14"/>
        <v>0</v>
      </c>
      <c r="F26" s="3" t="str">
        <f t="shared" si="14"/>
        <v>Новый раздел</v>
      </c>
      <c r="G26" s="3" t="str">
        <f t="shared" si="14"/>
        <v>ул. Николоямская</v>
      </c>
      <c r="H26" s="3"/>
      <c r="I26" s="3"/>
      <c r="J26" s="3"/>
      <c r="K26" s="3"/>
      <c r="L26" s="3"/>
      <c r="M26" s="3"/>
      <c r="N26" s="3"/>
      <c r="O26" s="3">
        <f t="shared" ref="O26:AT26" si="15">O52</f>
        <v>27300.59</v>
      </c>
      <c r="P26" s="3">
        <f t="shared" si="15"/>
        <v>7995.52</v>
      </c>
      <c r="Q26" s="3">
        <f t="shared" si="15"/>
        <v>236.09</v>
      </c>
      <c r="R26" s="3">
        <f t="shared" si="15"/>
        <v>146.52000000000001</v>
      </c>
      <c r="S26" s="3">
        <f t="shared" si="15"/>
        <v>18922.46</v>
      </c>
      <c r="T26" s="3">
        <f t="shared" si="15"/>
        <v>0</v>
      </c>
      <c r="U26" s="3">
        <f t="shared" si="15"/>
        <v>28.80772</v>
      </c>
      <c r="V26" s="3">
        <f t="shared" si="15"/>
        <v>0.20580500000000002</v>
      </c>
      <c r="W26" s="3">
        <f t="shared" si="15"/>
        <v>0</v>
      </c>
      <c r="X26" s="3">
        <f t="shared" si="15"/>
        <v>18149.650000000001</v>
      </c>
      <c r="Y26" s="3">
        <f t="shared" si="15"/>
        <v>9493.42</v>
      </c>
      <c r="Z26" s="3">
        <f t="shared" si="15"/>
        <v>0</v>
      </c>
      <c r="AA26" s="3">
        <f t="shared" si="15"/>
        <v>0</v>
      </c>
      <c r="AB26" s="3">
        <f t="shared" si="15"/>
        <v>27300.59</v>
      </c>
      <c r="AC26" s="3">
        <f t="shared" si="15"/>
        <v>7995.52</v>
      </c>
      <c r="AD26" s="3">
        <f t="shared" si="15"/>
        <v>236.09</v>
      </c>
      <c r="AE26" s="3">
        <f t="shared" si="15"/>
        <v>146.52000000000001</v>
      </c>
      <c r="AF26" s="3">
        <f t="shared" si="15"/>
        <v>18922.46</v>
      </c>
      <c r="AG26" s="3">
        <f t="shared" si="15"/>
        <v>0</v>
      </c>
      <c r="AH26" s="3">
        <f t="shared" si="15"/>
        <v>28.80772</v>
      </c>
      <c r="AI26" s="3">
        <f t="shared" si="15"/>
        <v>0.20580500000000002</v>
      </c>
      <c r="AJ26" s="3">
        <f t="shared" si="15"/>
        <v>0</v>
      </c>
      <c r="AK26" s="3">
        <f t="shared" si="15"/>
        <v>18149.650000000001</v>
      </c>
      <c r="AL26" s="3">
        <f t="shared" si="15"/>
        <v>9493.42</v>
      </c>
      <c r="AM26" s="3">
        <f t="shared" si="15"/>
        <v>0</v>
      </c>
      <c r="AN26" s="3">
        <f t="shared" si="15"/>
        <v>0</v>
      </c>
      <c r="AO26" s="3">
        <f t="shared" si="15"/>
        <v>0</v>
      </c>
      <c r="AP26" s="3">
        <f t="shared" si="15"/>
        <v>0</v>
      </c>
      <c r="AQ26" s="3">
        <f t="shared" si="15"/>
        <v>0</v>
      </c>
      <c r="AR26" s="3">
        <f t="shared" si="15"/>
        <v>57194.75</v>
      </c>
      <c r="AS26" s="3">
        <f t="shared" si="15"/>
        <v>57194.75</v>
      </c>
      <c r="AT26" s="3">
        <f t="shared" si="15"/>
        <v>0</v>
      </c>
      <c r="AU26" s="3">
        <f t="shared" ref="AU26:BZ26" si="16">AU52</f>
        <v>0</v>
      </c>
      <c r="AV26" s="3">
        <f t="shared" si="16"/>
        <v>7995.52</v>
      </c>
      <c r="AW26" s="3">
        <f t="shared" si="16"/>
        <v>7995.52</v>
      </c>
      <c r="AX26" s="3">
        <f t="shared" si="16"/>
        <v>0</v>
      </c>
      <c r="AY26" s="3">
        <f t="shared" si="16"/>
        <v>7995.52</v>
      </c>
      <c r="AZ26" s="3">
        <f t="shared" si="16"/>
        <v>0</v>
      </c>
      <c r="BA26" s="3">
        <f t="shared" si="16"/>
        <v>0</v>
      </c>
      <c r="BB26" s="3">
        <f t="shared" si="16"/>
        <v>0</v>
      </c>
      <c r="BC26" s="3">
        <f t="shared" si="16"/>
        <v>0</v>
      </c>
      <c r="BD26" s="3">
        <f t="shared" si="16"/>
        <v>2251.09</v>
      </c>
      <c r="BE26" s="3">
        <f t="shared" si="16"/>
        <v>0</v>
      </c>
      <c r="BF26" s="3">
        <f t="shared" si="16"/>
        <v>0</v>
      </c>
      <c r="BG26" s="3">
        <f t="shared" si="16"/>
        <v>0</v>
      </c>
      <c r="BH26" s="3">
        <f t="shared" si="16"/>
        <v>0</v>
      </c>
      <c r="BI26" s="3">
        <f t="shared" si="16"/>
        <v>0</v>
      </c>
      <c r="BJ26" s="3">
        <f t="shared" si="16"/>
        <v>0</v>
      </c>
      <c r="BK26" s="3">
        <f t="shared" si="16"/>
        <v>0</v>
      </c>
      <c r="BL26" s="3">
        <f t="shared" si="16"/>
        <v>0</v>
      </c>
      <c r="BM26" s="3">
        <f t="shared" si="16"/>
        <v>0</v>
      </c>
      <c r="BN26" s="3">
        <f t="shared" si="16"/>
        <v>0</v>
      </c>
      <c r="BO26" s="3">
        <f t="shared" si="16"/>
        <v>0</v>
      </c>
      <c r="BP26" s="3">
        <f t="shared" si="16"/>
        <v>0</v>
      </c>
      <c r="BQ26" s="3">
        <f t="shared" si="16"/>
        <v>0</v>
      </c>
      <c r="BR26" s="3">
        <f t="shared" si="16"/>
        <v>0</v>
      </c>
      <c r="BS26" s="3">
        <f t="shared" si="16"/>
        <v>0</v>
      </c>
      <c r="BT26" s="3">
        <f t="shared" si="16"/>
        <v>0</v>
      </c>
      <c r="BU26" s="3">
        <f t="shared" si="16"/>
        <v>0</v>
      </c>
      <c r="BV26" s="3">
        <f t="shared" si="16"/>
        <v>0</v>
      </c>
      <c r="BW26" s="3">
        <f t="shared" si="16"/>
        <v>0</v>
      </c>
      <c r="BX26" s="3">
        <f t="shared" si="16"/>
        <v>0</v>
      </c>
      <c r="BY26" s="3">
        <f t="shared" si="16"/>
        <v>0</v>
      </c>
      <c r="BZ26" s="3">
        <f t="shared" si="16"/>
        <v>0</v>
      </c>
      <c r="CA26" s="3">
        <f t="shared" ref="CA26:DF26" si="17">CA52</f>
        <v>57194.75</v>
      </c>
      <c r="CB26" s="3">
        <f t="shared" si="17"/>
        <v>57194.75</v>
      </c>
      <c r="CC26" s="3">
        <f t="shared" si="17"/>
        <v>0</v>
      </c>
      <c r="CD26" s="3">
        <f t="shared" si="17"/>
        <v>0</v>
      </c>
      <c r="CE26" s="3">
        <f t="shared" si="17"/>
        <v>7995.52</v>
      </c>
      <c r="CF26" s="3">
        <f t="shared" si="17"/>
        <v>7995.52</v>
      </c>
      <c r="CG26" s="3">
        <f t="shared" si="17"/>
        <v>0</v>
      </c>
      <c r="CH26" s="3">
        <f t="shared" si="17"/>
        <v>7995.52</v>
      </c>
      <c r="CI26" s="3">
        <f t="shared" si="17"/>
        <v>0</v>
      </c>
      <c r="CJ26" s="3">
        <f t="shared" si="17"/>
        <v>0</v>
      </c>
      <c r="CK26" s="3">
        <f t="shared" si="17"/>
        <v>0</v>
      </c>
      <c r="CL26" s="3">
        <f t="shared" si="17"/>
        <v>0</v>
      </c>
      <c r="CM26" s="3">
        <f t="shared" si="17"/>
        <v>2251.09</v>
      </c>
      <c r="CN26" s="3">
        <f t="shared" si="17"/>
        <v>0</v>
      </c>
      <c r="CO26" s="3">
        <f t="shared" si="17"/>
        <v>0</v>
      </c>
      <c r="CP26" s="3">
        <f t="shared" si="17"/>
        <v>0</v>
      </c>
      <c r="CQ26" s="3">
        <f t="shared" si="17"/>
        <v>0</v>
      </c>
      <c r="CR26" s="3">
        <f t="shared" si="17"/>
        <v>0</v>
      </c>
      <c r="CS26" s="3">
        <f t="shared" si="17"/>
        <v>0</v>
      </c>
      <c r="CT26" s="3">
        <f t="shared" si="17"/>
        <v>0</v>
      </c>
      <c r="CU26" s="3">
        <f t="shared" si="17"/>
        <v>0</v>
      </c>
      <c r="CV26" s="3">
        <f t="shared" si="17"/>
        <v>0</v>
      </c>
      <c r="CW26" s="3">
        <f t="shared" si="17"/>
        <v>0</v>
      </c>
      <c r="CX26" s="3">
        <f t="shared" si="17"/>
        <v>0</v>
      </c>
      <c r="CY26" s="3">
        <f t="shared" si="17"/>
        <v>0</v>
      </c>
      <c r="CZ26" s="3">
        <f t="shared" si="17"/>
        <v>0</v>
      </c>
      <c r="DA26" s="3">
        <f t="shared" si="17"/>
        <v>0</v>
      </c>
      <c r="DB26" s="3">
        <f t="shared" si="17"/>
        <v>0</v>
      </c>
      <c r="DC26" s="3">
        <f t="shared" si="17"/>
        <v>0</v>
      </c>
      <c r="DD26" s="3">
        <f t="shared" si="17"/>
        <v>0</v>
      </c>
      <c r="DE26" s="3">
        <f t="shared" si="17"/>
        <v>0</v>
      </c>
      <c r="DF26" s="3">
        <f t="shared" si="17"/>
        <v>0</v>
      </c>
      <c r="DG26" s="4">
        <f t="shared" ref="DG26:EL26" si="18">DG52</f>
        <v>0</v>
      </c>
      <c r="DH26" s="4">
        <f t="shared" si="18"/>
        <v>0</v>
      </c>
      <c r="DI26" s="4">
        <f t="shared" si="18"/>
        <v>0</v>
      </c>
      <c r="DJ26" s="4">
        <f t="shared" si="18"/>
        <v>0</v>
      </c>
      <c r="DK26" s="4">
        <f t="shared" si="18"/>
        <v>0</v>
      </c>
      <c r="DL26" s="4">
        <f t="shared" si="18"/>
        <v>0</v>
      </c>
      <c r="DM26" s="4">
        <f t="shared" si="18"/>
        <v>0</v>
      </c>
      <c r="DN26" s="4">
        <f t="shared" si="18"/>
        <v>0</v>
      </c>
      <c r="DO26" s="4">
        <f t="shared" si="18"/>
        <v>0</v>
      </c>
      <c r="DP26" s="4">
        <f t="shared" si="18"/>
        <v>0</v>
      </c>
      <c r="DQ26" s="4">
        <f t="shared" si="18"/>
        <v>0</v>
      </c>
      <c r="DR26" s="4">
        <f t="shared" si="18"/>
        <v>0</v>
      </c>
      <c r="DS26" s="4">
        <f t="shared" si="18"/>
        <v>0</v>
      </c>
      <c r="DT26" s="4">
        <f t="shared" si="18"/>
        <v>0</v>
      </c>
      <c r="DU26" s="4">
        <f t="shared" si="18"/>
        <v>0</v>
      </c>
      <c r="DV26" s="4">
        <f t="shared" si="18"/>
        <v>0</v>
      </c>
      <c r="DW26" s="4">
        <f t="shared" si="18"/>
        <v>0</v>
      </c>
      <c r="DX26" s="4">
        <f t="shared" si="18"/>
        <v>0</v>
      </c>
      <c r="DY26" s="4">
        <f t="shared" si="18"/>
        <v>0</v>
      </c>
      <c r="DZ26" s="4">
        <f t="shared" si="18"/>
        <v>0</v>
      </c>
      <c r="EA26" s="4">
        <f t="shared" si="18"/>
        <v>0</v>
      </c>
      <c r="EB26" s="4">
        <f t="shared" si="18"/>
        <v>0</v>
      </c>
      <c r="EC26" s="4">
        <f t="shared" si="18"/>
        <v>0</v>
      </c>
      <c r="ED26" s="4">
        <f t="shared" si="18"/>
        <v>0</v>
      </c>
      <c r="EE26" s="4">
        <f t="shared" si="18"/>
        <v>0</v>
      </c>
      <c r="EF26" s="4">
        <f t="shared" si="18"/>
        <v>0</v>
      </c>
      <c r="EG26" s="4">
        <f t="shared" si="18"/>
        <v>0</v>
      </c>
      <c r="EH26" s="4">
        <f t="shared" si="18"/>
        <v>0</v>
      </c>
      <c r="EI26" s="4">
        <f t="shared" si="18"/>
        <v>0</v>
      </c>
      <c r="EJ26" s="4">
        <f t="shared" si="18"/>
        <v>0</v>
      </c>
      <c r="EK26" s="4">
        <f t="shared" si="18"/>
        <v>0</v>
      </c>
      <c r="EL26" s="4">
        <f t="shared" si="18"/>
        <v>0</v>
      </c>
      <c r="EM26" s="4">
        <f t="shared" ref="EM26:FR26" si="19">EM52</f>
        <v>0</v>
      </c>
      <c r="EN26" s="4">
        <f t="shared" si="19"/>
        <v>0</v>
      </c>
      <c r="EO26" s="4">
        <f t="shared" si="19"/>
        <v>0</v>
      </c>
      <c r="EP26" s="4">
        <f t="shared" si="19"/>
        <v>0</v>
      </c>
      <c r="EQ26" s="4">
        <f t="shared" si="19"/>
        <v>0</v>
      </c>
      <c r="ER26" s="4">
        <f t="shared" si="19"/>
        <v>0</v>
      </c>
      <c r="ES26" s="4">
        <f t="shared" si="19"/>
        <v>0</v>
      </c>
      <c r="ET26" s="4">
        <f t="shared" si="19"/>
        <v>0</v>
      </c>
      <c r="EU26" s="4">
        <f t="shared" si="19"/>
        <v>0</v>
      </c>
      <c r="EV26" s="4">
        <f t="shared" si="19"/>
        <v>0</v>
      </c>
      <c r="EW26" s="4">
        <f t="shared" si="19"/>
        <v>0</v>
      </c>
      <c r="EX26" s="4">
        <f t="shared" si="19"/>
        <v>0</v>
      </c>
      <c r="EY26" s="4">
        <f t="shared" si="19"/>
        <v>0</v>
      </c>
      <c r="EZ26" s="4">
        <f t="shared" si="19"/>
        <v>0</v>
      </c>
      <c r="FA26" s="4">
        <f t="shared" si="19"/>
        <v>0</v>
      </c>
      <c r="FB26" s="4">
        <f t="shared" si="19"/>
        <v>0</v>
      </c>
      <c r="FC26" s="4">
        <f t="shared" si="19"/>
        <v>0</v>
      </c>
      <c r="FD26" s="4">
        <f t="shared" si="19"/>
        <v>0</v>
      </c>
      <c r="FE26" s="4">
        <f t="shared" si="19"/>
        <v>0</v>
      </c>
      <c r="FF26" s="4">
        <f t="shared" si="19"/>
        <v>0</v>
      </c>
      <c r="FG26" s="4">
        <f t="shared" si="19"/>
        <v>0</v>
      </c>
      <c r="FH26" s="4">
        <f t="shared" si="19"/>
        <v>0</v>
      </c>
      <c r="FI26" s="4">
        <f t="shared" si="19"/>
        <v>0</v>
      </c>
      <c r="FJ26" s="4">
        <f t="shared" si="19"/>
        <v>0</v>
      </c>
      <c r="FK26" s="4">
        <f t="shared" si="19"/>
        <v>0</v>
      </c>
      <c r="FL26" s="4">
        <f t="shared" si="19"/>
        <v>0</v>
      </c>
      <c r="FM26" s="4">
        <f t="shared" si="19"/>
        <v>0</v>
      </c>
      <c r="FN26" s="4">
        <f t="shared" si="19"/>
        <v>0</v>
      </c>
      <c r="FO26" s="4">
        <f t="shared" si="19"/>
        <v>0</v>
      </c>
      <c r="FP26" s="4">
        <f t="shared" si="19"/>
        <v>0</v>
      </c>
      <c r="FQ26" s="4">
        <f t="shared" si="19"/>
        <v>0</v>
      </c>
      <c r="FR26" s="4">
        <f t="shared" si="19"/>
        <v>0</v>
      </c>
      <c r="FS26" s="4">
        <f t="shared" ref="FS26:GX26" si="20">FS52</f>
        <v>0</v>
      </c>
      <c r="FT26" s="4">
        <f t="shared" si="20"/>
        <v>0</v>
      </c>
      <c r="FU26" s="4">
        <f t="shared" si="20"/>
        <v>0</v>
      </c>
      <c r="FV26" s="4">
        <f t="shared" si="20"/>
        <v>0</v>
      </c>
      <c r="FW26" s="4">
        <f t="shared" si="20"/>
        <v>0</v>
      </c>
      <c r="FX26" s="4">
        <f t="shared" si="20"/>
        <v>0</v>
      </c>
      <c r="FY26" s="4">
        <f t="shared" si="20"/>
        <v>0</v>
      </c>
      <c r="FZ26" s="4">
        <f t="shared" si="20"/>
        <v>0</v>
      </c>
      <c r="GA26" s="4">
        <f t="shared" si="20"/>
        <v>0</v>
      </c>
      <c r="GB26" s="4">
        <f t="shared" si="20"/>
        <v>0</v>
      </c>
      <c r="GC26" s="4">
        <f t="shared" si="20"/>
        <v>0</v>
      </c>
      <c r="GD26" s="4">
        <f t="shared" si="20"/>
        <v>0</v>
      </c>
      <c r="GE26" s="4">
        <f t="shared" si="20"/>
        <v>0</v>
      </c>
      <c r="GF26" s="4">
        <f t="shared" si="20"/>
        <v>0</v>
      </c>
      <c r="GG26" s="4">
        <f t="shared" si="20"/>
        <v>0</v>
      </c>
      <c r="GH26" s="4">
        <f t="shared" si="20"/>
        <v>0</v>
      </c>
      <c r="GI26" s="4">
        <f t="shared" si="20"/>
        <v>0</v>
      </c>
      <c r="GJ26" s="4">
        <f t="shared" si="20"/>
        <v>0</v>
      </c>
      <c r="GK26" s="4">
        <f t="shared" si="20"/>
        <v>0</v>
      </c>
      <c r="GL26" s="4">
        <f t="shared" si="20"/>
        <v>0</v>
      </c>
      <c r="GM26" s="4">
        <f t="shared" si="20"/>
        <v>0</v>
      </c>
      <c r="GN26" s="4">
        <f t="shared" si="20"/>
        <v>0</v>
      </c>
      <c r="GO26" s="4">
        <f t="shared" si="20"/>
        <v>0</v>
      </c>
      <c r="GP26" s="4">
        <f t="shared" si="20"/>
        <v>0</v>
      </c>
      <c r="GQ26" s="4">
        <f t="shared" si="20"/>
        <v>0</v>
      </c>
      <c r="GR26" s="4">
        <f t="shared" si="20"/>
        <v>0</v>
      </c>
      <c r="GS26" s="4">
        <f t="shared" si="20"/>
        <v>0</v>
      </c>
      <c r="GT26" s="4">
        <f t="shared" si="20"/>
        <v>0</v>
      </c>
      <c r="GU26" s="4">
        <f t="shared" si="20"/>
        <v>0</v>
      </c>
      <c r="GV26" s="4">
        <f t="shared" si="20"/>
        <v>0</v>
      </c>
      <c r="GW26" s="4">
        <f t="shared" si="20"/>
        <v>0</v>
      </c>
      <c r="GX26" s="4">
        <f t="shared" si="20"/>
        <v>0</v>
      </c>
    </row>
    <row r="28" spans="1:255" x14ac:dyDescent="0.2">
      <c r="A28" s="2">
        <v>17</v>
      </c>
      <c r="B28" s="2">
        <v>1</v>
      </c>
      <c r="C28" s="2">
        <f>ROW(SmtRes!A4)</f>
        <v>4</v>
      </c>
      <c r="D28" s="2">
        <f>ROW(EtalonRes!A4)</f>
        <v>4</v>
      </c>
      <c r="E28" s="2" t="s">
        <v>17</v>
      </c>
      <c r="F28" s="2" t="s">
        <v>18</v>
      </c>
      <c r="G28" s="2" t="s">
        <v>19</v>
      </c>
      <c r="H28" s="2" t="s">
        <v>20</v>
      </c>
      <c r="I28" s="2">
        <f>ROUND(1.5*1.7/100,7)</f>
        <v>2.5499999999999998E-2</v>
      </c>
      <c r="J28" s="2">
        <v>0</v>
      </c>
      <c r="K28" s="2">
        <f>ROUND(1.5*1.7/100,7)</f>
        <v>2.5499999999999998E-2</v>
      </c>
      <c r="L28" s="2"/>
      <c r="M28" s="2"/>
      <c r="N28" s="2"/>
      <c r="O28" s="2">
        <f t="shared" ref="O28:O48" si="21">ROUND(CP28,2)</f>
        <v>1280.0999999999999</v>
      </c>
      <c r="P28" s="2">
        <f>SUMIF(SmtRes!AQ1:'SmtRes'!AQ4,"=1",SmtRes!DF1:'SmtRes'!DF4)</f>
        <v>0</v>
      </c>
      <c r="Q28" s="2">
        <f>SUMIF(SmtRes!AQ1:'SmtRes'!AQ4,"=1",SmtRes!DG1:'SmtRes'!DG4)</f>
        <v>1.18</v>
      </c>
      <c r="R28" s="2">
        <f>SUMIF(SmtRes!AQ1:'SmtRes'!AQ4,"=1",SmtRes!DH1:'SmtRes'!DH4)</f>
        <v>13.08</v>
      </c>
      <c r="S28" s="2">
        <f>SUMIF(SmtRes!AQ1:'SmtRes'!AQ4,"=1",SmtRes!DI1:'SmtRes'!DI4)</f>
        <v>1265.8399999999999</v>
      </c>
      <c r="T28" s="2">
        <f t="shared" ref="T28:T48" si="22">ROUND(CU28*I28,2)</f>
        <v>0</v>
      </c>
      <c r="U28" s="2">
        <f>SUMIF(SmtRes!AQ1:'SmtRes'!AQ4,"=1",SmtRes!CV1:'SmtRes'!CV4)</f>
        <v>2.00787</v>
      </c>
      <c r="V28" s="2">
        <f>SUMIF(SmtRes!AQ1:'SmtRes'!AQ4,"=1",SmtRes!CW1:'SmtRes'!CW4)</f>
        <v>2.0145E-2</v>
      </c>
      <c r="W28" s="2">
        <f t="shared" ref="W28:W48" si="23">ROUND(CX28*I28,2)</f>
        <v>0</v>
      </c>
      <c r="X28" s="2">
        <f t="shared" ref="X28:X48" si="24">ROUND(CY28,2)</f>
        <v>1138.24</v>
      </c>
      <c r="Y28" s="2">
        <f t="shared" ref="Y28:Y48" si="25">ROUND(CZ28,2)</f>
        <v>626.66999999999996</v>
      </c>
      <c r="Z28" s="2"/>
      <c r="AA28" s="2">
        <v>94104265</v>
      </c>
      <c r="AB28" s="2">
        <f t="shared" ref="AB28:AB48" si="26">ROUND((AC28+AD28+AF28),6)</f>
        <v>49670.328399999999</v>
      </c>
      <c r="AC28" s="2">
        <f>ROUND((0),6)</f>
        <v>0</v>
      </c>
      <c r="AD28" s="2">
        <f>ROUND((((SUM(SmtRes!BR1:'SmtRes'!BR4))-(SUM(SmtRes!BS1:'SmtRes'!BS4)))+AE28),6)</f>
        <v>29.482800000000001</v>
      </c>
      <c r="AE28" s="2">
        <f>ROUND((SUM(SmtRes!BS1:'SmtRes'!BS4)),6)</f>
        <v>512.89959999999996</v>
      </c>
      <c r="AF28" s="2">
        <f>ROUND((SUM(SmtRes!BT1:'SmtRes'!BT4)),6)</f>
        <v>49640.845600000001</v>
      </c>
      <c r="AG28" s="2">
        <f t="shared" ref="AG28:AG48" si="27">ROUND((AP28),6)</f>
        <v>0</v>
      </c>
      <c r="AH28" s="2">
        <f>(SUM(SmtRes!BU1:'SmtRes'!BU4))</f>
        <v>78.739999999999995</v>
      </c>
      <c r="AI28" s="2">
        <f>(SUM(SmtRes!BV1:'SmtRes'!BV4))</f>
        <v>0.79</v>
      </c>
      <c r="AJ28" s="2">
        <f t="shared" ref="AJ28:AJ48" si="28">(AS28)</f>
        <v>0</v>
      </c>
      <c r="AK28" s="2">
        <v>50183.227999999996</v>
      </c>
      <c r="AL28" s="2">
        <v>0</v>
      </c>
      <c r="AM28" s="2">
        <v>29.482800000000001</v>
      </c>
      <c r="AN28" s="2">
        <v>512.89960000000008</v>
      </c>
      <c r="AO28" s="2">
        <v>49640.845600000001</v>
      </c>
      <c r="AP28" s="2">
        <v>0</v>
      </c>
      <c r="AQ28" s="2">
        <v>78.739999999999995</v>
      </c>
      <c r="AR28" s="2">
        <v>0.79</v>
      </c>
      <c r="AS28" s="2">
        <v>0</v>
      </c>
      <c r="AT28" s="2">
        <v>89</v>
      </c>
      <c r="AU28" s="2">
        <v>49</v>
      </c>
      <c r="AV28" s="2">
        <v>1</v>
      </c>
      <c r="AW28" s="2">
        <v>1</v>
      </c>
      <c r="AX28" s="2"/>
      <c r="AY28" s="2"/>
      <c r="AZ28" s="2">
        <v>1</v>
      </c>
      <c r="BA28" s="2">
        <v>1</v>
      </c>
      <c r="BB28" s="2">
        <v>1</v>
      </c>
      <c r="BC28" s="2">
        <v>1</v>
      </c>
      <c r="BD28" s="2" t="s">
        <v>3</v>
      </c>
      <c r="BE28" s="2" t="s">
        <v>3</v>
      </c>
      <c r="BF28" s="2" t="s">
        <v>3</v>
      </c>
      <c r="BG28" s="2" t="s">
        <v>3</v>
      </c>
      <c r="BH28" s="2">
        <v>0</v>
      </c>
      <c r="BI28" s="2">
        <v>1</v>
      </c>
      <c r="BJ28" s="2" t="s">
        <v>21</v>
      </c>
      <c r="BK28" s="2"/>
      <c r="BL28" s="2"/>
      <c r="BM28" s="2">
        <v>57001</v>
      </c>
      <c r="BN28" s="2">
        <v>0</v>
      </c>
      <c r="BO28" s="2" t="s">
        <v>3</v>
      </c>
      <c r="BP28" s="2">
        <v>0</v>
      </c>
      <c r="BQ28" s="2">
        <v>6</v>
      </c>
      <c r="BR28" s="2">
        <v>0</v>
      </c>
      <c r="BS28" s="2">
        <v>1</v>
      </c>
      <c r="BT28" s="2">
        <v>1</v>
      </c>
      <c r="BU28" s="2">
        <v>1</v>
      </c>
      <c r="BV28" s="2">
        <v>1</v>
      </c>
      <c r="BW28" s="2">
        <v>1</v>
      </c>
      <c r="BX28" s="2">
        <v>1</v>
      </c>
      <c r="BY28" s="2" t="s">
        <v>3</v>
      </c>
      <c r="BZ28" s="2">
        <v>89</v>
      </c>
      <c r="CA28" s="2">
        <v>49</v>
      </c>
      <c r="CB28" s="2" t="s">
        <v>3</v>
      </c>
      <c r="CC28" s="2"/>
      <c r="CD28" s="2"/>
      <c r="CE28" s="2">
        <v>0</v>
      </c>
      <c r="CF28" s="2">
        <v>0</v>
      </c>
      <c r="CG28" s="2">
        <v>0</v>
      </c>
      <c r="CH28" s="2"/>
      <c r="CI28" s="2"/>
      <c r="CJ28" s="2"/>
      <c r="CK28" s="2"/>
      <c r="CL28" s="2"/>
      <c r="CM28" s="2">
        <v>0</v>
      </c>
      <c r="CN28" s="2" t="s">
        <v>3</v>
      </c>
      <c r="CO28" s="2">
        <v>0</v>
      </c>
      <c r="CP28" s="2">
        <f t="shared" ref="CP28:CP48" si="29">(P28+Q28+S28+R28)</f>
        <v>1280.0999999999999</v>
      </c>
      <c r="CQ28" s="2">
        <f>SUMIF(SmtRes!AQ1:'SmtRes'!AQ4,"=1",SmtRes!AA1:'SmtRes'!AA4)</f>
        <v>0</v>
      </c>
      <c r="CR28" s="2">
        <f>SUMIF(SmtRes!AQ1:'SmtRes'!AQ4,"=1",SmtRes!AB1:'SmtRes'!AB4)</f>
        <v>58.59</v>
      </c>
      <c r="CS28" s="2">
        <f>SUMIF(SmtRes!AQ1:'SmtRes'!AQ4,"=1",SmtRes!AC1:'SmtRes'!AC4)</f>
        <v>649.24</v>
      </c>
      <c r="CT28" s="2">
        <f>SUMIF(SmtRes!AQ1:'SmtRes'!AQ4,"=1",SmtRes!AD1:'SmtRes'!AD4)</f>
        <v>630.44000000000005</v>
      </c>
      <c r="CU28" s="2">
        <f t="shared" ref="CU28:CU48" si="30">AG28</f>
        <v>0</v>
      </c>
      <c r="CV28" s="2">
        <f>SUMIF(SmtRes!AQ1:'SmtRes'!AQ4,"=1",SmtRes!BU1:'SmtRes'!BU4)</f>
        <v>78.739999999999995</v>
      </c>
      <c r="CW28" s="2">
        <f>SUMIF(SmtRes!AQ1:'SmtRes'!AQ4,"=1",SmtRes!BV1:'SmtRes'!BV4)</f>
        <v>0.79</v>
      </c>
      <c r="CX28" s="2">
        <f t="shared" ref="CX28:CX48" si="31">AJ28</f>
        <v>0</v>
      </c>
      <c r="CY28" s="2">
        <f t="shared" ref="CY28:CY48" si="32">(((S28+R28)*AT28)/100)</f>
        <v>1138.2387999999999</v>
      </c>
      <c r="CZ28" s="2">
        <f t="shared" ref="CZ28:CZ48" si="33">(((S28+R28)*AU28)/100)</f>
        <v>626.67079999999999</v>
      </c>
      <c r="DA28" s="2"/>
      <c r="DB28" s="2"/>
      <c r="DC28" s="2" t="s">
        <v>3</v>
      </c>
      <c r="DD28" s="2" t="s">
        <v>3</v>
      </c>
      <c r="DE28" s="2" t="s">
        <v>3</v>
      </c>
      <c r="DF28" s="2" t="s">
        <v>3</v>
      </c>
      <c r="DG28" s="2" t="s">
        <v>3</v>
      </c>
      <c r="DH28" s="2" t="s">
        <v>3</v>
      </c>
      <c r="DI28" s="2" t="s">
        <v>3</v>
      </c>
      <c r="DJ28" s="2" t="s">
        <v>3</v>
      </c>
      <c r="DK28" s="2" t="s">
        <v>3</v>
      </c>
      <c r="DL28" s="2" t="s">
        <v>3</v>
      </c>
      <c r="DM28" s="2" t="s">
        <v>3</v>
      </c>
      <c r="DN28" s="2">
        <v>0</v>
      </c>
      <c r="DO28" s="2">
        <v>0</v>
      </c>
      <c r="DP28" s="2">
        <v>1</v>
      </c>
      <c r="DQ28" s="2">
        <v>1</v>
      </c>
      <c r="DR28" s="2"/>
      <c r="DS28" s="2"/>
      <c r="DT28" s="2"/>
      <c r="DU28" s="2">
        <v>1005</v>
      </c>
      <c r="DV28" s="2" t="s">
        <v>20</v>
      </c>
      <c r="DW28" s="2" t="s">
        <v>20</v>
      </c>
      <c r="DX28" s="2">
        <v>100</v>
      </c>
      <c r="DY28" s="2"/>
      <c r="DZ28" s="2" t="s">
        <v>3</v>
      </c>
      <c r="EA28" s="2" t="s">
        <v>3</v>
      </c>
      <c r="EB28" s="2" t="s">
        <v>3</v>
      </c>
      <c r="EC28" s="2" t="s">
        <v>3</v>
      </c>
      <c r="ED28" s="2"/>
      <c r="EE28" s="2">
        <v>89977071</v>
      </c>
      <c r="EF28" s="2">
        <v>6</v>
      </c>
      <c r="EG28" s="2" t="s">
        <v>22</v>
      </c>
      <c r="EH28" s="2">
        <v>11</v>
      </c>
      <c r="EI28" s="2" t="s">
        <v>23</v>
      </c>
      <c r="EJ28" s="2">
        <v>1</v>
      </c>
      <c r="EK28" s="2">
        <v>57001</v>
      </c>
      <c r="EL28" s="2" t="s">
        <v>23</v>
      </c>
      <c r="EM28" s="2" t="s">
        <v>24</v>
      </c>
      <c r="EN28" s="2"/>
      <c r="EO28" s="2" t="s">
        <v>3</v>
      </c>
      <c r="EP28" s="2"/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78.739999999999995</v>
      </c>
      <c r="EX28" s="2">
        <v>0.79</v>
      </c>
      <c r="EY28" s="2">
        <v>0</v>
      </c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>
        <v>0</v>
      </c>
      <c r="FR28" s="2">
        <v>0</v>
      </c>
      <c r="FS28" s="2">
        <v>0</v>
      </c>
      <c r="FT28" s="2"/>
      <c r="FU28" s="2"/>
      <c r="FV28" s="2"/>
      <c r="FW28" s="2"/>
      <c r="FX28" s="2">
        <v>89</v>
      </c>
      <c r="FY28" s="2">
        <v>49</v>
      </c>
      <c r="FZ28" s="2"/>
      <c r="GA28" s="2" t="s">
        <v>3</v>
      </c>
      <c r="GB28" s="2"/>
      <c r="GC28" s="2"/>
      <c r="GD28" s="2">
        <v>1</v>
      </c>
      <c r="GE28" s="2"/>
      <c r="GF28" s="2">
        <v>-1629797085</v>
      </c>
      <c r="GG28" s="2">
        <v>2</v>
      </c>
      <c r="GH28" s="2">
        <v>1</v>
      </c>
      <c r="GI28" s="2">
        <v>-2</v>
      </c>
      <c r="GJ28" s="2">
        <v>0</v>
      </c>
      <c r="GK28" s="2">
        <v>0</v>
      </c>
      <c r="GL28" s="2">
        <f t="shared" ref="GL28:GL50" si="34">ROUND(IF(AND(BH28=3,BI28=3,FS28&lt;&gt;0),P28,0),2)</f>
        <v>0</v>
      </c>
      <c r="GM28" s="2">
        <f t="shared" ref="GM28:GM48" si="35">ROUND(O28+X28+Y28,2)+GX28</f>
        <v>3045.01</v>
      </c>
      <c r="GN28" s="2">
        <f t="shared" ref="GN28:GN50" si="36">IF(OR(BI28=0,BI28=1),GM28-GX28,0)</f>
        <v>3045.01</v>
      </c>
      <c r="GO28" s="2">
        <f t="shared" ref="GO28:GO50" si="37">IF(BI28=2,GM28-GX28,0)</f>
        <v>0</v>
      </c>
      <c r="GP28" s="2">
        <f t="shared" ref="GP28:GP50" si="38">IF(BI28=4,GM28-GX28,0)</f>
        <v>0</v>
      </c>
      <c r="GQ28" s="2"/>
      <c r="GR28" s="2">
        <v>0</v>
      </c>
      <c r="GS28" s="2">
        <v>0</v>
      </c>
      <c r="GT28" s="2">
        <v>0</v>
      </c>
      <c r="GU28" s="2" t="s">
        <v>3</v>
      </c>
      <c r="GV28" s="2">
        <f t="shared" ref="GV28:GV48" si="39">ROUND((GT28),6)</f>
        <v>0</v>
      </c>
      <c r="GW28" s="2">
        <v>1</v>
      </c>
      <c r="GX28" s="2">
        <f t="shared" ref="GX28:GX48" si="40">ROUND(HC28*I28,2)</f>
        <v>0</v>
      </c>
      <c r="GY28" s="2"/>
      <c r="GZ28" s="2"/>
      <c r="HA28" s="2">
        <v>0</v>
      </c>
      <c r="HB28" s="2">
        <v>0</v>
      </c>
      <c r="HC28" s="2">
        <f t="shared" ref="HC28:HC48" si="41">GV28*GW28</f>
        <v>0</v>
      </c>
      <c r="HD28" s="2"/>
      <c r="HE28" s="2" t="s">
        <v>3</v>
      </c>
      <c r="HF28" s="2" t="s">
        <v>3</v>
      </c>
      <c r="HG28" s="2"/>
      <c r="HH28" s="2"/>
      <c r="HI28" s="2"/>
      <c r="HJ28" s="2"/>
      <c r="HK28" s="2"/>
      <c r="HL28" s="2"/>
      <c r="HM28" s="2" t="s">
        <v>3</v>
      </c>
      <c r="HN28" s="2" t="s">
        <v>25</v>
      </c>
      <c r="HO28" s="2" t="s">
        <v>26</v>
      </c>
      <c r="HP28" s="2" t="s">
        <v>23</v>
      </c>
      <c r="HQ28" s="2" t="s">
        <v>23</v>
      </c>
      <c r="HR28" s="2"/>
      <c r="HS28" s="2">
        <v>0</v>
      </c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>
        <v>0</v>
      </c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x14ac:dyDescent="0.2">
      <c r="A29" s="2">
        <v>18</v>
      </c>
      <c r="B29" s="2">
        <v>1</v>
      </c>
      <c r="C29" s="2">
        <v>4</v>
      </c>
      <c r="D29" s="2"/>
      <c r="E29" s="2" t="s">
        <v>27</v>
      </c>
      <c r="F29" s="2" t="s">
        <v>28</v>
      </c>
      <c r="G29" s="2" t="s">
        <v>29</v>
      </c>
      <c r="H29" s="2" t="s">
        <v>30</v>
      </c>
      <c r="I29" s="2">
        <f>I28*J29</f>
        <v>0.10964999999999998</v>
      </c>
      <c r="J29" s="2">
        <v>4.3</v>
      </c>
      <c r="K29" s="2">
        <v>4.3</v>
      </c>
      <c r="L29" s="2"/>
      <c r="M29" s="2"/>
      <c r="N29" s="2"/>
      <c r="O29" s="2">
        <f t="shared" si="21"/>
        <v>0</v>
      </c>
      <c r="P29" s="2">
        <f>ROUND(CQ29*I29,2)</f>
        <v>0</v>
      </c>
      <c r="Q29" s="2">
        <f>ROUND(CR29*I29,2)</f>
        <v>0</v>
      </c>
      <c r="R29" s="2">
        <f>ROUND(CS29*I29,2)</f>
        <v>0</v>
      </c>
      <c r="S29" s="2">
        <f>ROUND(CT29*I29,2)</f>
        <v>0</v>
      </c>
      <c r="T29" s="2">
        <f t="shared" si="22"/>
        <v>0</v>
      </c>
      <c r="U29" s="2">
        <f>ROUND(CV29*I29,7)</f>
        <v>0</v>
      </c>
      <c r="V29" s="2">
        <f>ROUND(CW29*I29,7)</f>
        <v>0</v>
      </c>
      <c r="W29" s="2">
        <f t="shared" si="23"/>
        <v>0</v>
      </c>
      <c r="X29" s="2">
        <f t="shared" si="24"/>
        <v>0</v>
      </c>
      <c r="Y29" s="2">
        <f t="shared" si="25"/>
        <v>0</v>
      </c>
      <c r="Z29" s="2"/>
      <c r="AA29" s="2">
        <v>94104265</v>
      </c>
      <c r="AB29" s="2">
        <f t="shared" si="26"/>
        <v>0</v>
      </c>
      <c r="AC29" s="2">
        <f>ROUND((ES29),6)</f>
        <v>0</v>
      </c>
      <c r="AD29" s="2">
        <f>ROUND((((ET29)-(EU29))+AE29),6)</f>
        <v>0</v>
      </c>
      <c r="AE29" s="2">
        <f>ROUND((EU29),6)</f>
        <v>0</v>
      </c>
      <c r="AF29" s="2">
        <f>ROUND((EV29),6)</f>
        <v>0</v>
      </c>
      <c r="AG29" s="2">
        <f t="shared" si="27"/>
        <v>0</v>
      </c>
      <c r="AH29" s="2">
        <f>(EW29)</f>
        <v>0</v>
      </c>
      <c r="AI29" s="2">
        <f>(EX29)</f>
        <v>0</v>
      </c>
      <c r="AJ29" s="2">
        <f t="shared" si="28"/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89</v>
      </c>
      <c r="AU29" s="2">
        <v>49</v>
      </c>
      <c r="AV29" s="2">
        <v>1</v>
      </c>
      <c r="AW29" s="2">
        <v>1</v>
      </c>
      <c r="AX29" s="2"/>
      <c r="AY29" s="2"/>
      <c r="AZ29" s="2">
        <v>1</v>
      </c>
      <c r="BA29" s="2">
        <v>1</v>
      </c>
      <c r="BB29" s="2">
        <v>1</v>
      </c>
      <c r="BC29" s="2">
        <v>1</v>
      </c>
      <c r="BD29" s="2" t="s">
        <v>3</v>
      </c>
      <c r="BE29" s="2" t="s">
        <v>3</v>
      </c>
      <c r="BF29" s="2" t="s">
        <v>3</v>
      </c>
      <c r="BG29" s="2" t="s">
        <v>3</v>
      </c>
      <c r="BH29" s="2">
        <v>3</v>
      </c>
      <c r="BI29" s="2">
        <v>1</v>
      </c>
      <c r="BJ29" s="2" t="s">
        <v>3</v>
      </c>
      <c r="BK29" s="2"/>
      <c r="BL29" s="2"/>
      <c r="BM29" s="2">
        <v>57001</v>
      </c>
      <c r="BN29" s="2">
        <v>0</v>
      </c>
      <c r="BO29" s="2" t="s">
        <v>3</v>
      </c>
      <c r="BP29" s="2">
        <v>0</v>
      </c>
      <c r="BQ29" s="2">
        <v>6</v>
      </c>
      <c r="BR29" s="2">
        <v>0</v>
      </c>
      <c r="BS29" s="2">
        <v>1</v>
      </c>
      <c r="BT29" s="2">
        <v>1</v>
      </c>
      <c r="BU29" s="2">
        <v>1</v>
      </c>
      <c r="BV29" s="2">
        <v>1</v>
      </c>
      <c r="BW29" s="2">
        <v>1</v>
      </c>
      <c r="BX29" s="2">
        <v>1</v>
      </c>
      <c r="BY29" s="2" t="s">
        <v>3</v>
      </c>
      <c r="BZ29" s="2">
        <v>89</v>
      </c>
      <c r="CA29" s="2">
        <v>49</v>
      </c>
      <c r="CB29" s="2" t="s">
        <v>3</v>
      </c>
      <c r="CC29" s="2"/>
      <c r="CD29" s="2"/>
      <c r="CE29" s="2">
        <v>0</v>
      </c>
      <c r="CF29" s="2">
        <v>0</v>
      </c>
      <c r="CG29" s="2">
        <v>0</v>
      </c>
      <c r="CH29" s="2"/>
      <c r="CI29" s="2"/>
      <c r="CJ29" s="2"/>
      <c r="CK29" s="2"/>
      <c r="CL29" s="2"/>
      <c r="CM29" s="2">
        <v>0</v>
      </c>
      <c r="CN29" s="2" t="s">
        <v>3</v>
      </c>
      <c r="CO29" s="2">
        <v>0</v>
      </c>
      <c r="CP29" s="2">
        <f t="shared" si="29"/>
        <v>0</v>
      </c>
      <c r="CQ29" s="2">
        <f>ROUND(AL29*BC29,2)</f>
        <v>0</v>
      </c>
      <c r="CR29" s="2">
        <f>ROUND(AM29*BB29,2)</f>
        <v>0</v>
      </c>
      <c r="CS29" s="2">
        <f>ROUND(AN29*BS29,2)</f>
        <v>0</v>
      </c>
      <c r="CT29" s="2">
        <f>ROUND(AO29*BA29,2)</f>
        <v>0</v>
      </c>
      <c r="CU29" s="2">
        <f t="shared" si="30"/>
        <v>0</v>
      </c>
      <c r="CV29" s="2">
        <f>AH29</f>
        <v>0</v>
      </c>
      <c r="CW29" s="2">
        <f>AI29</f>
        <v>0</v>
      </c>
      <c r="CX29" s="2">
        <f t="shared" si="31"/>
        <v>0</v>
      </c>
      <c r="CY29" s="2">
        <f t="shared" si="32"/>
        <v>0</v>
      </c>
      <c r="CZ29" s="2">
        <f t="shared" si="33"/>
        <v>0</v>
      </c>
      <c r="DA29" s="2"/>
      <c r="DB29" s="2"/>
      <c r="DC29" s="2" t="s">
        <v>3</v>
      </c>
      <c r="DD29" s="2" t="s">
        <v>3</v>
      </c>
      <c r="DE29" s="2" t="s">
        <v>3</v>
      </c>
      <c r="DF29" s="2" t="s">
        <v>3</v>
      </c>
      <c r="DG29" s="2" t="s">
        <v>3</v>
      </c>
      <c r="DH29" s="2" t="s">
        <v>3</v>
      </c>
      <c r="DI29" s="2" t="s">
        <v>3</v>
      </c>
      <c r="DJ29" s="2" t="s">
        <v>3</v>
      </c>
      <c r="DK29" s="2" t="s">
        <v>3</v>
      </c>
      <c r="DL29" s="2" t="s">
        <v>3</v>
      </c>
      <c r="DM29" s="2" t="s">
        <v>3</v>
      </c>
      <c r="DN29" s="2">
        <v>0</v>
      </c>
      <c r="DO29" s="2">
        <v>0</v>
      </c>
      <c r="DP29" s="2">
        <v>1</v>
      </c>
      <c r="DQ29" s="2">
        <v>1</v>
      </c>
      <c r="DR29" s="2"/>
      <c r="DS29" s="2"/>
      <c r="DT29" s="2"/>
      <c r="DU29" s="2">
        <v>1009</v>
      </c>
      <c r="DV29" s="2" t="s">
        <v>30</v>
      </c>
      <c r="DW29" s="2" t="s">
        <v>30</v>
      </c>
      <c r="DX29" s="2">
        <v>1000</v>
      </c>
      <c r="DY29" s="2"/>
      <c r="DZ29" s="2" t="s">
        <v>3</v>
      </c>
      <c r="EA29" s="2" t="s">
        <v>3</v>
      </c>
      <c r="EB29" s="2" t="s">
        <v>3</v>
      </c>
      <c r="EC29" s="2" t="s">
        <v>3</v>
      </c>
      <c r="ED29" s="2"/>
      <c r="EE29" s="2">
        <v>89977071</v>
      </c>
      <c r="EF29" s="2">
        <v>6</v>
      </c>
      <c r="EG29" s="2" t="s">
        <v>22</v>
      </c>
      <c r="EH29" s="2">
        <v>11</v>
      </c>
      <c r="EI29" s="2" t="s">
        <v>23</v>
      </c>
      <c r="EJ29" s="2">
        <v>1</v>
      </c>
      <c r="EK29" s="2">
        <v>57001</v>
      </c>
      <c r="EL29" s="2" t="s">
        <v>23</v>
      </c>
      <c r="EM29" s="2" t="s">
        <v>24</v>
      </c>
      <c r="EN29" s="2"/>
      <c r="EO29" s="2" t="s">
        <v>3</v>
      </c>
      <c r="EP29" s="2"/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>
        <v>0</v>
      </c>
      <c r="FR29" s="2">
        <v>0</v>
      </c>
      <c r="FS29" s="2">
        <v>0</v>
      </c>
      <c r="FT29" s="2"/>
      <c r="FU29" s="2"/>
      <c r="FV29" s="2"/>
      <c r="FW29" s="2"/>
      <c r="FX29" s="2">
        <v>89</v>
      </c>
      <c r="FY29" s="2">
        <v>49</v>
      </c>
      <c r="FZ29" s="2"/>
      <c r="GA29" s="2" t="s">
        <v>3</v>
      </c>
      <c r="GB29" s="2"/>
      <c r="GC29" s="2"/>
      <c r="GD29" s="2">
        <v>1</v>
      </c>
      <c r="GE29" s="2"/>
      <c r="GF29" s="2">
        <v>2102561428</v>
      </c>
      <c r="GG29" s="2">
        <v>2</v>
      </c>
      <c r="GH29" s="2">
        <v>1</v>
      </c>
      <c r="GI29" s="2">
        <v>-2</v>
      </c>
      <c r="GJ29" s="2">
        <v>0</v>
      </c>
      <c r="GK29" s="2">
        <v>0</v>
      </c>
      <c r="GL29" s="2">
        <f t="shared" si="34"/>
        <v>0</v>
      </c>
      <c r="GM29" s="2">
        <f t="shared" si="35"/>
        <v>0</v>
      </c>
      <c r="GN29" s="2">
        <f t="shared" si="36"/>
        <v>0</v>
      </c>
      <c r="GO29" s="2">
        <f t="shared" si="37"/>
        <v>0</v>
      </c>
      <c r="GP29" s="2">
        <f t="shared" si="38"/>
        <v>0</v>
      </c>
      <c r="GQ29" s="2"/>
      <c r="GR29" s="2">
        <v>0</v>
      </c>
      <c r="GS29" s="2">
        <v>0</v>
      </c>
      <c r="GT29" s="2">
        <v>0</v>
      </c>
      <c r="GU29" s="2" t="s">
        <v>3</v>
      </c>
      <c r="GV29" s="2">
        <f t="shared" si="39"/>
        <v>0</v>
      </c>
      <c r="GW29" s="2">
        <v>1</v>
      </c>
      <c r="GX29" s="2">
        <f t="shared" si="40"/>
        <v>0</v>
      </c>
      <c r="GY29" s="2"/>
      <c r="GZ29" s="2"/>
      <c r="HA29" s="2">
        <v>0</v>
      </c>
      <c r="HB29" s="2">
        <v>0</v>
      </c>
      <c r="HC29" s="2">
        <f t="shared" si="41"/>
        <v>0</v>
      </c>
      <c r="HD29" s="2"/>
      <c r="HE29" s="2" t="s">
        <v>3</v>
      </c>
      <c r="HF29" s="2" t="s">
        <v>3</v>
      </c>
      <c r="HG29" s="2"/>
      <c r="HH29" s="2"/>
      <c r="HI29" s="2"/>
      <c r="HJ29" s="2"/>
      <c r="HK29" s="2"/>
      <c r="HL29" s="2"/>
      <c r="HM29" s="2" t="s">
        <v>3</v>
      </c>
      <c r="HN29" s="2" t="s">
        <v>25</v>
      </c>
      <c r="HO29" s="2" t="s">
        <v>26</v>
      </c>
      <c r="HP29" s="2" t="s">
        <v>23</v>
      </c>
      <c r="HQ29" s="2" t="s">
        <v>23</v>
      </c>
      <c r="HR29" s="2"/>
      <c r="HS29" s="2">
        <v>0</v>
      </c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>
        <v>0</v>
      </c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5" x14ac:dyDescent="0.2">
      <c r="A30" s="2">
        <v>17</v>
      </c>
      <c r="B30" s="2">
        <v>1</v>
      </c>
      <c r="C30" s="2">
        <f>ROW(SmtRes!A10)</f>
        <v>10</v>
      </c>
      <c r="D30" s="2">
        <f>ROW(EtalonRes!A10)</f>
        <v>10</v>
      </c>
      <c r="E30" s="2" t="s">
        <v>31</v>
      </c>
      <c r="F30" s="2" t="s">
        <v>32</v>
      </c>
      <c r="G30" s="2" t="s">
        <v>33</v>
      </c>
      <c r="H30" s="2" t="s">
        <v>34</v>
      </c>
      <c r="I30" s="2">
        <v>0.15</v>
      </c>
      <c r="J30" s="2">
        <v>0</v>
      </c>
      <c r="K30" s="2">
        <v>0.15</v>
      </c>
      <c r="L30" s="2"/>
      <c r="M30" s="2"/>
      <c r="N30" s="2"/>
      <c r="O30" s="2">
        <f t="shared" si="21"/>
        <v>2102.06</v>
      </c>
      <c r="P30" s="2">
        <f>SUMIF(SmtRes!AQ5:'SmtRes'!AQ10,"=1",SmtRes!DF5:'SmtRes'!DF10)</f>
        <v>50.819999999999993</v>
      </c>
      <c r="Q30" s="2">
        <f>SUMIF(SmtRes!AQ5:'SmtRes'!AQ10,"=1",SmtRes!DG5:'SmtRes'!DG10)</f>
        <v>122.02</v>
      </c>
      <c r="R30" s="2">
        <f>SUMIF(SmtRes!AQ5:'SmtRes'!AQ10,"=1",SmtRes!DH5:'SmtRes'!DH10)</f>
        <v>0</v>
      </c>
      <c r="S30" s="2">
        <f>SUMIF(SmtRes!AQ5:'SmtRes'!AQ10,"=1",SmtRes!DI5:'SmtRes'!DI10)</f>
        <v>1929.22</v>
      </c>
      <c r="T30" s="2">
        <f t="shared" si="22"/>
        <v>0</v>
      </c>
      <c r="U30" s="2">
        <f>SUMIF(SmtRes!AQ5:'SmtRes'!AQ10,"=1",SmtRes!CV5:'SmtRes'!CV10)</f>
        <v>2.9714999999999998</v>
      </c>
      <c r="V30" s="2">
        <f>SUMIF(SmtRes!AQ5:'SmtRes'!AQ10,"=1",SmtRes!CW5:'SmtRes'!CW10)</f>
        <v>0</v>
      </c>
      <c r="W30" s="2">
        <f t="shared" si="23"/>
        <v>0</v>
      </c>
      <c r="X30" s="2">
        <f t="shared" si="24"/>
        <v>1774.88</v>
      </c>
      <c r="Y30" s="2">
        <f t="shared" si="25"/>
        <v>848.86</v>
      </c>
      <c r="Z30" s="2"/>
      <c r="AA30" s="2">
        <v>94104265</v>
      </c>
      <c r="AB30" s="2">
        <f t="shared" si="26"/>
        <v>13771.57</v>
      </c>
      <c r="AC30" s="2">
        <f>ROUND((SUM(SmtRes!BQ5:'SmtRes'!BQ10)),6)</f>
        <v>317.78660000000002</v>
      </c>
      <c r="AD30" s="2">
        <f>ROUND((((SUM(SmtRes!BR5:'SmtRes'!BR10))-(0))+AE30),6)</f>
        <v>592.33900000000006</v>
      </c>
      <c r="AE30" s="2">
        <f>ROUND((0),6)</f>
        <v>0</v>
      </c>
      <c r="AF30" s="2">
        <f>ROUND((SUM(SmtRes!BT5:'SmtRes'!BT10)),6)</f>
        <v>12861.4444</v>
      </c>
      <c r="AG30" s="2">
        <f t="shared" si="27"/>
        <v>0</v>
      </c>
      <c r="AH30" s="2">
        <f>(SUM(SmtRes!BU5:'SmtRes'!BU10))</f>
        <v>19.809999999999999</v>
      </c>
      <c r="AI30" s="2">
        <f>(0)</f>
        <v>0</v>
      </c>
      <c r="AJ30" s="2">
        <f t="shared" si="28"/>
        <v>0</v>
      </c>
      <c r="AK30" s="2">
        <v>13771.569999999998</v>
      </c>
      <c r="AL30" s="2">
        <v>317.78660000000002</v>
      </c>
      <c r="AM30" s="2">
        <v>592.33900000000006</v>
      </c>
      <c r="AN30" s="2">
        <v>0</v>
      </c>
      <c r="AO30" s="2">
        <v>12861.444399999998</v>
      </c>
      <c r="AP30" s="2">
        <v>0</v>
      </c>
      <c r="AQ30" s="2">
        <v>19.809999999999999</v>
      </c>
      <c r="AR30" s="2">
        <v>0</v>
      </c>
      <c r="AS30" s="2">
        <v>0</v>
      </c>
      <c r="AT30" s="2">
        <v>92</v>
      </c>
      <c r="AU30" s="2">
        <v>44</v>
      </c>
      <c r="AV30" s="2">
        <v>1</v>
      </c>
      <c r="AW30" s="2">
        <v>1</v>
      </c>
      <c r="AX30" s="2"/>
      <c r="AY30" s="2"/>
      <c r="AZ30" s="2">
        <v>1</v>
      </c>
      <c r="BA30" s="2">
        <v>1</v>
      </c>
      <c r="BB30" s="2">
        <v>1</v>
      </c>
      <c r="BC30" s="2">
        <v>1</v>
      </c>
      <c r="BD30" s="2" t="s">
        <v>3</v>
      </c>
      <c r="BE30" s="2" t="s">
        <v>3</v>
      </c>
      <c r="BF30" s="2" t="s">
        <v>3</v>
      </c>
      <c r="BG30" s="2" t="s">
        <v>3</v>
      </c>
      <c r="BH30" s="2">
        <v>0</v>
      </c>
      <c r="BI30" s="2">
        <v>1</v>
      </c>
      <c r="BJ30" s="2" t="s">
        <v>35</v>
      </c>
      <c r="BK30" s="2"/>
      <c r="BL30" s="2"/>
      <c r="BM30" s="2">
        <v>69001</v>
      </c>
      <c r="BN30" s="2">
        <v>0</v>
      </c>
      <c r="BO30" s="2" t="s">
        <v>3</v>
      </c>
      <c r="BP30" s="2">
        <v>0</v>
      </c>
      <c r="BQ30" s="2">
        <v>6</v>
      </c>
      <c r="BR30" s="2">
        <v>0</v>
      </c>
      <c r="BS30" s="2">
        <v>1</v>
      </c>
      <c r="BT30" s="2">
        <v>1</v>
      </c>
      <c r="BU30" s="2">
        <v>1</v>
      </c>
      <c r="BV30" s="2">
        <v>1</v>
      </c>
      <c r="BW30" s="2">
        <v>1</v>
      </c>
      <c r="BX30" s="2">
        <v>1</v>
      </c>
      <c r="BY30" s="2" t="s">
        <v>3</v>
      </c>
      <c r="BZ30" s="2">
        <v>92</v>
      </c>
      <c r="CA30" s="2">
        <v>44</v>
      </c>
      <c r="CB30" s="2" t="s">
        <v>3</v>
      </c>
      <c r="CC30" s="2"/>
      <c r="CD30" s="2"/>
      <c r="CE30" s="2">
        <v>0</v>
      </c>
      <c r="CF30" s="2">
        <v>0</v>
      </c>
      <c r="CG30" s="2">
        <v>0</v>
      </c>
      <c r="CH30" s="2"/>
      <c r="CI30" s="2"/>
      <c r="CJ30" s="2"/>
      <c r="CK30" s="2"/>
      <c r="CL30" s="2"/>
      <c r="CM30" s="2">
        <v>0</v>
      </c>
      <c r="CN30" s="2" t="s">
        <v>3</v>
      </c>
      <c r="CO30" s="2">
        <v>0</v>
      </c>
      <c r="CP30" s="2">
        <f t="shared" si="29"/>
        <v>2102.06</v>
      </c>
      <c r="CQ30" s="2">
        <f>SUMIF(SmtRes!AQ5:'SmtRes'!AQ10,"=1",SmtRes!AA5:'SmtRes'!AA10)</f>
        <v>643.25</v>
      </c>
      <c r="CR30" s="2">
        <f>SUMIF(SmtRes!AQ5:'SmtRes'!AQ10,"=1",SmtRes!AB5:'SmtRes'!AB10)</f>
        <v>100.17999999999999</v>
      </c>
      <c r="CS30" s="2">
        <f>SUMIF(SmtRes!AQ5:'SmtRes'!AQ10,"=1",SmtRes!AC5:'SmtRes'!AC10)</f>
        <v>0</v>
      </c>
      <c r="CT30" s="2">
        <f>SUMIF(SmtRes!AQ5:'SmtRes'!AQ10,"=1",SmtRes!AD5:'SmtRes'!AD10)</f>
        <v>649.24</v>
      </c>
      <c r="CU30" s="2">
        <f t="shared" si="30"/>
        <v>0</v>
      </c>
      <c r="CV30" s="2">
        <f>SUMIF(SmtRes!AQ5:'SmtRes'!AQ10,"=1",SmtRes!BU5:'SmtRes'!BU10)</f>
        <v>19.809999999999999</v>
      </c>
      <c r="CW30" s="2">
        <f>SUMIF(SmtRes!AQ5:'SmtRes'!AQ10,"=1",SmtRes!BV5:'SmtRes'!BV10)</f>
        <v>0</v>
      </c>
      <c r="CX30" s="2">
        <f t="shared" si="31"/>
        <v>0</v>
      </c>
      <c r="CY30" s="2">
        <f t="shared" si="32"/>
        <v>1774.8824</v>
      </c>
      <c r="CZ30" s="2">
        <f t="shared" si="33"/>
        <v>848.85680000000002</v>
      </c>
      <c r="DA30" s="2"/>
      <c r="DB30" s="2"/>
      <c r="DC30" s="2" t="s">
        <v>3</v>
      </c>
      <c r="DD30" s="2" t="s">
        <v>3</v>
      </c>
      <c r="DE30" s="2" t="s">
        <v>3</v>
      </c>
      <c r="DF30" s="2" t="s">
        <v>3</v>
      </c>
      <c r="DG30" s="2" t="s">
        <v>3</v>
      </c>
      <c r="DH30" s="2" t="s">
        <v>3</v>
      </c>
      <c r="DI30" s="2" t="s">
        <v>3</v>
      </c>
      <c r="DJ30" s="2" t="s">
        <v>3</v>
      </c>
      <c r="DK30" s="2" t="s">
        <v>3</v>
      </c>
      <c r="DL30" s="2" t="s">
        <v>3</v>
      </c>
      <c r="DM30" s="2" t="s">
        <v>3</v>
      </c>
      <c r="DN30" s="2">
        <v>0</v>
      </c>
      <c r="DO30" s="2">
        <v>0</v>
      </c>
      <c r="DP30" s="2">
        <v>1</v>
      </c>
      <c r="DQ30" s="2">
        <v>1</v>
      </c>
      <c r="DR30" s="2"/>
      <c r="DS30" s="2"/>
      <c r="DT30" s="2"/>
      <c r="DU30" s="2">
        <v>1007</v>
      </c>
      <c r="DV30" s="2" t="s">
        <v>34</v>
      </c>
      <c r="DW30" s="2" t="s">
        <v>34</v>
      </c>
      <c r="DX30" s="2">
        <v>1</v>
      </c>
      <c r="DY30" s="2"/>
      <c r="DZ30" s="2" t="s">
        <v>3</v>
      </c>
      <c r="EA30" s="2" t="s">
        <v>3</v>
      </c>
      <c r="EB30" s="2" t="s">
        <v>3</v>
      </c>
      <c r="EC30" s="2" t="s">
        <v>3</v>
      </c>
      <c r="ED30" s="2"/>
      <c r="EE30" s="2">
        <v>89977119</v>
      </c>
      <c r="EF30" s="2">
        <v>6</v>
      </c>
      <c r="EG30" s="2" t="s">
        <v>22</v>
      </c>
      <c r="EH30" s="2">
        <v>103</v>
      </c>
      <c r="EI30" s="2" t="s">
        <v>36</v>
      </c>
      <c r="EJ30" s="2">
        <v>1</v>
      </c>
      <c r="EK30" s="2">
        <v>69001</v>
      </c>
      <c r="EL30" s="2" t="s">
        <v>36</v>
      </c>
      <c r="EM30" s="2" t="s">
        <v>37</v>
      </c>
      <c r="EN30" s="2"/>
      <c r="EO30" s="2" t="s">
        <v>3</v>
      </c>
      <c r="EP30" s="2"/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19.809999999999999</v>
      </c>
      <c r="EX30" s="2">
        <v>0</v>
      </c>
      <c r="EY30" s="2">
        <v>0</v>
      </c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>
        <v>0</v>
      </c>
      <c r="FR30" s="2">
        <v>0</v>
      </c>
      <c r="FS30" s="2">
        <v>0</v>
      </c>
      <c r="FT30" s="2"/>
      <c r="FU30" s="2"/>
      <c r="FV30" s="2"/>
      <c r="FW30" s="2"/>
      <c r="FX30" s="2">
        <v>92</v>
      </c>
      <c r="FY30" s="2">
        <v>44</v>
      </c>
      <c r="FZ30" s="2"/>
      <c r="GA30" s="2" t="s">
        <v>3</v>
      </c>
      <c r="GB30" s="2"/>
      <c r="GC30" s="2"/>
      <c r="GD30" s="2">
        <v>1</v>
      </c>
      <c r="GE30" s="2"/>
      <c r="GF30" s="2">
        <v>1982531256</v>
      </c>
      <c r="GG30" s="2">
        <v>2</v>
      </c>
      <c r="GH30" s="2">
        <v>1</v>
      </c>
      <c r="GI30" s="2">
        <v>-2</v>
      </c>
      <c r="GJ30" s="2">
        <v>0</v>
      </c>
      <c r="GK30" s="2">
        <v>0</v>
      </c>
      <c r="GL30" s="2">
        <f t="shared" si="34"/>
        <v>0</v>
      </c>
      <c r="GM30" s="2">
        <f t="shared" si="35"/>
        <v>4725.8</v>
      </c>
      <c r="GN30" s="2">
        <f t="shared" si="36"/>
        <v>4725.8</v>
      </c>
      <c r="GO30" s="2">
        <f t="shared" si="37"/>
        <v>0</v>
      </c>
      <c r="GP30" s="2">
        <f t="shared" si="38"/>
        <v>0</v>
      </c>
      <c r="GQ30" s="2"/>
      <c r="GR30" s="2">
        <v>0</v>
      </c>
      <c r="GS30" s="2">
        <v>0</v>
      </c>
      <c r="GT30" s="2">
        <v>0</v>
      </c>
      <c r="GU30" s="2" t="s">
        <v>3</v>
      </c>
      <c r="GV30" s="2">
        <f t="shared" si="39"/>
        <v>0</v>
      </c>
      <c r="GW30" s="2">
        <v>1</v>
      </c>
      <c r="GX30" s="2">
        <f t="shared" si="40"/>
        <v>0</v>
      </c>
      <c r="GY30" s="2"/>
      <c r="GZ30" s="2"/>
      <c r="HA30" s="2">
        <v>0</v>
      </c>
      <c r="HB30" s="2">
        <v>0</v>
      </c>
      <c r="HC30" s="2">
        <f t="shared" si="41"/>
        <v>0</v>
      </c>
      <c r="HD30" s="2"/>
      <c r="HE30" s="2" t="s">
        <v>3</v>
      </c>
      <c r="HF30" s="2" t="s">
        <v>3</v>
      </c>
      <c r="HG30" s="2"/>
      <c r="HH30" s="2"/>
      <c r="HI30" s="2"/>
      <c r="HJ30" s="2"/>
      <c r="HK30" s="2"/>
      <c r="HL30" s="2"/>
      <c r="HM30" s="2" t="s">
        <v>3</v>
      </c>
      <c r="HN30" s="2" t="s">
        <v>38</v>
      </c>
      <c r="HO30" s="2" t="s">
        <v>39</v>
      </c>
      <c r="HP30" s="2" t="s">
        <v>36</v>
      </c>
      <c r="HQ30" s="2" t="s">
        <v>36</v>
      </c>
      <c r="HR30" s="2"/>
      <c r="HS30" s="2">
        <v>0</v>
      </c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>
        <v>0</v>
      </c>
      <c r="IL30" s="2"/>
      <c r="IM30" s="2"/>
      <c r="IN30" s="2"/>
      <c r="IO30" s="2"/>
      <c r="IP30" s="2"/>
      <c r="IQ30" s="2"/>
      <c r="IR30" s="2"/>
      <c r="IS30" s="2"/>
      <c r="IT30" s="2"/>
      <c r="IU30" s="2"/>
    </row>
    <row r="31" spans="1:255" x14ac:dyDescent="0.2">
      <c r="A31" s="2">
        <v>17</v>
      </c>
      <c r="B31" s="2">
        <v>1</v>
      </c>
      <c r="C31" s="2">
        <f>ROW(SmtRes!A24)</f>
        <v>24</v>
      </c>
      <c r="D31" s="2">
        <f>ROW(EtalonRes!A24)</f>
        <v>24</v>
      </c>
      <c r="E31" s="2" t="s">
        <v>40</v>
      </c>
      <c r="F31" s="2" t="s">
        <v>41</v>
      </c>
      <c r="G31" s="2" t="s">
        <v>42</v>
      </c>
      <c r="H31" s="2" t="s">
        <v>34</v>
      </c>
      <c r="I31" s="2">
        <v>0.15</v>
      </c>
      <c r="J31" s="2">
        <v>0</v>
      </c>
      <c r="K31" s="2">
        <v>0.15</v>
      </c>
      <c r="L31" s="2"/>
      <c r="M31" s="2"/>
      <c r="N31" s="2"/>
      <c r="O31" s="2">
        <f t="shared" si="21"/>
        <v>740.03</v>
      </c>
      <c r="P31" s="2">
        <f>SUMIF(SmtRes!AQ11:'SmtRes'!AQ24,"=1",SmtRes!DF11:'SmtRes'!DF24)</f>
        <v>248.13</v>
      </c>
      <c r="Q31" s="2">
        <f>SUMIF(SmtRes!AQ11:'SmtRes'!AQ24,"=1",SmtRes!DG11:'SmtRes'!DG24)</f>
        <v>11.879999999999999</v>
      </c>
      <c r="R31" s="2">
        <f>SUMIF(SmtRes!AQ11:'SmtRes'!AQ24,"=1",SmtRes!DH11:'SmtRes'!DH24)</f>
        <v>13.530000000000001</v>
      </c>
      <c r="S31" s="2">
        <f>SUMIF(SmtRes!AQ11:'SmtRes'!AQ24,"=1",SmtRes!DI11:'SmtRes'!DI24)</f>
        <v>466.49</v>
      </c>
      <c r="T31" s="2">
        <f t="shared" si="22"/>
        <v>0</v>
      </c>
      <c r="U31" s="2">
        <f>SUMIF(SmtRes!AQ11:'SmtRes'!AQ24,"=1",SmtRes!CV11:'SmtRes'!CV24)</f>
        <v>0.72750000000000004</v>
      </c>
      <c r="V31" s="2">
        <f>SUMIF(SmtRes!AQ11:'SmtRes'!AQ24,"=1",SmtRes!CW11:'SmtRes'!CW24)</f>
        <v>1.8000000000000002E-2</v>
      </c>
      <c r="W31" s="2">
        <f t="shared" si="23"/>
        <v>0</v>
      </c>
      <c r="X31" s="2">
        <f t="shared" si="24"/>
        <v>489.62</v>
      </c>
      <c r="Y31" s="2">
        <f t="shared" si="25"/>
        <v>278.41000000000003</v>
      </c>
      <c r="Z31" s="2"/>
      <c r="AA31" s="2">
        <v>94104265</v>
      </c>
      <c r="AB31" s="2">
        <f t="shared" si="26"/>
        <v>4312.4370639999997</v>
      </c>
      <c r="AC31" s="2">
        <f>ROUND((SUM(SmtRes!BQ11:'SmtRes'!BQ24)),6)</f>
        <v>1124.106364</v>
      </c>
      <c r="AD31" s="2">
        <f>ROUND((((SUM(SmtRes!BR11:'SmtRes'!BR24))-(SUM(SmtRes!BS11:'SmtRes'!BS24)))+AE31),6)</f>
        <v>78.413700000000006</v>
      </c>
      <c r="AE31" s="2">
        <f>ROUND((SUM(SmtRes!BS11:'SmtRes'!BS24)),6)</f>
        <v>90.239199999999997</v>
      </c>
      <c r="AF31" s="2">
        <f>ROUND((SUM(SmtRes!BT11:'SmtRes'!BT24)),6)</f>
        <v>3109.9169999999999</v>
      </c>
      <c r="AG31" s="2">
        <f t="shared" si="27"/>
        <v>0</v>
      </c>
      <c r="AH31" s="2">
        <f>(SUM(SmtRes!BU11:'SmtRes'!BU24))</f>
        <v>4.8499999999999996</v>
      </c>
      <c r="AI31" s="2">
        <f>(SUM(SmtRes!BV11:'SmtRes'!BV24))</f>
        <v>0.12</v>
      </c>
      <c r="AJ31" s="2">
        <f t="shared" si="28"/>
        <v>0</v>
      </c>
      <c r="AK31" s="2">
        <v>4402.6762639999997</v>
      </c>
      <c r="AL31" s="2">
        <v>1124.106364</v>
      </c>
      <c r="AM31" s="2">
        <v>78.413699999999992</v>
      </c>
      <c r="AN31" s="2">
        <v>90.239200000000011</v>
      </c>
      <c r="AO31" s="2">
        <v>3109.9169999999999</v>
      </c>
      <c r="AP31" s="2">
        <v>0</v>
      </c>
      <c r="AQ31" s="2">
        <v>4.8499999999999996</v>
      </c>
      <c r="AR31" s="2">
        <v>0.12</v>
      </c>
      <c r="AS31" s="2">
        <v>0</v>
      </c>
      <c r="AT31" s="2">
        <v>102</v>
      </c>
      <c r="AU31" s="2">
        <v>58</v>
      </c>
      <c r="AV31" s="2">
        <v>1</v>
      </c>
      <c r="AW31" s="2">
        <v>1</v>
      </c>
      <c r="AX31" s="2"/>
      <c r="AY31" s="2"/>
      <c r="AZ31" s="2">
        <v>1</v>
      </c>
      <c r="BA31" s="2">
        <v>1</v>
      </c>
      <c r="BB31" s="2">
        <v>1</v>
      </c>
      <c r="BC31" s="2">
        <v>1</v>
      </c>
      <c r="BD31" s="2" t="s">
        <v>3</v>
      </c>
      <c r="BE31" s="2" t="s">
        <v>3</v>
      </c>
      <c r="BF31" s="2" t="s">
        <v>3</v>
      </c>
      <c r="BG31" s="2" t="s">
        <v>3</v>
      </c>
      <c r="BH31" s="2">
        <v>0</v>
      </c>
      <c r="BI31" s="2">
        <v>1</v>
      </c>
      <c r="BJ31" s="2" t="s">
        <v>43</v>
      </c>
      <c r="BK31" s="2"/>
      <c r="BL31" s="2"/>
      <c r="BM31" s="2">
        <v>6001</v>
      </c>
      <c r="BN31" s="2">
        <v>0</v>
      </c>
      <c r="BO31" s="2" t="s">
        <v>3</v>
      </c>
      <c r="BP31" s="2">
        <v>0</v>
      </c>
      <c r="BQ31" s="2">
        <v>2</v>
      </c>
      <c r="BR31" s="2">
        <v>0</v>
      </c>
      <c r="BS31" s="2">
        <v>1</v>
      </c>
      <c r="BT31" s="2">
        <v>1</v>
      </c>
      <c r="BU31" s="2">
        <v>1</v>
      </c>
      <c r="BV31" s="2">
        <v>1</v>
      </c>
      <c r="BW31" s="2">
        <v>1</v>
      </c>
      <c r="BX31" s="2">
        <v>1</v>
      </c>
      <c r="BY31" s="2" t="s">
        <v>3</v>
      </c>
      <c r="BZ31" s="2">
        <v>102</v>
      </c>
      <c r="CA31" s="2">
        <v>58</v>
      </c>
      <c r="CB31" s="2" t="s">
        <v>3</v>
      </c>
      <c r="CC31" s="2"/>
      <c r="CD31" s="2"/>
      <c r="CE31" s="2">
        <v>0</v>
      </c>
      <c r="CF31" s="2">
        <v>0</v>
      </c>
      <c r="CG31" s="2">
        <v>0</v>
      </c>
      <c r="CH31" s="2"/>
      <c r="CI31" s="2"/>
      <c r="CJ31" s="2"/>
      <c r="CK31" s="2"/>
      <c r="CL31" s="2"/>
      <c r="CM31" s="2">
        <v>0</v>
      </c>
      <c r="CN31" s="2" t="s">
        <v>3</v>
      </c>
      <c r="CO31" s="2">
        <v>0</v>
      </c>
      <c r="CP31" s="2">
        <f t="shared" si="29"/>
        <v>740.03</v>
      </c>
      <c r="CQ31" s="2">
        <f>SUMIF(SmtRes!AQ11:'SmtRes'!AQ24,"=1",SmtRes!AA11:'SmtRes'!AA24)</f>
        <v>23984.75</v>
      </c>
      <c r="CR31" s="2">
        <f>SUMIF(SmtRes!AQ11:'SmtRes'!AQ24,"=1",SmtRes!AB11:'SmtRes'!AB24)</f>
        <v>2155.39</v>
      </c>
      <c r="CS31" s="2">
        <f>SUMIF(SmtRes!AQ11:'SmtRes'!AQ24,"=1",SmtRes!AC11:'SmtRes'!AC24)</f>
        <v>1713.12</v>
      </c>
      <c r="CT31" s="2">
        <f>SUMIF(SmtRes!AQ11:'SmtRes'!AQ24,"=1",SmtRes!AD11:'SmtRes'!AD24)</f>
        <v>641.22</v>
      </c>
      <c r="CU31" s="2">
        <f t="shared" si="30"/>
        <v>0</v>
      </c>
      <c r="CV31" s="2">
        <f>SUMIF(SmtRes!AQ11:'SmtRes'!AQ24,"=1",SmtRes!BU11:'SmtRes'!BU24)</f>
        <v>4.8499999999999996</v>
      </c>
      <c r="CW31" s="2">
        <f>SUMIF(SmtRes!AQ11:'SmtRes'!AQ24,"=1",SmtRes!BV11:'SmtRes'!BV24)</f>
        <v>0.12</v>
      </c>
      <c r="CX31" s="2">
        <f t="shared" si="31"/>
        <v>0</v>
      </c>
      <c r="CY31" s="2">
        <f t="shared" si="32"/>
        <v>489.62040000000002</v>
      </c>
      <c r="CZ31" s="2">
        <f t="shared" si="33"/>
        <v>278.41160000000002</v>
      </c>
      <c r="DA31" s="2"/>
      <c r="DB31" s="2"/>
      <c r="DC31" s="2" t="s">
        <v>3</v>
      </c>
      <c r="DD31" s="2" t="s">
        <v>3</v>
      </c>
      <c r="DE31" s="2" t="s">
        <v>3</v>
      </c>
      <c r="DF31" s="2" t="s">
        <v>3</v>
      </c>
      <c r="DG31" s="2" t="s">
        <v>3</v>
      </c>
      <c r="DH31" s="2" t="s">
        <v>3</v>
      </c>
      <c r="DI31" s="2" t="s">
        <v>3</v>
      </c>
      <c r="DJ31" s="2" t="s">
        <v>3</v>
      </c>
      <c r="DK31" s="2" t="s">
        <v>3</v>
      </c>
      <c r="DL31" s="2" t="s">
        <v>3</v>
      </c>
      <c r="DM31" s="2" t="s">
        <v>3</v>
      </c>
      <c r="DN31" s="2">
        <v>0</v>
      </c>
      <c r="DO31" s="2">
        <v>0</v>
      </c>
      <c r="DP31" s="2">
        <v>1</v>
      </c>
      <c r="DQ31" s="2">
        <v>1</v>
      </c>
      <c r="DR31" s="2"/>
      <c r="DS31" s="2"/>
      <c r="DT31" s="2"/>
      <c r="DU31" s="2">
        <v>1007</v>
      </c>
      <c r="DV31" s="2" t="s">
        <v>34</v>
      </c>
      <c r="DW31" s="2" t="s">
        <v>34</v>
      </c>
      <c r="DX31" s="2">
        <v>1</v>
      </c>
      <c r="DY31" s="2"/>
      <c r="DZ31" s="2" t="s">
        <v>3</v>
      </c>
      <c r="EA31" s="2" t="s">
        <v>3</v>
      </c>
      <c r="EB31" s="2" t="s">
        <v>3</v>
      </c>
      <c r="EC31" s="2" t="s">
        <v>3</v>
      </c>
      <c r="ED31" s="2"/>
      <c r="EE31" s="2">
        <v>89976980</v>
      </c>
      <c r="EF31" s="2">
        <v>2</v>
      </c>
      <c r="EG31" s="2" t="s">
        <v>44</v>
      </c>
      <c r="EH31" s="2">
        <v>6</v>
      </c>
      <c r="EI31" s="2" t="s">
        <v>45</v>
      </c>
      <c r="EJ31" s="2">
        <v>1</v>
      </c>
      <c r="EK31" s="2">
        <v>6001</v>
      </c>
      <c r="EL31" s="2" t="s">
        <v>45</v>
      </c>
      <c r="EM31" s="2" t="s">
        <v>46</v>
      </c>
      <c r="EN31" s="2"/>
      <c r="EO31" s="2" t="s">
        <v>3</v>
      </c>
      <c r="EP31" s="2"/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4.8499999999999996</v>
      </c>
      <c r="EX31" s="2">
        <v>0.12</v>
      </c>
      <c r="EY31" s="2">
        <v>0</v>
      </c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>
        <v>0</v>
      </c>
      <c r="FR31" s="2">
        <v>0</v>
      </c>
      <c r="FS31" s="2">
        <v>0</v>
      </c>
      <c r="FT31" s="2"/>
      <c r="FU31" s="2"/>
      <c r="FV31" s="2"/>
      <c r="FW31" s="2"/>
      <c r="FX31" s="2">
        <v>102</v>
      </c>
      <c r="FY31" s="2">
        <v>58</v>
      </c>
      <c r="FZ31" s="2"/>
      <c r="GA31" s="2" t="s">
        <v>3</v>
      </c>
      <c r="GB31" s="2"/>
      <c r="GC31" s="2"/>
      <c r="GD31" s="2">
        <v>1</v>
      </c>
      <c r="GE31" s="2"/>
      <c r="GF31" s="2">
        <v>-1301182781</v>
      </c>
      <c r="GG31" s="2">
        <v>2</v>
      </c>
      <c r="GH31" s="2">
        <v>1</v>
      </c>
      <c r="GI31" s="2">
        <v>-2</v>
      </c>
      <c r="GJ31" s="2">
        <v>0</v>
      </c>
      <c r="GK31" s="2">
        <v>0</v>
      </c>
      <c r="GL31" s="2">
        <f t="shared" si="34"/>
        <v>0</v>
      </c>
      <c r="GM31" s="2">
        <f t="shared" si="35"/>
        <v>1508.06</v>
      </c>
      <c r="GN31" s="2">
        <f t="shared" si="36"/>
        <v>1508.06</v>
      </c>
      <c r="GO31" s="2">
        <f t="shared" si="37"/>
        <v>0</v>
      </c>
      <c r="GP31" s="2">
        <f t="shared" si="38"/>
        <v>0</v>
      </c>
      <c r="GQ31" s="2"/>
      <c r="GR31" s="2">
        <v>0</v>
      </c>
      <c r="GS31" s="2">
        <v>0</v>
      </c>
      <c r="GT31" s="2">
        <v>0</v>
      </c>
      <c r="GU31" s="2" t="s">
        <v>3</v>
      </c>
      <c r="GV31" s="2">
        <f t="shared" si="39"/>
        <v>0</v>
      </c>
      <c r="GW31" s="2">
        <v>1</v>
      </c>
      <c r="GX31" s="2">
        <f t="shared" si="40"/>
        <v>0</v>
      </c>
      <c r="GY31" s="2"/>
      <c r="GZ31" s="2"/>
      <c r="HA31" s="2">
        <v>0</v>
      </c>
      <c r="HB31" s="2">
        <v>0</v>
      </c>
      <c r="HC31" s="2">
        <f t="shared" si="41"/>
        <v>0</v>
      </c>
      <c r="HD31" s="2"/>
      <c r="HE31" s="2" t="s">
        <v>3</v>
      </c>
      <c r="HF31" s="2" t="s">
        <v>3</v>
      </c>
      <c r="HG31" s="2"/>
      <c r="HH31" s="2"/>
      <c r="HI31" s="2"/>
      <c r="HJ31" s="2"/>
      <c r="HK31" s="2"/>
      <c r="HL31" s="2"/>
      <c r="HM31" s="2" t="s">
        <v>3</v>
      </c>
      <c r="HN31" s="2" t="s">
        <v>47</v>
      </c>
      <c r="HO31" s="2" t="s">
        <v>48</v>
      </c>
      <c r="HP31" s="2" t="s">
        <v>45</v>
      </c>
      <c r="HQ31" s="2" t="s">
        <v>45</v>
      </c>
      <c r="HR31" s="2"/>
      <c r="HS31" s="2">
        <v>0</v>
      </c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>
        <v>0</v>
      </c>
      <c r="IL31" s="2"/>
      <c r="IM31" s="2"/>
      <c r="IN31" s="2"/>
      <c r="IO31" s="2"/>
      <c r="IP31" s="2"/>
      <c r="IQ31" s="2"/>
      <c r="IR31" s="2"/>
      <c r="IS31" s="2"/>
      <c r="IT31" s="2"/>
      <c r="IU31" s="2"/>
    </row>
    <row r="32" spans="1:255" x14ac:dyDescent="0.2">
      <c r="A32" s="2">
        <v>18</v>
      </c>
      <c r="B32" s="2">
        <v>1</v>
      </c>
      <c r="C32" s="2">
        <v>19</v>
      </c>
      <c r="D32" s="2"/>
      <c r="E32" s="2" t="s">
        <v>49</v>
      </c>
      <c r="F32" s="2" t="s">
        <v>50</v>
      </c>
      <c r="G32" s="2" t="s">
        <v>51</v>
      </c>
      <c r="H32" s="2" t="s">
        <v>34</v>
      </c>
      <c r="I32" s="2">
        <f>I31*J32</f>
        <v>0.15225000000000002</v>
      </c>
      <c r="J32" s="2">
        <v>1.0150000000000001</v>
      </c>
      <c r="K32" s="2">
        <v>1.0149999999999999</v>
      </c>
      <c r="L32" s="2"/>
      <c r="M32" s="2"/>
      <c r="N32" s="2"/>
      <c r="O32" s="2">
        <f t="shared" si="21"/>
        <v>922.15</v>
      </c>
      <c r="P32" s="2">
        <f>ROUND(CQ32*I32,2)</f>
        <v>922.15</v>
      </c>
      <c r="Q32" s="2">
        <f>ROUND(CR32*I32,2)</f>
        <v>0</v>
      </c>
      <c r="R32" s="2">
        <f>ROUND(CS32*I32,2)</f>
        <v>0</v>
      </c>
      <c r="S32" s="2">
        <f>ROUND(CT32*I32,2)</f>
        <v>0</v>
      </c>
      <c r="T32" s="2">
        <f t="shared" si="22"/>
        <v>0</v>
      </c>
      <c r="U32" s="2">
        <f>ROUND(CV32*I32,7)</f>
        <v>0</v>
      </c>
      <c r="V32" s="2">
        <f>ROUND(CW32*I32,7)</f>
        <v>0</v>
      </c>
      <c r="W32" s="2">
        <f t="shared" si="23"/>
        <v>0</v>
      </c>
      <c r="X32" s="2">
        <f t="shared" si="24"/>
        <v>0</v>
      </c>
      <c r="Y32" s="2">
        <f t="shared" si="25"/>
        <v>0</v>
      </c>
      <c r="Z32" s="2"/>
      <c r="AA32" s="2">
        <v>94104265</v>
      </c>
      <c r="AB32" s="2">
        <f t="shared" si="26"/>
        <v>6056.81</v>
      </c>
      <c r="AC32" s="2">
        <f>ROUND((ES32),6)</f>
        <v>6056.81</v>
      </c>
      <c r="AD32" s="2">
        <f>ROUND((((ET32)-(EU32))+AE32),6)</f>
        <v>0</v>
      </c>
      <c r="AE32" s="2">
        <f t="shared" ref="AE32:AF34" si="42">ROUND((EU32),6)</f>
        <v>0</v>
      </c>
      <c r="AF32" s="2">
        <f t="shared" si="42"/>
        <v>0</v>
      </c>
      <c r="AG32" s="2">
        <f t="shared" si="27"/>
        <v>0</v>
      </c>
      <c r="AH32" s="2">
        <f t="shared" ref="AH32:AI34" si="43">(EW32)</f>
        <v>0</v>
      </c>
      <c r="AI32" s="2">
        <f t="shared" si="43"/>
        <v>0</v>
      </c>
      <c r="AJ32" s="2">
        <f t="shared" si="28"/>
        <v>0</v>
      </c>
      <c r="AK32" s="2">
        <v>6056.81</v>
      </c>
      <c r="AL32" s="2">
        <v>6056.81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102</v>
      </c>
      <c r="AU32" s="2">
        <v>58</v>
      </c>
      <c r="AV32" s="2">
        <v>1</v>
      </c>
      <c r="AW32" s="2">
        <v>1</v>
      </c>
      <c r="AX32" s="2"/>
      <c r="AY32" s="2"/>
      <c r="AZ32" s="2">
        <v>1</v>
      </c>
      <c r="BA32" s="2">
        <v>1</v>
      </c>
      <c r="BB32" s="2">
        <v>1</v>
      </c>
      <c r="BC32" s="2">
        <v>1</v>
      </c>
      <c r="BD32" s="2" t="s">
        <v>3</v>
      </c>
      <c r="BE32" s="2" t="s">
        <v>3</v>
      </c>
      <c r="BF32" s="2" t="s">
        <v>3</v>
      </c>
      <c r="BG32" s="2" t="s">
        <v>3</v>
      </c>
      <c r="BH32" s="2">
        <v>3</v>
      </c>
      <c r="BI32" s="2">
        <v>1</v>
      </c>
      <c r="BJ32" s="2" t="s">
        <v>52</v>
      </c>
      <c r="BK32" s="2"/>
      <c r="BL32" s="2"/>
      <c r="BM32" s="2">
        <v>6001</v>
      </c>
      <c r="BN32" s="2">
        <v>0</v>
      </c>
      <c r="BO32" s="2" t="s">
        <v>3</v>
      </c>
      <c r="BP32" s="2">
        <v>0</v>
      </c>
      <c r="BQ32" s="2">
        <v>2</v>
      </c>
      <c r="BR32" s="2">
        <v>0</v>
      </c>
      <c r="BS32" s="2">
        <v>1</v>
      </c>
      <c r="BT32" s="2">
        <v>1</v>
      </c>
      <c r="BU32" s="2">
        <v>1</v>
      </c>
      <c r="BV32" s="2">
        <v>1</v>
      </c>
      <c r="BW32" s="2">
        <v>1</v>
      </c>
      <c r="BX32" s="2">
        <v>1</v>
      </c>
      <c r="BY32" s="2" t="s">
        <v>3</v>
      </c>
      <c r="BZ32" s="2">
        <v>102</v>
      </c>
      <c r="CA32" s="2">
        <v>58</v>
      </c>
      <c r="CB32" s="2" t="s">
        <v>3</v>
      </c>
      <c r="CC32" s="2"/>
      <c r="CD32" s="2"/>
      <c r="CE32" s="2">
        <v>0</v>
      </c>
      <c r="CF32" s="2">
        <v>0</v>
      </c>
      <c r="CG32" s="2">
        <v>0</v>
      </c>
      <c r="CH32" s="2"/>
      <c r="CI32" s="2"/>
      <c r="CJ32" s="2"/>
      <c r="CK32" s="2"/>
      <c r="CL32" s="2"/>
      <c r="CM32" s="2">
        <v>0</v>
      </c>
      <c r="CN32" s="2" t="s">
        <v>3</v>
      </c>
      <c r="CO32" s="2">
        <v>0</v>
      </c>
      <c r="CP32" s="2">
        <f t="shared" si="29"/>
        <v>922.15</v>
      </c>
      <c r="CQ32" s="2">
        <f>ROUND(AL32*BC32,2)</f>
        <v>6056.81</v>
      </c>
      <c r="CR32" s="2">
        <f>ROUND(AM32*BB32,2)</f>
        <v>0</v>
      </c>
      <c r="CS32" s="2">
        <f>ROUND(AN32*BS32,2)</f>
        <v>0</v>
      </c>
      <c r="CT32" s="2">
        <f>ROUND(AO32*BA32,2)</f>
        <v>0</v>
      </c>
      <c r="CU32" s="2">
        <f t="shared" si="30"/>
        <v>0</v>
      </c>
      <c r="CV32" s="2">
        <f t="shared" ref="CV32:CW34" si="44">AH32</f>
        <v>0</v>
      </c>
      <c r="CW32" s="2">
        <f t="shared" si="44"/>
        <v>0</v>
      </c>
      <c r="CX32" s="2">
        <f t="shared" si="31"/>
        <v>0</v>
      </c>
      <c r="CY32" s="2">
        <f t="shared" si="32"/>
        <v>0</v>
      </c>
      <c r="CZ32" s="2">
        <f t="shared" si="33"/>
        <v>0</v>
      </c>
      <c r="DA32" s="2"/>
      <c r="DB32" s="2"/>
      <c r="DC32" s="2" t="s">
        <v>3</v>
      </c>
      <c r="DD32" s="2" t="s">
        <v>3</v>
      </c>
      <c r="DE32" s="2" t="s">
        <v>3</v>
      </c>
      <c r="DF32" s="2" t="s">
        <v>3</v>
      </c>
      <c r="DG32" s="2" t="s">
        <v>3</v>
      </c>
      <c r="DH32" s="2" t="s">
        <v>3</v>
      </c>
      <c r="DI32" s="2" t="s">
        <v>3</v>
      </c>
      <c r="DJ32" s="2" t="s">
        <v>3</v>
      </c>
      <c r="DK32" s="2" t="s">
        <v>3</v>
      </c>
      <c r="DL32" s="2" t="s">
        <v>3</v>
      </c>
      <c r="DM32" s="2" t="s">
        <v>3</v>
      </c>
      <c r="DN32" s="2">
        <v>0</v>
      </c>
      <c r="DO32" s="2">
        <v>0</v>
      </c>
      <c r="DP32" s="2">
        <v>1</v>
      </c>
      <c r="DQ32" s="2">
        <v>1</v>
      </c>
      <c r="DR32" s="2"/>
      <c r="DS32" s="2"/>
      <c r="DT32" s="2"/>
      <c r="DU32" s="2">
        <v>1007</v>
      </c>
      <c r="DV32" s="2" t="s">
        <v>34</v>
      </c>
      <c r="DW32" s="2" t="s">
        <v>34</v>
      </c>
      <c r="DX32" s="2">
        <v>1</v>
      </c>
      <c r="DY32" s="2"/>
      <c r="DZ32" s="2" t="s">
        <v>3</v>
      </c>
      <c r="EA32" s="2" t="s">
        <v>3</v>
      </c>
      <c r="EB32" s="2" t="s">
        <v>3</v>
      </c>
      <c r="EC32" s="2" t="s">
        <v>3</v>
      </c>
      <c r="ED32" s="2"/>
      <c r="EE32" s="2">
        <v>89976980</v>
      </c>
      <c r="EF32" s="2">
        <v>2</v>
      </c>
      <c r="EG32" s="2" t="s">
        <v>44</v>
      </c>
      <c r="EH32" s="2">
        <v>6</v>
      </c>
      <c r="EI32" s="2" t="s">
        <v>45</v>
      </c>
      <c r="EJ32" s="2">
        <v>1</v>
      </c>
      <c r="EK32" s="2">
        <v>6001</v>
      </c>
      <c r="EL32" s="2" t="s">
        <v>45</v>
      </c>
      <c r="EM32" s="2" t="s">
        <v>46</v>
      </c>
      <c r="EN32" s="2"/>
      <c r="EO32" s="2" t="s">
        <v>3</v>
      </c>
      <c r="EP32" s="2"/>
      <c r="EQ32" s="2">
        <v>0</v>
      </c>
      <c r="ER32" s="2">
        <v>6056.81</v>
      </c>
      <c r="ES32" s="2">
        <v>6056.81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>
        <v>0</v>
      </c>
      <c r="FR32" s="2">
        <v>0</v>
      </c>
      <c r="FS32" s="2">
        <v>0</v>
      </c>
      <c r="FT32" s="2"/>
      <c r="FU32" s="2"/>
      <c r="FV32" s="2"/>
      <c r="FW32" s="2"/>
      <c r="FX32" s="2">
        <v>102</v>
      </c>
      <c r="FY32" s="2">
        <v>58</v>
      </c>
      <c r="FZ32" s="2"/>
      <c r="GA32" s="2" t="s">
        <v>3</v>
      </c>
      <c r="GB32" s="2"/>
      <c r="GC32" s="2"/>
      <c r="GD32" s="2">
        <v>1</v>
      </c>
      <c r="GE32" s="2">
        <v>4541.55</v>
      </c>
      <c r="GF32" s="2">
        <v>740660255</v>
      </c>
      <c r="GG32" s="2">
        <v>2</v>
      </c>
      <c r="GH32" s="2">
        <v>1</v>
      </c>
      <c r="GI32" s="2">
        <v>-2</v>
      </c>
      <c r="GJ32" s="2">
        <v>0</v>
      </c>
      <c r="GK32" s="2">
        <v>0</v>
      </c>
      <c r="GL32" s="2">
        <f t="shared" si="34"/>
        <v>0</v>
      </c>
      <c r="GM32" s="2">
        <f t="shared" si="35"/>
        <v>922.15</v>
      </c>
      <c r="GN32" s="2">
        <f t="shared" si="36"/>
        <v>922.15</v>
      </c>
      <c r="GO32" s="2">
        <f t="shared" si="37"/>
        <v>0</v>
      </c>
      <c r="GP32" s="2">
        <f t="shared" si="38"/>
        <v>0</v>
      </c>
      <c r="GQ32" s="2"/>
      <c r="GR32" s="2">
        <v>3</v>
      </c>
      <c r="GS32" s="2">
        <v>0</v>
      </c>
      <c r="GT32" s="2">
        <v>0</v>
      </c>
      <c r="GU32" s="2" t="s">
        <v>3</v>
      </c>
      <c r="GV32" s="2">
        <f t="shared" si="39"/>
        <v>0</v>
      </c>
      <c r="GW32" s="2">
        <v>1</v>
      </c>
      <c r="GX32" s="2">
        <f t="shared" si="40"/>
        <v>0</v>
      </c>
      <c r="GY32" s="2"/>
      <c r="GZ32" s="2"/>
      <c r="HA32" s="2">
        <v>0</v>
      </c>
      <c r="HB32" s="2">
        <v>0</v>
      </c>
      <c r="HC32" s="2">
        <f t="shared" si="41"/>
        <v>0</v>
      </c>
      <c r="HD32" s="2"/>
      <c r="HE32" s="2" t="s">
        <v>3</v>
      </c>
      <c r="HF32" s="2" t="s">
        <v>3</v>
      </c>
      <c r="HG32" s="2"/>
      <c r="HH32" s="2"/>
      <c r="HI32" s="2"/>
      <c r="HJ32" s="2"/>
      <c r="HK32" s="2"/>
      <c r="HL32" s="2"/>
      <c r="HM32" s="2" t="s">
        <v>3</v>
      </c>
      <c r="HN32" s="2" t="s">
        <v>47</v>
      </c>
      <c r="HO32" s="2" t="s">
        <v>48</v>
      </c>
      <c r="HP32" s="2" t="s">
        <v>45</v>
      </c>
      <c r="HQ32" s="2" t="s">
        <v>45</v>
      </c>
      <c r="HR32" s="2"/>
      <c r="HS32" s="2">
        <v>0</v>
      </c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>
        <v>0</v>
      </c>
      <c r="IL32" s="2"/>
      <c r="IM32" s="2"/>
      <c r="IN32" s="2"/>
      <c r="IO32" s="2"/>
      <c r="IP32" s="2"/>
      <c r="IQ32" s="2"/>
      <c r="IR32" s="2"/>
      <c r="IS32" s="2"/>
      <c r="IT32" s="2"/>
      <c r="IU32" s="2"/>
    </row>
    <row r="33" spans="1:255" x14ac:dyDescent="0.2">
      <c r="A33" s="2">
        <v>18</v>
      </c>
      <c r="B33" s="2">
        <v>1</v>
      </c>
      <c r="C33" s="2">
        <v>23</v>
      </c>
      <c r="D33" s="2"/>
      <c r="E33" s="2" t="s">
        <v>53</v>
      </c>
      <c r="F33" s="2" t="s">
        <v>54</v>
      </c>
      <c r="G33" s="2" t="s">
        <v>55</v>
      </c>
      <c r="H33" s="2" t="s">
        <v>34</v>
      </c>
      <c r="I33" s="2">
        <f>I31*J33</f>
        <v>1.2999999999999999E-2</v>
      </c>
      <c r="J33" s="2">
        <v>8.666666666666667E-2</v>
      </c>
      <c r="K33" s="2">
        <v>8.6666699999999999E-2</v>
      </c>
      <c r="L33" s="2"/>
      <c r="M33" s="2"/>
      <c r="N33" s="2"/>
      <c r="O33" s="2">
        <f t="shared" si="21"/>
        <v>132.59</v>
      </c>
      <c r="P33" s="2">
        <f>ROUND(CQ33*I33,2)</f>
        <v>132.59</v>
      </c>
      <c r="Q33" s="2">
        <f>ROUND(CR33*I33,2)</f>
        <v>0</v>
      </c>
      <c r="R33" s="2">
        <f>ROUND(CS33*I33,2)</f>
        <v>0</v>
      </c>
      <c r="S33" s="2">
        <f>ROUND(CT33*I33,2)</f>
        <v>0</v>
      </c>
      <c r="T33" s="2">
        <f t="shared" si="22"/>
        <v>0</v>
      </c>
      <c r="U33" s="2">
        <f>ROUND(CV33*I33,7)</f>
        <v>0</v>
      </c>
      <c r="V33" s="2">
        <f>ROUND(CW33*I33,7)</f>
        <v>0</v>
      </c>
      <c r="W33" s="2">
        <f t="shared" si="23"/>
        <v>0</v>
      </c>
      <c r="X33" s="2">
        <f t="shared" si="24"/>
        <v>0</v>
      </c>
      <c r="Y33" s="2">
        <f t="shared" si="25"/>
        <v>0</v>
      </c>
      <c r="Z33" s="2"/>
      <c r="AA33" s="2">
        <v>94104265</v>
      </c>
      <c r="AB33" s="2">
        <f t="shared" si="26"/>
        <v>7555</v>
      </c>
      <c r="AC33" s="2">
        <f>ROUND((ES33),6)</f>
        <v>7555</v>
      </c>
      <c r="AD33" s="2">
        <f>ROUND((((ET33)-(EU33))+AE33),6)</f>
        <v>0</v>
      </c>
      <c r="AE33" s="2">
        <f t="shared" si="42"/>
        <v>0</v>
      </c>
      <c r="AF33" s="2">
        <f t="shared" si="42"/>
        <v>0</v>
      </c>
      <c r="AG33" s="2">
        <f t="shared" si="27"/>
        <v>0</v>
      </c>
      <c r="AH33" s="2">
        <f t="shared" si="43"/>
        <v>0</v>
      </c>
      <c r="AI33" s="2">
        <f t="shared" si="43"/>
        <v>0</v>
      </c>
      <c r="AJ33" s="2">
        <f t="shared" si="28"/>
        <v>0</v>
      </c>
      <c r="AK33" s="2">
        <v>7555</v>
      </c>
      <c r="AL33" s="2">
        <v>7555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102</v>
      </c>
      <c r="AU33" s="2">
        <v>58</v>
      </c>
      <c r="AV33" s="2">
        <v>1</v>
      </c>
      <c r="AW33" s="2">
        <v>1</v>
      </c>
      <c r="AX33" s="2"/>
      <c r="AY33" s="2"/>
      <c r="AZ33" s="2">
        <v>1</v>
      </c>
      <c r="BA33" s="2">
        <v>1</v>
      </c>
      <c r="BB33" s="2">
        <v>1</v>
      </c>
      <c r="BC33" s="2">
        <v>1.35</v>
      </c>
      <c r="BD33" s="2" t="s">
        <v>3</v>
      </c>
      <c r="BE33" s="2" t="s">
        <v>3</v>
      </c>
      <c r="BF33" s="2" t="s">
        <v>3</v>
      </c>
      <c r="BG33" s="2" t="s">
        <v>3</v>
      </c>
      <c r="BH33" s="2">
        <v>3</v>
      </c>
      <c r="BI33" s="2">
        <v>1</v>
      </c>
      <c r="BJ33" s="2" t="s">
        <v>56</v>
      </c>
      <c r="BK33" s="2"/>
      <c r="BL33" s="2"/>
      <c r="BM33" s="2">
        <v>6001</v>
      </c>
      <c r="BN33" s="2">
        <v>0</v>
      </c>
      <c r="BO33" s="2" t="s">
        <v>54</v>
      </c>
      <c r="BP33" s="2">
        <v>1</v>
      </c>
      <c r="BQ33" s="2">
        <v>2</v>
      </c>
      <c r="BR33" s="2">
        <v>0</v>
      </c>
      <c r="BS33" s="2">
        <v>1</v>
      </c>
      <c r="BT33" s="2">
        <v>1</v>
      </c>
      <c r="BU33" s="2">
        <v>1</v>
      </c>
      <c r="BV33" s="2">
        <v>1</v>
      </c>
      <c r="BW33" s="2">
        <v>1</v>
      </c>
      <c r="BX33" s="2">
        <v>1</v>
      </c>
      <c r="BY33" s="2" t="s">
        <v>3</v>
      </c>
      <c r="BZ33" s="2">
        <v>102</v>
      </c>
      <c r="CA33" s="2">
        <v>58</v>
      </c>
      <c r="CB33" s="2" t="s">
        <v>3</v>
      </c>
      <c r="CC33" s="2"/>
      <c r="CD33" s="2"/>
      <c r="CE33" s="2">
        <v>0</v>
      </c>
      <c r="CF33" s="2">
        <v>0</v>
      </c>
      <c r="CG33" s="2">
        <v>0</v>
      </c>
      <c r="CH33" s="2"/>
      <c r="CI33" s="2"/>
      <c r="CJ33" s="2"/>
      <c r="CK33" s="2"/>
      <c r="CL33" s="2"/>
      <c r="CM33" s="2">
        <v>0</v>
      </c>
      <c r="CN33" s="2" t="s">
        <v>3</v>
      </c>
      <c r="CO33" s="2">
        <v>0</v>
      </c>
      <c r="CP33" s="2">
        <f t="shared" si="29"/>
        <v>132.59</v>
      </c>
      <c r="CQ33" s="2">
        <f>ROUND(AL33*BC33,2)</f>
        <v>10199.25</v>
      </c>
      <c r="CR33" s="2">
        <f>ROUND(AM33*BB33,2)</f>
        <v>0</v>
      </c>
      <c r="CS33" s="2">
        <f>ROUND(AN33*BS33,2)</f>
        <v>0</v>
      </c>
      <c r="CT33" s="2">
        <f>ROUND(AO33*BA33,2)</f>
        <v>0</v>
      </c>
      <c r="CU33" s="2">
        <f t="shared" si="30"/>
        <v>0</v>
      </c>
      <c r="CV33" s="2">
        <f t="shared" si="44"/>
        <v>0</v>
      </c>
      <c r="CW33" s="2">
        <f t="shared" si="44"/>
        <v>0</v>
      </c>
      <c r="CX33" s="2">
        <f t="shared" si="31"/>
        <v>0</v>
      </c>
      <c r="CY33" s="2">
        <f t="shared" si="32"/>
        <v>0</v>
      </c>
      <c r="CZ33" s="2">
        <f t="shared" si="33"/>
        <v>0</v>
      </c>
      <c r="DA33" s="2"/>
      <c r="DB33" s="2"/>
      <c r="DC33" s="2" t="s">
        <v>3</v>
      </c>
      <c r="DD33" s="2" t="s">
        <v>3</v>
      </c>
      <c r="DE33" s="2" t="s">
        <v>3</v>
      </c>
      <c r="DF33" s="2" t="s">
        <v>3</v>
      </c>
      <c r="DG33" s="2" t="s">
        <v>3</v>
      </c>
      <c r="DH33" s="2" t="s">
        <v>3</v>
      </c>
      <c r="DI33" s="2" t="s">
        <v>3</v>
      </c>
      <c r="DJ33" s="2" t="s">
        <v>3</v>
      </c>
      <c r="DK33" s="2" t="s">
        <v>3</v>
      </c>
      <c r="DL33" s="2" t="s">
        <v>3</v>
      </c>
      <c r="DM33" s="2" t="s">
        <v>3</v>
      </c>
      <c r="DN33" s="2">
        <v>0</v>
      </c>
      <c r="DO33" s="2">
        <v>0</v>
      </c>
      <c r="DP33" s="2">
        <v>1</v>
      </c>
      <c r="DQ33" s="2">
        <v>1</v>
      </c>
      <c r="DR33" s="2"/>
      <c r="DS33" s="2"/>
      <c r="DT33" s="2"/>
      <c r="DU33" s="2">
        <v>1007</v>
      </c>
      <c r="DV33" s="2" t="s">
        <v>34</v>
      </c>
      <c r="DW33" s="2" t="s">
        <v>34</v>
      </c>
      <c r="DX33" s="2">
        <v>1</v>
      </c>
      <c r="DY33" s="2"/>
      <c r="DZ33" s="2" t="s">
        <v>3</v>
      </c>
      <c r="EA33" s="2" t="s">
        <v>3</v>
      </c>
      <c r="EB33" s="2" t="s">
        <v>3</v>
      </c>
      <c r="EC33" s="2" t="s">
        <v>3</v>
      </c>
      <c r="ED33" s="2"/>
      <c r="EE33" s="2">
        <v>89976980</v>
      </c>
      <c r="EF33" s="2">
        <v>2</v>
      </c>
      <c r="EG33" s="2" t="s">
        <v>44</v>
      </c>
      <c r="EH33" s="2">
        <v>6</v>
      </c>
      <c r="EI33" s="2" t="s">
        <v>45</v>
      </c>
      <c r="EJ33" s="2">
        <v>1</v>
      </c>
      <c r="EK33" s="2">
        <v>6001</v>
      </c>
      <c r="EL33" s="2" t="s">
        <v>45</v>
      </c>
      <c r="EM33" s="2" t="s">
        <v>46</v>
      </c>
      <c r="EN33" s="2"/>
      <c r="EO33" s="2" t="s">
        <v>3</v>
      </c>
      <c r="EP33" s="2"/>
      <c r="EQ33" s="2">
        <v>0</v>
      </c>
      <c r="ER33" s="2">
        <v>7555</v>
      </c>
      <c r="ES33" s="2">
        <v>7555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>
        <v>0</v>
      </c>
      <c r="FR33" s="2">
        <v>0</v>
      </c>
      <c r="FS33" s="2">
        <v>0</v>
      </c>
      <c r="FT33" s="2"/>
      <c r="FU33" s="2"/>
      <c r="FV33" s="2"/>
      <c r="FW33" s="2"/>
      <c r="FX33" s="2">
        <v>102</v>
      </c>
      <c r="FY33" s="2">
        <v>58</v>
      </c>
      <c r="FZ33" s="2"/>
      <c r="GA33" s="2" t="s">
        <v>3</v>
      </c>
      <c r="GB33" s="2"/>
      <c r="GC33" s="2"/>
      <c r="GD33" s="2">
        <v>1</v>
      </c>
      <c r="GE33" s="2"/>
      <c r="GF33" s="2">
        <v>194416042</v>
      </c>
      <c r="GG33" s="2">
        <v>2</v>
      </c>
      <c r="GH33" s="2">
        <v>1</v>
      </c>
      <c r="GI33" s="2">
        <v>2</v>
      </c>
      <c r="GJ33" s="2">
        <v>0</v>
      </c>
      <c r="GK33" s="2">
        <v>0</v>
      </c>
      <c r="GL33" s="2">
        <f t="shared" si="34"/>
        <v>0</v>
      </c>
      <c r="GM33" s="2">
        <f t="shared" si="35"/>
        <v>132.59</v>
      </c>
      <c r="GN33" s="2">
        <f t="shared" si="36"/>
        <v>132.59</v>
      </c>
      <c r="GO33" s="2">
        <f t="shared" si="37"/>
        <v>0</v>
      </c>
      <c r="GP33" s="2">
        <f t="shared" si="38"/>
        <v>0</v>
      </c>
      <c r="GQ33" s="2"/>
      <c r="GR33" s="2">
        <v>0</v>
      </c>
      <c r="GS33" s="2">
        <v>0</v>
      </c>
      <c r="GT33" s="2">
        <v>0</v>
      </c>
      <c r="GU33" s="2" t="s">
        <v>3</v>
      </c>
      <c r="GV33" s="2">
        <f t="shared" si="39"/>
        <v>0</v>
      </c>
      <c r="GW33" s="2">
        <v>1</v>
      </c>
      <c r="GX33" s="2">
        <f t="shared" si="40"/>
        <v>0</v>
      </c>
      <c r="GY33" s="2"/>
      <c r="GZ33" s="2"/>
      <c r="HA33" s="2">
        <v>0</v>
      </c>
      <c r="HB33" s="2">
        <v>0</v>
      </c>
      <c r="HC33" s="2">
        <f t="shared" si="41"/>
        <v>0</v>
      </c>
      <c r="HD33" s="2"/>
      <c r="HE33" s="2" t="s">
        <v>3</v>
      </c>
      <c r="HF33" s="2" t="s">
        <v>3</v>
      </c>
      <c r="HG33" s="2"/>
      <c r="HH33" s="2"/>
      <c r="HI33" s="2"/>
      <c r="HJ33" s="2"/>
      <c r="HK33" s="2"/>
      <c r="HL33" s="2"/>
      <c r="HM33" s="2" t="s">
        <v>3</v>
      </c>
      <c r="HN33" s="2" t="s">
        <v>47</v>
      </c>
      <c r="HO33" s="2" t="s">
        <v>48</v>
      </c>
      <c r="HP33" s="2" t="s">
        <v>45</v>
      </c>
      <c r="HQ33" s="2" t="s">
        <v>45</v>
      </c>
      <c r="HR33" s="2"/>
      <c r="HS33" s="2">
        <v>0</v>
      </c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>
        <v>0</v>
      </c>
      <c r="IL33" s="2"/>
      <c r="IM33" s="2"/>
      <c r="IN33" s="2"/>
      <c r="IO33" s="2"/>
      <c r="IP33" s="2"/>
      <c r="IQ33" s="2"/>
      <c r="IR33" s="2"/>
      <c r="IS33" s="2"/>
      <c r="IT33" s="2"/>
      <c r="IU33" s="2"/>
    </row>
    <row r="34" spans="1:255" x14ac:dyDescent="0.2">
      <c r="A34" s="2">
        <v>18</v>
      </c>
      <c r="B34" s="2">
        <v>1</v>
      </c>
      <c r="C34" s="2">
        <v>20</v>
      </c>
      <c r="D34" s="2"/>
      <c r="E34" s="2" t="s">
        <v>57</v>
      </c>
      <c r="F34" s="2" t="s">
        <v>58</v>
      </c>
      <c r="G34" s="2" t="s">
        <v>59</v>
      </c>
      <c r="H34" s="2" t="s">
        <v>60</v>
      </c>
      <c r="I34" s="2">
        <f>I31*J34</f>
        <v>1.0294118000000001</v>
      </c>
      <c r="J34" s="2">
        <v>6.8627453333333346</v>
      </c>
      <c r="K34" s="2">
        <v>6.8627450999999997</v>
      </c>
      <c r="L34" s="2"/>
      <c r="M34" s="2"/>
      <c r="N34" s="2"/>
      <c r="O34" s="2">
        <f t="shared" si="21"/>
        <v>99.08</v>
      </c>
      <c r="P34" s="2">
        <f>ROUND(CQ34*I34,2)</f>
        <v>99.08</v>
      </c>
      <c r="Q34" s="2">
        <f>ROUND(CR34*I34,2)</f>
        <v>0</v>
      </c>
      <c r="R34" s="2">
        <f>ROUND(CS34*I34,2)</f>
        <v>0</v>
      </c>
      <c r="S34" s="2">
        <f>ROUND(CT34*I34,2)</f>
        <v>0</v>
      </c>
      <c r="T34" s="2">
        <f t="shared" si="22"/>
        <v>0</v>
      </c>
      <c r="U34" s="2">
        <f>ROUND(CV34*I34,7)</f>
        <v>0</v>
      </c>
      <c r="V34" s="2">
        <f>ROUND(CW34*I34,7)</f>
        <v>0</v>
      </c>
      <c r="W34" s="2">
        <f t="shared" si="23"/>
        <v>0</v>
      </c>
      <c r="X34" s="2">
        <f t="shared" si="24"/>
        <v>0</v>
      </c>
      <c r="Y34" s="2">
        <f t="shared" si="25"/>
        <v>0</v>
      </c>
      <c r="Z34" s="2"/>
      <c r="AA34" s="2">
        <v>94104265</v>
      </c>
      <c r="AB34" s="2">
        <f t="shared" si="26"/>
        <v>93.45</v>
      </c>
      <c r="AC34" s="2">
        <f>ROUND((ES34),6)</f>
        <v>93.45</v>
      </c>
      <c r="AD34" s="2">
        <f>ROUND((((ET34)-(EU34))+AE34),6)</f>
        <v>0</v>
      </c>
      <c r="AE34" s="2">
        <f t="shared" si="42"/>
        <v>0</v>
      </c>
      <c r="AF34" s="2">
        <f t="shared" si="42"/>
        <v>0</v>
      </c>
      <c r="AG34" s="2">
        <f t="shared" si="27"/>
        <v>0</v>
      </c>
      <c r="AH34" s="2">
        <f t="shared" si="43"/>
        <v>0</v>
      </c>
      <c r="AI34" s="2">
        <f t="shared" si="43"/>
        <v>0</v>
      </c>
      <c r="AJ34" s="2">
        <f t="shared" si="28"/>
        <v>0</v>
      </c>
      <c r="AK34" s="2">
        <v>93.45</v>
      </c>
      <c r="AL34" s="2">
        <v>93.45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102</v>
      </c>
      <c r="AU34" s="2">
        <v>58</v>
      </c>
      <c r="AV34" s="2">
        <v>1</v>
      </c>
      <c r="AW34" s="2">
        <v>1</v>
      </c>
      <c r="AX34" s="2"/>
      <c r="AY34" s="2"/>
      <c r="AZ34" s="2">
        <v>1</v>
      </c>
      <c r="BA34" s="2">
        <v>1</v>
      </c>
      <c r="BB34" s="2">
        <v>1</v>
      </c>
      <c r="BC34" s="2">
        <v>1.03</v>
      </c>
      <c r="BD34" s="2" t="s">
        <v>3</v>
      </c>
      <c r="BE34" s="2" t="s">
        <v>3</v>
      </c>
      <c r="BF34" s="2" t="s">
        <v>3</v>
      </c>
      <c r="BG34" s="2" t="s">
        <v>3</v>
      </c>
      <c r="BH34" s="2">
        <v>3</v>
      </c>
      <c r="BI34" s="2">
        <v>1</v>
      </c>
      <c r="BJ34" s="2" t="s">
        <v>61</v>
      </c>
      <c r="BK34" s="2"/>
      <c r="BL34" s="2"/>
      <c r="BM34" s="2">
        <v>6001</v>
      </c>
      <c r="BN34" s="2">
        <v>0</v>
      </c>
      <c r="BO34" s="2" t="s">
        <v>58</v>
      </c>
      <c r="BP34" s="2">
        <v>1</v>
      </c>
      <c r="BQ34" s="2">
        <v>2</v>
      </c>
      <c r="BR34" s="2">
        <v>0</v>
      </c>
      <c r="BS34" s="2">
        <v>1</v>
      </c>
      <c r="BT34" s="2">
        <v>1</v>
      </c>
      <c r="BU34" s="2">
        <v>1</v>
      </c>
      <c r="BV34" s="2">
        <v>1</v>
      </c>
      <c r="BW34" s="2">
        <v>1</v>
      </c>
      <c r="BX34" s="2">
        <v>1</v>
      </c>
      <c r="BY34" s="2" t="s">
        <v>3</v>
      </c>
      <c r="BZ34" s="2">
        <v>102</v>
      </c>
      <c r="CA34" s="2">
        <v>58</v>
      </c>
      <c r="CB34" s="2" t="s">
        <v>3</v>
      </c>
      <c r="CC34" s="2"/>
      <c r="CD34" s="2"/>
      <c r="CE34" s="2">
        <v>0</v>
      </c>
      <c r="CF34" s="2">
        <v>0</v>
      </c>
      <c r="CG34" s="2">
        <v>0</v>
      </c>
      <c r="CH34" s="2"/>
      <c r="CI34" s="2"/>
      <c r="CJ34" s="2"/>
      <c r="CK34" s="2"/>
      <c r="CL34" s="2"/>
      <c r="CM34" s="2">
        <v>0</v>
      </c>
      <c r="CN34" s="2" t="s">
        <v>3</v>
      </c>
      <c r="CO34" s="2">
        <v>0</v>
      </c>
      <c r="CP34" s="2">
        <f t="shared" si="29"/>
        <v>99.08</v>
      </c>
      <c r="CQ34" s="2">
        <f>ROUND(AL34*BC34,2)</f>
        <v>96.25</v>
      </c>
      <c r="CR34" s="2">
        <f>ROUND(AM34*BB34,2)</f>
        <v>0</v>
      </c>
      <c r="CS34" s="2">
        <f>ROUND(AN34*BS34,2)</f>
        <v>0</v>
      </c>
      <c r="CT34" s="2">
        <f>ROUND(AO34*BA34,2)</f>
        <v>0</v>
      </c>
      <c r="CU34" s="2">
        <f t="shared" si="30"/>
        <v>0</v>
      </c>
      <c r="CV34" s="2">
        <f t="shared" si="44"/>
        <v>0</v>
      </c>
      <c r="CW34" s="2">
        <f t="shared" si="44"/>
        <v>0</v>
      </c>
      <c r="CX34" s="2">
        <f t="shared" si="31"/>
        <v>0</v>
      </c>
      <c r="CY34" s="2">
        <f t="shared" si="32"/>
        <v>0</v>
      </c>
      <c r="CZ34" s="2">
        <f t="shared" si="33"/>
        <v>0</v>
      </c>
      <c r="DA34" s="2"/>
      <c r="DB34" s="2"/>
      <c r="DC34" s="2" t="s">
        <v>3</v>
      </c>
      <c r="DD34" s="2" t="s">
        <v>3</v>
      </c>
      <c r="DE34" s="2" t="s">
        <v>3</v>
      </c>
      <c r="DF34" s="2" t="s">
        <v>3</v>
      </c>
      <c r="DG34" s="2" t="s">
        <v>3</v>
      </c>
      <c r="DH34" s="2" t="s">
        <v>3</v>
      </c>
      <c r="DI34" s="2" t="s">
        <v>3</v>
      </c>
      <c r="DJ34" s="2" t="s">
        <v>3</v>
      </c>
      <c r="DK34" s="2" t="s">
        <v>3</v>
      </c>
      <c r="DL34" s="2" t="s">
        <v>3</v>
      </c>
      <c r="DM34" s="2" t="s">
        <v>3</v>
      </c>
      <c r="DN34" s="2">
        <v>0</v>
      </c>
      <c r="DO34" s="2">
        <v>0</v>
      </c>
      <c r="DP34" s="2">
        <v>1</v>
      </c>
      <c r="DQ34" s="2">
        <v>1</v>
      </c>
      <c r="DR34" s="2"/>
      <c r="DS34" s="2"/>
      <c r="DT34" s="2"/>
      <c r="DU34" s="2">
        <v>1005</v>
      </c>
      <c r="DV34" s="2" t="s">
        <v>60</v>
      </c>
      <c r="DW34" s="2" t="s">
        <v>60</v>
      </c>
      <c r="DX34" s="2">
        <v>1</v>
      </c>
      <c r="DY34" s="2"/>
      <c r="DZ34" s="2" t="s">
        <v>3</v>
      </c>
      <c r="EA34" s="2" t="s">
        <v>3</v>
      </c>
      <c r="EB34" s="2" t="s">
        <v>3</v>
      </c>
      <c r="EC34" s="2" t="s">
        <v>3</v>
      </c>
      <c r="ED34" s="2"/>
      <c r="EE34" s="2">
        <v>89976980</v>
      </c>
      <c r="EF34" s="2">
        <v>2</v>
      </c>
      <c r="EG34" s="2" t="s">
        <v>44</v>
      </c>
      <c r="EH34" s="2">
        <v>6</v>
      </c>
      <c r="EI34" s="2" t="s">
        <v>45</v>
      </c>
      <c r="EJ34" s="2">
        <v>1</v>
      </c>
      <c r="EK34" s="2">
        <v>6001</v>
      </c>
      <c r="EL34" s="2" t="s">
        <v>45</v>
      </c>
      <c r="EM34" s="2" t="s">
        <v>46</v>
      </c>
      <c r="EN34" s="2"/>
      <c r="EO34" s="2" t="s">
        <v>3</v>
      </c>
      <c r="EP34" s="2"/>
      <c r="EQ34" s="2">
        <v>0</v>
      </c>
      <c r="ER34" s="2">
        <v>93.45</v>
      </c>
      <c r="ES34" s="2">
        <v>93.45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>
        <v>0</v>
      </c>
      <c r="FR34" s="2">
        <v>0</v>
      </c>
      <c r="FS34" s="2">
        <v>0</v>
      </c>
      <c r="FT34" s="2"/>
      <c r="FU34" s="2"/>
      <c r="FV34" s="2"/>
      <c r="FW34" s="2"/>
      <c r="FX34" s="2">
        <v>102</v>
      </c>
      <c r="FY34" s="2">
        <v>58</v>
      </c>
      <c r="FZ34" s="2"/>
      <c r="GA34" s="2" t="s">
        <v>3</v>
      </c>
      <c r="GB34" s="2"/>
      <c r="GC34" s="2"/>
      <c r="GD34" s="2">
        <v>1</v>
      </c>
      <c r="GE34" s="2"/>
      <c r="GF34" s="2">
        <v>-1004543746</v>
      </c>
      <c r="GG34" s="2">
        <v>2</v>
      </c>
      <c r="GH34" s="2">
        <v>1</v>
      </c>
      <c r="GI34" s="2">
        <v>2</v>
      </c>
      <c r="GJ34" s="2">
        <v>0</v>
      </c>
      <c r="GK34" s="2">
        <v>0</v>
      </c>
      <c r="GL34" s="2">
        <f t="shared" si="34"/>
        <v>0</v>
      </c>
      <c r="GM34" s="2">
        <f t="shared" si="35"/>
        <v>99.08</v>
      </c>
      <c r="GN34" s="2">
        <f t="shared" si="36"/>
        <v>99.08</v>
      </c>
      <c r="GO34" s="2">
        <f t="shared" si="37"/>
        <v>0</v>
      </c>
      <c r="GP34" s="2">
        <f t="shared" si="38"/>
        <v>0</v>
      </c>
      <c r="GQ34" s="2"/>
      <c r="GR34" s="2">
        <v>0</v>
      </c>
      <c r="GS34" s="2">
        <v>0</v>
      </c>
      <c r="GT34" s="2">
        <v>0</v>
      </c>
      <c r="GU34" s="2" t="s">
        <v>3</v>
      </c>
      <c r="GV34" s="2">
        <f t="shared" si="39"/>
        <v>0</v>
      </c>
      <c r="GW34" s="2">
        <v>1</v>
      </c>
      <c r="GX34" s="2">
        <f t="shared" si="40"/>
        <v>0</v>
      </c>
      <c r="GY34" s="2"/>
      <c r="GZ34" s="2"/>
      <c r="HA34" s="2">
        <v>0</v>
      </c>
      <c r="HB34" s="2">
        <v>0</v>
      </c>
      <c r="HC34" s="2">
        <f t="shared" si="41"/>
        <v>0</v>
      </c>
      <c r="HD34" s="2"/>
      <c r="HE34" s="2" t="s">
        <v>3</v>
      </c>
      <c r="HF34" s="2" t="s">
        <v>3</v>
      </c>
      <c r="HG34" s="2"/>
      <c r="HH34" s="2"/>
      <c r="HI34" s="2"/>
      <c r="HJ34" s="2"/>
      <c r="HK34" s="2"/>
      <c r="HL34" s="2"/>
      <c r="HM34" s="2" t="s">
        <v>3</v>
      </c>
      <c r="HN34" s="2" t="s">
        <v>47</v>
      </c>
      <c r="HO34" s="2" t="s">
        <v>48</v>
      </c>
      <c r="HP34" s="2" t="s">
        <v>45</v>
      </c>
      <c r="HQ34" s="2" t="s">
        <v>45</v>
      </c>
      <c r="HR34" s="2"/>
      <c r="HS34" s="2">
        <v>0</v>
      </c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>
        <v>0</v>
      </c>
      <c r="IL34" s="2"/>
      <c r="IM34" s="2"/>
      <c r="IN34" s="2"/>
      <c r="IO34" s="2"/>
      <c r="IP34" s="2"/>
      <c r="IQ34" s="2"/>
      <c r="IR34" s="2"/>
      <c r="IS34" s="2"/>
      <c r="IT34" s="2"/>
      <c r="IU34" s="2"/>
    </row>
    <row r="35" spans="1:255" x14ac:dyDescent="0.2">
      <c r="A35" s="2">
        <v>17</v>
      </c>
      <c r="B35" s="2">
        <v>1</v>
      </c>
      <c r="C35" s="2">
        <f>ROW(SmtRes!A33)</f>
        <v>33</v>
      </c>
      <c r="D35" s="2">
        <f>ROW(EtalonRes!A33)</f>
        <v>33</v>
      </c>
      <c r="E35" s="2" t="s">
        <v>62</v>
      </c>
      <c r="F35" s="2" t="s">
        <v>63</v>
      </c>
      <c r="G35" s="2" t="s">
        <v>64</v>
      </c>
      <c r="H35" s="2" t="s">
        <v>30</v>
      </c>
      <c r="I35" s="2">
        <v>5.9999999999999995E-4</v>
      </c>
      <c r="J35" s="2">
        <v>0</v>
      </c>
      <c r="K35" s="2">
        <v>5.9999999999999995E-4</v>
      </c>
      <c r="L35" s="2"/>
      <c r="M35" s="2"/>
      <c r="N35" s="2"/>
      <c r="O35" s="2">
        <f t="shared" si="21"/>
        <v>52.17</v>
      </c>
      <c r="P35" s="2">
        <f>SUMIF(SmtRes!AQ25:'SmtRes'!AQ33,"=1",SmtRes!DF25:'SmtRes'!DF33)</f>
        <v>2.73</v>
      </c>
      <c r="Q35" s="2">
        <f>SUMIF(SmtRes!AQ25:'SmtRes'!AQ33,"=1",SmtRes!DG25:'SmtRes'!DG33)</f>
        <v>0.32999999999999996</v>
      </c>
      <c r="R35" s="2">
        <f>SUMIF(SmtRes!AQ25:'SmtRes'!AQ33,"=1",SmtRes!DH25:'SmtRes'!DH33)</f>
        <v>0.25</v>
      </c>
      <c r="S35" s="2">
        <f>SUMIF(SmtRes!AQ25:'SmtRes'!AQ33,"=1",SmtRes!DI25:'SmtRes'!DI33)</f>
        <v>48.86</v>
      </c>
      <c r="T35" s="2">
        <f t="shared" si="22"/>
        <v>0</v>
      </c>
      <c r="U35" s="2">
        <f>SUMIF(SmtRes!AQ25:'SmtRes'!AQ33,"=1",SmtRes!CV25:'SmtRes'!CV33)</f>
        <v>7.0800000000000002E-2</v>
      </c>
      <c r="V35" s="2">
        <f>SUMIF(SmtRes!AQ25:'SmtRes'!AQ33,"=1",SmtRes!CW25:'SmtRes'!CW33)</f>
        <v>3.0000000000000003E-4</v>
      </c>
      <c r="W35" s="2">
        <f t="shared" si="23"/>
        <v>0</v>
      </c>
      <c r="X35" s="2">
        <f t="shared" si="24"/>
        <v>50.09</v>
      </c>
      <c r="Y35" s="2">
        <f t="shared" si="25"/>
        <v>28.48</v>
      </c>
      <c r="Z35" s="2"/>
      <c r="AA35" s="2">
        <v>94104265</v>
      </c>
      <c r="AB35" s="2">
        <f t="shared" si="26"/>
        <v>86450.958799999993</v>
      </c>
      <c r="AC35" s="2">
        <f>ROUND((SUM(SmtRes!BQ25:'SmtRes'!BQ33)),6)</f>
        <v>4462.6404000000002</v>
      </c>
      <c r="AD35" s="2">
        <f>ROUND((((SUM(SmtRes!BR25:'SmtRes'!BR33))-(SUM(SmtRes!BS25:'SmtRes'!BS33)))+AE35),6)</f>
        <v>549.4384</v>
      </c>
      <c r="AE35" s="2">
        <f>ROUND((SUM(SmtRes!BS25:'SmtRes'!BS33)),6)</f>
        <v>420.75119999999998</v>
      </c>
      <c r="AF35" s="2">
        <f>ROUND((SUM(SmtRes!BT25:'SmtRes'!BT33)),6)</f>
        <v>81438.880000000005</v>
      </c>
      <c r="AG35" s="2">
        <f t="shared" si="27"/>
        <v>0</v>
      </c>
      <c r="AH35" s="2">
        <f>(SUM(SmtRes!BU25:'SmtRes'!BU33))</f>
        <v>118</v>
      </c>
      <c r="AI35" s="2">
        <f>(SUM(SmtRes!BV25:'SmtRes'!BV33))</f>
        <v>0.5</v>
      </c>
      <c r="AJ35" s="2">
        <f t="shared" si="28"/>
        <v>0</v>
      </c>
      <c r="AK35" s="2">
        <v>86871.709999999992</v>
      </c>
      <c r="AL35" s="2">
        <v>4462.6403999999993</v>
      </c>
      <c r="AM35" s="2">
        <v>549.4384</v>
      </c>
      <c r="AN35" s="2">
        <v>420.75120000000004</v>
      </c>
      <c r="AO35" s="2">
        <v>81438.87999999999</v>
      </c>
      <c r="AP35" s="2">
        <v>0</v>
      </c>
      <c r="AQ35" s="2">
        <v>118</v>
      </c>
      <c r="AR35" s="2">
        <v>0.5</v>
      </c>
      <c r="AS35" s="2">
        <v>0</v>
      </c>
      <c r="AT35" s="2">
        <v>102</v>
      </c>
      <c r="AU35" s="2">
        <v>58</v>
      </c>
      <c r="AV35" s="2">
        <v>1</v>
      </c>
      <c r="AW35" s="2">
        <v>1</v>
      </c>
      <c r="AX35" s="2"/>
      <c r="AY35" s="2"/>
      <c r="AZ35" s="2">
        <v>1</v>
      </c>
      <c r="BA35" s="2">
        <v>1</v>
      </c>
      <c r="BB35" s="2">
        <v>1</v>
      </c>
      <c r="BC35" s="2">
        <v>1</v>
      </c>
      <c r="BD35" s="2" t="s">
        <v>3</v>
      </c>
      <c r="BE35" s="2" t="s">
        <v>3</v>
      </c>
      <c r="BF35" s="2" t="s">
        <v>3</v>
      </c>
      <c r="BG35" s="2" t="s">
        <v>3</v>
      </c>
      <c r="BH35" s="2">
        <v>0</v>
      </c>
      <c r="BI35" s="2">
        <v>1</v>
      </c>
      <c r="BJ35" s="2" t="s">
        <v>65</v>
      </c>
      <c r="BK35" s="2"/>
      <c r="BL35" s="2"/>
      <c r="BM35" s="2">
        <v>6001</v>
      </c>
      <c r="BN35" s="2">
        <v>0</v>
      </c>
      <c r="BO35" s="2" t="s">
        <v>3</v>
      </c>
      <c r="BP35" s="2">
        <v>0</v>
      </c>
      <c r="BQ35" s="2">
        <v>2</v>
      </c>
      <c r="BR35" s="2">
        <v>0</v>
      </c>
      <c r="BS35" s="2">
        <v>1</v>
      </c>
      <c r="BT35" s="2">
        <v>1</v>
      </c>
      <c r="BU35" s="2">
        <v>1</v>
      </c>
      <c r="BV35" s="2">
        <v>1</v>
      </c>
      <c r="BW35" s="2">
        <v>1</v>
      </c>
      <c r="BX35" s="2">
        <v>1</v>
      </c>
      <c r="BY35" s="2" t="s">
        <v>3</v>
      </c>
      <c r="BZ35" s="2">
        <v>102</v>
      </c>
      <c r="CA35" s="2">
        <v>58</v>
      </c>
      <c r="CB35" s="2" t="s">
        <v>3</v>
      </c>
      <c r="CC35" s="2"/>
      <c r="CD35" s="2"/>
      <c r="CE35" s="2">
        <v>0</v>
      </c>
      <c r="CF35" s="2">
        <v>0</v>
      </c>
      <c r="CG35" s="2">
        <v>0</v>
      </c>
      <c r="CH35" s="2"/>
      <c r="CI35" s="2"/>
      <c r="CJ35" s="2"/>
      <c r="CK35" s="2"/>
      <c r="CL35" s="2"/>
      <c r="CM35" s="2">
        <v>0</v>
      </c>
      <c r="CN35" s="2" t="s">
        <v>3</v>
      </c>
      <c r="CO35" s="2">
        <v>0</v>
      </c>
      <c r="CP35" s="2">
        <f t="shared" si="29"/>
        <v>52.17</v>
      </c>
      <c r="CQ35" s="2">
        <f>SUMIF(SmtRes!AQ25:'SmtRes'!AQ33,"=1",SmtRes!AA25:'SmtRes'!AA33)</f>
        <v>117566.93</v>
      </c>
      <c r="CR35" s="2">
        <f>SUMIF(SmtRes!AQ25:'SmtRes'!AQ33,"=1",SmtRes!AB25:'SmtRes'!AB33)</f>
        <v>2162.7199999999998</v>
      </c>
      <c r="CS35" s="2">
        <f>SUMIF(SmtRes!AQ25:'SmtRes'!AQ33,"=1",SmtRes!AC25:'SmtRes'!AC33)</f>
        <v>1713.12</v>
      </c>
      <c r="CT35" s="2">
        <f>SUMIF(SmtRes!AQ25:'SmtRes'!AQ33,"=1",SmtRes!AD25:'SmtRes'!AD33)</f>
        <v>690.16</v>
      </c>
      <c r="CU35" s="2">
        <f t="shared" si="30"/>
        <v>0</v>
      </c>
      <c r="CV35" s="2">
        <f>SUMIF(SmtRes!AQ25:'SmtRes'!AQ33,"=1",SmtRes!BU25:'SmtRes'!BU33)</f>
        <v>118</v>
      </c>
      <c r="CW35" s="2">
        <f>SUMIF(SmtRes!AQ25:'SmtRes'!AQ33,"=1",SmtRes!BV25:'SmtRes'!BV33)</f>
        <v>0.5</v>
      </c>
      <c r="CX35" s="2">
        <f t="shared" si="31"/>
        <v>0</v>
      </c>
      <c r="CY35" s="2">
        <f t="shared" si="32"/>
        <v>50.092200000000005</v>
      </c>
      <c r="CZ35" s="2">
        <f t="shared" si="33"/>
        <v>28.483800000000002</v>
      </c>
      <c r="DA35" s="2"/>
      <c r="DB35" s="2"/>
      <c r="DC35" s="2" t="s">
        <v>3</v>
      </c>
      <c r="DD35" s="2" t="s">
        <v>3</v>
      </c>
      <c r="DE35" s="2" t="s">
        <v>3</v>
      </c>
      <c r="DF35" s="2" t="s">
        <v>3</v>
      </c>
      <c r="DG35" s="2" t="s">
        <v>3</v>
      </c>
      <c r="DH35" s="2" t="s">
        <v>3</v>
      </c>
      <c r="DI35" s="2" t="s">
        <v>3</v>
      </c>
      <c r="DJ35" s="2" t="s">
        <v>3</v>
      </c>
      <c r="DK35" s="2" t="s">
        <v>3</v>
      </c>
      <c r="DL35" s="2" t="s">
        <v>3</v>
      </c>
      <c r="DM35" s="2" t="s">
        <v>3</v>
      </c>
      <c r="DN35" s="2">
        <v>0</v>
      </c>
      <c r="DO35" s="2">
        <v>0</v>
      </c>
      <c r="DP35" s="2">
        <v>1</v>
      </c>
      <c r="DQ35" s="2">
        <v>1</v>
      </c>
      <c r="DR35" s="2"/>
      <c r="DS35" s="2"/>
      <c r="DT35" s="2"/>
      <c r="DU35" s="2">
        <v>1009</v>
      </c>
      <c r="DV35" s="2" t="s">
        <v>30</v>
      </c>
      <c r="DW35" s="2" t="s">
        <v>30</v>
      </c>
      <c r="DX35" s="2">
        <v>1000</v>
      </c>
      <c r="DY35" s="2"/>
      <c r="DZ35" s="2" t="s">
        <v>3</v>
      </c>
      <c r="EA35" s="2" t="s">
        <v>3</v>
      </c>
      <c r="EB35" s="2" t="s">
        <v>3</v>
      </c>
      <c r="EC35" s="2" t="s">
        <v>3</v>
      </c>
      <c r="ED35" s="2"/>
      <c r="EE35" s="2">
        <v>89976980</v>
      </c>
      <c r="EF35" s="2">
        <v>2</v>
      </c>
      <c r="EG35" s="2" t="s">
        <v>44</v>
      </c>
      <c r="EH35" s="2">
        <v>6</v>
      </c>
      <c r="EI35" s="2" t="s">
        <v>45</v>
      </c>
      <c r="EJ35" s="2">
        <v>1</v>
      </c>
      <c r="EK35" s="2">
        <v>6001</v>
      </c>
      <c r="EL35" s="2" t="s">
        <v>45</v>
      </c>
      <c r="EM35" s="2" t="s">
        <v>46</v>
      </c>
      <c r="EN35" s="2"/>
      <c r="EO35" s="2" t="s">
        <v>3</v>
      </c>
      <c r="EP35" s="2"/>
      <c r="EQ35" s="2">
        <v>0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118</v>
      </c>
      <c r="EX35" s="2">
        <v>0.5</v>
      </c>
      <c r="EY35" s="2">
        <v>0</v>
      </c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>
        <v>0</v>
      </c>
      <c r="FR35" s="2">
        <v>0</v>
      </c>
      <c r="FS35" s="2">
        <v>0</v>
      </c>
      <c r="FT35" s="2"/>
      <c r="FU35" s="2"/>
      <c r="FV35" s="2"/>
      <c r="FW35" s="2"/>
      <c r="FX35" s="2">
        <v>102</v>
      </c>
      <c r="FY35" s="2">
        <v>58</v>
      </c>
      <c r="FZ35" s="2"/>
      <c r="GA35" s="2" t="s">
        <v>3</v>
      </c>
      <c r="GB35" s="2"/>
      <c r="GC35" s="2"/>
      <c r="GD35" s="2">
        <v>1</v>
      </c>
      <c r="GE35" s="2"/>
      <c r="GF35" s="2">
        <v>-1969773591</v>
      </c>
      <c r="GG35" s="2">
        <v>2</v>
      </c>
      <c r="GH35" s="2">
        <v>1</v>
      </c>
      <c r="GI35" s="2">
        <v>-2</v>
      </c>
      <c r="GJ35" s="2">
        <v>0</v>
      </c>
      <c r="GK35" s="2">
        <v>0</v>
      </c>
      <c r="GL35" s="2">
        <f t="shared" si="34"/>
        <v>0</v>
      </c>
      <c r="GM35" s="2">
        <f t="shared" si="35"/>
        <v>130.74</v>
      </c>
      <c r="GN35" s="2">
        <f t="shared" si="36"/>
        <v>130.74</v>
      </c>
      <c r="GO35" s="2">
        <f t="shared" si="37"/>
        <v>0</v>
      </c>
      <c r="GP35" s="2">
        <f t="shared" si="38"/>
        <v>0</v>
      </c>
      <c r="GQ35" s="2"/>
      <c r="GR35" s="2">
        <v>0</v>
      </c>
      <c r="GS35" s="2">
        <v>0</v>
      </c>
      <c r="GT35" s="2">
        <v>0</v>
      </c>
      <c r="GU35" s="2" t="s">
        <v>3</v>
      </c>
      <c r="GV35" s="2">
        <f t="shared" si="39"/>
        <v>0</v>
      </c>
      <c r="GW35" s="2">
        <v>1</v>
      </c>
      <c r="GX35" s="2">
        <f t="shared" si="40"/>
        <v>0</v>
      </c>
      <c r="GY35" s="2"/>
      <c r="GZ35" s="2"/>
      <c r="HA35" s="2">
        <v>0</v>
      </c>
      <c r="HB35" s="2">
        <v>0</v>
      </c>
      <c r="HC35" s="2">
        <f t="shared" si="41"/>
        <v>0</v>
      </c>
      <c r="HD35" s="2"/>
      <c r="HE35" s="2" t="s">
        <v>3</v>
      </c>
      <c r="HF35" s="2" t="s">
        <v>3</v>
      </c>
      <c r="HG35" s="2"/>
      <c r="HH35" s="2"/>
      <c r="HI35" s="2"/>
      <c r="HJ35" s="2"/>
      <c r="HK35" s="2"/>
      <c r="HL35" s="2"/>
      <c r="HM35" s="2" t="s">
        <v>3</v>
      </c>
      <c r="HN35" s="2" t="s">
        <v>47</v>
      </c>
      <c r="HO35" s="2" t="s">
        <v>48</v>
      </c>
      <c r="HP35" s="2" t="s">
        <v>45</v>
      </c>
      <c r="HQ35" s="2" t="s">
        <v>45</v>
      </c>
      <c r="HR35" s="2"/>
      <c r="HS35" s="2">
        <v>0</v>
      </c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>
        <v>0</v>
      </c>
      <c r="IL35" s="2"/>
      <c r="IM35" s="2"/>
      <c r="IN35" s="2"/>
      <c r="IO35" s="2"/>
      <c r="IP35" s="2"/>
      <c r="IQ35" s="2"/>
      <c r="IR35" s="2"/>
      <c r="IS35" s="2"/>
      <c r="IT35" s="2"/>
      <c r="IU35" s="2"/>
    </row>
    <row r="36" spans="1:255" x14ac:dyDescent="0.2">
      <c r="A36" s="2">
        <v>18</v>
      </c>
      <c r="B36" s="2">
        <v>1</v>
      </c>
      <c r="C36" s="2">
        <v>32</v>
      </c>
      <c r="D36" s="2"/>
      <c r="E36" s="2" t="s">
        <v>66</v>
      </c>
      <c r="F36" s="2" t="s">
        <v>67</v>
      </c>
      <c r="G36" s="2" t="s">
        <v>68</v>
      </c>
      <c r="H36" s="2" t="s">
        <v>30</v>
      </c>
      <c r="I36" s="2">
        <f>I35*J36</f>
        <v>5.9999999999999995E-4</v>
      </c>
      <c r="J36" s="2">
        <v>1</v>
      </c>
      <c r="K36" s="2">
        <v>1</v>
      </c>
      <c r="L36" s="2"/>
      <c r="M36" s="2"/>
      <c r="N36" s="2"/>
      <c r="O36" s="2">
        <f t="shared" si="21"/>
        <v>124.23</v>
      </c>
      <c r="P36" s="2">
        <f>ROUND(CQ36*I36,2)</f>
        <v>124.23</v>
      </c>
      <c r="Q36" s="2">
        <f>ROUND(CR36*I36,2)</f>
        <v>0</v>
      </c>
      <c r="R36" s="2">
        <f>ROUND(CS36*I36,2)</f>
        <v>0</v>
      </c>
      <c r="S36" s="2">
        <f>ROUND(CT36*I36,2)</f>
        <v>0</v>
      </c>
      <c r="T36" s="2">
        <f t="shared" si="22"/>
        <v>0</v>
      </c>
      <c r="U36" s="2">
        <f>ROUND(CV36*I36,7)</f>
        <v>0</v>
      </c>
      <c r="V36" s="2">
        <f>ROUND(CW36*I36,7)</f>
        <v>0</v>
      </c>
      <c r="W36" s="2">
        <f t="shared" si="23"/>
        <v>0</v>
      </c>
      <c r="X36" s="2">
        <f t="shared" si="24"/>
        <v>0</v>
      </c>
      <c r="Y36" s="2">
        <f t="shared" si="25"/>
        <v>0</v>
      </c>
      <c r="Z36" s="2"/>
      <c r="AA36" s="2">
        <v>94104265</v>
      </c>
      <c r="AB36" s="2">
        <f t="shared" si="26"/>
        <v>191710.91</v>
      </c>
      <c r="AC36" s="2">
        <f>ROUND((ES36),6)</f>
        <v>191710.91</v>
      </c>
      <c r="AD36" s="2">
        <f>ROUND((((ET36)-(EU36))+AE36),6)</f>
        <v>0</v>
      </c>
      <c r="AE36" s="2">
        <f>ROUND((EU36),6)</f>
        <v>0</v>
      </c>
      <c r="AF36" s="2">
        <f>ROUND((EV36),6)</f>
        <v>0</v>
      </c>
      <c r="AG36" s="2">
        <f t="shared" si="27"/>
        <v>0</v>
      </c>
      <c r="AH36" s="2">
        <f>(EW36)</f>
        <v>0</v>
      </c>
      <c r="AI36" s="2">
        <f>(EX36)</f>
        <v>0</v>
      </c>
      <c r="AJ36" s="2">
        <f t="shared" si="28"/>
        <v>0</v>
      </c>
      <c r="AK36" s="2">
        <v>191710.91</v>
      </c>
      <c r="AL36" s="2">
        <v>191710.91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102</v>
      </c>
      <c r="AU36" s="2">
        <v>58</v>
      </c>
      <c r="AV36" s="2">
        <v>1</v>
      </c>
      <c r="AW36" s="2">
        <v>1</v>
      </c>
      <c r="AX36" s="2"/>
      <c r="AY36" s="2"/>
      <c r="AZ36" s="2">
        <v>1</v>
      </c>
      <c r="BA36" s="2">
        <v>1</v>
      </c>
      <c r="BB36" s="2">
        <v>1</v>
      </c>
      <c r="BC36" s="2">
        <v>1.08</v>
      </c>
      <c r="BD36" s="2" t="s">
        <v>3</v>
      </c>
      <c r="BE36" s="2" t="s">
        <v>3</v>
      </c>
      <c r="BF36" s="2" t="s">
        <v>3</v>
      </c>
      <c r="BG36" s="2" t="s">
        <v>3</v>
      </c>
      <c r="BH36" s="2">
        <v>3</v>
      </c>
      <c r="BI36" s="2">
        <v>1</v>
      </c>
      <c r="BJ36" s="2" t="s">
        <v>69</v>
      </c>
      <c r="BK36" s="2"/>
      <c r="BL36" s="2"/>
      <c r="BM36" s="2">
        <v>6001</v>
      </c>
      <c r="BN36" s="2">
        <v>0</v>
      </c>
      <c r="BO36" s="2" t="s">
        <v>67</v>
      </c>
      <c r="BP36" s="2">
        <v>1</v>
      </c>
      <c r="BQ36" s="2">
        <v>2</v>
      </c>
      <c r="BR36" s="2">
        <v>0</v>
      </c>
      <c r="BS36" s="2">
        <v>1</v>
      </c>
      <c r="BT36" s="2">
        <v>1</v>
      </c>
      <c r="BU36" s="2">
        <v>1</v>
      </c>
      <c r="BV36" s="2">
        <v>1</v>
      </c>
      <c r="BW36" s="2">
        <v>1</v>
      </c>
      <c r="BX36" s="2">
        <v>1</v>
      </c>
      <c r="BY36" s="2" t="s">
        <v>3</v>
      </c>
      <c r="BZ36" s="2">
        <v>102</v>
      </c>
      <c r="CA36" s="2">
        <v>58</v>
      </c>
      <c r="CB36" s="2" t="s">
        <v>3</v>
      </c>
      <c r="CC36" s="2"/>
      <c r="CD36" s="2"/>
      <c r="CE36" s="2">
        <v>0</v>
      </c>
      <c r="CF36" s="2">
        <v>0</v>
      </c>
      <c r="CG36" s="2">
        <v>0</v>
      </c>
      <c r="CH36" s="2"/>
      <c r="CI36" s="2"/>
      <c r="CJ36" s="2"/>
      <c r="CK36" s="2"/>
      <c r="CL36" s="2"/>
      <c r="CM36" s="2">
        <v>0</v>
      </c>
      <c r="CN36" s="2" t="s">
        <v>3</v>
      </c>
      <c r="CO36" s="2">
        <v>0</v>
      </c>
      <c r="CP36" s="2">
        <f t="shared" si="29"/>
        <v>124.23</v>
      </c>
      <c r="CQ36" s="2">
        <f>ROUND(AL36*BC36,2)</f>
        <v>207047.78</v>
      </c>
      <c r="CR36" s="2">
        <f>ROUND(AM36*BB36,2)</f>
        <v>0</v>
      </c>
      <c r="CS36" s="2">
        <f>ROUND(AN36*BS36,2)</f>
        <v>0</v>
      </c>
      <c r="CT36" s="2">
        <f>ROUND(AO36*BA36,2)</f>
        <v>0</v>
      </c>
      <c r="CU36" s="2">
        <f t="shared" si="30"/>
        <v>0</v>
      </c>
      <c r="CV36" s="2">
        <f>AH36</f>
        <v>0</v>
      </c>
      <c r="CW36" s="2">
        <f>AI36</f>
        <v>0</v>
      </c>
      <c r="CX36" s="2">
        <f t="shared" si="31"/>
        <v>0</v>
      </c>
      <c r="CY36" s="2">
        <f t="shared" si="32"/>
        <v>0</v>
      </c>
      <c r="CZ36" s="2">
        <f t="shared" si="33"/>
        <v>0</v>
      </c>
      <c r="DA36" s="2"/>
      <c r="DB36" s="2"/>
      <c r="DC36" s="2" t="s">
        <v>3</v>
      </c>
      <c r="DD36" s="2" t="s">
        <v>3</v>
      </c>
      <c r="DE36" s="2" t="s">
        <v>3</v>
      </c>
      <c r="DF36" s="2" t="s">
        <v>3</v>
      </c>
      <c r="DG36" s="2" t="s">
        <v>3</v>
      </c>
      <c r="DH36" s="2" t="s">
        <v>3</v>
      </c>
      <c r="DI36" s="2" t="s">
        <v>3</v>
      </c>
      <c r="DJ36" s="2" t="s">
        <v>3</v>
      </c>
      <c r="DK36" s="2" t="s">
        <v>3</v>
      </c>
      <c r="DL36" s="2" t="s">
        <v>3</v>
      </c>
      <c r="DM36" s="2" t="s">
        <v>3</v>
      </c>
      <c r="DN36" s="2">
        <v>0</v>
      </c>
      <c r="DO36" s="2">
        <v>0</v>
      </c>
      <c r="DP36" s="2">
        <v>1</v>
      </c>
      <c r="DQ36" s="2">
        <v>1</v>
      </c>
      <c r="DR36" s="2"/>
      <c r="DS36" s="2"/>
      <c r="DT36" s="2"/>
      <c r="DU36" s="2">
        <v>1009</v>
      </c>
      <c r="DV36" s="2" t="s">
        <v>30</v>
      </c>
      <c r="DW36" s="2" t="s">
        <v>30</v>
      </c>
      <c r="DX36" s="2">
        <v>1000</v>
      </c>
      <c r="DY36" s="2"/>
      <c r="DZ36" s="2" t="s">
        <v>3</v>
      </c>
      <c r="EA36" s="2" t="s">
        <v>3</v>
      </c>
      <c r="EB36" s="2" t="s">
        <v>3</v>
      </c>
      <c r="EC36" s="2" t="s">
        <v>3</v>
      </c>
      <c r="ED36" s="2"/>
      <c r="EE36" s="2">
        <v>89976980</v>
      </c>
      <c r="EF36" s="2">
        <v>2</v>
      </c>
      <c r="EG36" s="2" t="s">
        <v>44</v>
      </c>
      <c r="EH36" s="2">
        <v>6</v>
      </c>
      <c r="EI36" s="2" t="s">
        <v>45</v>
      </c>
      <c r="EJ36" s="2">
        <v>1</v>
      </c>
      <c r="EK36" s="2">
        <v>6001</v>
      </c>
      <c r="EL36" s="2" t="s">
        <v>45</v>
      </c>
      <c r="EM36" s="2" t="s">
        <v>46</v>
      </c>
      <c r="EN36" s="2"/>
      <c r="EO36" s="2" t="s">
        <v>3</v>
      </c>
      <c r="EP36" s="2"/>
      <c r="EQ36" s="2">
        <v>0</v>
      </c>
      <c r="ER36" s="2">
        <v>191710.91</v>
      </c>
      <c r="ES36" s="2">
        <v>191710.91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>
        <v>0</v>
      </c>
      <c r="FR36" s="2">
        <v>0</v>
      </c>
      <c r="FS36" s="2">
        <v>0</v>
      </c>
      <c r="FT36" s="2"/>
      <c r="FU36" s="2"/>
      <c r="FV36" s="2"/>
      <c r="FW36" s="2"/>
      <c r="FX36" s="2">
        <v>102</v>
      </c>
      <c r="FY36" s="2">
        <v>58</v>
      </c>
      <c r="FZ36" s="2"/>
      <c r="GA36" s="2" t="s">
        <v>3</v>
      </c>
      <c r="GB36" s="2"/>
      <c r="GC36" s="2"/>
      <c r="GD36" s="2">
        <v>1</v>
      </c>
      <c r="GE36" s="2"/>
      <c r="GF36" s="2">
        <v>1532513223</v>
      </c>
      <c r="GG36" s="2">
        <v>2</v>
      </c>
      <c r="GH36" s="2">
        <v>1</v>
      </c>
      <c r="GI36" s="2">
        <v>2</v>
      </c>
      <c r="GJ36" s="2">
        <v>0</v>
      </c>
      <c r="GK36" s="2">
        <v>0</v>
      </c>
      <c r="GL36" s="2">
        <f t="shared" si="34"/>
        <v>0</v>
      </c>
      <c r="GM36" s="2">
        <f t="shared" si="35"/>
        <v>124.23</v>
      </c>
      <c r="GN36" s="2">
        <f t="shared" si="36"/>
        <v>124.23</v>
      </c>
      <c r="GO36" s="2">
        <f t="shared" si="37"/>
        <v>0</v>
      </c>
      <c r="GP36" s="2">
        <f t="shared" si="38"/>
        <v>0</v>
      </c>
      <c r="GQ36" s="2"/>
      <c r="GR36" s="2">
        <v>0</v>
      </c>
      <c r="GS36" s="2">
        <v>0</v>
      </c>
      <c r="GT36" s="2">
        <v>0</v>
      </c>
      <c r="GU36" s="2" t="s">
        <v>3</v>
      </c>
      <c r="GV36" s="2">
        <f t="shared" si="39"/>
        <v>0</v>
      </c>
      <c r="GW36" s="2">
        <v>1</v>
      </c>
      <c r="GX36" s="2">
        <f t="shared" si="40"/>
        <v>0</v>
      </c>
      <c r="GY36" s="2"/>
      <c r="GZ36" s="2"/>
      <c r="HA36" s="2">
        <v>0</v>
      </c>
      <c r="HB36" s="2">
        <v>0</v>
      </c>
      <c r="HC36" s="2">
        <f t="shared" si="41"/>
        <v>0</v>
      </c>
      <c r="HD36" s="2"/>
      <c r="HE36" s="2" t="s">
        <v>3</v>
      </c>
      <c r="HF36" s="2" t="s">
        <v>3</v>
      </c>
      <c r="HG36" s="2"/>
      <c r="HH36" s="2"/>
      <c r="HI36" s="2"/>
      <c r="HJ36" s="2"/>
      <c r="HK36" s="2"/>
      <c r="HL36" s="2"/>
      <c r="HM36" s="2" t="s">
        <v>3</v>
      </c>
      <c r="HN36" s="2" t="s">
        <v>47</v>
      </c>
      <c r="HO36" s="2" t="s">
        <v>48</v>
      </c>
      <c r="HP36" s="2" t="s">
        <v>45</v>
      </c>
      <c r="HQ36" s="2" t="s">
        <v>45</v>
      </c>
      <c r="HR36" s="2"/>
      <c r="HS36" s="2">
        <v>0</v>
      </c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>
        <v>0</v>
      </c>
      <c r="IL36" s="2"/>
      <c r="IM36" s="2"/>
      <c r="IN36" s="2"/>
      <c r="IO36" s="2"/>
      <c r="IP36" s="2"/>
      <c r="IQ36" s="2"/>
      <c r="IR36" s="2"/>
      <c r="IS36" s="2"/>
      <c r="IT36" s="2"/>
      <c r="IU36" s="2"/>
    </row>
    <row r="37" spans="1:255" x14ac:dyDescent="0.2">
      <c r="A37" s="2">
        <v>17</v>
      </c>
      <c r="B37" s="2">
        <v>1</v>
      </c>
      <c r="C37" s="2">
        <f>ROW(SmtRes!A45)</f>
        <v>45</v>
      </c>
      <c r="D37" s="2">
        <f>ROW(EtalonRes!A45)</f>
        <v>45</v>
      </c>
      <c r="E37" s="2" t="s">
        <v>70</v>
      </c>
      <c r="F37" s="2" t="s">
        <v>71</v>
      </c>
      <c r="G37" s="2" t="s">
        <v>72</v>
      </c>
      <c r="H37" s="2" t="s">
        <v>20</v>
      </c>
      <c r="I37" s="2">
        <f>ROUND(1.85/100,7)</f>
        <v>1.8499999999999999E-2</v>
      </c>
      <c r="J37" s="2">
        <v>0</v>
      </c>
      <c r="K37" s="2">
        <f>ROUND(1.85/100,7)</f>
        <v>1.8499999999999999E-2</v>
      </c>
      <c r="L37" s="2"/>
      <c r="M37" s="2"/>
      <c r="N37" s="2"/>
      <c r="O37" s="2">
        <f t="shared" si="21"/>
        <v>732.94</v>
      </c>
      <c r="P37" s="2">
        <f>SUMIF(SmtRes!AQ34:'SmtRes'!AQ45,"=1",SmtRes!DF34:'SmtRes'!DF45)</f>
        <v>339.96999999999997</v>
      </c>
      <c r="Q37" s="2">
        <f>SUMIF(SmtRes!AQ34:'SmtRes'!AQ45,"=1",SmtRes!DG34:'SmtRes'!DG45)</f>
        <v>14.629999999999999</v>
      </c>
      <c r="R37" s="2">
        <f>SUMIF(SmtRes!AQ34:'SmtRes'!AQ45,"=1",SmtRes!DH34:'SmtRes'!DH45)</f>
        <v>5.54</v>
      </c>
      <c r="S37" s="2">
        <f>SUMIF(SmtRes!AQ34:'SmtRes'!AQ45,"=1",SmtRes!DI34:'SmtRes'!DI45)</f>
        <v>372.8</v>
      </c>
      <c r="T37" s="2">
        <f t="shared" si="22"/>
        <v>0</v>
      </c>
      <c r="U37" s="2">
        <f>SUMIF(SmtRes!AQ34:'SmtRes'!AQ45,"=1",SmtRes!CV34:'SmtRes'!CV45)</f>
        <v>0.44955000000000001</v>
      </c>
      <c r="V37" s="2">
        <f>SUMIF(SmtRes!AQ34:'SmtRes'!AQ45,"=1",SmtRes!CW34:'SmtRes'!CW45)</f>
        <v>7.9550000000000003E-3</v>
      </c>
      <c r="W37" s="2">
        <f t="shared" si="23"/>
        <v>0</v>
      </c>
      <c r="X37" s="2">
        <f t="shared" si="24"/>
        <v>423.74</v>
      </c>
      <c r="Y37" s="2">
        <f t="shared" si="25"/>
        <v>245.92</v>
      </c>
      <c r="Z37" s="2"/>
      <c r="AA37" s="2">
        <v>94104265</v>
      </c>
      <c r="AB37" s="2">
        <f t="shared" si="26"/>
        <v>35481.946960000001</v>
      </c>
      <c r="AC37" s="2">
        <f>ROUND((SUM(SmtRes!BQ34:'SmtRes'!BQ45)),6)</f>
        <v>14731.862859999999</v>
      </c>
      <c r="AD37" s="2">
        <f>ROUND((((SUM(SmtRes!BR34:'SmtRes'!BR45))-(SUM(SmtRes!BS34:'SmtRes'!BS45)))+AE37),6)</f>
        <v>598.58010000000002</v>
      </c>
      <c r="AE37" s="2">
        <f>ROUND((SUM(SmtRes!BS34:'SmtRes'!BS45)),6)</f>
        <v>299.63319999999999</v>
      </c>
      <c r="AF37" s="2">
        <f>ROUND((SUM(SmtRes!BT34:'SmtRes'!BT45)),6)</f>
        <v>20151.504000000001</v>
      </c>
      <c r="AG37" s="2">
        <f t="shared" si="27"/>
        <v>0</v>
      </c>
      <c r="AH37" s="2">
        <f>(SUM(SmtRes!BU34:'SmtRes'!BU45))</f>
        <v>24.3</v>
      </c>
      <c r="AI37" s="2">
        <f>(SUM(SmtRes!BV34:'SmtRes'!BV45))</f>
        <v>0.43</v>
      </c>
      <c r="AJ37" s="2">
        <f t="shared" si="28"/>
        <v>0</v>
      </c>
      <c r="AK37" s="2">
        <v>35781.580159999998</v>
      </c>
      <c r="AL37" s="2">
        <v>14731.862860000001</v>
      </c>
      <c r="AM37" s="2">
        <v>598.58010000000002</v>
      </c>
      <c r="AN37" s="2">
        <v>299.63319999999999</v>
      </c>
      <c r="AO37" s="2">
        <v>20151.504000000001</v>
      </c>
      <c r="AP37" s="2">
        <v>0</v>
      </c>
      <c r="AQ37" s="2">
        <v>24.3</v>
      </c>
      <c r="AR37" s="2">
        <v>0.43</v>
      </c>
      <c r="AS37" s="2">
        <v>0</v>
      </c>
      <c r="AT37" s="2">
        <v>112</v>
      </c>
      <c r="AU37" s="2">
        <v>65</v>
      </c>
      <c r="AV37" s="2">
        <v>1</v>
      </c>
      <c r="AW37" s="2">
        <v>1</v>
      </c>
      <c r="AX37" s="2"/>
      <c r="AY37" s="2"/>
      <c r="AZ37" s="2">
        <v>1</v>
      </c>
      <c r="BA37" s="2">
        <v>1</v>
      </c>
      <c r="BB37" s="2">
        <v>1</v>
      </c>
      <c r="BC37" s="2">
        <v>1</v>
      </c>
      <c r="BD37" s="2" t="s">
        <v>3</v>
      </c>
      <c r="BE37" s="2" t="s">
        <v>3</v>
      </c>
      <c r="BF37" s="2" t="s">
        <v>3</v>
      </c>
      <c r="BG37" s="2" t="s">
        <v>3</v>
      </c>
      <c r="BH37" s="2">
        <v>0</v>
      </c>
      <c r="BI37" s="2">
        <v>1</v>
      </c>
      <c r="BJ37" s="2" t="s">
        <v>73</v>
      </c>
      <c r="BK37" s="2"/>
      <c r="BL37" s="2"/>
      <c r="BM37" s="2">
        <v>11001</v>
      </c>
      <c r="BN37" s="2">
        <v>0</v>
      </c>
      <c r="BO37" s="2" t="s">
        <v>3</v>
      </c>
      <c r="BP37" s="2">
        <v>0</v>
      </c>
      <c r="BQ37" s="2">
        <v>2</v>
      </c>
      <c r="BR37" s="2">
        <v>0</v>
      </c>
      <c r="BS37" s="2">
        <v>1</v>
      </c>
      <c r="BT37" s="2">
        <v>1</v>
      </c>
      <c r="BU37" s="2">
        <v>1</v>
      </c>
      <c r="BV37" s="2">
        <v>1</v>
      </c>
      <c r="BW37" s="2">
        <v>1</v>
      </c>
      <c r="BX37" s="2">
        <v>1</v>
      </c>
      <c r="BY37" s="2" t="s">
        <v>3</v>
      </c>
      <c r="BZ37" s="2">
        <v>112</v>
      </c>
      <c r="CA37" s="2">
        <v>65</v>
      </c>
      <c r="CB37" s="2" t="s">
        <v>3</v>
      </c>
      <c r="CC37" s="2"/>
      <c r="CD37" s="2"/>
      <c r="CE37" s="2">
        <v>0</v>
      </c>
      <c r="CF37" s="2">
        <v>0</v>
      </c>
      <c r="CG37" s="2">
        <v>0</v>
      </c>
      <c r="CH37" s="2"/>
      <c r="CI37" s="2"/>
      <c r="CJ37" s="2"/>
      <c r="CK37" s="2"/>
      <c r="CL37" s="2"/>
      <c r="CM37" s="2">
        <v>0</v>
      </c>
      <c r="CN37" s="2" t="s">
        <v>3</v>
      </c>
      <c r="CO37" s="2">
        <v>0</v>
      </c>
      <c r="CP37" s="2">
        <f t="shared" si="29"/>
        <v>732.93999999999994</v>
      </c>
      <c r="CQ37" s="2">
        <f>SUMIF(SmtRes!AQ34:'SmtRes'!AQ45,"=1",SmtRes!AA34:'SmtRes'!AA45)</f>
        <v>93133.56</v>
      </c>
      <c r="CR37" s="2">
        <f>SUMIF(SmtRes!AQ34:'SmtRes'!AQ45,"=1",SmtRes!AB34:'SmtRes'!AB45)</f>
        <v>772.02</v>
      </c>
      <c r="CS37" s="2">
        <f>SUMIF(SmtRes!AQ34:'SmtRes'!AQ45,"=1",SmtRes!AC34:'SmtRes'!AC45)</f>
        <v>1380.3200000000002</v>
      </c>
      <c r="CT37" s="2">
        <f>SUMIF(SmtRes!AQ34:'SmtRes'!AQ45,"=1",SmtRes!AD34:'SmtRes'!AD45)</f>
        <v>829.28</v>
      </c>
      <c r="CU37" s="2">
        <f t="shared" si="30"/>
        <v>0</v>
      </c>
      <c r="CV37" s="2">
        <f>SUMIF(SmtRes!AQ34:'SmtRes'!AQ45,"=1",SmtRes!BU34:'SmtRes'!BU45)</f>
        <v>24.3</v>
      </c>
      <c r="CW37" s="2">
        <f>SUMIF(SmtRes!AQ34:'SmtRes'!AQ45,"=1",SmtRes!BV34:'SmtRes'!BV45)</f>
        <v>0.43</v>
      </c>
      <c r="CX37" s="2">
        <f t="shared" si="31"/>
        <v>0</v>
      </c>
      <c r="CY37" s="2">
        <f t="shared" si="32"/>
        <v>423.74080000000004</v>
      </c>
      <c r="CZ37" s="2">
        <f t="shared" si="33"/>
        <v>245.92100000000002</v>
      </c>
      <c r="DA37" s="2"/>
      <c r="DB37" s="2"/>
      <c r="DC37" s="2" t="s">
        <v>3</v>
      </c>
      <c r="DD37" s="2" t="s">
        <v>3</v>
      </c>
      <c r="DE37" s="2" t="s">
        <v>3</v>
      </c>
      <c r="DF37" s="2" t="s">
        <v>3</v>
      </c>
      <c r="DG37" s="2" t="s">
        <v>3</v>
      </c>
      <c r="DH37" s="2" t="s">
        <v>3</v>
      </c>
      <c r="DI37" s="2" t="s">
        <v>3</v>
      </c>
      <c r="DJ37" s="2" t="s">
        <v>3</v>
      </c>
      <c r="DK37" s="2" t="s">
        <v>3</v>
      </c>
      <c r="DL37" s="2" t="s">
        <v>3</v>
      </c>
      <c r="DM37" s="2" t="s">
        <v>3</v>
      </c>
      <c r="DN37" s="2">
        <v>0</v>
      </c>
      <c r="DO37" s="2">
        <v>0</v>
      </c>
      <c r="DP37" s="2">
        <v>1</v>
      </c>
      <c r="DQ37" s="2">
        <v>1</v>
      </c>
      <c r="DR37" s="2"/>
      <c r="DS37" s="2"/>
      <c r="DT37" s="2"/>
      <c r="DU37" s="2">
        <v>1005</v>
      </c>
      <c r="DV37" s="2" t="s">
        <v>20</v>
      </c>
      <c r="DW37" s="2" t="s">
        <v>20</v>
      </c>
      <c r="DX37" s="2">
        <v>100</v>
      </c>
      <c r="DY37" s="2"/>
      <c r="DZ37" s="2" t="s">
        <v>3</v>
      </c>
      <c r="EA37" s="2" t="s">
        <v>3</v>
      </c>
      <c r="EB37" s="2" t="s">
        <v>3</v>
      </c>
      <c r="EC37" s="2" t="s">
        <v>3</v>
      </c>
      <c r="ED37" s="2"/>
      <c r="EE37" s="2">
        <v>89976994</v>
      </c>
      <c r="EF37" s="2">
        <v>2</v>
      </c>
      <c r="EG37" s="2" t="s">
        <v>44</v>
      </c>
      <c r="EH37" s="2">
        <v>11</v>
      </c>
      <c r="EI37" s="2" t="s">
        <v>23</v>
      </c>
      <c r="EJ37" s="2">
        <v>1</v>
      </c>
      <c r="EK37" s="2">
        <v>11001</v>
      </c>
      <c r="EL37" s="2" t="s">
        <v>23</v>
      </c>
      <c r="EM37" s="2" t="s">
        <v>74</v>
      </c>
      <c r="EN37" s="2"/>
      <c r="EO37" s="2" t="s">
        <v>3</v>
      </c>
      <c r="EP37" s="2"/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24.3</v>
      </c>
      <c r="EX37" s="2">
        <v>0.43</v>
      </c>
      <c r="EY37" s="2">
        <v>0</v>
      </c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>
        <v>0</v>
      </c>
      <c r="FR37" s="2">
        <v>0</v>
      </c>
      <c r="FS37" s="2">
        <v>0</v>
      </c>
      <c r="FT37" s="2"/>
      <c r="FU37" s="2"/>
      <c r="FV37" s="2"/>
      <c r="FW37" s="2"/>
      <c r="FX37" s="2">
        <v>112</v>
      </c>
      <c r="FY37" s="2">
        <v>65</v>
      </c>
      <c r="FZ37" s="2"/>
      <c r="GA37" s="2" t="s">
        <v>3</v>
      </c>
      <c r="GB37" s="2"/>
      <c r="GC37" s="2"/>
      <c r="GD37" s="2">
        <v>1</v>
      </c>
      <c r="GE37" s="2"/>
      <c r="GF37" s="2">
        <v>9800686</v>
      </c>
      <c r="GG37" s="2">
        <v>2</v>
      </c>
      <c r="GH37" s="2">
        <v>1</v>
      </c>
      <c r="GI37" s="2">
        <v>-2</v>
      </c>
      <c r="GJ37" s="2">
        <v>0</v>
      </c>
      <c r="GK37" s="2">
        <v>0</v>
      </c>
      <c r="GL37" s="2">
        <f t="shared" si="34"/>
        <v>0</v>
      </c>
      <c r="GM37" s="2">
        <f t="shared" si="35"/>
        <v>1402.6</v>
      </c>
      <c r="GN37" s="2">
        <f t="shared" si="36"/>
        <v>1402.6</v>
      </c>
      <c r="GO37" s="2">
        <f t="shared" si="37"/>
        <v>0</v>
      </c>
      <c r="GP37" s="2">
        <f t="shared" si="38"/>
        <v>0</v>
      </c>
      <c r="GQ37" s="2"/>
      <c r="GR37" s="2">
        <v>0</v>
      </c>
      <c r="GS37" s="2">
        <v>0</v>
      </c>
      <c r="GT37" s="2">
        <v>0</v>
      </c>
      <c r="GU37" s="2" t="s">
        <v>3</v>
      </c>
      <c r="GV37" s="2">
        <f t="shared" si="39"/>
        <v>0</v>
      </c>
      <c r="GW37" s="2">
        <v>1</v>
      </c>
      <c r="GX37" s="2">
        <f t="shared" si="40"/>
        <v>0</v>
      </c>
      <c r="GY37" s="2"/>
      <c r="GZ37" s="2"/>
      <c r="HA37" s="2">
        <v>0</v>
      </c>
      <c r="HB37" s="2">
        <v>0</v>
      </c>
      <c r="HC37" s="2">
        <f t="shared" si="41"/>
        <v>0</v>
      </c>
      <c r="HD37" s="2"/>
      <c r="HE37" s="2" t="s">
        <v>3</v>
      </c>
      <c r="HF37" s="2" t="s">
        <v>3</v>
      </c>
      <c r="HG37" s="2"/>
      <c r="HH37" s="2"/>
      <c r="HI37" s="2"/>
      <c r="HJ37" s="2"/>
      <c r="HK37" s="2"/>
      <c r="HL37" s="2"/>
      <c r="HM37" s="2" t="s">
        <v>3</v>
      </c>
      <c r="HN37" s="2" t="s">
        <v>75</v>
      </c>
      <c r="HO37" s="2" t="s">
        <v>76</v>
      </c>
      <c r="HP37" s="2" t="s">
        <v>23</v>
      </c>
      <c r="HQ37" s="2" t="s">
        <v>23</v>
      </c>
      <c r="HR37" s="2"/>
      <c r="HS37" s="2">
        <v>0</v>
      </c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>
        <v>0</v>
      </c>
      <c r="IL37" s="2"/>
      <c r="IM37" s="2"/>
      <c r="IN37" s="2"/>
      <c r="IO37" s="2"/>
      <c r="IP37" s="2"/>
      <c r="IQ37" s="2"/>
      <c r="IR37" s="2"/>
      <c r="IS37" s="2"/>
      <c r="IT37" s="2"/>
      <c r="IU37" s="2"/>
    </row>
    <row r="38" spans="1:255" x14ac:dyDescent="0.2">
      <c r="A38" s="2">
        <v>17</v>
      </c>
      <c r="B38" s="2">
        <v>1</v>
      </c>
      <c r="C38" s="2">
        <f>ROW(SmtRes!A58)</f>
        <v>58</v>
      </c>
      <c r="D38" s="2">
        <f>ROW(EtalonRes!A58)</f>
        <v>58</v>
      </c>
      <c r="E38" s="2" t="s">
        <v>77</v>
      </c>
      <c r="F38" s="2" t="s">
        <v>78</v>
      </c>
      <c r="G38" s="2" t="s">
        <v>79</v>
      </c>
      <c r="H38" s="2" t="s">
        <v>20</v>
      </c>
      <c r="I38" s="2">
        <f>ROUND(1.5*1/100+(1.5*0.1+1*0.1*2)/100,7)</f>
        <v>1.8499999999999999E-2</v>
      </c>
      <c r="J38" s="2">
        <v>0</v>
      </c>
      <c r="K38" s="2">
        <f>ROUND(1.5*1/100+(1.5*0.1+1*0.1*2)/100,7)</f>
        <v>1.8499999999999999E-2</v>
      </c>
      <c r="L38" s="2"/>
      <c r="M38" s="2"/>
      <c r="N38" s="2"/>
      <c r="O38" s="2">
        <f t="shared" si="21"/>
        <v>3815.02</v>
      </c>
      <c r="P38" s="2">
        <f>SUMIF(SmtRes!AQ46:'SmtRes'!AQ58,"=1",SmtRes!DF46:'SmtRes'!DF58)</f>
        <v>18.21</v>
      </c>
      <c r="Q38" s="2">
        <f>SUMIF(SmtRes!AQ46:'SmtRes'!AQ58,"=1",SmtRes!DG46:'SmtRes'!DG58)</f>
        <v>0.65</v>
      </c>
      <c r="R38" s="2">
        <f>SUMIF(SmtRes!AQ46:'SmtRes'!AQ58,"=1",SmtRes!DH46:'SmtRes'!DH58)</f>
        <v>20.98</v>
      </c>
      <c r="S38" s="2">
        <f>SUMIF(SmtRes!AQ46:'SmtRes'!AQ58,"=1",SmtRes!DI46:'SmtRes'!DI58)</f>
        <v>3775.18</v>
      </c>
      <c r="T38" s="2">
        <f t="shared" si="22"/>
        <v>0</v>
      </c>
      <c r="U38" s="2">
        <f>SUMIF(SmtRes!AQ46:'SmtRes'!AQ58,"=1",SmtRes!CV46:'SmtRes'!CV58)</f>
        <v>5.7427700000000002</v>
      </c>
      <c r="V38" s="2">
        <f>SUMIF(SmtRes!AQ46:'SmtRes'!AQ58,"=1",SmtRes!CW46:'SmtRes'!CW58)</f>
        <v>3.2004999999999999E-2</v>
      </c>
      <c r="W38" s="2">
        <f t="shared" si="23"/>
        <v>0</v>
      </c>
      <c r="X38" s="2">
        <f t="shared" si="24"/>
        <v>4251.7</v>
      </c>
      <c r="Y38" s="2">
        <f t="shared" si="25"/>
        <v>2467.5</v>
      </c>
      <c r="Z38" s="2"/>
      <c r="AA38" s="2">
        <v>94104265</v>
      </c>
      <c r="AB38" s="2">
        <f t="shared" si="26"/>
        <v>205070.63800000001</v>
      </c>
      <c r="AC38" s="2">
        <f>ROUND((SUM(SmtRes!BQ46:'SmtRes'!BQ58)),6)</f>
        <v>976.49429999999995</v>
      </c>
      <c r="AD38" s="2">
        <f>ROUND((((SUM(SmtRes!BR46:'SmtRes'!BR58))-(SUM(SmtRes!BS46:'SmtRes'!BS58)))+AE38),6)</f>
        <v>30.2441</v>
      </c>
      <c r="AE38" s="2">
        <f>ROUND((SUM(SmtRes!BS46:'SmtRes'!BS58)),6)</f>
        <v>1133.9875999999999</v>
      </c>
      <c r="AF38" s="2">
        <f>ROUND((SUM(SmtRes!BT46:'SmtRes'!BT58)),6)</f>
        <v>204063.8996</v>
      </c>
      <c r="AG38" s="2">
        <f t="shared" si="27"/>
        <v>0</v>
      </c>
      <c r="AH38" s="2">
        <f>(SUM(SmtRes!BU46:'SmtRes'!BU58))</f>
        <v>310.42</v>
      </c>
      <c r="AI38" s="2">
        <f>(SUM(SmtRes!BV46:'SmtRes'!BV58))</f>
        <v>1.73</v>
      </c>
      <c r="AJ38" s="2">
        <f t="shared" si="28"/>
        <v>0</v>
      </c>
      <c r="AK38" s="2">
        <v>206204.6256</v>
      </c>
      <c r="AL38" s="2">
        <v>976.49429999999995</v>
      </c>
      <c r="AM38" s="2">
        <v>30.244099999999996</v>
      </c>
      <c r="AN38" s="2">
        <v>1133.9875999999999</v>
      </c>
      <c r="AO38" s="2">
        <v>204063.8996</v>
      </c>
      <c r="AP38" s="2">
        <v>0</v>
      </c>
      <c r="AQ38" s="2">
        <v>310.42</v>
      </c>
      <c r="AR38" s="2">
        <v>1.73</v>
      </c>
      <c r="AS38" s="2">
        <v>0</v>
      </c>
      <c r="AT38" s="2">
        <v>112</v>
      </c>
      <c r="AU38" s="2">
        <v>65</v>
      </c>
      <c r="AV38" s="2">
        <v>1</v>
      </c>
      <c r="AW38" s="2">
        <v>1</v>
      </c>
      <c r="AX38" s="2"/>
      <c r="AY38" s="2"/>
      <c r="AZ38" s="2">
        <v>1</v>
      </c>
      <c r="BA38" s="2">
        <v>1</v>
      </c>
      <c r="BB38" s="2">
        <v>1</v>
      </c>
      <c r="BC38" s="2">
        <v>1</v>
      </c>
      <c r="BD38" s="2" t="s">
        <v>3</v>
      </c>
      <c r="BE38" s="2" t="s">
        <v>3</v>
      </c>
      <c r="BF38" s="2" t="s">
        <v>3</v>
      </c>
      <c r="BG38" s="2" t="s">
        <v>3</v>
      </c>
      <c r="BH38" s="2">
        <v>0</v>
      </c>
      <c r="BI38" s="2">
        <v>1</v>
      </c>
      <c r="BJ38" s="2" t="s">
        <v>80</v>
      </c>
      <c r="BK38" s="2"/>
      <c r="BL38" s="2"/>
      <c r="BM38" s="2">
        <v>11001</v>
      </c>
      <c r="BN38" s="2">
        <v>0</v>
      </c>
      <c r="BO38" s="2" t="s">
        <v>3</v>
      </c>
      <c r="BP38" s="2">
        <v>0</v>
      </c>
      <c r="BQ38" s="2">
        <v>2</v>
      </c>
      <c r="BR38" s="2">
        <v>0</v>
      </c>
      <c r="BS38" s="2">
        <v>1</v>
      </c>
      <c r="BT38" s="2">
        <v>1</v>
      </c>
      <c r="BU38" s="2">
        <v>1</v>
      </c>
      <c r="BV38" s="2">
        <v>1</v>
      </c>
      <c r="BW38" s="2">
        <v>1</v>
      </c>
      <c r="BX38" s="2">
        <v>1</v>
      </c>
      <c r="BY38" s="2" t="s">
        <v>3</v>
      </c>
      <c r="BZ38" s="2">
        <v>112</v>
      </c>
      <c r="CA38" s="2">
        <v>65</v>
      </c>
      <c r="CB38" s="2" t="s">
        <v>3</v>
      </c>
      <c r="CC38" s="2"/>
      <c r="CD38" s="2"/>
      <c r="CE38" s="2">
        <v>0</v>
      </c>
      <c r="CF38" s="2">
        <v>0</v>
      </c>
      <c r="CG38" s="2">
        <v>0</v>
      </c>
      <c r="CH38" s="2"/>
      <c r="CI38" s="2"/>
      <c r="CJ38" s="2"/>
      <c r="CK38" s="2"/>
      <c r="CL38" s="2"/>
      <c r="CM38" s="2">
        <v>0</v>
      </c>
      <c r="CN38" s="2" t="s">
        <v>3</v>
      </c>
      <c r="CO38" s="2">
        <v>0</v>
      </c>
      <c r="CP38" s="2">
        <f t="shared" si="29"/>
        <v>3815.02</v>
      </c>
      <c r="CQ38" s="2">
        <f>SUMIF(SmtRes!AQ46:'SmtRes'!AQ58,"=1",SmtRes!AA46:'SmtRes'!AA58)</f>
        <v>73950.559999999998</v>
      </c>
      <c r="CR38" s="2">
        <f>SUMIF(SmtRes!AQ46:'SmtRes'!AQ58,"=1",SmtRes!AB46:'SmtRes'!AB58)</f>
        <v>2506.91</v>
      </c>
      <c r="CS38" s="2">
        <f>SUMIF(SmtRes!AQ46:'SmtRes'!AQ58,"=1",SmtRes!AC46:'SmtRes'!AC58)</f>
        <v>3344.3999999999996</v>
      </c>
      <c r="CT38" s="2">
        <f>SUMIF(SmtRes!AQ46:'SmtRes'!AQ58,"=1",SmtRes!AD46:'SmtRes'!AD58)</f>
        <v>657.38</v>
      </c>
      <c r="CU38" s="2">
        <f t="shared" si="30"/>
        <v>0</v>
      </c>
      <c r="CV38" s="2">
        <f>SUMIF(SmtRes!AQ46:'SmtRes'!AQ58,"=1",SmtRes!BU46:'SmtRes'!BU58)</f>
        <v>310.42</v>
      </c>
      <c r="CW38" s="2">
        <f>SUMIF(SmtRes!AQ46:'SmtRes'!AQ58,"=1",SmtRes!BV46:'SmtRes'!BV58)</f>
        <v>1.73</v>
      </c>
      <c r="CX38" s="2">
        <f t="shared" si="31"/>
        <v>0</v>
      </c>
      <c r="CY38" s="2">
        <f t="shared" si="32"/>
        <v>4251.6992</v>
      </c>
      <c r="CZ38" s="2">
        <f t="shared" si="33"/>
        <v>2467.5039999999999</v>
      </c>
      <c r="DA38" s="2"/>
      <c r="DB38" s="2"/>
      <c r="DC38" s="2" t="s">
        <v>3</v>
      </c>
      <c r="DD38" s="2" t="s">
        <v>3</v>
      </c>
      <c r="DE38" s="2" t="s">
        <v>3</v>
      </c>
      <c r="DF38" s="2" t="s">
        <v>3</v>
      </c>
      <c r="DG38" s="2" t="s">
        <v>3</v>
      </c>
      <c r="DH38" s="2" t="s">
        <v>3</v>
      </c>
      <c r="DI38" s="2" t="s">
        <v>3</v>
      </c>
      <c r="DJ38" s="2" t="s">
        <v>3</v>
      </c>
      <c r="DK38" s="2" t="s">
        <v>3</v>
      </c>
      <c r="DL38" s="2" t="s">
        <v>3</v>
      </c>
      <c r="DM38" s="2" t="s">
        <v>3</v>
      </c>
      <c r="DN38" s="2">
        <v>0</v>
      </c>
      <c r="DO38" s="2">
        <v>0</v>
      </c>
      <c r="DP38" s="2">
        <v>1</v>
      </c>
      <c r="DQ38" s="2">
        <v>1</v>
      </c>
      <c r="DR38" s="2"/>
      <c r="DS38" s="2"/>
      <c r="DT38" s="2"/>
      <c r="DU38" s="2">
        <v>1005</v>
      </c>
      <c r="DV38" s="2" t="s">
        <v>20</v>
      </c>
      <c r="DW38" s="2" t="s">
        <v>20</v>
      </c>
      <c r="DX38" s="2">
        <v>100</v>
      </c>
      <c r="DY38" s="2"/>
      <c r="DZ38" s="2" t="s">
        <v>3</v>
      </c>
      <c r="EA38" s="2" t="s">
        <v>3</v>
      </c>
      <c r="EB38" s="2" t="s">
        <v>3</v>
      </c>
      <c r="EC38" s="2" t="s">
        <v>3</v>
      </c>
      <c r="ED38" s="2"/>
      <c r="EE38" s="2">
        <v>89976994</v>
      </c>
      <c r="EF38" s="2">
        <v>2</v>
      </c>
      <c r="EG38" s="2" t="s">
        <v>44</v>
      </c>
      <c r="EH38" s="2">
        <v>11</v>
      </c>
      <c r="EI38" s="2" t="s">
        <v>23</v>
      </c>
      <c r="EJ38" s="2">
        <v>1</v>
      </c>
      <c r="EK38" s="2">
        <v>11001</v>
      </c>
      <c r="EL38" s="2" t="s">
        <v>23</v>
      </c>
      <c r="EM38" s="2" t="s">
        <v>74</v>
      </c>
      <c r="EN38" s="2"/>
      <c r="EO38" s="2" t="s">
        <v>3</v>
      </c>
      <c r="EP38" s="2"/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310.42</v>
      </c>
      <c r="EX38" s="2">
        <v>1.73</v>
      </c>
      <c r="EY38" s="2">
        <v>0</v>
      </c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>
        <v>0</v>
      </c>
      <c r="FR38" s="2">
        <v>0</v>
      </c>
      <c r="FS38" s="2">
        <v>0</v>
      </c>
      <c r="FT38" s="2"/>
      <c r="FU38" s="2"/>
      <c r="FV38" s="2"/>
      <c r="FW38" s="2"/>
      <c r="FX38" s="2">
        <v>112</v>
      </c>
      <c r="FY38" s="2">
        <v>65</v>
      </c>
      <c r="FZ38" s="2"/>
      <c r="GA38" s="2" t="s">
        <v>3</v>
      </c>
      <c r="GB38" s="2"/>
      <c r="GC38" s="2"/>
      <c r="GD38" s="2">
        <v>1</v>
      </c>
      <c r="GE38" s="2"/>
      <c r="GF38" s="2">
        <v>-1499530149</v>
      </c>
      <c r="GG38" s="2">
        <v>2</v>
      </c>
      <c r="GH38" s="2">
        <v>1</v>
      </c>
      <c r="GI38" s="2">
        <v>-2</v>
      </c>
      <c r="GJ38" s="2">
        <v>0</v>
      </c>
      <c r="GK38" s="2">
        <v>0</v>
      </c>
      <c r="GL38" s="2">
        <f t="shared" si="34"/>
        <v>0</v>
      </c>
      <c r="GM38" s="2">
        <f t="shared" si="35"/>
        <v>10534.22</v>
      </c>
      <c r="GN38" s="2">
        <f t="shared" si="36"/>
        <v>10534.22</v>
      </c>
      <c r="GO38" s="2">
        <f t="shared" si="37"/>
        <v>0</v>
      </c>
      <c r="GP38" s="2">
        <f t="shared" si="38"/>
        <v>0</v>
      </c>
      <c r="GQ38" s="2"/>
      <c r="GR38" s="2">
        <v>0</v>
      </c>
      <c r="GS38" s="2">
        <v>0</v>
      </c>
      <c r="GT38" s="2">
        <v>0</v>
      </c>
      <c r="GU38" s="2" t="s">
        <v>3</v>
      </c>
      <c r="GV38" s="2">
        <f t="shared" si="39"/>
        <v>0</v>
      </c>
      <c r="GW38" s="2">
        <v>1</v>
      </c>
      <c r="GX38" s="2">
        <f t="shared" si="40"/>
        <v>0</v>
      </c>
      <c r="GY38" s="2"/>
      <c r="GZ38" s="2"/>
      <c r="HA38" s="2">
        <v>0</v>
      </c>
      <c r="HB38" s="2">
        <v>0</v>
      </c>
      <c r="HC38" s="2">
        <f t="shared" si="41"/>
        <v>0</v>
      </c>
      <c r="HD38" s="2"/>
      <c r="HE38" s="2" t="s">
        <v>3</v>
      </c>
      <c r="HF38" s="2" t="s">
        <v>3</v>
      </c>
      <c r="HG38" s="2"/>
      <c r="HH38" s="2"/>
      <c r="HI38" s="2"/>
      <c r="HJ38" s="2"/>
      <c r="HK38" s="2"/>
      <c r="HL38" s="2"/>
      <c r="HM38" s="2" t="s">
        <v>3</v>
      </c>
      <c r="HN38" s="2" t="s">
        <v>75</v>
      </c>
      <c r="HO38" s="2" t="s">
        <v>76</v>
      </c>
      <c r="HP38" s="2" t="s">
        <v>23</v>
      </c>
      <c r="HQ38" s="2" t="s">
        <v>23</v>
      </c>
      <c r="HR38" s="2"/>
      <c r="HS38" s="2">
        <v>0</v>
      </c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>
        <v>0</v>
      </c>
      <c r="IL38" s="2"/>
      <c r="IM38" s="2"/>
      <c r="IN38" s="2"/>
      <c r="IO38" s="2"/>
      <c r="IP38" s="2"/>
      <c r="IQ38" s="2"/>
      <c r="IR38" s="2"/>
      <c r="IS38" s="2"/>
      <c r="IT38" s="2"/>
      <c r="IU38" s="2"/>
    </row>
    <row r="39" spans="1:255" x14ac:dyDescent="0.2">
      <c r="A39" s="2">
        <v>18</v>
      </c>
      <c r="B39" s="2">
        <v>1</v>
      </c>
      <c r="C39" s="2">
        <v>55</v>
      </c>
      <c r="D39" s="2"/>
      <c r="E39" s="2" t="s">
        <v>81</v>
      </c>
      <c r="F39" s="2" t="s">
        <v>82</v>
      </c>
      <c r="G39" s="2" t="s">
        <v>83</v>
      </c>
      <c r="H39" s="2" t="s">
        <v>60</v>
      </c>
      <c r="I39" s="2">
        <f>I38*J39</f>
        <v>1.887</v>
      </c>
      <c r="J39" s="2">
        <v>102</v>
      </c>
      <c r="K39" s="2">
        <v>102</v>
      </c>
      <c r="L39" s="2"/>
      <c r="M39" s="2"/>
      <c r="N39" s="2"/>
      <c r="O39" s="2">
        <f t="shared" si="21"/>
        <v>1714.13</v>
      </c>
      <c r="P39" s="2">
        <f>ROUND(CQ39*I39,2)</f>
        <v>1714.13</v>
      </c>
      <c r="Q39" s="2">
        <f>ROUND(CR39*I39,2)</f>
        <v>0</v>
      </c>
      <c r="R39" s="2">
        <f>ROUND(CS39*I39,2)</f>
        <v>0</v>
      </c>
      <c r="S39" s="2">
        <f>ROUND(CT39*I39,2)</f>
        <v>0</v>
      </c>
      <c r="T39" s="2">
        <f t="shared" si="22"/>
        <v>0</v>
      </c>
      <c r="U39" s="2">
        <f>ROUND(CV39*I39,7)</f>
        <v>0</v>
      </c>
      <c r="V39" s="2">
        <f>ROUND(CW39*I39,7)</f>
        <v>0</v>
      </c>
      <c r="W39" s="2">
        <f t="shared" si="23"/>
        <v>0</v>
      </c>
      <c r="X39" s="2">
        <f t="shared" si="24"/>
        <v>0</v>
      </c>
      <c r="Y39" s="2">
        <f t="shared" si="25"/>
        <v>0</v>
      </c>
      <c r="Z39" s="2"/>
      <c r="AA39" s="2">
        <v>94104265</v>
      </c>
      <c r="AB39" s="2">
        <f t="shared" si="26"/>
        <v>908.39</v>
      </c>
      <c r="AC39" s="2">
        <f>ROUND((ES39),6)</f>
        <v>908.39</v>
      </c>
      <c r="AD39" s="2">
        <f>ROUND((((ET39)-(EU39))+AE39),6)</f>
        <v>0</v>
      </c>
      <c r="AE39" s="2">
        <f t="shared" ref="AE39:AF42" si="45">ROUND((EU39),6)</f>
        <v>0</v>
      </c>
      <c r="AF39" s="2">
        <f t="shared" si="45"/>
        <v>0</v>
      </c>
      <c r="AG39" s="2">
        <f t="shared" si="27"/>
        <v>0</v>
      </c>
      <c r="AH39" s="2">
        <f t="shared" ref="AH39:AI42" si="46">(EW39)</f>
        <v>0</v>
      </c>
      <c r="AI39" s="2">
        <f t="shared" si="46"/>
        <v>0</v>
      </c>
      <c r="AJ39" s="2">
        <f t="shared" si="28"/>
        <v>0</v>
      </c>
      <c r="AK39" s="2">
        <v>908.39</v>
      </c>
      <c r="AL39" s="2">
        <v>908.39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112</v>
      </c>
      <c r="AU39" s="2">
        <v>65</v>
      </c>
      <c r="AV39" s="2">
        <v>1</v>
      </c>
      <c r="AW39" s="2">
        <v>1</v>
      </c>
      <c r="AX39" s="2"/>
      <c r="AY39" s="2"/>
      <c r="AZ39" s="2">
        <v>1</v>
      </c>
      <c r="BA39" s="2">
        <v>1</v>
      </c>
      <c r="BB39" s="2">
        <v>1</v>
      </c>
      <c r="BC39" s="2">
        <v>1</v>
      </c>
      <c r="BD39" s="2" t="s">
        <v>3</v>
      </c>
      <c r="BE39" s="2" t="s">
        <v>3</v>
      </c>
      <c r="BF39" s="2" t="s">
        <v>3</v>
      </c>
      <c r="BG39" s="2" t="s">
        <v>3</v>
      </c>
      <c r="BH39" s="2">
        <v>3</v>
      </c>
      <c r="BI39" s="2">
        <v>1</v>
      </c>
      <c r="BJ39" s="2" t="s">
        <v>84</v>
      </c>
      <c r="BK39" s="2"/>
      <c r="BL39" s="2"/>
      <c r="BM39" s="2">
        <v>11001</v>
      </c>
      <c r="BN39" s="2">
        <v>0</v>
      </c>
      <c r="BO39" s="2" t="s">
        <v>3</v>
      </c>
      <c r="BP39" s="2">
        <v>0</v>
      </c>
      <c r="BQ39" s="2">
        <v>2</v>
      </c>
      <c r="BR39" s="2">
        <v>0</v>
      </c>
      <c r="BS39" s="2">
        <v>1</v>
      </c>
      <c r="BT39" s="2">
        <v>1</v>
      </c>
      <c r="BU39" s="2">
        <v>1</v>
      </c>
      <c r="BV39" s="2">
        <v>1</v>
      </c>
      <c r="BW39" s="2">
        <v>1</v>
      </c>
      <c r="BX39" s="2">
        <v>1</v>
      </c>
      <c r="BY39" s="2" t="s">
        <v>3</v>
      </c>
      <c r="BZ39" s="2">
        <v>112</v>
      </c>
      <c r="CA39" s="2">
        <v>65</v>
      </c>
      <c r="CB39" s="2" t="s">
        <v>3</v>
      </c>
      <c r="CC39" s="2"/>
      <c r="CD39" s="2"/>
      <c r="CE39" s="2">
        <v>0</v>
      </c>
      <c r="CF39" s="2">
        <v>0</v>
      </c>
      <c r="CG39" s="2">
        <v>0</v>
      </c>
      <c r="CH39" s="2"/>
      <c r="CI39" s="2"/>
      <c r="CJ39" s="2"/>
      <c r="CK39" s="2"/>
      <c r="CL39" s="2"/>
      <c r="CM39" s="2">
        <v>0</v>
      </c>
      <c r="CN39" s="2" t="s">
        <v>3</v>
      </c>
      <c r="CO39" s="2">
        <v>0</v>
      </c>
      <c r="CP39" s="2">
        <f t="shared" si="29"/>
        <v>1714.13</v>
      </c>
      <c r="CQ39" s="2">
        <f>ROUND(AL39*BC39,2)</f>
        <v>908.39</v>
      </c>
      <c r="CR39" s="2">
        <f>ROUND(AM39*BB39,2)</f>
        <v>0</v>
      </c>
      <c r="CS39" s="2">
        <f>ROUND(AN39*BS39,2)</f>
        <v>0</v>
      </c>
      <c r="CT39" s="2">
        <f>ROUND(AO39*BA39,2)</f>
        <v>0</v>
      </c>
      <c r="CU39" s="2">
        <f t="shared" si="30"/>
        <v>0</v>
      </c>
      <c r="CV39" s="2">
        <f t="shared" ref="CV39:CW42" si="47">AH39</f>
        <v>0</v>
      </c>
      <c r="CW39" s="2">
        <f t="shared" si="47"/>
        <v>0</v>
      </c>
      <c r="CX39" s="2">
        <f t="shared" si="31"/>
        <v>0</v>
      </c>
      <c r="CY39" s="2">
        <f t="shared" si="32"/>
        <v>0</v>
      </c>
      <c r="CZ39" s="2">
        <f t="shared" si="33"/>
        <v>0</v>
      </c>
      <c r="DA39" s="2"/>
      <c r="DB39" s="2"/>
      <c r="DC39" s="2" t="s">
        <v>3</v>
      </c>
      <c r="DD39" s="2" t="s">
        <v>3</v>
      </c>
      <c r="DE39" s="2" t="s">
        <v>3</v>
      </c>
      <c r="DF39" s="2" t="s">
        <v>3</v>
      </c>
      <c r="DG39" s="2" t="s">
        <v>3</v>
      </c>
      <c r="DH39" s="2" t="s">
        <v>3</v>
      </c>
      <c r="DI39" s="2" t="s">
        <v>3</v>
      </c>
      <c r="DJ39" s="2" t="s">
        <v>3</v>
      </c>
      <c r="DK39" s="2" t="s">
        <v>3</v>
      </c>
      <c r="DL39" s="2" t="s">
        <v>3</v>
      </c>
      <c r="DM39" s="2" t="s">
        <v>3</v>
      </c>
      <c r="DN39" s="2">
        <v>0</v>
      </c>
      <c r="DO39" s="2">
        <v>0</v>
      </c>
      <c r="DP39" s="2">
        <v>1</v>
      </c>
      <c r="DQ39" s="2">
        <v>1</v>
      </c>
      <c r="DR39" s="2"/>
      <c r="DS39" s="2"/>
      <c r="DT39" s="2"/>
      <c r="DU39" s="2">
        <v>1005</v>
      </c>
      <c r="DV39" s="2" t="s">
        <v>60</v>
      </c>
      <c r="DW39" s="2" t="s">
        <v>60</v>
      </c>
      <c r="DX39" s="2">
        <v>1</v>
      </c>
      <c r="DY39" s="2"/>
      <c r="DZ39" s="2" t="s">
        <v>3</v>
      </c>
      <c r="EA39" s="2" t="s">
        <v>3</v>
      </c>
      <c r="EB39" s="2" t="s">
        <v>3</v>
      </c>
      <c r="EC39" s="2" t="s">
        <v>3</v>
      </c>
      <c r="ED39" s="2"/>
      <c r="EE39" s="2">
        <v>89976994</v>
      </c>
      <c r="EF39" s="2">
        <v>2</v>
      </c>
      <c r="EG39" s="2" t="s">
        <v>44</v>
      </c>
      <c r="EH39" s="2">
        <v>11</v>
      </c>
      <c r="EI39" s="2" t="s">
        <v>23</v>
      </c>
      <c r="EJ39" s="2">
        <v>1</v>
      </c>
      <c r="EK39" s="2">
        <v>11001</v>
      </c>
      <c r="EL39" s="2" t="s">
        <v>23</v>
      </c>
      <c r="EM39" s="2" t="s">
        <v>74</v>
      </c>
      <c r="EN39" s="2"/>
      <c r="EO39" s="2" t="s">
        <v>3</v>
      </c>
      <c r="EP39" s="2"/>
      <c r="EQ39" s="2">
        <v>0</v>
      </c>
      <c r="ER39" s="2">
        <v>908.39</v>
      </c>
      <c r="ES39" s="2">
        <v>908.39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>
        <v>0</v>
      </c>
      <c r="FR39" s="2">
        <v>0</v>
      </c>
      <c r="FS39" s="2">
        <v>0</v>
      </c>
      <c r="FT39" s="2"/>
      <c r="FU39" s="2"/>
      <c r="FV39" s="2"/>
      <c r="FW39" s="2"/>
      <c r="FX39" s="2">
        <v>112</v>
      </c>
      <c r="FY39" s="2">
        <v>65</v>
      </c>
      <c r="FZ39" s="2"/>
      <c r="GA39" s="2" t="s">
        <v>3</v>
      </c>
      <c r="GB39" s="2"/>
      <c r="GC39" s="2"/>
      <c r="GD39" s="2">
        <v>1</v>
      </c>
      <c r="GE39" s="2">
        <v>603.37</v>
      </c>
      <c r="GF39" s="2">
        <v>-917950727</v>
      </c>
      <c r="GG39" s="2">
        <v>2</v>
      </c>
      <c r="GH39" s="2">
        <v>1</v>
      </c>
      <c r="GI39" s="2">
        <v>-2</v>
      </c>
      <c r="GJ39" s="2">
        <v>0</v>
      </c>
      <c r="GK39" s="2">
        <v>0</v>
      </c>
      <c r="GL39" s="2">
        <f t="shared" si="34"/>
        <v>0</v>
      </c>
      <c r="GM39" s="2">
        <f t="shared" si="35"/>
        <v>1714.13</v>
      </c>
      <c r="GN39" s="2">
        <f t="shared" si="36"/>
        <v>1714.13</v>
      </c>
      <c r="GO39" s="2">
        <f t="shared" si="37"/>
        <v>0</v>
      </c>
      <c r="GP39" s="2">
        <f t="shared" si="38"/>
        <v>0</v>
      </c>
      <c r="GQ39" s="2"/>
      <c r="GR39" s="2">
        <v>3</v>
      </c>
      <c r="GS39" s="2">
        <v>0</v>
      </c>
      <c r="GT39" s="2">
        <v>0</v>
      </c>
      <c r="GU39" s="2" t="s">
        <v>3</v>
      </c>
      <c r="GV39" s="2">
        <f t="shared" si="39"/>
        <v>0</v>
      </c>
      <c r="GW39" s="2">
        <v>1</v>
      </c>
      <c r="GX39" s="2">
        <f t="shared" si="40"/>
        <v>0</v>
      </c>
      <c r="GY39" s="2"/>
      <c r="GZ39" s="2"/>
      <c r="HA39" s="2">
        <v>0</v>
      </c>
      <c r="HB39" s="2">
        <v>0</v>
      </c>
      <c r="HC39" s="2">
        <f t="shared" si="41"/>
        <v>0</v>
      </c>
      <c r="HD39" s="2"/>
      <c r="HE39" s="2" t="s">
        <v>3</v>
      </c>
      <c r="HF39" s="2" t="s">
        <v>3</v>
      </c>
      <c r="HG39" s="2"/>
      <c r="HH39" s="2"/>
      <c r="HI39" s="2"/>
      <c r="HJ39" s="2"/>
      <c r="HK39" s="2"/>
      <c r="HL39" s="2"/>
      <c r="HM39" s="2" t="s">
        <v>3</v>
      </c>
      <c r="HN39" s="2" t="s">
        <v>75</v>
      </c>
      <c r="HO39" s="2" t="s">
        <v>76</v>
      </c>
      <c r="HP39" s="2" t="s">
        <v>23</v>
      </c>
      <c r="HQ39" s="2" t="s">
        <v>23</v>
      </c>
      <c r="HR39" s="2"/>
      <c r="HS39" s="2">
        <v>0</v>
      </c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>
        <v>0</v>
      </c>
      <c r="IL39" s="2"/>
      <c r="IM39" s="2"/>
      <c r="IN39" s="2"/>
      <c r="IO39" s="2"/>
      <c r="IP39" s="2"/>
      <c r="IQ39" s="2"/>
      <c r="IR39" s="2"/>
      <c r="IS39" s="2"/>
      <c r="IT39" s="2"/>
      <c r="IU39" s="2"/>
    </row>
    <row r="40" spans="1:255" x14ac:dyDescent="0.2">
      <c r="A40" s="2">
        <v>18</v>
      </c>
      <c r="B40" s="2">
        <v>1</v>
      </c>
      <c r="C40" s="2">
        <v>56</v>
      </c>
      <c r="D40" s="2"/>
      <c r="E40" s="2" t="s">
        <v>85</v>
      </c>
      <c r="F40" s="2" t="s">
        <v>86</v>
      </c>
      <c r="G40" s="2" t="s">
        <v>87</v>
      </c>
      <c r="H40" s="2" t="s">
        <v>34</v>
      </c>
      <c r="I40" s="2">
        <f>I38*J40</f>
        <v>1.85E-4</v>
      </c>
      <c r="J40" s="2">
        <v>0.01</v>
      </c>
      <c r="K40" s="2">
        <v>0.01</v>
      </c>
      <c r="L40" s="2"/>
      <c r="M40" s="2"/>
      <c r="N40" s="2"/>
      <c r="O40" s="2">
        <f t="shared" si="21"/>
        <v>7.41</v>
      </c>
      <c r="P40" s="2">
        <f>ROUND(CQ40*I40,2)</f>
        <v>7.41</v>
      </c>
      <c r="Q40" s="2">
        <f>ROUND(CR40*I40,2)</f>
        <v>0</v>
      </c>
      <c r="R40" s="2">
        <f>ROUND(CS40*I40,2)</f>
        <v>0</v>
      </c>
      <c r="S40" s="2">
        <f>ROUND(CT40*I40,2)</f>
        <v>0</v>
      </c>
      <c r="T40" s="2">
        <f t="shared" si="22"/>
        <v>0</v>
      </c>
      <c r="U40" s="2">
        <f>ROUND(CV40*I40,7)</f>
        <v>0</v>
      </c>
      <c r="V40" s="2">
        <f>ROUND(CW40*I40,7)</f>
        <v>0</v>
      </c>
      <c r="W40" s="2">
        <f t="shared" si="23"/>
        <v>0</v>
      </c>
      <c r="X40" s="2">
        <f t="shared" si="24"/>
        <v>0</v>
      </c>
      <c r="Y40" s="2">
        <f t="shared" si="25"/>
        <v>0</v>
      </c>
      <c r="Z40" s="2"/>
      <c r="AA40" s="2">
        <v>94104265</v>
      </c>
      <c r="AB40" s="2">
        <f t="shared" si="26"/>
        <v>23139.16</v>
      </c>
      <c r="AC40" s="2">
        <f>ROUND((ES40),6)</f>
        <v>23139.16</v>
      </c>
      <c r="AD40" s="2">
        <f>ROUND((((ET40)-(EU40))+AE40),6)</f>
        <v>0</v>
      </c>
      <c r="AE40" s="2">
        <f t="shared" si="45"/>
        <v>0</v>
      </c>
      <c r="AF40" s="2">
        <f t="shared" si="45"/>
        <v>0</v>
      </c>
      <c r="AG40" s="2">
        <f t="shared" si="27"/>
        <v>0</v>
      </c>
      <c r="AH40" s="2">
        <f t="shared" si="46"/>
        <v>0</v>
      </c>
      <c r="AI40" s="2">
        <f t="shared" si="46"/>
        <v>0</v>
      </c>
      <c r="AJ40" s="2">
        <f t="shared" si="28"/>
        <v>0</v>
      </c>
      <c r="AK40" s="2">
        <v>23139.16</v>
      </c>
      <c r="AL40" s="2">
        <v>23139.16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112</v>
      </c>
      <c r="AU40" s="2">
        <v>65</v>
      </c>
      <c r="AV40" s="2">
        <v>1</v>
      </c>
      <c r="AW40" s="2">
        <v>1</v>
      </c>
      <c r="AX40" s="2"/>
      <c r="AY40" s="2"/>
      <c r="AZ40" s="2">
        <v>1</v>
      </c>
      <c r="BA40" s="2">
        <v>1</v>
      </c>
      <c r="BB40" s="2">
        <v>1</v>
      </c>
      <c r="BC40" s="2">
        <v>1.73</v>
      </c>
      <c r="BD40" s="2" t="s">
        <v>3</v>
      </c>
      <c r="BE40" s="2" t="s">
        <v>3</v>
      </c>
      <c r="BF40" s="2" t="s">
        <v>3</v>
      </c>
      <c r="BG40" s="2" t="s">
        <v>3</v>
      </c>
      <c r="BH40" s="2">
        <v>3</v>
      </c>
      <c r="BI40" s="2">
        <v>1</v>
      </c>
      <c r="BJ40" s="2" t="s">
        <v>88</v>
      </c>
      <c r="BK40" s="2"/>
      <c r="BL40" s="2"/>
      <c r="BM40" s="2">
        <v>11001</v>
      </c>
      <c r="BN40" s="2">
        <v>0</v>
      </c>
      <c r="BO40" s="2" t="s">
        <v>86</v>
      </c>
      <c r="BP40" s="2">
        <v>1</v>
      </c>
      <c r="BQ40" s="2">
        <v>2</v>
      </c>
      <c r="BR40" s="2">
        <v>0</v>
      </c>
      <c r="BS40" s="2">
        <v>1</v>
      </c>
      <c r="BT40" s="2">
        <v>1</v>
      </c>
      <c r="BU40" s="2">
        <v>1</v>
      </c>
      <c r="BV40" s="2">
        <v>1</v>
      </c>
      <c r="BW40" s="2">
        <v>1</v>
      </c>
      <c r="BX40" s="2">
        <v>1</v>
      </c>
      <c r="BY40" s="2" t="s">
        <v>3</v>
      </c>
      <c r="BZ40" s="2">
        <v>112</v>
      </c>
      <c r="CA40" s="2">
        <v>65</v>
      </c>
      <c r="CB40" s="2" t="s">
        <v>3</v>
      </c>
      <c r="CC40" s="2"/>
      <c r="CD40" s="2"/>
      <c r="CE40" s="2">
        <v>0</v>
      </c>
      <c r="CF40" s="2">
        <v>0</v>
      </c>
      <c r="CG40" s="2">
        <v>0</v>
      </c>
      <c r="CH40" s="2"/>
      <c r="CI40" s="2"/>
      <c r="CJ40" s="2"/>
      <c r="CK40" s="2"/>
      <c r="CL40" s="2"/>
      <c r="CM40" s="2">
        <v>0</v>
      </c>
      <c r="CN40" s="2" t="s">
        <v>3</v>
      </c>
      <c r="CO40" s="2">
        <v>0</v>
      </c>
      <c r="CP40" s="2">
        <f t="shared" si="29"/>
        <v>7.41</v>
      </c>
      <c r="CQ40" s="2">
        <f>ROUND(AL40*BC40,2)</f>
        <v>40030.75</v>
      </c>
      <c r="CR40" s="2">
        <f>ROUND(AM40*BB40,2)</f>
        <v>0</v>
      </c>
      <c r="CS40" s="2">
        <f>ROUND(AN40*BS40,2)</f>
        <v>0</v>
      </c>
      <c r="CT40" s="2">
        <f>ROUND(AO40*BA40,2)</f>
        <v>0</v>
      </c>
      <c r="CU40" s="2">
        <f t="shared" si="30"/>
        <v>0</v>
      </c>
      <c r="CV40" s="2">
        <f t="shared" si="47"/>
        <v>0</v>
      </c>
      <c r="CW40" s="2">
        <f t="shared" si="47"/>
        <v>0</v>
      </c>
      <c r="CX40" s="2">
        <f t="shared" si="31"/>
        <v>0</v>
      </c>
      <c r="CY40" s="2">
        <f t="shared" si="32"/>
        <v>0</v>
      </c>
      <c r="CZ40" s="2">
        <f t="shared" si="33"/>
        <v>0</v>
      </c>
      <c r="DA40" s="2"/>
      <c r="DB40" s="2"/>
      <c r="DC40" s="2" t="s">
        <v>3</v>
      </c>
      <c r="DD40" s="2" t="s">
        <v>3</v>
      </c>
      <c r="DE40" s="2" t="s">
        <v>3</v>
      </c>
      <c r="DF40" s="2" t="s">
        <v>3</v>
      </c>
      <c r="DG40" s="2" t="s">
        <v>3</v>
      </c>
      <c r="DH40" s="2" t="s">
        <v>3</v>
      </c>
      <c r="DI40" s="2" t="s">
        <v>3</v>
      </c>
      <c r="DJ40" s="2" t="s">
        <v>3</v>
      </c>
      <c r="DK40" s="2" t="s">
        <v>3</v>
      </c>
      <c r="DL40" s="2" t="s">
        <v>3</v>
      </c>
      <c r="DM40" s="2" t="s">
        <v>3</v>
      </c>
      <c r="DN40" s="2">
        <v>0</v>
      </c>
      <c r="DO40" s="2">
        <v>0</v>
      </c>
      <c r="DP40" s="2">
        <v>1</v>
      </c>
      <c r="DQ40" s="2">
        <v>1</v>
      </c>
      <c r="DR40" s="2"/>
      <c r="DS40" s="2"/>
      <c r="DT40" s="2"/>
      <c r="DU40" s="2">
        <v>1007</v>
      </c>
      <c r="DV40" s="2" t="s">
        <v>34</v>
      </c>
      <c r="DW40" s="2" t="s">
        <v>34</v>
      </c>
      <c r="DX40" s="2">
        <v>1</v>
      </c>
      <c r="DY40" s="2"/>
      <c r="DZ40" s="2" t="s">
        <v>3</v>
      </c>
      <c r="EA40" s="2" t="s">
        <v>3</v>
      </c>
      <c r="EB40" s="2" t="s">
        <v>3</v>
      </c>
      <c r="EC40" s="2" t="s">
        <v>3</v>
      </c>
      <c r="ED40" s="2"/>
      <c r="EE40" s="2">
        <v>89976994</v>
      </c>
      <c r="EF40" s="2">
        <v>2</v>
      </c>
      <c r="EG40" s="2" t="s">
        <v>44</v>
      </c>
      <c r="EH40" s="2">
        <v>11</v>
      </c>
      <c r="EI40" s="2" t="s">
        <v>23</v>
      </c>
      <c r="EJ40" s="2">
        <v>1</v>
      </c>
      <c r="EK40" s="2">
        <v>11001</v>
      </c>
      <c r="EL40" s="2" t="s">
        <v>23</v>
      </c>
      <c r="EM40" s="2" t="s">
        <v>74</v>
      </c>
      <c r="EN40" s="2"/>
      <c r="EO40" s="2" t="s">
        <v>3</v>
      </c>
      <c r="EP40" s="2"/>
      <c r="EQ40" s="2">
        <v>0</v>
      </c>
      <c r="ER40" s="2">
        <v>23139.16</v>
      </c>
      <c r="ES40" s="2">
        <v>23139.16</v>
      </c>
      <c r="ET40" s="2">
        <v>0</v>
      </c>
      <c r="EU40" s="2">
        <v>0</v>
      </c>
      <c r="EV40" s="2">
        <v>0</v>
      </c>
      <c r="EW40" s="2">
        <v>0</v>
      </c>
      <c r="EX40" s="2">
        <v>0</v>
      </c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>
        <v>0</v>
      </c>
      <c r="FR40" s="2">
        <v>0</v>
      </c>
      <c r="FS40" s="2">
        <v>0</v>
      </c>
      <c r="FT40" s="2"/>
      <c r="FU40" s="2"/>
      <c r="FV40" s="2"/>
      <c r="FW40" s="2"/>
      <c r="FX40" s="2">
        <v>112</v>
      </c>
      <c r="FY40" s="2">
        <v>65</v>
      </c>
      <c r="FZ40" s="2"/>
      <c r="GA40" s="2" t="s">
        <v>3</v>
      </c>
      <c r="GB40" s="2"/>
      <c r="GC40" s="2"/>
      <c r="GD40" s="2">
        <v>1</v>
      </c>
      <c r="GE40" s="2"/>
      <c r="GF40" s="2">
        <v>-492236760</v>
      </c>
      <c r="GG40" s="2">
        <v>2</v>
      </c>
      <c r="GH40" s="2">
        <v>1</v>
      </c>
      <c r="GI40" s="2">
        <v>2</v>
      </c>
      <c r="GJ40" s="2">
        <v>0</v>
      </c>
      <c r="GK40" s="2">
        <v>0</v>
      </c>
      <c r="GL40" s="2">
        <f t="shared" si="34"/>
        <v>0</v>
      </c>
      <c r="GM40" s="2">
        <f t="shared" si="35"/>
        <v>7.41</v>
      </c>
      <c r="GN40" s="2">
        <f t="shared" si="36"/>
        <v>7.41</v>
      </c>
      <c r="GO40" s="2">
        <f t="shared" si="37"/>
        <v>0</v>
      </c>
      <c r="GP40" s="2">
        <f t="shared" si="38"/>
        <v>0</v>
      </c>
      <c r="GQ40" s="2"/>
      <c r="GR40" s="2">
        <v>0</v>
      </c>
      <c r="GS40" s="2">
        <v>0</v>
      </c>
      <c r="GT40" s="2">
        <v>0</v>
      </c>
      <c r="GU40" s="2" t="s">
        <v>3</v>
      </c>
      <c r="GV40" s="2">
        <f t="shared" si="39"/>
        <v>0</v>
      </c>
      <c r="GW40" s="2">
        <v>1</v>
      </c>
      <c r="GX40" s="2">
        <f t="shared" si="40"/>
        <v>0</v>
      </c>
      <c r="GY40" s="2"/>
      <c r="GZ40" s="2"/>
      <c r="HA40" s="2">
        <v>0</v>
      </c>
      <c r="HB40" s="2">
        <v>0</v>
      </c>
      <c r="HC40" s="2">
        <f t="shared" si="41"/>
        <v>0</v>
      </c>
      <c r="HD40" s="2"/>
      <c r="HE40" s="2" t="s">
        <v>3</v>
      </c>
      <c r="HF40" s="2" t="s">
        <v>3</v>
      </c>
      <c r="HG40" s="2"/>
      <c r="HH40" s="2"/>
      <c r="HI40" s="2"/>
      <c r="HJ40" s="2"/>
      <c r="HK40" s="2"/>
      <c r="HL40" s="2"/>
      <c r="HM40" s="2" t="s">
        <v>3</v>
      </c>
      <c r="HN40" s="2" t="s">
        <v>75</v>
      </c>
      <c r="HO40" s="2" t="s">
        <v>76</v>
      </c>
      <c r="HP40" s="2" t="s">
        <v>23</v>
      </c>
      <c r="HQ40" s="2" t="s">
        <v>23</v>
      </c>
      <c r="HR40" s="2"/>
      <c r="HS40" s="2">
        <v>0</v>
      </c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>
        <v>0</v>
      </c>
      <c r="IL40" s="2"/>
      <c r="IM40" s="2"/>
      <c r="IN40" s="2"/>
      <c r="IO40" s="2"/>
      <c r="IP40" s="2"/>
      <c r="IQ40" s="2"/>
      <c r="IR40" s="2"/>
      <c r="IS40" s="2"/>
      <c r="IT40" s="2"/>
      <c r="IU40" s="2"/>
    </row>
    <row r="41" spans="1:255" x14ac:dyDescent="0.2">
      <c r="A41" s="2">
        <v>18</v>
      </c>
      <c r="B41" s="2">
        <v>1</v>
      </c>
      <c r="C41" s="2">
        <v>57</v>
      </c>
      <c r="D41" s="2"/>
      <c r="E41" s="2" t="s">
        <v>89</v>
      </c>
      <c r="F41" s="2" t="s">
        <v>90</v>
      </c>
      <c r="G41" s="2" t="s">
        <v>91</v>
      </c>
      <c r="H41" s="2" t="s">
        <v>30</v>
      </c>
      <c r="I41" s="2">
        <f>I38*J41</f>
        <v>2.2200000000000001E-2</v>
      </c>
      <c r="J41" s="2">
        <v>1.2000000000000002</v>
      </c>
      <c r="K41" s="2">
        <v>1.2</v>
      </c>
      <c r="L41" s="2"/>
      <c r="M41" s="2"/>
      <c r="N41" s="2"/>
      <c r="O41" s="2">
        <f t="shared" si="21"/>
        <v>762.31</v>
      </c>
      <c r="P41" s="2">
        <f>ROUND(CQ41*I41,2)</f>
        <v>762.31</v>
      </c>
      <c r="Q41" s="2">
        <f>ROUND(CR41*I41,2)</f>
        <v>0</v>
      </c>
      <c r="R41" s="2">
        <f>ROUND(CS41*I41,2)</f>
        <v>0</v>
      </c>
      <c r="S41" s="2">
        <f>ROUND(CT41*I41,2)</f>
        <v>0</v>
      </c>
      <c r="T41" s="2">
        <f t="shared" si="22"/>
        <v>0</v>
      </c>
      <c r="U41" s="2">
        <f>ROUND(CV41*I41,7)</f>
        <v>0</v>
      </c>
      <c r="V41" s="2">
        <f>ROUND(CW41*I41,7)</f>
        <v>0</v>
      </c>
      <c r="W41" s="2">
        <f t="shared" si="23"/>
        <v>0</v>
      </c>
      <c r="X41" s="2">
        <f t="shared" si="24"/>
        <v>0</v>
      </c>
      <c r="Y41" s="2">
        <f t="shared" si="25"/>
        <v>0</v>
      </c>
      <c r="Z41" s="2"/>
      <c r="AA41" s="2">
        <v>94104265</v>
      </c>
      <c r="AB41" s="2">
        <f t="shared" si="26"/>
        <v>33998.35</v>
      </c>
      <c r="AC41" s="2">
        <f>ROUND((ES41),6)</f>
        <v>33998.35</v>
      </c>
      <c r="AD41" s="2">
        <f>ROUND((((ET41)-(EU41))+AE41),6)</f>
        <v>0</v>
      </c>
      <c r="AE41" s="2">
        <f t="shared" si="45"/>
        <v>0</v>
      </c>
      <c r="AF41" s="2">
        <f t="shared" si="45"/>
        <v>0</v>
      </c>
      <c r="AG41" s="2">
        <f t="shared" si="27"/>
        <v>0</v>
      </c>
      <c r="AH41" s="2">
        <f t="shared" si="46"/>
        <v>0</v>
      </c>
      <c r="AI41" s="2">
        <f t="shared" si="46"/>
        <v>0</v>
      </c>
      <c r="AJ41" s="2">
        <f t="shared" si="28"/>
        <v>0</v>
      </c>
      <c r="AK41" s="2">
        <v>33998.35</v>
      </c>
      <c r="AL41" s="2">
        <v>33998.35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112</v>
      </c>
      <c r="AU41" s="2">
        <v>65</v>
      </c>
      <c r="AV41" s="2">
        <v>1</v>
      </c>
      <c r="AW41" s="2">
        <v>1</v>
      </c>
      <c r="AX41" s="2"/>
      <c r="AY41" s="2"/>
      <c r="AZ41" s="2">
        <v>1</v>
      </c>
      <c r="BA41" s="2">
        <v>1</v>
      </c>
      <c r="BB41" s="2">
        <v>1</v>
      </c>
      <c r="BC41" s="2">
        <v>1.01</v>
      </c>
      <c r="BD41" s="2" t="s">
        <v>3</v>
      </c>
      <c r="BE41" s="2" t="s">
        <v>3</v>
      </c>
      <c r="BF41" s="2" t="s">
        <v>3</v>
      </c>
      <c r="BG41" s="2" t="s">
        <v>3</v>
      </c>
      <c r="BH41" s="2">
        <v>3</v>
      </c>
      <c r="BI41" s="2">
        <v>1</v>
      </c>
      <c r="BJ41" s="2" t="s">
        <v>92</v>
      </c>
      <c r="BK41" s="2"/>
      <c r="BL41" s="2"/>
      <c r="BM41" s="2">
        <v>11001</v>
      </c>
      <c r="BN41" s="2">
        <v>0</v>
      </c>
      <c r="BO41" s="2" t="s">
        <v>90</v>
      </c>
      <c r="BP41" s="2">
        <v>1</v>
      </c>
      <c r="BQ41" s="2">
        <v>2</v>
      </c>
      <c r="BR41" s="2">
        <v>0</v>
      </c>
      <c r="BS41" s="2">
        <v>1</v>
      </c>
      <c r="BT41" s="2">
        <v>1</v>
      </c>
      <c r="BU41" s="2">
        <v>1</v>
      </c>
      <c r="BV41" s="2">
        <v>1</v>
      </c>
      <c r="BW41" s="2">
        <v>1</v>
      </c>
      <c r="BX41" s="2">
        <v>1</v>
      </c>
      <c r="BY41" s="2" t="s">
        <v>3</v>
      </c>
      <c r="BZ41" s="2">
        <v>112</v>
      </c>
      <c r="CA41" s="2">
        <v>65</v>
      </c>
      <c r="CB41" s="2" t="s">
        <v>3</v>
      </c>
      <c r="CC41" s="2"/>
      <c r="CD41" s="2"/>
      <c r="CE41" s="2">
        <v>0</v>
      </c>
      <c r="CF41" s="2">
        <v>0</v>
      </c>
      <c r="CG41" s="2">
        <v>0</v>
      </c>
      <c r="CH41" s="2"/>
      <c r="CI41" s="2"/>
      <c r="CJ41" s="2"/>
      <c r="CK41" s="2"/>
      <c r="CL41" s="2"/>
      <c r="CM41" s="2">
        <v>0</v>
      </c>
      <c r="CN41" s="2" t="s">
        <v>3</v>
      </c>
      <c r="CO41" s="2">
        <v>0</v>
      </c>
      <c r="CP41" s="2">
        <f t="shared" si="29"/>
        <v>762.31</v>
      </c>
      <c r="CQ41" s="2">
        <f>ROUND(AL41*BC41,2)</f>
        <v>34338.33</v>
      </c>
      <c r="CR41" s="2">
        <f>ROUND(AM41*BB41,2)</f>
        <v>0</v>
      </c>
      <c r="CS41" s="2">
        <f>ROUND(AN41*BS41,2)</f>
        <v>0</v>
      </c>
      <c r="CT41" s="2">
        <f>ROUND(AO41*BA41,2)</f>
        <v>0</v>
      </c>
      <c r="CU41" s="2">
        <f t="shared" si="30"/>
        <v>0</v>
      </c>
      <c r="CV41" s="2">
        <f t="shared" si="47"/>
        <v>0</v>
      </c>
      <c r="CW41" s="2">
        <f t="shared" si="47"/>
        <v>0</v>
      </c>
      <c r="CX41" s="2">
        <f t="shared" si="31"/>
        <v>0</v>
      </c>
      <c r="CY41" s="2">
        <f t="shared" si="32"/>
        <v>0</v>
      </c>
      <c r="CZ41" s="2">
        <f t="shared" si="33"/>
        <v>0</v>
      </c>
      <c r="DA41" s="2"/>
      <c r="DB41" s="2"/>
      <c r="DC41" s="2" t="s">
        <v>3</v>
      </c>
      <c r="DD41" s="2" t="s">
        <v>3</v>
      </c>
      <c r="DE41" s="2" t="s">
        <v>3</v>
      </c>
      <c r="DF41" s="2" t="s">
        <v>3</v>
      </c>
      <c r="DG41" s="2" t="s">
        <v>3</v>
      </c>
      <c r="DH41" s="2" t="s">
        <v>3</v>
      </c>
      <c r="DI41" s="2" t="s">
        <v>3</v>
      </c>
      <c r="DJ41" s="2" t="s">
        <v>3</v>
      </c>
      <c r="DK41" s="2" t="s">
        <v>3</v>
      </c>
      <c r="DL41" s="2" t="s">
        <v>3</v>
      </c>
      <c r="DM41" s="2" t="s">
        <v>3</v>
      </c>
      <c r="DN41" s="2">
        <v>0</v>
      </c>
      <c r="DO41" s="2">
        <v>0</v>
      </c>
      <c r="DP41" s="2">
        <v>1</v>
      </c>
      <c r="DQ41" s="2">
        <v>1</v>
      </c>
      <c r="DR41" s="2"/>
      <c r="DS41" s="2"/>
      <c r="DT41" s="2"/>
      <c r="DU41" s="2">
        <v>1009</v>
      </c>
      <c r="DV41" s="2" t="s">
        <v>30</v>
      </c>
      <c r="DW41" s="2" t="s">
        <v>30</v>
      </c>
      <c r="DX41" s="2">
        <v>1000</v>
      </c>
      <c r="DY41" s="2"/>
      <c r="DZ41" s="2" t="s">
        <v>3</v>
      </c>
      <c r="EA41" s="2" t="s">
        <v>3</v>
      </c>
      <c r="EB41" s="2" t="s">
        <v>3</v>
      </c>
      <c r="EC41" s="2" t="s">
        <v>3</v>
      </c>
      <c r="ED41" s="2"/>
      <c r="EE41" s="2">
        <v>89976994</v>
      </c>
      <c r="EF41" s="2">
        <v>2</v>
      </c>
      <c r="EG41" s="2" t="s">
        <v>44</v>
      </c>
      <c r="EH41" s="2">
        <v>11</v>
      </c>
      <c r="EI41" s="2" t="s">
        <v>23</v>
      </c>
      <c r="EJ41" s="2">
        <v>1</v>
      </c>
      <c r="EK41" s="2">
        <v>11001</v>
      </c>
      <c r="EL41" s="2" t="s">
        <v>23</v>
      </c>
      <c r="EM41" s="2" t="s">
        <v>74</v>
      </c>
      <c r="EN41" s="2"/>
      <c r="EO41" s="2" t="s">
        <v>3</v>
      </c>
      <c r="EP41" s="2"/>
      <c r="EQ41" s="2">
        <v>0</v>
      </c>
      <c r="ER41" s="2">
        <v>33998.35</v>
      </c>
      <c r="ES41" s="2">
        <v>33998.35</v>
      </c>
      <c r="ET41" s="2">
        <v>0</v>
      </c>
      <c r="EU41" s="2">
        <v>0</v>
      </c>
      <c r="EV41" s="2">
        <v>0</v>
      </c>
      <c r="EW41" s="2">
        <v>0</v>
      </c>
      <c r="EX41" s="2">
        <v>0</v>
      </c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>
        <v>0</v>
      </c>
      <c r="FR41" s="2">
        <v>0</v>
      </c>
      <c r="FS41" s="2">
        <v>0</v>
      </c>
      <c r="FT41" s="2"/>
      <c r="FU41" s="2"/>
      <c r="FV41" s="2"/>
      <c r="FW41" s="2"/>
      <c r="FX41" s="2">
        <v>112</v>
      </c>
      <c r="FY41" s="2">
        <v>65</v>
      </c>
      <c r="FZ41" s="2"/>
      <c r="GA41" s="2" t="s">
        <v>3</v>
      </c>
      <c r="GB41" s="2"/>
      <c r="GC41" s="2"/>
      <c r="GD41" s="2">
        <v>1</v>
      </c>
      <c r="GE41" s="2"/>
      <c r="GF41" s="2">
        <v>1044775536</v>
      </c>
      <c r="GG41" s="2">
        <v>2</v>
      </c>
      <c r="GH41" s="2">
        <v>1</v>
      </c>
      <c r="GI41" s="2">
        <v>2</v>
      </c>
      <c r="GJ41" s="2">
        <v>0</v>
      </c>
      <c r="GK41" s="2">
        <v>0</v>
      </c>
      <c r="GL41" s="2">
        <f t="shared" si="34"/>
        <v>0</v>
      </c>
      <c r="GM41" s="2">
        <f t="shared" si="35"/>
        <v>762.31</v>
      </c>
      <c r="GN41" s="2">
        <f t="shared" si="36"/>
        <v>762.31</v>
      </c>
      <c r="GO41" s="2">
        <f t="shared" si="37"/>
        <v>0</v>
      </c>
      <c r="GP41" s="2">
        <f t="shared" si="38"/>
        <v>0</v>
      </c>
      <c r="GQ41" s="2"/>
      <c r="GR41" s="2">
        <v>0</v>
      </c>
      <c r="GS41" s="2">
        <v>0</v>
      </c>
      <c r="GT41" s="2">
        <v>0</v>
      </c>
      <c r="GU41" s="2" t="s">
        <v>3</v>
      </c>
      <c r="GV41" s="2">
        <f t="shared" si="39"/>
        <v>0</v>
      </c>
      <c r="GW41" s="2">
        <v>1</v>
      </c>
      <c r="GX41" s="2">
        <f t="shared" si="40"/>
        <v>0</v>
      </c>
      <c r="GY41" s="2"/>
      <c r="GZ41" s="2"/>
      <c r="HA41" s="2">
        <v>0</v>
      </c>
      <c r="HB41" s="2">
        <v>0</v>
      </c>
      <c r="HC41" s="2">
        <f t="shared" si="41"/>
        <v>0</v>
      </c>
      <c r="HD41" s="2"/>
      <c r="HE41" s="2" t="s">
        <v>3</v>
      </c>
      <c r="HF41" s="2" t="s">
        <v>3</v>
      </c>
      <c r="HG41" s="2"/>
      <c r="HH41" s="2"/>
      <c r="HI41" s="2"/>
      <c r="HJ41" s="2"/>
      <c r="HK41" s="2"/>
      <c r="HL41" s="2"/>
      <c r="HM41" s="2" t="s">
        <v>3</v>
      </c>
      <c r="HN41" s="2" t="s">
        <v>75</v>
      </c>
      <c r="HO41" s="2" t="s">
        <v>76</v>
      </c>
      <c r="HP41" s="2" t="s">
        <v>23</v>
      </c>
      <c r="HQ41" s="2" t="s">
        <v>23</v>
      </c>
      <c r="HR41" s="2"/>
      <c r="HS41" s="2">
        <v>0</v>
      </c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>
        <v>0</v>
      </c>
      <c r="IL41" s="2"/>
      <c r="IM41" s="2"/>
      <c r="IN41" s="2"/>
      <c r="IO41" s="2"/>
      <c r="IP41" s="2"/>
      <c r="IQ41" s="2"/>
      <c r="IR41" s="2"/>
      <c r="IS41" s="2"/>
      <c r="IT41" s="2"/>
      <c r="IU41" s="2"/>
    </row>
    <row r="42" spans="1:255" x14ac:dyDescent="0.2">
      <c r="A42" s="2">
        <v>18</v>
      </c>
      <c r="B42" s="2">
        <v>1</v>
      </c>
      <c r="C42" s="2">
        <v>58</v>
      </c>
      <c r="D42" s="2"/>
      <c r="E42" s="2" t="s">
        <v>93</v>
      </c>
      <c r="F42" s="2" t="s">
        <v>94</v>
      </c>
      <c r="G42" s="2" t="s">
        <v>95</v>
      </c>
      <c r="H42" s="2" t="s">
        <v>96</v>
      </c>
      <c r="I42" s="2">
        <f>I38*J42</f>
        <v>0.2898618</v>
      </c>
      <c r="J42" s="2">
        <v>15.668205405405406</v>
      </c>
      <c r="K42" s="2">
        <v>15.6682028</v>
      </c>
      <c r="L42" s="2"/>
      <c r="M42" s="2"/>
      <c r="N42" s="2"/>
      <c r="O42" s="2">
        <f t="shared" si="21"/>
        <v>465.25</v>
      </c>
      <c r="P42" s="2">
        <f>ROUND(CQ42*I42,2)</f>
        <v>465.25</v>
      </c>
      <c r="Q42" s="2">
        <f>ROUND(CR42*I42,2)</f>
        <v>0</v>
      </c>
      <c r="R42" s="2">
        <f>ROUND(CS42*I42,2)</f>
        <v>0</v>
      </c>
      <c r="S42" s="2">
        <f>ROUND(CT42*I42,2)</f>
        <v>0</v>
      </c>
      <c r="T42" s="2">
        <f t="shared" si="22"/>
        <v>0</v>
      </c>
      <c r="U42" s="2">
        <f>ROUND(CV42*I42,7)</f>
        <v>0</v>
      </c>
      <c r="V42" s="2">
        <f>ROUND(CW42*I42,7)</f>
        <v>0</v>
      </c>
      <c r="W42" s="2">
        <f t="shared" si="23"/>
        <v>0</v>
      </c>
      <c r="X42" s="2">
        <f t="shared" si="24"/>
        <v>0</v>
      </c>
      <c r="Y42" s="2">
        <f t="shared" si="25"/>
        <v>0</v>
      </c>
      <c r="Z42" s="2"/>
      <c r="AA42" s="2">
        <v>94104265</v>
      </c>
      <c r="AB42" s="2">
        <f t="shared" si="26"/>
        <v>1284.05</v>
      </c>
      <c r="AC42" s="2">
        <f>ROUND((ES42),6)</f>
        <v>1284.05</v>
      </c>
      <c r="AD42" s="2">
        <f>ROUND((((ET42)-(EU42))+AE42),6)</f>
        <v>0</v>
      </c>
      <c r="AE42" s="2">
        <f t="shared" si="45"/>
        <v>0</v>
      </c>
      <c r="AF42" s="2">
        <f t="shared" si="45"/>
        <v>0</v>
      </c>
      <c r="AG42" s="2">
        <f t="shared" si="27"/>
        <v>0</v>
      </c>
      <c r="AH42" s="2">
        <f t="shared" si="46"/>
        <v>0</v>
      </c>
      <c r="AI42" s="2">
        <f t="shared" si="46"/>
        <v>0</v>
      </c>
      <c r="AJ42" s="2">
        <f t="shared" si="28"/>
        <v>0</v>
      </c>
      <c r="AK42" s="2">
        <v>1284.05</v>
      </c>
      <c r="AL42" s="2">
        <v>1284.05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112</v>
      </c>
      <c r="AU42" s="2">
        <v>65</v>
      </c>
      <c r="AV42" s="2">
        <v>1</v>
      </c>
      <c r="AW42" s="2">
        <v>1</v>
      </c>
      <c r="AX42" s="2"/>
      <c r="AY42" s="2"/>
      <c r="AZ42" s="2">
        <v>1</v>
      </c>
      <c r="BA42" s="2">
        <v>1</v>
      </c>
      <c r="BB42" s="2">
        <v>1</v>
      </c>
      <c r="BC42" s="2">
        <v>1.25</v>
      </c>
      <c r="BD42" s="2" t="s">
        <v>3</v>
      </c>
      <c r="BE42" s="2" t="s">
        <v>3</v>
      </c>
      <c r="BF42" s="2" t="s">
        <v>3</v>
      </c>
      <c r="BG42" s="2" t="s">
        <v>3</v>
      </c>
      <c r="BH42" s="2">
        <v>3</v>
      </c>
      <c r="BI42" s="2">
        <v>1</v>
      </c>
      <c r="BJ42" s="2" t="s">
        <v>97</v>
      </c>
      <c r="BK42" s="2"/>
      <c r="BL42" s="2"/>
      <c r="BM42" s="2">
        <v>11001</v>
      </c>
      <c r="BN42" s="2">
        <v>0</v>
      </c>
      <c r="BO42" s="2" t="s">
        <v>94</v>
      </c>
      <c r="BP42" s="2">
        <v>1</v>
      </c>
      <c r="BQ42" s="2">
        <v>2</v>
      </c>
      <c r="BR42" s="2">
        <v>0</v>
      </c>
      <c r="BS42" s="2">
        <v>1</v>
      </c>
      <c r="BT42" s="2">
        <v>1</v>
      </c>
      <c r="BU42" s="2">
        <v>1</v>
      </c>
      <c r="BV42" s="2">
        <v>1</v>
      </c>
      <c r="BW42" s="2">
        <v>1</v>
      </c>
      <c r="BX42" s="2">
        <v>1</v>
      </c>
      <c r="BY42" s="2" t="s">
        <v>3</v>
      </c>
      <c r="BZ42" s="2">
        <v>112</v>
      </c>
      <c r="CA42" s="2">
        <v>65</v>
      </c>
      <c r="CB42" s="2" t="s">
        <v>3</v>
      </c>
      <c r="CC42" s="2"/>
      <c r="CD42" s="2"/>
      <c r="CE42" s="2">
        <v>0</v>
      </c>
      <c r="CF42" s="2">
        <v>0</v>
      </c>
      <c r="CG42" s="2">
        <v>0</v>
      </c>
      <c r="CH42" s="2"/>
      <c r="CI42" s="2"/>
      <c r="CJ42" s="2"/>
      <c r="CK42" s="2"/>
      <c r="CL42" s="2"/>
      <c r="CM42" s="2">
        <v>0</v>
      </c>
      <c r="CN42" s="2" t="s">
        <v>3</v>
      </c>
      <c r="CO42" s="2">
        <v>0</v>
      </c>
      <c r="CP42" s="2">
        <f t="shared" si="29"/>
        <v>465.25</v>
      </c>
      <c r="CQ42" s="2">
        <f>ROUND(AL42*BC42,2)</f>
        <v>1605.06</v>
      </c>
      <c r="CR42" s="2">
        <f>ROUND(AM42*BB42,2)</f>
        <v>0</v>
      </c>
      <c r="CS42" s="2">
        <f>ROUND(AN42*BS42,2)</f>
        <v>0</v>
      </c>
      <c r="CT42" s="2">
        <f>ROUND(AO42*BA42,2)</f>
        <v>0</v>
      </c>
      <c r="CU42" s="2">
        <f t="shared" si="30"/>
        <v>0</v>
      </c>
      <c r="CV42" s="2">
        <f t="shared" si="47"/>
        <v>0</v>
      </c>
      <c r="CW42" s="2">
        <f t="shared" si="47"/>
        <v>0</v>
      </c>
      <c r="CX42" s="2">
        <f t="shared" si="31"/>
        <v>0</v>
      </c>
      <c r="CY42" s="2">
        <f t="shared" si="32"/>
        <v>0</v>
      </c>
      <c r="CZ42" s="2">
        <f t="shared" si="33"/>
        <v>0</v>
      </c>
      <c r="DA42" s="2"/>
      <c r="DB42" s="2"/>
      <c r="DC42" s="2" t="s">
        <v>3</v>
      </c>
      <c r="DD42" s="2" t="s">
        <v>3</v>
      </c>
      <c r="DE42" s="2" t="s">
        <v>3</v>
      </c>
      <c r="DF42" s="2" t="s">
        <v>3</v>
      </c>
      <c r="DG42" s="2" t="s">
        <v>3</v>
      </c>
      <c r="DH42" s="2" t="s">
        <v>3</v>
      </c>
      <c r="DI42" s="2" t="s">
        <v>3</v>
      </c>
      <c r="DJ42" s="2" t="s">
        <v>3</v>
      </c>
      <c r="DK42" s="2" t="s">
        <v>3</v>
      </c>
      <c r="DL42" s="2" t="s">
        <v>3</v>
      </c>
      <c r="DM42" s="2" t="s">
        <v>3</v>
      </c>
      <c r="DN42" s="2">
        <v>0</v>
      </c>
      <c r="DO42" s="2">
        <v>0</v>
      </c>
      <c r="DP42" s="2">
        <v>1</v>
      </c>
      <c r="DQ42" s="2">
        <v>1</v>
      </c>
      <c r="DR42" s="2"/>
      <c r="DS42" s="2"/>
      <c r="DT42" s="2"/>
      <c r="DU42" s="2">
        <v>1009</v>
      </c>
      <c r="DV42" s="2" t="s">
        <v>96</v>
      </c>
      <c r="DW42" s="2" t="s">
        <v>96</v>
      </c>
      <c r="DX42" s="2">
        <v>1</v>
      </c>
      <c r="DY42" s="2"/>
      <c r="DZ42" s="2" t="s">
        <v>3</v>
      </c>
      <c r="EA42" s="2" t="s">
        <v>3</v>
      </c>
      <c r="EB42" s="2" t="s">
        <v>3</v>
      </c>
      <c r="EC42" s="2" t="s">
        <v>3</v>
      </c>
      <c r="ED42" s="2"/>
      <c r="EE42" s="2">
        <v>89976994</v>
      </c>
      <c r="EF42" s="2">
        <v>2</v>
      </c>
      <c r="EG42" s="2" t="s">
        <v>44</v>
      </c>
      <c r="EH42" s="2">
        <v>11</v>
      </c>
      <c r="EI42" s="2" t="s">
        <v>23</v>
      </c>
      <c r="EJ42" s="2">
        <v>1</v>
      </c>
      <c r="EK42" s="2">
        <v>11001</v>
      </c>
      <c r="EL42" s="2" t="s">
        <v>23</v>
      </c>
      <c r="EM42" s="2" t="s">
        <v>74</v>
      </c>
      <c r="EN42" s="2"/>
      <c r="EO42" s="2" t="s">
        <v>3</v>
      </c>
      <c r="EP42" s="2"/>
      <c r="EQ42" s="2">
        <v>0</v>
      </c>
      <c r="ER42" s="2">
        <v>1284.05</v>
      </c>
      <c r="ES42" s="2">
        <v>1284.05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>
        <v>0</v>
      </c>
      <c r="FR42" s="2">
        <v>0</v>
      </c>
      <c r="FS42" s="2">
        <v>0</v>
      </c>
      <c r="FT42" s="2"/>
      <c r="FU42" s="2"/>
      <c r="FV42" s="2"/>
      <c r="FW42" s="2"/>
      <c r="FX42" s="2">
        <v>112</v>
      </c>
      <c r="FY42" s="2">
        <v>65</v>
      </c>
      <c r="FZ42" s="2"/>
      <c r="GA42" s="2" t="s">
        <v>3</v>
      </c>
      <c r="GB42" s="2"/>
      <c r="GC42" s="2"/>
      <c r="GD42" s="2">
        <v>1</v>
      </c>
      <c r="GE42" s="2"/>
      <c r="GF42" s="2">
        <v>-302696231</v>
      </c>
      <c r="GG42" s="2">
        <v>2</v>
      </c>
      <c r="GH42" s="2">
        <v>1</v>
      </c>
      <c r="GI42" s="2">
        <v>2</v>
      </c>
      <c r="GJ42" s="2">
        <v>0</v>
      </c>
      <c r="GK42" s="2">
        <v>0</v>
      </c>
      <c r="GL42" s="2">
        <f t="shared" si="34"/>
        <v>0</v>
      </c>
      <c r="GM42" s="2">
        <f t="shared" si="35"/>
        <v>465.25</v>
      </c>
      <c r="GN42" s="2">
        <f t="shared" si="36"/>
        <v>465.25</v>
      </c>
      <c r="GO42" s="2">
        <f t="shared" si="37"/>
        <v>0</v>
      </c>
      <c r="GP42" s="2">
        <f t="shared" si="38"/>
        <v>0</v>
      </c>
      <c r="GQ42" s="2"/>
      <c r="GR42" s="2">
        <v>0</v>
      </c>
      <c r="GS42" s="2">
        <v>0</v>
      </c>
      <c r="GT42" s="2">
        <v>0</v>
      </c>
      <c r="GU42" s="2" t="s">
        <v>3</v>
      </c>
      <c r="GV42" s="2">
        <f t="shared" si="39"/>
        <v>0</v>
      </c>
      <c r="GW42" s="2">
        <v>1</v>
      </c>
      <c r="GX42" s="2">
        <f t="shared" si="40"/>
        <v>0</v>
      </c>
      <c r="GY42" s="2"/>
      <c r="GZ42" s="2"/>
      <c r="HA42" s="2">
        <v>0</v>
      </c>
      <c r="HB42" s="2">
        <v>0</v>
      </c>
      <c r="HC42" s="2">
        <f t="shared" si="41"/>
        <v>0</v>
      </c>
      <c r="HD42" s="2"/>
      <c r="HE42" s="2" t="s">
        <v>3</v>
      </c>
      <c r="HF42" s="2" t="s">
        <v>3</v>
      </c>
      <c r="HG42" s="2"/>
      <c r="HH42" s="2"/>
      <c r="HI42" s="2"/>
      <c r="HJ42" s="2"/>
      <c r="HK42" s="2"/>
      <c r="HL42" s="2"/>
      <c r="HM42" s="2" t="s">
        <v>3</v>
      </c>
      <c r="HN42" s="2" t="s">
        <v>75</v>
      </c>
      <c r="HO42" s="2" t="s">
        <v>76</v>
      </c>
      <c r="HP42" s="2" t="s">
        <v>23</v>
      </c>
      <c r="HQ42" s="2" t="s">
        <v>23</v>
      </c>
      <c r="HR42" s="2"/>
      <c r="HS42" s="2">
        <v>0</v>
      </c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>
        <v>0</v>
      </c>
      <c r="IL42" s="2"/>
      <c r="IM42" s="2"/>
      <c r="IN42" s="2"/>
      <c r="IO42" s="2"/>
      <c r="IP42" s="2"/>
      <c r="IQ42" s="2"/>
      <c r="IR42" s="2"/>
      <c r="IS42" s="2"/>
      <c r="IT42" s="2"/>
      <c r="IU42" s="2"/>
    </row>
    <row r="43" spans="1:255" x14ac:dyDescent="0.2">
      <c r="A43" s="2">
        <v>17</v>
      </c>
      <c r="B43" s="2">
        <v>1</v>
      </c>
      <c r="C43" s="2">
        <f>ROW(SmtRes!A62)</f>
        <v>62</v>
      </c>
      <c r="D43" s="2">
        <f>ROW(EtalonRes!A62)</f>
        <v>62</v>
      </c>
      <c r="E43" s="2" t="s">
        <v>98</v>
      </c>
      <c r="F43" s="2" t="s">
        <v>99</v>
      </c>
      <c r="G43" s="2" t="s">
        <v>100</v>
      </c>
      <c r="H43" s="2" t="s">
        <v>101</v>
      </c>
      <c r="I43" s="2">
        <f>ROUND((1.5+1*2)/100,7)</f>
        <v>3.5000000000000003E-2</v>
      </c>
      <c r="J43" s="2">
        <v>0</v>
      </c>
      <c r="K43" s="2">
        <f>ROUND((1.5+1*2)/100,7)</f>
        <v>3.5000000000000003E-2</v>
      </c>
      <c r="L43" s="2"/>
      <c r="M43" s="2"/>
      <c r="N43" s="2"/>
      <c r="O43" s="2">
        <f t="shared" si="21"/>
        <v>407.09</v>
      </c>
      <c r="P43" s="2">
        <f>SUMIF(SmtRes!AQ59:'SmtRes'!AQ62,"=1",SmtRes!DF59:'SmtRes'!DF62)</f>
        <v>28.97</v>
      </c>
      <c r="Q43" s="2">
        <f>SUMIF(SmtRes!AQ59:'SmtRes'!AQ62,"=1",SmtRes!DG59:'SmtRes'!DG62)</f>
        <v>0</v>
      </c>
      <c r="R43" s="2">
        <f>SUMIF(SmtRes!AQ59:'SmtRes'!AQ62,"=1",SmtRes!DH59:'SmtRes'!DH62)</f>
        <v>0</v>
      </c>
      <c r="S43" s="2">
        <f>SUMIF(SmtRes!AQ59:'SmtRes'!AQ62,"=1",SmtRes!DI59:'SmtRes'!DI62)</f>
        <v>378.12</v>
      </c>
      <c r="T43" s="2">
        <f t="shared" si="22"/>
        <v>0</v>
      </c>
      <c r="U43" s="2">
        <f>SUMIF(SmtRes!AQ59:'SmtRes'!AQ62,"=1",SmtRes!CV59:'SmtRes'!CV62)</f>
        <v>0.58240000000000003</v>
      </c>
      <c r="V43" s="2">
        <f>SUMIF(SmtRes!AQ59:'SmtRes'!AQ62,"=1",SmtRes!CW59:'SmtRes'!CW62)</f>
        <v>0</v>
      </c>
      <c r="W43" s="2">
        <f t="shared" si="23"/>
        <v>0</v>
      </c>
      <c r="X43" s="2">
        <f t="shared" si="24"/>
        <v>423.49</v>
      </c>
      <c r="Y43" s="2">
        <f t="shared" si="25"/>
        <v>245.78</v>
      </c>
      <c r="Z43" s="2"/>
      <c r="AA43" s="2">
        <v>94104265</v>
      </c>
      <c r="AB43" s="2">
        <f t="shared" si="26"/>
        <v>11446.29752</v>
      </c>
      <c r="AC43" s="2">
        <f>ROUND((SUM(SmtRes!BQ59:'SmtRes'!BQ62)),6)</f>
        <v>642.94392000000005</v>
      </c>
      <c r="AD43" s="2">
        <f>ROUND((((0)-(0))+AE43),6)</f>
        <v>0</v>
      </c>
      <c r="AE43" s="2">
        <f>ROUND((0),6)</f>
        <v>0</v>
      </c>
      <c r="AF43" s="2">
        <f>ROUND((SUM(SmtRes!BT59:'SmtRes'!BT62)),6)</f>
        <v>10803.3536</v>
      </c>
      <c r="AG43" s="2">
        <f t="shared" si="27"/>
        <v>0</v>
      </c>
      <c r="AH43" s="2">
        <f>(SUM(SmtRes!BU59:'SmtRes'!BU62))</f>
        <v>16.64</v>
      </c>
      <c r="AI43" s="2">
        <f>(0)</f>
        <v>0</v>
      </c>
      <c r="AJ43" s="2">
        <f t="shared" si="28"/>
        <v>0</v>
      </c>
      <c r="AK43" s="2">
        <v>11446.29752</v>
      </c>
      <c r="AL43" s="2">
        <v>642.94391999999993</v>
      </c>
      <c r="AM43" s="2">
        <v>0</v>
      </c>
      <c r="AN43" s="2">
        <v>0</v>
      </c>
      <c r="AO43" s="2">
        <v>10803.3536</v>
      </c>
      <c r="AP43" s="2">
        <v>0</v>
      </c>
      <c r="AQ43" s="2">
        <v>16.64</v>
      </c>
      <c r="AR43" s="2">
        <v>0</v>
      </c>
      <c r="AS43" s="2">
        <v>0</v>
      </c>
      <c r="AT43" s="2">
        <v>112</v>
      </c>
      <c r="AU43" s="2">
        <v>65</v>
      </c>
      <c r="AV43" s="2">
        <v>1</v>
      </c>
      <c r="AW43" s="2">
        <v>1</v>
      </c>
      <c r="AX43" s="2"/>
      <c r="AY43" s="2"/>
      <c r="AZ43" s="2">
        <v>1</v>
      </c>
      <c r="BA43" s="2">
        <v>1</v>
      </c>
      <c r="BB43" s="2">
        <v>1</v>
      </c>
      <c r="BC43" s="2">
        <v>1</v>
      </c>
      <c r="BD43" s="2" t="s">
        <v>3</v>
      </c>
      <c r="BE43" s="2" t="s">
        <v>3</v>
      </c>
      <c r="BF43" s="2" t="s">
        <v>3</v>
      </c>
      <c r="BG43" s="2" t="s">
        <v>3</v>
      </c>
      <c r="BH43" s="2">
        <v>0</v>
      </c>
      <c r="BI43" s="2">
        <v>1</v>
      </c>
      <c r="BJ43" s="2" t="s">
        <v>102</v>
      </c>
      <c r="BK43" s="2"/>
      <c r="BL43" s="2"/>
      <c r="BM43" s="2">
        <v>11001</v>
      </c>
      <c r="BN43" s="2">
        <v>0</v>
      </c>
      <c r="BO43" s="2" t="s">
        <v>3</v>
      </c>
      <c r="BP43" s="2">
        <v>0</v>
      </c>
      <c r="BQ43" s="2">
        <v>2</v>
      </c>
      <c r="BR43" s="2">
        <v>0</v>
      </c>
      <c r="BS43" s="2">
        <v>1</v>
      </c>
      <c r="BT43" s="2">
        <v>1</v>
      </c>
      <c r="BU43" s="2">
        <v>1</v>
      </c>
      <c r="BV43" s="2">
        <v>1</v>
      </c>
      <c r="BW43" s="2">
        <v>1</v>
      </c>
      <c r="BX43" s="2">
        <v>1</v>
      </c>
      <c r="BY43" s="2" t="s">
        <v>3</v>
      </c>
      <c r="BZ43" s="2">
        <v>112</v>
      </c>
      <c r="CA43" s="2">
        <v>65</v>
      </c>
      <c r="CB43" s="2" t="s">
        <v>3</v>
      </c>
      <c r="CC43" s="2"/>
      <c r="CD43" s="2"/>
      <c r="CE43" s="2">
        <v>0</v>
      </c>
      <c r="CF43" s="2">
        <v>0</v>
      </c>
      <c r="CG43" s="2">
        <v>0</v>
      </c>
      <c r="CH43" s="2"/>
      <c r="CI43" s="2"/>
      <c r="CJ43" s="2"/>
      <c r="CK43" s="2"/>
      <c r="CL43" s="2"/>
      <c r="CM43" s="2">
        <v>0</v>
      </c>
      <c r="CN43" s="2" t="s">
        <v>3</v>
      </c>
      <c r="CO43" s="2">
        <v>0</v>
      </c>
      <c r="CP43" s="2">
        <f t="shared" si="29"/>
        <v>407.09000000000003</v>
      </c>
      <c r="CQ43" s="2">
        <f>SUMIF(SmtRes!AQ59:'SmtRes'!AQ62,"=1",SmtRes!AA59:'SmtRes'!AA62)</f>
        <v>123.33</v>
      </c>
      <c r="CR43" s="2">
        <f>SUMIF(SmtRes!AQ59:'SmtRes'!AQ62,"=1",SmtRes!AB59:'SmtRes'!AB62)</f>
        <v>0</v>
      </c>
      <c r="CS43" s="2">
        <f>SUMIF(SmtRes!AQ59:'SmtRes'!AQ62,"=1",SmtRes!AC59:'SmtRes'!AC62)</f>
        <v>0</v>
      </c>
      <c r="CT43" s="2">
        <f>SUMIF(SmtRes!AQ59:'SmtRes'!AQ62,"=1",SmtRes!AD59:'SmtRes'!AD62)</f>
        <v>649.24</v>
      </c>
      <c r="CU43" s="2">
        <f t="shared" si="30"/>
        <v>0</v>
      </c>
      <c r="CV43" s="2">
        <f>SUMIF(SmtRes!AQ59:'SmtRes'!AQ62,"=1",SmtRes!BU59:'SmtRes'!BU62)</f>
        <v>16.64</v>
      </c>
      <c r="CW43" s="2">
        <f>SUMIF(SmtRes!AQ59:'SmtRes'!AQ62,"=1",SmtRes!BV59:'SmtRes'!BV62)</f>
        <v>0</v>
      </c>
      <c r="CX43" s="2">
        <f t="shared" si="31"/>
        <v>0</v>
      </c>
      <c r="CY43" s="2">
        <f t="shared" si="32"/>
        <v>423.49440000000004</v>
      </c>
      <c r="CZ43" s="2">
        <f t="shared" si="33"/>
        <v>245.77799999999999</v>
      </c>
      <c r="DA43" s="2"/>
      <c r="DB43" s="2"/>
      <c r="DC43" s="2" t="s">
        <v>3</v>
      </c>
      <c r="DD43" s="2" t="s">
        <v>3</v>
      </c>
      <c r="DE43" s="2" t="s">
        <v>3</v>
      </c>
      <c r="DF43" s="2" t="s">
        <v>3</v>
      </c>
      <c r="DG43" s="2" t="s">
        <v>3</v>
      </c>
      <c r="DH43" s="2" t="s">
        <v>3</v>
      </c>
      <c r="DI43" s="2" t="s">
        <v>3</v>
      </c>
      <c r="DJ43" s="2" t="s">
        <v>3</v>
      </c>
      <c r="DK43" s="2" t="s">
        <v>3</v>
      </c>
      <c r="DL43" s="2" t="s">
        <v>3</v>
      </c>
      <c r="DM43" s="2" t="s">
        <v>3</v>
      </c>
      <c r="DN43" s="2">
        <v>0</v>
      </c>
      <c r="DO43" s="2">
        <v>0</v>
      </c>
      <c r="DP43" s="2">
        <v>1</v>
      </c>
      <c r="DQ43" s="2">
        <v>1</v>
      </c>
      <c r="DR43" s="2"/>
      <c r="DS43" s="2"/>
      <c r="DT43" s="2"/>
      <c r="DU43" s="2">
        <v>1003</v>
      </c>
      <c r="DV43" s="2" t="s">
        <v>101</v>
      </c>
      <c r="DW43" s="2" t="s">
        <v>101</v>
      </c>
      <c r="DX43" s="2">
        <v>100</v>
      </c>
      <c r="DY43" s="2"/>
      <c r="DZ43" s="2" t="s">
        <v>3</v>
      </c>
      <c r="EA43" s="2" t="s">
        <v>3</v>
      </c>
      <c r="EB43" s="2" t="s">
        <v>3</v>
      </c>
      <c r="EC43" s="2" t="s">
        <v>3</v>
      </c>
      <c r="ED43" s="2"/>
      <c r="EE43" s="2">
        <v>89976994</v>
      </c>
      <c r="EF43" s="2">
        <v>2</v>
      </c>
      <c r="EG43" s="2" t="s">
        <v>44</v>
      </c>
      <c r="EH43" s="2">
        <v>11</v>
      </c>
      <c r="EI43" s="2" t="s">
        <v>23</v>
      </c>
      <c r="EJ43" s="2">
        <v>1</v>
      </c>
      <c r="EK43" s="2">
        <v>11001</v>
      </c>
      <c r="EL43" s="2" t="s">
        <v>23</v>
      </c>
      <c r="EM43" s="2" t="s">
        <v>74</v>
      </c>
      <c r="EN43" s="2"/>
      <c r="EO43" s="2" t="s">
        <v>3</v>
      </c>
      <c r="EP43" s="2"/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</v>
      </c>
      <c r="EW43" s="2">
        <v>16.64</v>
      </c>
      <c r="EX43" s="2">
        <v>0</v>
      </c>
      <c r="EY43" s="2">
        <v>0</v>
      </c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>
        <v>0</v>
      </c>
      <c r="FR43" s="2">
        <v>0</v>
      </c>
      <c r="FS43" s="2">
        <v>0</v>
      </c>
      <c r="FT43" s="2"/>
      <c r="FU43" s="2"/>
      <c r="FV43" s="2"/>
      <c r="FW43" s="2"/>
      <c r="FX43" s="2">
        <v>112</v>
      </c>
      <c r="FY43" s="2">
        <v>65</v>
      </c>
      <c r="FZ43" s="2"/>
      <c r="GA43" s="2" t="s">
        <v>3</v>
      </c>
      <c r="GB43" s="2"/>
      <c r="GC43" s="2"/>
      <c r="GD43" s="2">
        <v>1</v>
      </c>
      <c r="GE43" s="2"/>
      <c r="GF43" s="2">
        <v>882202194</v>
      </c>
      <c r="GG43" s="2">
        <v>2</v>
      </c>
      <c r="GH43" s="2">
        <v>1</v>
      </c>
      <c r="GI43" s="2">
        <v>-2</v>
      </c>
      <c r="GJ43" s="2">
        <v>0</v>
      </c>
      <c r="GK43" s="2">
        <v>0</v>
      </c>
      <c r="GL43" s="2">
        <f t="shared" si="34"/>
        <v>0</v>
      </c>
      <c r="GM43" s="2">
        <f t="shared" si="35"/>
        <v>1076.3599999999999</v>
      </c>
      <c r="GN43" s="2">
        <f t="shared" si="36"/>
        <v>1076.3599999999999</v>
      </c>
      <c r="GO43" s="2">
        <f t="shared" si="37"/>
        <v>0</v>
      </c>
      <c r="GP43" s="2">
        <f t="shared" si="38"/>
        <v>0</v>
      </c>
      <c r="GQ43" s="2"/>
      <c r="GR43" s="2">
        <v>0</v>
      </c>
      <c r="GS43" s="2">
        <v>0</v>
      </c>
      <c r="GT43" s="2">
        <v>0</v>
      </c>
      <c r="GU43" s="2" t="s">
        <v>3</v>
      </c>
      <c r="GV43" s="2">
        <f t="shared" si="39"/>
        <v>0</v>
      </c>
      <c r="GW43" s="2">
        <v>1</v>
      </c>
      <c r="GX43" s="2">
        <f t="shared" si="40"/>
        <v>0</v>
      </c>
      <c r="GY43" s="2"/>
      <c r="GZ43" s="2"/>
      <c r="HA43" s="2">
        <v>0</v>
      </c>
      <c r="HB43" s="2">
        <v>0</v>
      </c>
      <c r="HC43" s="2">
        <f t="shared" si="41"/>
        <v>0</v>
      </c>
      <c r="HD43" s="2"/>
      <c r="HE43" s="2" t="s">
        <v>3</v>
      </c>
      <c r="HF43" s="2" t="s">
        <v>3</v>
      </c>
      <c r="HG43" s="2"/>
      <c r="HH43" s="2"/>
      <c r="HI43" s="2"/>
      <c r="HJ43" s="2"/>
      <c r="HK43" s="2"/>
      <c r="HL43" s="2"/>
      <c r="HM43" s="2" t="s">
        <v>3</v>
      </c>
      <c r="HN43" s="2" t="s">
        <v>75</v>
      </c>
      <c r="HO43" s="2" t="s">
        <v>76</v>
      </c>
      <c r="HP43" s="2" t="s">
        <v>23</v>
      </c>
      <c r="HQ43" s="2" t="s">
        <v>23</v>
      </c>
      <c r="HR43" s="2"/>
      <c r="HS43" s="2">
        <v>0</v>
      </c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>
        <v>0</v>
      </c>
      <c r="IL43" s="2"/>
      <c r="IM43" s="2"/>
      <c r="IN43" s="2"/>
      <c r="IO43" s="2"/>
      <c r="IP43" s="2"/>
      <c r="IQ43" s="2"/>
      <c r="IR43" s="2"/>
      <c r="IS43" s="2"/>
      <c r="IT43" s="2"/>
      <c r="IU43" s="2"/>
    </row>
    <row r="44" spans="1:255" x14ac:dyDescent="0.2">
      <c r="A44" s="2">
        <v>18</v>
      </c>
      <c r="B44" s="2">
        <v>1</v>
      </c>
      <c r="C44" s="2">
        <v>62</v>
      </c>
      <c r="D44" s="2"/>
      <c r="E44" s="2" t="s">
        <v>103</v>
      </c>
      <c r="F44" s="2" t="s">
        <v>104</v>
      </c>
      <c r="G44" s="2" t="s">
        <v>105</v>
      </c>
      <c r="H44" s="2" t="s">
        <v>106</v>
      </c>
      <c r="I44" s="2">
        <f>I43*J44</f>
        <v>3.6749999999999998</v>
      </c>
      <c r="J44" s="2">
        <v>104.99999999999999</v>
      </c>
      <c r="K44" s="2">
        <v>105</v>
      </c>
      <c r="L44" s="2"/>
      <c r="M44" s="2"/>
      <c r="N44" s="2"/>
      <c r="O44" s="2">
        <f t="shared" si="21"/>
        <v>1730.93</v>
      </c>
      <c r="P44" s="2">
        <f>ROUND(CQ44*I44,2)</f>
        <v>1730.93</v>
      </c>
      <c r="Q44" s="2">
        <f>ROUND(CR44*I44,2)</f>
        <v>0</v>
      </c>
      <c r="R44" s="2">
        <f>ROUND(CS44*I44,2)</f>
        <v>0</v>
      </c>
      <c r="S44" s="2">
        <f>ROUND(CT44*I44,2)</f>
        <v>0</v>
      </c>
      <c r="T44" s="2">
        <f t="shared" si="22"/>
        <v>0</v>
      </c>
      <c r="U44" s="2">
        <f>ROUND(CV44*I44,7)</f>
        <v>0</v>
      </c>
      <c r="V44" s="2">
        <f>ROUND(CW44*I44,7)</f>
        <v>0</v>
      </c>
      <c r="W44" s="2">
        <f t="shared" si="23"/>
        <v>0</v>
      </c>
      <c r="X44" s="2">
        <f t="shared" si="24"/>
        <v>0</v>
      </c>
      <c r="Y44" s="2">
        <f t="shared" si="25"/>
        <v>0</v>
      </c>
      <c r="Z44" s="2"/>
      <c r="AA44" s="2">
        <v>94104265</v>
      </c>
      <c r="AB44" s="2">
        <f t="shared" si="26"/>
        <v>290.74</v>
      </c>
      <c r="AC44" s="2">
        <f>ROUND((ES44),6)</f>
        <v>290.74</v>
      </c>
      <c r="AD44" s="2">
        <f>ROUND((((ET44)-(EU44))+AE44),6)</f>
        <v>0</v>
      </c>
      <c r="AE44" s="2">
        <f>ROUND((EU44),6)</f>
        <v>0</v>
      </c>
      <c r="AF44" s="2">
        <f>ROUND((EV44),6)</f>
        <v>0</v>
      </c>
      <c r="AG44" s="2">
        <f t="shared" si="27"/>
        <v>0</v>
      </c>
      <c r="AH44" s="2">
        <f>(EW44)</f>
        <v>0</v>
      </c>
      <c r="AI44" s="2">
        <f>(EX44)</f>
        <v>0</v>
      </c>
      <c r="AJ44" s="2">
        <f t="shared" si="28"/>
        <v>0</v>
      </c>
      <c r="AK44" s="2">
        <v>290.74</v>
      </c>
      <c r="AL44" s="2">
        <v>290.74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112</v>
      </c>
      <c r="AU44" s="2">
        <v>65</v>
      </c>
      <c r="AV44" s="2">
        <v>1</v>
      </c>
      <c r="AW44" s="2">
        <v>1</v>
      </c>
      <c r="AX44" s="2"/>
      <c r="AY44" s="2"/>
      <c r="AZ44" s="2">
        <v>1</v>
      </c>
      <c r="BA44" s="2">
        <v>1</v>
      </c>
      <c r="BB44" s="2">
        <v>1</v>
      </c>
      <c r="BC44" s="2">
        <v>1.62</v>
      </c>
      <c r="BD44" s="2" t="s">
        <v>3</v>
      </c>
      <c r="BE44" s="2" t="s">
        <v>3</v>
      </c>
      <c r="BF44" s="2" t="s">
        <v>3</v>
      </c>
      <c r="BG44" s="2" t="s">
        <v>3</v>
      </c>
      <c r="BH44" s="2">
        <v>3</v>
      </c>
      <c r="BI44" s="2">
        <v>1</v>
      </c>
      <c r="BJ44" s="2" t="s">
        <v>107</v>
      </c>
      <c r="BK44" s="2"/>
      <c r="BL44" s="2"/>
      <c r="BM44" s="2">
        <v>11001</v>
      </c>
      <c r="BN44" s="2">
        <v>0</v>
      </c>
      <c r="BO44" s="2" t="s">
        <v>104</v>
      </c>
      <c r="BP44" s="2">
        <v>1</v>
      </c>
      <c r="BQ44" s="2">
        <v>2</v>
      </c>
      <c r="BR44" s="2">
        <v>0</v>
      </c>
      <c r="BS44" s="2">
        <v>1</v>
      </c>
      <c r="BT44" s="2">
        <v>1</v>
      </c>
      <c r="BU44" s="2">
        <v>1</v>
      </c>
      <c r="BV44" s="2">
        <v>1</v>
      </c>
      <c r="BW44" s="2">
        <v>1</v>
      </c>
      <c r="BX44" s="2">
        <v>1</v>
      </c>
      <c r="BY44" s="2" t="s">
        <v>3</v>
      </c>
      <c r="BZ44" s="2">
        <v>112</v>
      </c>
      <c r="CA44" s="2">
        <v>65</v>
      </c>
      <c r="CB44" s="2" t="s">
        <v>3</v>
      </c>
      <c r="CC44" s="2"/>
      <c r="CD44" s="2"/>
      <c r="CE44" s="2">
        <v>0</v>
      </c>
      <c r="CF44" s="2">
        <v>0</v>
      </c>
      <c r="CG44" s="2">
        <v>0</v>
      </c>
      <c r="CH44" s="2"/>
      <c r="CI44" s="2"/>
      <c r="CJ44" s="2"/>
      <c r="CK44" s="2"/>
      <c r="CL44" s="2"/>
      <c r="CM44" s="2">
        <v>0</v>
      </c>
      <c r="CN44" s="2" t="s">
        <v>3</v>
      </c>
      <c r="CO44" s="2">
        <v>0</v>
      </c>
      <c r="CP44" s="2">
        <f t="shared" si="29"/>
        <v>1730.93</v>
      </c>
      <c r="CQ44" s="2">
        <f>ROUND(AL44*BC44,2)</f>
        <v>471</v>
      </c>
      <c r="CR44" s="2">
        <f>ROUND(AM44*BB44,2)</f>
        <v>0</v>
      </c>
      <c r="CS44" s="2">
        <f>ROUND(AN44*BS44,2)</f>
        <v>0</v>
      </c>
      <c r="CT44" s="2">
        <f>ROUND(AO44*BA44,2)</f>
        <v>0</v>
      </c>
      <c r="CU44" s="2">
        <f t="shared" si="30"/>
        <v>0</v>
      </c>
      <c r="CV44" s="2">
        <f>AH44</f>
        <v>0</v>
      </c>
      <c r="CW44" s="2">
        <f>AI44</f>
        <v>0</v>
      </c>
      <c r="CX44" s="2">
        <f t="shared" si="31"/>
        <v>0</v>
      </c>
      <c r="CY44" s="2">
        <f t="shared" si="32"/>
        <v>0</v>
      </c>
      <c r="CZ44" s="2">
        <f t="shared" si="33"/>
        <v>0</v>
      </c>
      <c r="DA44" s="2"/>
      <c r="DB44" s="2"/>
      <c r="DC44" s="2" t="s">
        <v>3</v>
      </c>
      <c r="DD44" s="2" t="s">
        <v>3</v>
      </c>
      <c r="DE44" s="2" t="s">
        <v>3</v>
      </c>
      <c r="DF44" s="2" t="s">
        <v>3</v>
      </c>
      <c r="DG44" s="2" t="s">
        <v>3</v>
      </c>
      <c r="DH44" s="2" t="s">
        <v>3</v>
      </c>
      <c r="DI44" s="2" t="s">
        <v>3</v>
      </c>
      <c r="DJ44" s="2" t="s">
        <v>3</v>
      </c>
      <c r="DK44" s="2" t="s">
        <v>3</v>
      </c>
      <c r="DL44" s="2" t="s">
        <v>3</v>
      </c>
      <c r="DM44" s="2" t="s">
        <v>3</v>
      </c>
      <c r="DN44" s="2">
        <v>0</v>
      </c>
      <c r="DO44" s="2">
        <v>0</v>
      </c>
      <c r="DP44" s="2">
        <v>1</v>
      </c>
      <c r="DQ44" s="2">
        <v>1</v>
      </c>
      <c r="DR44" s="2"/>
      <c r="DS44" s="2"/>
      <c r="DT44" s="2"/>
      <c r="DU44" s="2">
        <v>1003</v>
      </c>
      <c r="DV44" s="2" t="s">
        <v>106</v>
      </c>
      <c r="DW44" s="2" t="s">
        <v>106</v>
      </c>
      <c r="DX44" s="2">
        <v>1</v>
      </c>
      <c r="DY44" s="2"/>
      <c r="DZ44" s="2" t="s">
        <v>3</v>
      </c>
      <c r="EA44" s="2" t="s">
        <v>3</v>
      </c>
      <c r="EB44" s="2" t="s">
        <v>3</v>
      </c>
      <c r="EC44" s="2" t="s">
        <v>3</v>
      </c>
      <c r="ED44" s="2"/>
      <c r="EE44" s="2">
        <v>89976994</v>
      </c>
      <c r="EF44" s="2">
        <v>2</v>
      </c>
      <c r="EG44" s="2" t="s">
        <v>44</v>
      </c>
      <c r="EH44" s="2">
        <v>11</v>
      </c>
      <c r="EI44" s="2" t="s">
        <v>23</v>
      </c>
      <c r="EJ44" s="2">
        <v>1</v>
      </c>
      <c r="EK44" s="2">
        <v>11001</v>
      </c>
      <c r="EL44" s="2" t="s">
        <v>23</v>
      </c>
      <c r="EM44" s="2" t="s">
        <v>74</v>
      </c>
      <c r="EN44" s="2"/>
      <c r="EO44" s="2" t="s">
        <v>3</v>
      </c>
      <c r="EP44" s="2"/>
      <c r="EQ44" s="2">
        <v>0</v>
      </c>
      <c r="ER44" s="2">
        <v>290.74</v>
      </c>
      <c r="ES44" s="2">
        <v>290.74</v>
      </c>
      <c r="ET44" s="2">
        <v>0</v>
      </c>
      <c r="EU44" s="2">
        <v>0</v>
      </c>
      <c r="EV44" s="2">
        <v>0</v>
      </c>
      <c r="EW44" s="2">
        <v>0</v>
      </c>
      <c r="EX44" s="2">
        <v>0</v>
      </c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>
        <v>0</v>
      </c>
      <c r="FR44" s="2">
        <v>0</v>
      </c>
      <c r="FS44" s="2">
        <v>0</v>
      </c>
      <c r="FT44" s="2"/>
      <c r="FU44" s="2"/>
      <c r="FV44" s="2"/>
      <c r="FW44" s="2"/>
      <c r="FX44" s="2">
        <v>112</v>
      </c>
      <c r="FY44" s="2">
        <v>65</v>
      </c>
      <c r="FZ44" s="2"/>
      <c r="GA44" s="2" t="s">
        <v>3</v>
      </c>
      <c r="GB44" s="2"/>
      <c r="GC44" s="2"/>
      <c r="GD44" s="2">
        <v>1</v>
      </c>
      <c r="GE44" s="2"/>
      <c r="GF44" s="2">
        <v>1688473548</v>
      </c>
      <c r="GG44" s="2">
        <v>2</v>
      </c>
      <c r="GH44" s="2">
        <v>1</v>
      </c>
      <c r="GI44" s="2">
        <v>2</v>
      </c>
      <c r="GJ44" s="2">
        <v>0</v>
      </c>
      <c r="GK44" s="2">
        <v>0</v>
      </c>
      <c r="GL44" s="2">
        <f t="shared" si="34"/>
        <v>0</v>
      </c>
      <c r="GM44" s="2">
        <f t="shared" si="35"/>
        <v>1730.93</v>
      </c>
      <c r="GN44" s="2">
        <f t="shared" si="36"/>
        <v>1730.93</v>
      </c>
      <c r="GO44" s="2">
        <f t="shared" si="37"/>
        <v>0</v>
      </c>
      <c r="GP44" s="2">
        <f t="shared" si="38"/>
        <v>0</v>
      </c>
      <c r="GQ44" s="2"/>
      <c r="GR44" s="2">
        <v>0</v>
      </c>
      <c r="GS44" s="2">
        <v>0</v>
      </c>
      <c r="GT44" s="2">
        <v>0</v>
      </c>
      <c r="GU44" s="2" t="s">
        <v>3</v>
      </c>
      <c r="GV44" s="2">
        <f t="shared" si="39"/>
        <v>0</v>
      </c>
      <c r="GW44" s="2">
        <v>1</v>
      </c>
      <c r="GX44" s="2">
        <f t="shared" si="40"/>
        <v>0</v>
      </c>
      <c r="GY44" s="2"/>
      <c r="GZ44" s="2"/>
      <c r="HA44" s="2">
        <v>0</v>
      </c>
      <c r="HB44" s="2">
        <v>0</v>
      </c>
      <c r="HC44" s="2">
        <f t="shared" si="41"/>
        <v>0</v>
      </c>
      <c r="HD44" s="2"/>
      <c r="HE44" s="2" t="s">
        <v>3</v>
      </c>
      <c r="HF44" s="2" t="s">
        <v>3</v>
      </c>
      <c r="HG44" s="2"/>
      <c r="HH44" s="2"/>
      <c r="HI44" s="2"/>
      <c r="HJ44" s="2"/>
      <c r="HK44" s="2"/>
      <c r="HL44" s="2"/>
      <c r="HM44" s="2" t="s">
        <v>3</v>
      </c>
      <c r="HN44" s="2" t="s">
        <v>75</v>
      </c>
      <c r="HO44" s="2" t="s">
        <v>76</v>
      </c>
      <c r="HP44" s="2" t="s">
        <v>23</v>
      </c>
      <c r="HQ44" s="2" t="s">
        <v>23</v>
      </c>
      <c r="HR44" s="2"/>
      <c r="HS44" s="2">
        <v>0</v>
      </c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>
        <v>0</v>
      </c>
      <c r="IL44" s="2"/>
      <c r="IM44" s="2"/>
      <c r="IN44" s="2"/>
      <c r="IO44" s="2"/>
      <c r="IP44" s="2"/>
      <c r="IQ44" s="2"/>
      <c r="IR44" s="2"/>
      <c r="IS44" s="2"/>
      <c r="IT44" s="2"/>
      <c r="IU44" s="2"/>
    </row>
    <row r="45" spans="1:255" x14ac:dyDescent="0.2">
      <c r="A45" s="2">
        <v>17</v>
      </c>
      <c r="B45" s="2">
        <v>1</v>
      </c>
      <c r="C45" s="2">
        <f>ROW(SmtRes!A69)</f>
        <v>69</v>
      </c>
      <c r="D45" s="2">
        <f>ROW(EtalonRes!A69)</f>
        <v>69</v>
      </c>
      <c r="E45" s="2" t="s">
        <v>108</v>
      </c>
      <c r="F45" s="2" t="s">
        <v>109</v>
      </c>
      <c r="G45" s="2" t="s">
        <v>110</v>
      </c>
      <c r="H45" s="2" t="s">
        <v>20</v>
      </c>
      <c r="I45" s="2">
        <f>ROUND((13*0.5+13*0.2)/100,7)</f>
        <v>9.0999999999999998E-2</v>
      </c>
      <c r="J45" s="2">
        <v>0</v>
      </c>
      <c r="K45" s="2">
        <f>ROUND((13*0.5+13*0.2)/100,7)</f>
        <v>9.0999999999999998E-2</v>
      </c>
      <c r="L45" s="2"/>
      <c r="M45" s="2"/>
      <c r="N45" s="2"/>
      <c r="O45" s="2">
        <f t="shared" si="21"/>
        <v>11355.01</v>
      </c>
      <c r="P45" s="2">
        <f>SUMIF(SmtRes!AQ63:'SmtRes'!AQ69,"=1",SmtRes!DF63:'SmtRes'!DF69)</f>
        <v>952.55</v>
      </c>
      <c r="Q45" s="2">
        <f>SUMIF(SmtRes!AQ63:'SmtRes'!AQ69,"=1",SmtRes!DG63:'SmtRes'!DG69)</f>
        <v>73.19</v>
      </c>
      <c r="R45" s="2">
        <f>SUMIF(SmtRes!AQ63:'SmtRes'!AQ69,"=1",SmtRes!DH63:'SmtRes'!DH69)</f>
        <v>87.82</v>
      </c>
      <c r="S45" s="2">
        <f>SUMIF(SmtRes!AQ63:'SmtRes'!AQ69,"=1",SmtRes!DI63:'SmtRes'!DI69)</f>
        <v>10241.450000000001</v>
      </c>
      <c r="T45" s="2">
        <f t="shared" si="22"/>
        <v>0</v>
      </c>
      <c r="U45" s="2">
        <f>SUMIF(SmtRes!AQ63:'SmtRes'!AQ69,"=1",SmtRes!CV63:'SmtRes'!CV69)</f>
        <v>15.5792</v>
      </c>
      <c r="V45" s="2">
        <f>SUMIF(SmtRes!AQ63:'SmtRes'!AQ69,"=1",SmtRes!CW63:'SmtRes'!CW69)</f>
        <v>0.12012</v>
      </c>
      <c r="W45" s="2">
        <f t="shared" si="23"/>
        <v>0</v>
      </c>
      <c r="X45" s="2">
        <f t="shared" si="24"/>
        <v>9193.0499999999993</v>
      </c>
      <c r="Y45" s="2">
        <f t="shared" si="25"/>
        <v>4544.88</v>
      </c>
      <c r="Z45" s="2"/>
      <c r="AA45" s="2">
        <v>94104265</v>
      </c>
      <c r="AB45" s="2">
        <f t="shared" si="26"/>
        <v>120821.0475</v>
      </c>
      <c r="AC45" s="2">
        <f>ROUND((SUM(SmtRes!BQ63:'SmtRes'!BQ69)),6)</f>
        <v>7475.6904999999997</v>
      </c>
      <c r="AD45" s="2">
        <f>ROUND((((SUM(SmtRes!BR63:'SmtRes'!BR69))-(SUM(SmtRes!BS63:'SmtRes'!BS69)))+AE45),6)</f>
        <v>801.90099999999995</v>
      </c>
      <c r="AE45" s="2">
        <f>ROUND((SUM(SmtRes!BS63:'SmtRes'!BS69)),6)</f>
        <v>965.02560000000005</v>
      </c>
      <c r="AF45" s="2">
        <f>ROUND((SUM(SmtRes!BT63:'SmtRes'!BT69)),6)</f>
        <v>112543.45600000001</v>
      </c>
      <c r="AG45" s="2">
        <f t="shared" si="27"/>
        <v>0</v>
      </c>
      <c r="AH45" s="2">
        <f>(SUM(SmtRes!BU63:'SmtRes'!BU69))</f>
        <v>171.2</v>
      </c>
      <c r="AI45" s="2">
        <f>(SUM(SmtRes!BV63:'SmtRes'!BV69))</f>
        <v>1.32</v>
      </c>
      <c r="AJ45" s="2">
        <f t="shared" si="28"/>
        <v>0</v>
      </c>
      <c r="AK45" s="2">
        <v>121786.07309999998</v>
      </c>
      <c r="AL45" s="2">
        <v>7475.6905000000006</v>
      </c>
      <c r="AM45" s="2">
        <v>801.90100000000007</v>
      </c>
      <c r="AN45" s="2">
        <v>965.02560000000005</v>
      </c>
      <c r="AO45" s="2">
        <v>112543.45599999999</v>
      </c>
      <c r="AP45" s="2">
        <v>0</v>
      </c>
      <c r="AQ45" s="2">
        <v>171.2</v>
      </c>
      <c r="AR45" s="2">
        <v>1.32</v>
      </c>
      <c r="AS45" s="2">
        <v>0</v>
      </c>
      <c r="AT45" s="2">
        <v>89</v>
      </c>
      <c r="AU45" s="2">
        <v>44</v>
      </c>
      <c r="AV45" s="2">
        <v>1</v>
      </c>
      <c r="AW45" s="2">
        <v>1</v>
      </c>
      <c r="AX45" s="2"/>
      <c r="AY45" s="2"/>
      <c r="AZ45" s="2">
        <v>1</v>
      </c>
      <c r="BA45" s="2">
        <v>1</v>
      </c>
      <c r="BB45" s="2">
        <v>1</v>
      </c>
      <c r="BC45" s="2">
        <v>1</v>
      </c>
      <c r="BD45" s="2" t="s">
        <v>3</v>
      </c>
      <c r="BE45" s="2" t="s">
        <v>3</v>
      </c>
      <c r="BF45" s="2" t="s">
        <v>3</v>
      </c>
      <c r="BG45" s="2" t="s">
        <v>3</v>
      </c>
      <c r="BH45" s="2">
        <v>0</v>
      </c>
      <c r="BI45" s="2">
        <v>1</v>
      </c>
      <c r="BJ45" s="2" t="s">
        <v>111</v>
      </c>
      <c r="BK45" s="2"/>
      <c r="BL45" s="2"/>
      <c r="BM45" s="2">
        <v>61001</v>
      </c>
      <c r="BN45" s="2">
        <v>0</v>
      </c>
      <c r="BO45" s="2" t="s">
        <v>3</v>
      </c>
      <c r="BP45" s="2">
        <v>0</v>
      </c>
      <c r="BQ45" s="2">
        <v>6</v>
      </c>
      <c r="BR45" s="2">
        <v>0</v>
      </c>
      <c r="BS45" s="2">
        <v>1</v>
      </c>
      <c r="BT45" s="2">
        <v>1</v>
      </c>
      <c r="BU45" s="2">
        <v>1</v>
      </c>
      <c r="BV45" s="2">
        <v>1</v>
      </c>
      <c r="BW45" s="2">
        <v>1</v>
      </c>
      <c r="BX45" s="2">
        <v>1</v>
      </c>
      <c r="BY45" s="2" t="s">
        <v>3</v>
      </c>
      <c r="BZ45" s="2">
        <v>89</v>
      </c>
      <c r="CA45" s="2">
        <v>44</v>
      </c>
      <c r="CB45" s="2" t="s">
        <v>3</v>
      </c>
      <c r="CC45" s="2"/>
      <c r="CD45" s="2"/>
      <c r="CE45" s="2">
        <v>0</v>
      </c>
      <c r="CF45" s="2">
        <v>0</v>
      </c>
      <c r="CG45" s="2">
        <v>0</v>
      </c>
      <c r="CH45" s="2"/>
      <c r="CI45" s="2"/>
      <c r="CJ45" s="2"/>
      <c r="CK45" s="2"/>
      <c r="CL45" s="2"/>
      <c r="CM45" s="2">
        <v>0</v>
      </c>
      <c r="CN45" s="2" t="s">
        <v>3</v>
      </c>
      <c r="CO45" s="2">
        <v>0</v>
      </c>
      <c r="CP45" s="2">
        <f t="shared" si="29"/>
        <v>11355.01</v>
      </c>
      <c r="CQ45" s="2">
        <f>SUMIF(SmtRes!AQ63:'SmtRes'!AQ69,"=1",SmtRes!AA63:'SmtRes'!AA69)</f>
        <v>4803.9400000000005</v>
      </c>
      <c r="CR45" s="2">
        <f>SUMIF(SmtRes!AQ63:'SmtRes'!AQ69,"=1",SmtRes!AB63:'SmtRes'!AB69)</f>
        <v>613.87</v>
      </c>
      <c r="CS45" s="2">
        <f>SUMIF(SmtRes!AQ63:'SmtRes'!AQ69,"=1",SmtRes!AC63:'SmtRes'!AC69)</f>
        <v>731.08</v>
      </c>
      <c r="CT45" s="2">
        <f>SUMIF(SmtRes!AQ63:'SmtRes'!AQ69,"=1",SmtRes!AD63:'SmtRes'!AD69)</f>
        <v>657.38</v>
      </c>
      <c r="CU45" s="2">
        <f t="shared" si="30"/>
        <v>0</v>
      </c>
      <c r="CV45" s="2">
        <f>SUMIF(SmtRes!AQ63:'SmtRes'!AQ69,"=1",SmtRes!BU63:'SmtRes'!BU69)</f>
        <v>171.2</v>
      </c>
      <c r="CW45" s="2">
        <f>SUMIF(SmtRes!AQ63:'SmtRes'!AQ69,"=1",SmtRes!BV63:'SmtRes'!BV69)</f>
        <v>1.32</v>
      </c>
      <c r="CX45" s="2">
        <f t="shared" si="31"/>
        <v>0</v>
      </c>
      <c r="CY45" s="2">
        <f t="shared" si="32"/>
        <v>9193.0503000000008</v>
      </c>
      <c r="CZ45" s="2">
        <f t="shared" si="33"/>
        <v>4544.8788000000004</v>
      </c>
      <c r="DA45" s="2"/>
      <c r="DB45" s="2"/>
      <c r="DC45" s="2" t="s">
        <v>3</v>
      </c>
      <c r="DD45" s="2" t="s">
        <v>3</v>
      </c>
      <c r="DE45" s="2" t="s">
        <v>3</v>
      </c>
      <c r="DF45" s="2" t="s">
        <v>3</v>
      </c>
      <c r="DG45" s="2" t="s">
        <v>3</v>
      </c>
      <c r="DH45" s="2" t="s">
        <v>3</v>
      </c>
      <c r="DI45" s="2" t="s">
        <v>3</v>
      </c>
      <c r="DJ45" s="2" t="s">
        <v>3</v>
      </c>
      <c r="DK45" s="2" t="s">
        <v>3</v>
      </c>
      <c r="DL45" s="2" t="s">
        <v>3</v>
      </c>
      <c r="DM45" s="2" t="s">
        <v>3</v>
      </c>
      <c r="DN45" s="2">
        <v>0</v>
      </c>
      <c r="DO45" s="2">
        <v>0</v>
      </c>
      <c r="DP45" s="2">
        <v>1</v>
      </c>
      <c r="DQ45" s="2">
        <v>1</v>
      </c>
      <c r="DR45" s="2"/>
      <c r="DS45" s="2"/>
      <c r="DT45" s="2"/>
      <c r="DU45" s="2">
        <v>1005</v>
      </c>
      <c r="DV45" s="2" t="s">
        <v>20</v>
      </c>
      <c r="DW45" s="2" t="s">
        <v>20</v>
      </c>
      <c r="DX45" s="2">
        <v>100</v>
      </c>
      <c r="DY45" s="2"/>
      <c r="DZ45" s="2" t="s">
        <v>3</v>
      </c>
      <c r="EA45" s="2" t="s">
        <v>3</v>
      </c>
      <c r="EB45" s="2" t="s">
        <v>3</v>
      </c>
      <c r="EC45" s="2" t="s">
        <v>3</v>
      </c>
      <c r="ED45" s="2"/>
      <c r="EE45" s="2">
        <v>89977075</v>
      </c>
      <c r="EF45" s="2">
        <v>6</v>
      </c>
      <c r="EG45" s="2" t="s">
        <v>22</v>
      </c>
      <c r="EH45" s="2">
        <v>95</v>
      </c>
      <c r="EI45" s="2" t="s">
        <v>112</v>
      </c>
      <c r="EJ45" s="2">
        <v>1</v>
      </c>
      <c r="EK45" s="2">
        <v>61001</v>
      </c>
      <c r="EL45" s="2" t="s">
        <v>112</v>
      </c>
      <c r="EM45" s="2" t="s">
        <v>113</v>
      </c>
      <c r="EN45" s="2"/>
      <c r="EO45" s="2" t="s">
        <v>3</v>
      </c>
      <c r="EP45" s="2"/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171.2</v>
      </c>
      <c r="EX45" s="2">
        <v>1.32</v>
      </c>
      <c r="EY45" s="2">
        <v>0</v>
      </c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>
        <v>0</v>
      </c>
      <c r="FR45" s="2">
        <v>0</v>
      </c>
      <c r="FS45" s="2">
        <v>0</v>
      </c>
      <c r="FT45" s="2"/>
      <c r="FU45" s="2"/>
      <c r="FV45" s="2"/>
      <c r="FW45" s="2"/>
      <c r="FX45" s="2">
        <v>89</v>
      </c>
      <c r="FY45" s="2">
        <v>44</v>
      </c>
      <c r="FZ45" s="2"/>
      <c r="GA45" s="2" t="s">
        <v>3</v>
      </c>
      <c r="GB45" s="2"/>
      <c r="GC45" s="2"/>
      <c r="GD45" s="2">
        <v>1</v>
      </c>
      <c r="GE45" s="2"/>
      <c r="GF45" s="2">
        <v>-1528561630</v>
      </c>
      <c r="GG45" s="2">
        <v>2</v>
      </c>
      <c r="GH45" s="2">
        <v>1</v>
      </c>
      <c r="GI45" s="2">
        <v>-2</v>
      </c>
      <c r="GJ45" s="2">
        <v>0</v>
      </c>
      <c r="GK45" s="2">
        <v>0</v>
      </c>
      <c r="GL45" s="2">
        <f t="shared" si="34"/>
        <v>0</v>
      </c>
      <c r="GM45" s="2">
        <f t="shared" si="35"/>
        <v>25092.94</v>
      </c>
      <c r="GN45" s="2">
        <f t="shared" si="36"/>
        <v>25092.94</v>
      </c>
      <c r="GO45" s="2">
        <f t="shared" si="37"/>
        <v>0</v>
      </c>
      <c r="GP45" s="2">
        <f t="shared" si="38"/>
        <v>0</v>
      </c>
      <c r="GQ45" s="2"/>
      <c r="GR45" s="2">
        <v>0</v>
      </c>
      <c r="GS45" s="2">
        <v>0</v>
      </c>
      <c r="GT45" s="2">
        <v>0</v>
      </c>
      <c r="GU45" s="2" t="s">
        <v>3</v>
      </c>
      <c r="GV45" s="2">
        <f t="shared" si="39"/>
        <v>0</v>
      </c>
      <c r="GW45" s="2">
        <v>1</v>
      </c>
      <c r="GX45" s="2">
        <f t="shared" si="40"/>
        <v>0</v>
      </c>
      <c r="GY45" s="2"/>
      <c r="GZ45" s="2"/>
      <c r="HA45" s="2">
        <v>0</v>
      </c>
      <c r="HB45" s="2">
        <v>0</v>
      </c>
      <c r="HC45" s="2">
        <f t="shared" si="41"/>
        <v>0</v>
      </c>
      <c r="HD45" s="2"/>
      <c r="HE45" s="2" t="s">
        <v>3</v>
      </c>
      <c r="HF45" s="2" t="s">
        <v>3</v>
      </c>
      <c r="HG45" s="2"/>
      <c r="HH45" s="2"/>
      <c r="HI45" s="2"/>
      <c r="HJ45" s="2"/>
      <c r="HK45" s="2"/>
      <c r="HL45" s="2"/>
      <c r="HM45" s="2" t="s">
        <v>3</v>
      </c>
      <c r="HN45" s="2" t="s">
        <v>114</v>
      </c>
      <c r="HO45" s="2" t="s">
        <v>115</v>
      </c>
      <c r="HP45" s="2" t="s">
        <v>112</v>
      </c>
      <c r="HQ45" s="2" t="s">
        <v>112</v>
      </c>
      <c r="HR45" s="2"/>
      <c r="HS45" s="2">
        <v>0</v>
      </c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>
        <v>0</v>
      </c>
      <c r="IL45" s="2"/>
      <c r="IM45" s="2"/>
      <c r="IN45" s="2"/>
      <c r="IO45" s="2"/>
      <c r="IP45" s="2"/>
      <c r="IQ45" s="2"/>
      <c r="IR45" s="2"/>
      <c r="IS45" s="2"/>
      <c r="IT45" s="2"/>
      <c r="IU45" s="2"/>
    </row>
    <row r="46" spans="1:255" x14ac:dyDescent="0.2">
      <c r="A46" s="2">
        <v>18</v>
      </c>
      <c r="B46" s="2">
        <v>1</v>
      </c>
      <c r="C46" s="2">
        <v>69</v>
      </c>
      <c r="D46" s="2"/>
      <c r="E46" s="2" t="s">
        <v>116</v>
      </c>
      <c r="F46" s="2" t="s">
        <v>28</v>
      </c>
      <c r="G46" s="2" t="s">
        <v>29</v>
      </c>
      <c r="H46" s="2" t="s">
        <v>30</v>
      </c>
      <c r="I46" s="2">
        <f>I45*J46</f>
        <v>0.44044</v>
      </c>
      <c r="J46" s="2">
        <v>4.84</v>
      </c>
      <c r="K46" s="2">
        <v>4.84</v>
      </c>
      <c r="L46" s="2"/>
      <c r="M46" s="2"/>
      <c r="N46" s="2"/>
      <c r="O46" s="2">
        <f t="shared" si="21"/>
        <v>0</v>
      </c>
      <c r="P46" s="2">
        <f>ROUND(CQ46*I46,2)</f>
        <v>0</v>
      </c>
      <c r="Q46" s="2">
        <f>ROUND(CR46*I46,2)</f>
        <v>0</v>
      </c>
      <c r="R46" s="2">
        <f>ROUND(CS46*I46,2)</f>
        <v>0</v>
      </c>
      <c r="S46" s="2">
        <f>ROUND(CT46*I46,2)</f>
        <v>0</v>
      </c>
      <c r="T46" s="2">
        <f t="shared" si="22"/>
        <v>0</v>
      </c>
      <c r="U46" s="2">
        <f>ROUND(CV46*I46,7)</f>
        <v>0</v>
      </c>
      <c r="V46" s="2">
        <f>ROUND(CW46*I46,7)</f>
        <v>0</v>
      </c>
      <c r="W46" s="2">
        <f t="shared" si="23"/>
        <v>0</v>
      </c>
      <c r="X46" s="2">
        <f t="shared" si="24"/>
        <v>0</v>
      </c>
      <c r="Y46" s="2">
        <f t="shared" si="25"/>
        <v>0</v>
      </c>
      <c r="Z46" s="2"/>
      <c r="AA46" s="2">
        <v>94104265</v>
      </c>
      <c r="AB46" s="2">
        <f t="shared" si="26"/>
        <v>0</v>
      </c>
      <c r="AC46" s="2">
        <f>ROUND((ES46),6)</f>
        <v>0</v>
      </c>
      <c r="AD46" s="2">
        <f>ROUND((((ET46)-(EU46))+AE46),6)</f>
        <v>0</v>
      </c>
      <c r="AE46" s="2">
        <f>ROUND((EU46),6)</f>
        <v>0</v>
      </c>
      <c r="AF46" s="2">
        <f>ROUND((EV46),6)</f>
        <v>0</v>
      </c>
      <c r="AG46" s="2">
        <f t="shared" si="27"/>
        <v>0</v>
      </c>
      <c r="AH46" s="2">
        <f>(EW46)</f>
        <v>0</v>
      </c>
      <c r="AI46" s="2">
        <f>(EX46)</f>
        <v>0</v>
      </c>
      <c r="AJ46" s="2">
        <f t="shared" si="28"/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89</v>
      </c>
      <c r="AU46" s="2">
        <v>44</v>
      </c>
      <c r="AV46" s="2">
        <v>1</v>
      </c>
      <c r="AW46" s="2">
        <v>1</v>
      </c>
      <c r="AX46" s="2"/>
      <c r="AY46" s="2"/>
      <c r="AZ46" s="2">
        <v>1</v>
      </c>
      <c r="BA46" s="2">
        <v>1</v>
      </c>
      <c r="BB46" s="2">
        <v>1</v>
      </c>
      <c r="BC46" s="2">
        <v>1</v>
      </c>
      <c r="BD46" s="2" t="s">
        <v>3</v>
      </c>
      <c r="BE46" s="2" t="s">
        <v>3</v>
      </c>
      <c r="BF46" s="2" t="s">
        <v>3</v>
      </c>
      <c r="BG46" s="2" t="s">
        <v>3</v>
      </c>
      <c r="BH46" s="2">
        <v>3</v>
      </c>
      <c r="BI46" s="2">
        <v>1</v>
      </c>
      <c r="BJ46" s="2" t="s">
        <v>3</v>
      </c>
      <c r="BK46" s="2"/>
      <c r="BL46" s="2"/>
      <c r="BM46" s="2">
        <v>61001</v>
      </c>
      <c r="BN46" s="2">
        <v>0</v>
      </c>
      <c r="BO46" s="2" t="s">
        <v>3</v>
      </c>
      <c r="BP46" s="2">
        <v>0</v>
      </c>
      <c r="BQ46" s="2">
        <v>6</v>
      </c>
      <c r="BR46" s="2">
        <v>0</v>
      </c>
      <c r="BS46" s="2">
        <v>1</v>
      </c>
      <c r="BT46" s="2">
        <v>1</v>
      </c>
      <c r="BU46" s="2">
        <v>1</v>
      </c>
      <c r="BV46" s="2">
        <v>1</v>
      </c>
      <c r="BW46" s="2">
        <v>1</v>
      </c>
      <c r="BX46" s="2">
        <v>1</v>
      </c>
      <c r="BY46" s="2" t="s">
        <v>3</v>
      </c>
      <c r="BZ46" s="2">
        <v>89</v>
      </c>
      <c r="CA46" s="2">
        <v>44</v>
      </c>
      <c r="CB46" s="2" t="s">
        <v>3</v>
      </c>
      <c r="CC46" s="2"/>
      <c r="CD46" s="2"/>
      <c r="CE46" s="2">
        <v>0</v>
      </c>
      <c r="CF46" s="2">
        <v>0</v>
      </c>
      <c r="CG46" s="2">
        <v>0</v>
      </c>
      <c r="CH46" s="2"/>
      <c r="CI46" s="2"/>
      <c r="CJ46" s="2"/>
      <c r="CK46" s="2"/>
      <c r="CL46" s="2"/>
      <c r="CM46" s="2">
        <v>0</v>
      </c>
      <c r="CN46" s="2" t="s">
        <v>3</v>
      </c>
      <c r="CO46" s="2">
        <v>0</v>
      </c>
      <c r="CP46" s="2">
        <f t="shared" si="29"/>
        <v>0</v>
      </c>
      <c r="CQ46" s="2">
        <f>ROUND(AL46*BC46,2)</f>
        <v>0</v>
      </c>
      <c r="CR46" s="2">
        <f>ROUND(AM46*BB46,2)</f>
        <v>0</v>
      </c>
      <c r="CS46" s="2">
        <f>ROUND(AN46*BS46,2)</f>
        <v>0</v>
      </c>
      <c r="CT46" s="2">
        <f>ROUND(AO46*BA46,2)</f>
        <v>0</v>
      </c>
      <c r="CU46" s="2">
        <f t="shared" si="30"/>
        <v>0</v>
      </c>
      <c r="CV46" s="2">
        <f>AH46</f>
        <v>0</v>
      </c>
      <c r="CW46" s="2">
        <f>AI46</f>
        <v>0</v>
      </c>
      <c r="CX46" s="2">
        <f t="shared" si="31"/>
        <v>0</v>
      </c>
      <c r="CY46" s="2">
        <f t="shared" si="32"/>
        <v>0</v>
      </c>
      <c r="CZ46" s="2">
        <f t="shared" si="33"/>
        <v>0</v>
      </c>
      <c r="DA46" s="2"/>
      <c r="DB46" s="2"/>
      <c r="DC46" s="2" t="s">
        <v>3</v>
      </c>
      <c r="DD46" s="2" t="s">
        <v>3</v>
      </c>
      <c r="DE46" s="2" t="s">
        <v>3</v>
      </c>
      <c r="DF46" s="2" t="s">
        <v>3</v>
      </c>
      <c r="DG46" s="2" t="s">
        <v>3</v>
      </c>
      <c r="DH46" s="2" t="s">
        <v>3</v>
      </c>
      <c r="DI46" s="2" t="s">
        <v>3</v>
      </c>
      <c r="DJ46" s="2" t="s">
        <v>3</v>
      </c>
      <c r="DK46" s="2" t="s">
        <v>3</v>
      </c>
      <c r="DL46" s="2" t="s">
        <v>3</v>
      </c>
      <c r="DM46" s="2" t="s">
        <v>3</v>
      </c>
      <c r="DN46" s="2">
        <v>0</v>
      </c>
      <c r="DO46" s="2">
        <v>0</v>
      </c>
      <c r="DP46" s="2">
        <v>1</v>
      </c>
      <c r="DQ46" s="2">
        <v>1</v>
      </c>
      <c r="DR46" s="2"/>
      <c r="DS46" s="2"/>
      <c r="DT46" s="2"/>
      <c r="DU46" s="2">
        <v>1009</v>
      </c>
      <c r="DV46" s="2" t="s">
        <v>30</v>
      </c>
      <c r="DW46" s="2" t="s">
        <v>30</v>
      </c>
      <c r="DX46" s="2">
        <v>1000</v>
      </c>
      <c r="DY46" s="2"/>
      <c r="DZ46" s="2" t="s">
        <v>3</v>
      </c>
      <c r="EA46" s="2" t="s">
        <v>3</v>
      </c>
      <c r="EB46" s="2" t="s">
        <v>3</v>
      </c>
      <c r="EC46" s="2" t="s">
        <v>3</v>
      </c>
      <c r="ED46" s="2"/>
      <c r="EE46" s="2">
        <v>89977075</v>
      </c>
      <c r="EF46" s="2">
        <v>6</v>
      </c>
      <c r="EG46" s="2" t="s">
        <v>22</v>
      </c>
      <c r="EH46" s="2">
        <v>95</v>
      </c>
      <c r="EI46" s="2" t="s">
        <v>112</v>
      </c>
      <c r="EJ46" s="2">
        <v>1</v>
      </c>
      <c r="EK46" s="2">
        <v>61001</v>
      </c>
      <c r="EL46" s="2" t="s">
        <v>112</v>
      </c>
      <c r="EM46" s="2" t="s">
        <v>113</v>
      </c>
      <c r="EN46" s="2"/>
      <c r="EO46" s="2" t="s">
        <v>3</v>
      </c>
      <c r="EP46" s="2"/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>
        <v>0</v>
      </c>
      <c r="FR46" s="2">
        <v>0</v>
      </c>
      <c r="FS46" s="2">
        <v>0</v>
      </c>
      <c r="FT46" s="2"/>
      <c r="FU46" s="2"/>
      <c r="FV46" s="2"/>
      <c r="FW46" s="2"/>
      <c r="FX46" s="2">
        <v>89</v>
      </c>
      <c r="FY46" s="2">
        <v>44</v>
      </c>
      <c r="FZ46" s="2"/>
      <c r="GA46" s="2" t="s">
        <v>3</v>
      </c>
      <c r="GB46" s="2"/>
      <c r="GC46" s="2"/>
      <c r="GD46" s="2">
        <v>1</v>
      </c>
      <c r="GE46" s="2"/>
      <c r="GF46" s="2">
        <v>2102561428</v>
      </c>
      <c r="GG46" s="2">
        <v>2</v>
      </c>
      <c r="GH46" s="2">
        <v>1</v>
      </c>
      <c r="GI46" s="2">
        <v>-2</v>
      </c>
      <c r="GJ46" s="2">
        <v>0</v>
      </c>
      <c r="GK46" s="2">
        <v>0</v>
      </c>
      <c r="GL46" s="2">
        <f t="shared" si="34"/>
        <v>0</v>
      </c>
      <c r="GM46" s="2">
        <f t="shared" si="35"/>
        <v>0</v>
      </c>
      <c r="GN46" s="2">
        <f t="shared" si="36"/>
        <v>0</v>
      </c>
      <c r="GO46" s="2">
        <f t="shared" si="37"/>
        <v>0</v>
      </c>
      <c r="GP46" s="2">
        <f t="shared" si="38"/>
        <v>0</v>
      </c>
      <c r="GQ46" s="2"/>
      <c r="GR46" s="2">
        <v>0</v>
      </c>
      <c r="GS46" s="2">
        <v>0</v>
      </c>
      <c r="GT46" s="2">
        <v>0</v>
      </c>
      <c r="GU46" s="2" t="s">
        <v>3</v>
      </c>
      <c r="GV46" s="2">
        <f t="shared" si="39"/>
        <v>0</v>
      </c>
      <c r="GW46" s="2">
        <v>1</v>
      </c>
      <c r="GX46" s="2">
        <f t="shared" si="40"/>
        <v>0</v>
      </c>
      <c r="GY46" s="2"/>
      <c r="GZ46" s="2"/>
      <c r="HA46" s="2">
        <v>0</v>
      </c>
      <c r="HB46" s="2">
        <v>0</v>
      </c>
      <c r="HC46" s="2">
        <f t="shared" si="41"/>
        <v>0</v>
      </c>
      <c r="HD46" s="2"/>
      <c r="HE46" s="2" t="s">
        <v>3</v>
      </c>
      <c r="HF46" s="2" t="s">
        <v>3</v>
      </c>
      <c r="HG46" s="2"/>
      <c r="HH46" s="2"/>
      <c r="HI46" s="2"/>
      <c r="HJ46" s="2"/>
      <c r="HK46" s="2"/>
      <c r="HL46" s="2"/>
      <c r="HM46" s="2" t="s">
        <v>3</v>
      </c>
      <c r="HN46" s="2" t="s">
        <v>114</v>
      </c>
      <c r="HO46" s="2" t="s">
        <v>115</v>
      </c>
      <c r="HP46" s="2" t="s">
        <v>112</v>
      </c>
      <c r="HQ46" s="2" t="s">
        <v>112</v>
      </c>
      <c r="HR46" s="2"/>
      <c r="HS46" s="2">
        <v>0</v>
      </c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>
        <v>0</v>
      </c>
      <c r="IL46" s="2"/>
      <c r="IM46" s="2"/>
      <c r="IN46" s="2"/>
      <c r="IO46" s="2"/>
      <c r="IP46" s="2"/>
      <c r="IQ46" s="2"/>
      <c r="IR46" s="2"/>
      <c r="IS46" s="2"/>
      <c r="IT46" s="2"/>
      <c r="IU46" s="2"/>
    </row>
    <row r="47" spans="1:255" x14ac:dyDescent="0.2">
      <c r="A47" s="2">
        <v>17</v>
      </c>
      <c r="B47" s="2">
        <v>1</v>
      </c>
      <c r="C47" s="2">
        <f>ROW(SmtRes!A78)</f>
        <v>78</v>
      </c>
      <c r="D47" s="2">
        <f>ROW(EtalonRes!A78)</f>
        <v>78</v>
      </c>
      <c r="E47" s="2" t="s">
        <v>117</v>
      </c>
      <c r="F47" s="2" t="s">
        <v>118</v>
      </c>
      <c r="G47" s="2" t="s">
        <v>119</v>
      </c>
      <c r="H47" s="2" t="s">
        <v>20</v>
      </c>
      <c r="I47" s="2">
        <f>ROUND(9.1/100,7)</f>
        <v>9.0999999999999998E-2</v>
      </c>
      <c r="J47" s="2">
        <v>0</v>
      </c>
      <c r="K47" s="2">
        <f>ROUND(9.1/100,7)</f>
        <v>9.0999999999999998E-2</v>
      </c>
      <c r="L47" s="2"/>
      <c r="M47" s="2"/>
      <c r="N47" s="2"/>
      <c r="O47" s="2">
        <f t="shared" si="21"/>
        <v>474.11</v>
      </c>
      <c r="P47" s="2">
        <f>SUMIF(SmtRes!AQ70:'SmtRes'!AQ78,"=1",SmtRes!DF70:'SmtRes'!DF78)</f>
        <v>12.08</v>
      </c>
      <c r="Q47" s="2">
        <f>SUMIF(SmtRes!AQ70:'SmtRes'!AQ78,"=1",SmtRes!DG70:'SmtRes'!DG78)</f>
        <v>12.21</v>
      </c>
      <c r="R47" s="2">
        <f>SUMIF(SmtRes!AQ70:'SmtRes'!AQ78,"=1",SmtRes!DH70:'SmtRes'!DH78)</f>
        <v>5.32</v>
      </c>
      <c r="S47" s="2">
        <f>SUMIF(SmtRes!AQ70:'SmtRes'!AQ78,"=1",SmtRes!DI70:'SmtRes'!DI78)</f>
        <v>444.5</v>
      </c>
      <c r="T47" s="2">
        <f t="shared" si="22"/>
        <v>0</v>
      </c>
      <c r="U47" s="2">
        <f>SUMIF(SmtRes!AQ70:'SmtRes'!AQ78,"=1",SmtRes!CV70:'SmtRes'!CV78)</f>
        <v>0.67613000000000001</v>
      </c>
      <c r="V47" s="2">
        <f>SUMIF(SmtRes!AQ70:'SmtRes'!AQ78,"=1",SmtRes!CW70:'SmtRes'!CW78)</f>
        <v>7.28E-3</v>
      </c>
      <c r="W47" s="2">
        <f t="shared" si="23"/>
        <v>0</v>
      </c>
      <c r="X47" s="2">
        <f t="shared" si="24"/>
        <v>404.84</v>
      </c>
      <c r="Y47" s="2">
        <f t="shared" si="25"/>
        <v>206.92</v>
      </c>
      <c r="Z47" s="2"/>
      <c r="AA47" s="2">
        <v>94104265</v>
      </c>
      <c r="AB47" s="2">
        <f t="shared" si="26"/>
        <v>5087.8851000000004</v>
      </c>
      <c r="AC47" s="2">
        <f>ROUND((SUM(SmtRes!BQ70:'SmtRes'!BQ78)),6)</f>
        <v>89.665099999999995</v>
      </c>
      <c r="AD47" s="2">
        <f>ROUND((((SUM(SmtRes!BR70:'SmtRes'!BR78))-(SUM(SmtRes!BS70:'SmtRes'!BS78)))+AE47),6)</f>
        <v>113.5894</v>
      </c>
      <c r="AE47" s="2">
        <f>ROUND((SUM(SmtRes!BS70:'SmtRes'!BS78)),6)</f>
        <v>58.486400000000003</v>
      </c>
      <c r="AF47" s="2">
        <f>ROUND((SUM(SmtRes!BT70:'SmtRes'!BT78)),6)</f>
        <v>4884.6306000000004</v>
      </c>
      <c r="AG47" s="2">
        <f t="shared" si="27"/>
        <v>0</v>
      </c>
      <c r="AH47" s="2">
        <f>(SUM(SmtRes!BU70:'SmtRes'!BU78))</f>
        <v>7.43</v>
      </c>
      <c r="AI47" s="2">
        <f>(SUM(SmtRes!BV70:'SmtRes'!BV78))</f>
        <v>0.08</v>
      </c>
      <c r="AJ47" s="2">
        <f t="shared" si="28"/>
        <v>0</v>
      </c>
      <c r="AK47" s="2">
        <v>5146.3714999999993</v>
      </c>
      <c r="AL47" s="2">
        <v>89.66510000000001</v>
      </c>
      <c r="AM47" s="2">
        <v>113.58939999999998</v>
      </c>
      <c r="AN47" s="2">
        <v>58.486400000000003</v>
      </c>
      <c r="AO47" s="2">
        <v>4884.6305999999995</v>
      </c>
      <c r="AP47" s="2">
        <v>0</v>
      </c>
      <c r="AQ47" s="2">
        <v>7.43</v>
      </c>
      <c r="AR47" s="2">
        <v>0.08</v>
      </c>
      <c r="AS47" s="2">
        <v>0</v>
      </c>
      <c r="AT47" s="2">
        <v>90</v>
      </c>
      <c r="AU47" s="2">
        <v>46</v>
      </c>
      <c r="AV47" s="2">
        <v>1</v>
      </c>
      <c r="AW47" s="2">
        <v>1</v>
      </c>
      <c r="AX47" s="2"/>
      <c r="AY47" s="2"/>
      <c r="AZ47" s="2">
        <v>1</v>
      </c>
      <c r="BA47" s="2">
        <v>1</v>
      </c>
      <c r="BB47" s="2">
        <v>1</v>
      </c>
      <c r="BC47" s="2">
        <v>1</v>
      </c>
      <c r="BD47" s="2" t="s">
        <v>3</v>
      </c>
      <c r="BE47" s="2" t="s">
        <v>3</v>
      </c>
      <c r="BF47" s="2" t="s">
        <v>3</v>
      </c>
      <c r="BG47" s="2" t="s">
        <v>3</v>
      </c>
      <c r="BH47" s="2">
        <v>0</v>
      </c>
      <c r="BI47" s="2">
        <v>1</v>
      </c>
      <c r="BJ47" s="2" t="s">
        <v>120</v>
      </c>
      <c r="BK47" s="2"/>
      <c r="BL47" s="2"/>
      <c r="BM47" s="2">
        <v>62001</v>
      </c>
      <c r="BN47" s="2">
        <v>0</v>
      </c>
      <c r="BO47" s="2" t="s">
        <v>3</v>
      </c>
      <c r="BP47" s="2">
        <v>0</v>
      </c>
      <c r="BQ47" s="2">
        <v>6</v>
      </c>
      <c r="BR47" s="2">
        <v>0</v>
      </c>
      <c r="BS47" s="2">
        <v>1</v>
      </c>
      <c r="BT47" s="2">
        <v>1</v>
      </c>
      <c r="BU47" s="2">
        <v>1</v>
      </c>
      <c r="BV47" s="2">
        <v>1</v>
      </c>
      <c r="BW47" s="2">
        <v>1</v>
      </c>
      <c r="BX47" s="2">
        <v>1</v>
      </c>
      <c r="BY47" s="2" t="s">
        <v>3</v>
      </c>
      <c r="BZ47" s="2">
        <v>90</v>
      </c>
      <c r="CA47" s="2">
        <v>46</v>
      </c>
      <c r="CB47" s="2" t="s">
        <v>3</v>
      </c>
      <c r="CC47" s="2"/>
      <c r="CD47" s="2"/>
      <c r="CE47" s="2">
        <v>0</v>
      </c>
      <c r="CF47" s="2">
        <v>0</v>
      </c>
      <c r="CG47" s="2">
        <v>0</v>
      </c>
      <c r="CH47" s="2"/>
      <c r="CI47" s="2"/>
      <c r="CJ47" s="2"/>
      <c r="CK47" s="2"/>
      <c r="CL47" s="2"/>
      <c r="CM47" s="2">
        <v>0</v>
      </c>
      <c r="CN47" s="2" t="s">
        <v>3</v>
      </c>
      <c r="CO47" s="2">
        <v>0</v>
      </c>
      <c r="CP47" s="2">
        <f t="shared" si="29"/>
        <v>474.11</v>
      </c>
      <c r="CQ47" s="2">
        <f>SUMIF(SmtRes!AQ70:'SmtRes'!AQ78,"=1",SmtRes!AA70:'SmtRes'!AA78)</f>
        <v>177.04000000000002</v>
      </c>
      <c r="CR47" s="2">
        <f>SUMIF(SmtRes!AQ70:'SmtRes'!AQ78,"=1",SmtRes!AB70:'SmtRes'!AB78)</f>
        <v>576.04999999999984</v>
      </c>
      <c r="CS47" s="2">
        <f>SUMIF(SmtRes!AQ70:'SmtRes'!AQ78,"=1",SmtRes!AC70:'SmtRes'!AC78)</f>
        <v>731.08</v>
      </c>
      <c r="CT47" s="2">
        <f>SUMIF(SmtRes!AQ70:'SmtRes'!AQ78,"=1",SmtRes!AD70:'SmtRes'!AD78)</f>
        <v>657.42</v>
      </c>
      <c r="CU47" s="2">
        <f t="shared" si="30"/>
        <v>0</v>
      </c>
      <c r="CV47" s="2">
        <f>SUMIF(SmtRes!AQ70:'SmtRes'!AQ78,"=1",SmtRes!BU70:'SmtRes'!BU78)</f>
        <v>7.43</v>
      </c>
      <c r="CW47" s="2">
        <f>SUMIF(SmtRes!AQ70:'SmtRes'!AQ78,"=1",SmtRes!BV70:'SmtRes'!BV78)</f>
        <v>0.08</v>
      </c>
      <c r="CX47" s="2">
        <f t="shared" si="31"/>
        <v>0</v>
      </c>
      <c r="CY47" s="2">
        <f t="shared" si="32"/>
        <v>404.83800000000002</v>
      </c>
      <c r="CZ47" s="2">
        <f t="shared" si="33"/>
        <v>206.91720000000001</v>
      </c>
      <c r="DA47" s="2"/>
      <c r="DB47" s="2"/>
      <c r="DC47" s="2" t="s">
        <v>3</v>
      </c>
      <c r="DD47" s="2" t="s">
        <v>3</v>
      </c>
      <c r="DE47" s="2" t="s">
        <v>3</v>
      </c>
      <c r="DF47" s="2" t="s">
        <v>3</v>
      </c>
      <c r="DG47" s="2" t="s">
        <v>3</v>
      </c>
      <c r="DH47" s="2" t="s">
        <v>3</v>
      </c>
      <c r="DI47" s="2" t="s">
        <v>3</v>
      </c>
      <c r="DJ47" s="2" t="s">
        <v>3</v>
      </c>
      <c r="DK47" s="2" t="s">
        <v>3</v>
      </c>
      <c r="DL47" s="2" t="s">
        <v>3</v>
      </c>
      <c r="DM47" s="2" t="s">
        <v>3</v>
      </c>
      <c r="DN47" s="2">
        <v>0</v>
      </c>
      <c r="DO47" s="2">
        <v>0</v>
      </c>
      <c r="DP47" s="2">
        <v>1</v>
      </c>
      <c r="DQ47" s="2">
        <v>1</v>
      </c>
      <c r="DR47" s="2"/>
      <c r="DS47" s="2"/>
      <c r="DT47" s="2"/>
      <c r="DU47" s="2">
        <v>1005</v>
      </c>
      <c r="DV47" s="2" t="s">
        <v>20</v>
      </c>
      <c r="DW47" s="2" t="s">
        <v>20</v>
      </c>
      <c r="DX47" s="2">
        <v>100</v>
      </c>
      <c r="DY47" s="2"/>
      <c r="DZ47" s="2" t="s">
        <v>3</v>
      </c>
      <c r="EA47" s="2" t="s">
        <v>3</v>
      </c>
      <c r="EB47" s="2" t="s">
        <v>3</v>
      </c>
      <c r="EC47" s="2" t="s">
        <v>3</v>
      </c>
      <c r="ED47" s="2"/>
      <c r="EE47" s="2">
        <v>89977076</v>
      </c>
      <c r="EF47" s="2">
        <v>6</v>
      </c>
      <c r="EG47" s="2" t="s">
        <v>22</v>
      </c>
      <c r="EH47" s="2">
        <v>96</v>
      </c>
      <c r="EI47" s="2" t="s">
        <v>121</v>
      </c>
      <c r="EJ47" s="2">
        <v>1</v>
      </c>
      <c r="EK47" s="2">
        <v>62001</v>
      </c>
      <c r="EL47" s="2" t="s">
        <v>121</v>
      </c>
      <c r="EM47" s="2" t="s">
        <v>122</v>
      </c>
      <c r="EN47" s="2"/>
      <c r="EO47" s="2" t="s">
        <v>3</v>
      </c>
      <c r="EP47" s="2"/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7.43</v>
      </c>
      <c r="EX47" s="2">
        <v>0.08</v>
      </c>
      <c r="EY47" s="2">
        <v>0</v>
      </c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>
        <v>0</v>
      </c>
      <c r="FR47" s="2">
        <v>0</v>
      </c>
      <c r="FS47" s="2">
        <v>0</v>
      </c>
      <c r="FT47" s="2"/>
      <c r="FU47" s="2"/>
      <c r="FV47" s="2"/>
      <c r="FW47" s="2"/>
      <c r="FX47" s="2">
        <v>90</v>
      </c>
      <c r="FY47" s="2">
        <v>46</v>
      </c>
      <c r="FZ47" s="2"/>
      <c r="GA47" s="2" t="s">
        <v>3</v>
      </c>
      <c r="GB47" s="2"/>
      <c r="GC47" s="2"/>
      <c r="GD47" s="2">
        <v>1</v>
      </c>
      <c r="GE47" s="2"/>
      <c r="GF47" s="2">
        <v>-1159019614</v>
      </c>
      <c r="GG47" s="2">
        <v>2</v>
      </c>
      <c r="GH47" s="2">
        <v>1</v>
      </c>
      <c r="GI47" s="2">
        <v>-2</v>
      </c>
      <c r="GJ47" s="2">
        <v>0</v>
      </c>
      <c r="GK47" s="2">
        <v>0</v>
      </c>
      <c r="GL47" s="2">
        <f t="shared" si="34"/>
        <v>0</v>
      </c>
      <c r="GM47" s="2">
        <f t="shared" si="35"/>
        <v>1085.8699999999999</v>
      </c>
      <c r="GN47" s="2">
        <f t="shared" si="36"/>
        <v>1085.8699999999999</v>
      </c>
      <c r="GO47" s="2">
        <f t="shared" si="37"/>
        <v>0</v>
      </c>
      <c r="GP47" s="2">
        <f t="shared" si="38"/>
        <v>0</v>
      </c>
      <c r="GQ47" s="2"/>
      <c r="GR47" s="2">
        <v>0</v>
      </c>
      <c r="GS47" s="2">
        <v>0</v>
      </c>
      <c r="GT47" s="2">
        <v>0</v>
      </c>
      <c r="GU47" s="2" t="s">
        <v>3</v>
      </c>
      <c r="GV47" s="2">
        <f t="shared" si="39"/>
        <v>0</v>
      </c>
      <c r="GW47" s="2">
        <v>1</v>
      </c>
      <c r="GX47" s="2">
        <f t="shared" si="40"/>
        <v>0</v>
      </c>
      <c r="GY47" s="2"/>
      <c r="GZ47" s="2"/>
      <c r="HA47" s="2">
        <v>0</v>
      </c>
      <c r="HB47" s="2">
        <v>0</v>
      </c>
      <c r="HC47" s="2">
        <f t="shared" si="41"/>
        <v>0</v>
      </c>
      <c r="HD47" s="2"/>
      <c r="HE47" s="2" t="s">
        <v>3</v>
      </c>
      <c r="HF47" s="2" t="s">
        <v>3</v>
      </c>
      <c r="HG47" s="2"/>
      <c r="HH47" s="2"/>
      <c r="HI47" s="2"/>
      <c r="HJ47" s="2"/>
      <c r="HK47" s="2"/>
      <c r="HL47" s="2"/>
      <c r="HM47" s="2" t="s">
        <v>3</v>
      </c>
      <c r="HN47" s="2" t="s">
        <v>123</v>
      </c>
      <c r="HO47" s="2" t="s">
        <v>124</v>
      </c>
      <c r="HP47" s="2" t="s">
        <v>121</v>
      </c>
      <c r="HQ47" s="2" t="s">
        <v>121</v>
      </c>
      <c r="HR47" s="2"/>
      <c r="HS47" s="2">
        <v>0</v>
      </c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>
        <v>0</v>
      </c>
      <c r="IL47" s="2"/>
      <c r="IM47" s="2"/>
      <c r="IN47" s="2"/>
      <c r="IO47" s="2"/>
      <c r="IP47" s="2"/>
      <c r="IQ47" s="2"/>
      <c r="IR47" s="2"/>
      <c r="IS47" s="2"/>
      <c r="IT47" s="2"/>
      <c r="IU47" s="2"/>
    </row>
    <row r="48" spans="1:255" x14ac:dyDescent="0.2">
      <c r="A48" s="2">
        <v>18</v>
      </c>
      <c r="B48" s="2">
        <v>1</v>
      </c>
      <c r="C48" s="2">
        <v>77</v>
      </c>
      <c r="D48" s="2"/>
      <c r="E48" s="2" t="s">
        <v>125</v>
      </c>
      <c r="F48" s="2" t="s">
        <v>126</v>
      </c>
      <c r="G48" s="2" t="s">
        <v>127</v>
      </c>
      <c r="H48" s="2" t="s">
        <v>30</v>
      </c>
      <c r="I48" s="2">
        <f>I47*J48</f>
        <v>2.9393000000000002E-3</v>
      </c>
      <c r="J48" s="2">
        <v>3.2300000000000002E-2</v>
      </c>
      <c r="K48" s="2">
        <v>3.2300000000000002E-2</v>
      </c>
      <c r="L48" s="2"/>
      <c r="M48" s="2"/>
      <c r="N48" s="2"/>
      <c r="O48" s="2">
        <f t="shared" si="21"/>
        <v>383.98</v>
      </c>
      <c r="P48" s="2">
        <f>ROUND(CQ48*I48,2)</f>
        <v>383.98</v>
      </c>
      <c r="Q48" s="2">
        <f>ROUND(CR48*I48,2)</f>
        <v>0</v>
      </c>
      <c r="R48" s="2">
        <f>ROUND(CS48*I48,2)</f>
        <v>0</v>
      </c>
      <c r="S48" s="2">
        <f>ROUND(CT48*I48,2)</f>
        <v>0</v>
      </c>
      <c r="T48" s="2">
        <f t="shared" si="22"/>
        <v>0</v>
      </c>
      <c r="U48" s="2">
        <f>ROUND(CV48*I48,7)</f>
        <v>0</v>
      </c>
      <c r="V48" s="2">
        <f>ROUND(CW48*I48,7)</f>
        <v>0</v>
      </c>
      <c r="W48" s="2">
        <f t="shared" si="23"/>
        <v>0</v>
      </c>
      <c r="X48" s="2">
        <f t="shared" si="24"/>
        <v>0</v>
      </c>
      <c r="Y48" s="2">
        <f t="shared" si="25"/>
        <v>0</v>
      </c>
      <c r="Z48" s="2"/>
      <c r="AA48" s="2">
        <v>94104265</v>
      </c>
      <c r="AB48" s="2">
        <f t="shared" si="26"/>
        <v>119850.13</v>
      </c>
      <c r="AC48" s="2">
        <f>ROUND((ES48),6)</f>
        <v>119850.13</v>
      </c>
      <c r="AD48" s="2">
        <f>ROUND((((ET48)-(EU48))+AE48),6)</f>
        <v>0</v>
      </c>
      <c r="AE48" s="2">
        <f>ROUND((EU48),6)</f>
        <v>0</v>
      </c>
      <c r="AF48" s="2">
        <f>ROUND((EV48),6)</f>
        <v>0</v>
      </c>
      <c r="AG48" s="2">
        <f t="shared" si="27"/>
        <v>0</v>
      </c>
      <c r="AH48" s="2">
        <f>(EW48)</f>
        <v>0</v>
      </c>
      <c r="AI48" s="2">
        <f>(EX48)</f>
        <v>0</v>
      </c>
      <c r="AJ48" s="2">
        <f t="shared" si="28"/>
        <v>0</v>
      </c>
      <c r="AK48" s="2">
        <v>119850.13</v>
      </c>
      <c r="AL48" s="2">
        <v>119850.13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90</v>
      </c>
      <c r="AU48" s="2">
        <v>46</v>
      </c>
      <c r="AV48" s="2">
        <v>1</v>
      </c>
      <c r="AW48" s="2">
        <v>1</v>
      </c>
      <c r="AX48" s="2"/>
      <c r="AY48" s="2"/>
      <c r="AZ48" s="2">
        <v>1</v>
      </c>
      <c r="BA48" s="2">
        <v>1</v>
      </c>
      <c r="BB48" s="2">
        <v>1</v>
      </c>
      <c r="BC48" s="2">
        <v>1.0900000000000001</v>
      </c>
      <c r="BD48" s="2" t="s">
        <v>3</v>
      </c>
      <c r="BE48" s="2" t="s">
        <v>3</v>
      </c>
      <c r="BF48" s="2" t="s">
        <v>3</v>
      </c>
      <c r="BG48" s="2" t="s">
        <v>3</v>
      </c>
      <c r="BH48" s="2">
        <v>3</v>
      </c>
      <c r="BI48" s="2">
        <v>1</v>
      </c>
      <c r="BJ48" s="2" t="s">
        <v>128</v>
      </c>
      <c r="BK48" s="2"/>
      <c r="BL48" s="2"/>
      <c r="BM48" s="2">
        <v>62001</v>
      </c>
      <c r="BN48" s="2">
        <v>0</v>
      </c>
      <c r="BO48" s="2" t="s">
        <v>126</v>
      </c>
      <c r="BP48" s="2">
        <v>1</v>
      </c>
      <c r="BQ48" s="2">
        <v>6</v>
      </c>
      <c r="BR48" s="2">
        <v>0</v>
      </c>
      <c r="BS48" s="2">
        <v>1</v>
      </c>
      <c r="BT48" s="2">
        <v>1</v>
      </c>
      <c r="BU48" s="2">
        <v>1</v>
      </c>
      <c r="BV48" s="2">
        <v>1</v>
      </c>
      <c r="BW48" s="2">
        <v>1</v>
      </c>
      <c r="BX48" s="2">
        <v>1</v>
      </c>
      <c r="BY48" s="2" t="s">
        <v>3</v>
      </c>
      <c r="BZ48" s="2">
        <v>90</v>
      </c>
      <c r="CA48" s="2">
        <v>46</v>
      </c>
      <c r="CB48" s="2" t="s">
        <v>3</v>
      </c>
      <c r="CC48" s="2"/>
      <c r="CD48" s="2"/>
      <c r="CE48" s="2">
        <v>0</v>
      </c>
      <c r="CF48" s="2">
        <v>0</v>
      </c>
      <c r="CG48" s="2">
        <v>0</v>
      </c>
      <c r="CH48" s="2"/>
      <c r="CI48" s="2"/>
      <c r="CJ48" s="2"/>
      <c r="CK48" s="2"/>
      <c r="CL48" s="2"/>
      <c r="CM48" s="2">
        <v>0</v>
      </c>
      <c r="CN48" s="2" t="s">
        <v>3</v>
      </c>
      <c r="CO48" s="2">
        <v>0</v>
      </c>
      <c r="CP48" s="2">
        <f t="shared" si="29"/>
        <v>383.98</v>
      </c>
      <c r="CQ48" s="2">
        <f>ROUND(AL48*BC48,2)</f>
        <v>130636.64</v>
      </c>
      <c r="CR48" s="2">
        <f>ROUND(AM48*BB48,2)</f>
        <v>0</v>
      </c>
      <c r="CS48" s="2">
        <f>ROUND(AN48*BS48,2)</f>
        <v>0</v>
      </c>
      <c r="CT48" s="2">
        <f>ROUND(AO48*BA48,2)</f>
        <v>0</v>
      </c>
      <c r="CU48" s="2">
        <f t="shared" si="30"/>
        <v>0</v>
      </c>
      <c r="CV48" s="2">
        <f>AH48</f>
        <v>0</v>
      </c>
      <c r="CW48" s="2">
        <f>AI48</f>
        <v>0</v>
      </c>
      <c r="CX48" s="2">
        <f t="shared" si="31"/>
        <v>0</v>
      </c>
      <c r="CY48" s="2">
        <f t="shared" si="32"/>
        <v>0</v>
      </c>
      <c r="CZ48" s="2">
        <f t="shared" si="33"/>
        <v>0</v>
      </c>
      <c r="DA48" s="2"/>
      <c r="DB48" s="2"/>
      <c r="DC48" s="2" t="s">
        <v>3</v>
      </c>
      <c r="DD48" s="2" t="s">
        <v>3</v>
      </c>
      <c r="DE48" s="2" t="s">
        <v>3</v>
      </c>
      <c r="DF48" s="2" t="s">
        <v>3</v>
      </c>
      <c r="DG48" s="2" t="s">
        <v>3</v>
      </c>
      <c r="DH48" s="2" t="s">
        <v>3</v>
      </c>
      <c r="DI48" s="2" t="s">
        <v>3</v>
      </c>
      <c r="DJ48" s="2" t="s">
        <v>3</v>
      </c>
      <c r="DK48" s="2" t="s">
        <v>3</v>
      </c>
      <c r="DL48" s="2" t="s">
        <v>3</v>
      </c>
      <c r="DM48" s="2" t="s">
        <v>3</v>
      </c>
      <c r="DN48" s="2">
        <v>0</v>
      </c>
      <c r="DO48" s="2">
        <v>0</v>
      </c>
      <c r="DP48" s="2">
        <v>1</v>
      </c>
      <c r="DQ48" s="2">
        <v>1</v>
      </c>
      <c r="DR48" s="2"/>
      <c r="DS48" s="2"/>
      <c r="DT48" s="2"/>
      <c r="DU48" s="2">
        <v>1009</v>
      </c>
      <c r="DV48" s="2" t="s">
        <v>30</v>
      </c>
      <c r="DW48" s="2" t="s">
        <v>30</v>
      </c>
      <c r="DX48" s="2">
        <v>1000</v>
      </c>
      <c r="DY48" s="2"/>
      <c r="DZ48" s="2" t="s">
        <v>3</v>
      </c>
      <c r="EA48" s="2" t="s">
        <v>3</v>
      </c>
      <c r="EB48" s="2" t="s">
        <v>3</v>
      </c>
      <c r="EC48" s="2" t="s">
        <v>3</v>
      </c>
      <c r="ED48" s="2"/>
      <c r="EE48" s="2">
        <v>89977076</v>
      </c>
      <c r="EF48" s="2">
        <v>6</v>
      </c>
      <c r="EG48" s="2" t="s">
        <v>22</v>
      </c>
      <c r="EH48" s="2">
        <v>96</v>
      </c>
      <c r="EI48" s="2" t="s">
        <v>121</v>
      </c>
      <c r="EJ48" s="2">
        <v>1</v>
      </c>
      <c r="EK48" s="2">
        <v>62001</v>
      </c>
      <c r="EL48" s="2" t="s">
        <v>121</v>
      </c>
      <c r="EM48" s="2" t="s">
        <v>122</v>
      </c>
      <c r="EN48" s="2"/>
      <c r="EO48" s="2" t="s">
        <v>3</v>
      </c>
      <c r="EP48" s="2"/>
      <c r="EQ48" s="2">
        <v>0</v>
      </c>
      <c r="ER48" s="2">
        <v>119850.13</v>
      </c>
      <c r="ES48" s="2">
        <v>119850.13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>
        <v>0</v>
      </c>
      <c r="FR48" s="2">
        <v>0</v>
      </c>
      <c r="FS48" s="2">
        <v>0</v>
      </c>
      <c r="FT48" s="2"/>
      <c r="FU48" s="2"/>
      <c r="FV48" s="2"/>
      <c r="FW48" s="2"/>
      <c r="FX48" s="2">
        <v>90</v>
      </c>
      <c r="FY48" s="2">
        <v>46</v>
      </c>
      <c r="FZ48" s="2"/>
      <c r="GA48" s="2" t="s">
        <v>3</v>
      </c>
      <c r="GB48" s="2"/>
      <c r="GC48" s="2"/>
      <c r="GD48" s="2">
        <v>1</v>
      </c>
      <c r="GE48" s="2"/>
      <c r="GF48" s="2">
        <v>1938102822</v>
      </c>
      <c r="GG48" s="2">
        <v>2</v>
      </c>
      <c r="GH48" s="2">
        <v>1</v>
      </c>
      <c r="GI48" s="2">
        <v>2</v>
      </c>
      <c r="GJ48" s="2">
        <v>0</v>
      </c>
      <c r="GK48" s="2">
        <v>0</v>
      </c>
      <c r="GL48" s="2">
        <f t="shared" si="34"/>
        <v>0</v>
      </c>
      <c r="GM48" s="2">
        <f t="shared" si="35"/>
        <v>383.98</v>
      </c>
      <c r="GN48" s="2">
        <f t="shared" si="36"/>
        <v>383.98</v>
      </c>
      <c r="GO48" s="2">
        <f t="shared" si="37"/>
        <v>0</v>
      </c>
      <c r="GP48" s="2">
        <f t="shared" si="38"/>
        <v>0</v>
      </c>
      <c r="GQ48" s="2"/>
      <c r="GR48" s="2">
        <v>0</v>
      </c>
      <c r="GS48" s="2">
        <v>0</v>
      </c>
      <c r="GT48" s="2">
        <v>0</v>
      </c>
      <c r="GU48" s="2" t="s">
        <v>3</v>
      </c>
      <c r="GV48" s="2">
        <f t="shared" si="39"/>
        <v>0</v>
      </c>
      <c r="GW48" s="2">
        <v>1</v>
      </c>
      <c r="GX48" s="2">
        <f t="shared" si="40"/>
        <v>0</v>
      </c>
      <c r="GY48" s="2"/>
      <c r="GZ48" s="2"/>
      <c r="HA48" s="2">
        <v>0</v>
      </c>
      <c r="HB48" s="2">
        <v>0</v>
      </c>
      <c r="HC48" s="2">
        <f t="shared" si="41"/>
        <v>0</v>
      </c>
      <c r="HD48" s="2"/>
      <c r="HE48" s="2" t="s">
        <v>3</v>
      </c>
      <c r="HF48" s="2" t="s">
        <v>3</v>
      </c>
      <c r="HG48" s="2"/>
      <c r="HH48" s="2"/>
      <c r="HI48" s="2"/>
      <c r="HJ48" s="2"/>
      <c r="HK48" s="2"/>
      <c r="HL48" s="2"/>
      <c r="HM48" s="2" t="s">
        <v>3</v>
      </c>
      <c r="HN48" s="2" t="s">
        <v>123</v>
      </c>
      <c r="HO48" s="2" t="s">
        <v>124</v>
      </c>
      <c r="HP48" s="2" t="s">
        <v>121</v>
      </c>
      <c r="HQ48" s="2" t="s">
        <v>121</v>
      </c>
      <c r="HR48" s="2"/>
      <c r="HS48" s="2">
        <v>0</v>
      </c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>
        <v>0</v>
      </c>
      <c r="IL48" s="2"/>
      <c r="IM48" s="2"/>
      <c r="IN48" s="2"/>
      <c r="IO48" s="2"/>
      <c r="IP48" s="2"/>
      <c r="IQ48" s="2"/>
      <c r="IR48" s="2"/>
      <c r="IS48" s="2"/>
      <c r="IT48" s="2"/>
      <c r="IU48" s="2"/>
    </row>
    <row r="49" spans="1:255" x14ac:dyDescent="0.2">
      <c r="A49" s="2">
        <v>17</v>
      </c>
      <c r="B49" s="2">
        <v>1</v>
      </c>
      <c r="C49" s="2"/>
      <c r="D49" s="2"/>
      <c r="E49" s="2" t="s">
        <v>129</v>
      </c>
      <c r="F49" s="2" t="s">
        <v>130</v>
      </c>
      <c r="G49" s="2" t="s">
        <v>131</v>
      </c>
      <c r="H49" s="2" t="s">
        <v>132</v>
      </c>
      <c r="I49" s="2">
        <v>1.1200000000000001</v>
      </c>
      <c r="J49" s="2">
        <v>0</v>
      </c>
      <c r="K49" s="2">
        <v>1.1200000000000001</v>
      </c>
      <c r="L49" s="2"/>
      <c r="M49" s="2"/>
      <c r="N49" s="2"/>
      <c r="O49" s="2">
        <f>0</f>
        <v>0</v>
      </c>
      <c r="P49" s="2">
        <f>0</f>
        <v>0</v>
      </c>
      <c r="Q49" s="2">
        <f>0</f>
        <v>0</v>
      </c>
      <c r="R49" s="2">
        <f>0</f>
        <v>0</v>
      </c>
      <c r="S49" s="2">
        <f>0</f>
        <v>0</v>
      </c>
      <c r="T49" s="2">
        <f>0</f>
        <v>0</v>
      </c>
      <c r="U49" s="2">
        <f>0</f>
        <v>0</v>
      </c>
      <c r="V49" s="2">
        <f>0</f>
        <v>0</v>
      </c>
      <c r="W49" s="2">
        <f>0</f>
        <v>0</v>
      </c>
      <c r="X49" s="2">
        <f>0</f>
        <v>0</v>
      </c>
      <c r="Y49" s="2">
        <f>0</f>
        <v>0</v>
      </c>
      <c r="Z49" s="2"/>
      <c r="AA49" s="2">
        <v>94104265</v>
      </c>
      <c r="AB49" s="2">
        <f>ROUND((AK49),6)</f>
        <v>1490.12</v>
      </c>
      <c r="AC49" s="2">
        <f>0</f>
        <v>0</v>
      </c>
      <c r="AD49" s="2">
        <f>0</f>
        <v>0</v>
      </c>
      <c r="AE49" s="2">
        <f>0</f>
        <v>0</v>
      </c>
      <c r="AF49" s="2">
        <f>0</f>
        <v>0</v>
      </c>
      <c r="AG49" s="2">
        <f>0</f>
        <v>0</v>
      </c>
      <c r="AH49" s="2">
        <f>0</f>
        <v>0</v>
      </c>
      <c r="AI49" s="2">
        <f>0</f>
        <v>0</v>
      </c>
      <c r="AJ49" s="2">
        <f>0</f>
        <v>0</v>
      </c>
      <c r="AK49" s="2">
        <v>1490.12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1</v>
      </c>
      <c r="AW49" s="2">
        <v>1</v>
      </c>
      <c r="AX49" s="2"/>
      <c r="AY49" s="2"/>
      <c r="AZ49" s="2">
        <v>1</v>
      </c>
      <c r="BA49" s="2">
        <v>1</v>
      </c>
      <c r="BB49" s="2">
        <v>1</v>
      </c>
      <c r="BC49" s="2">
        <v>1</v>
      </c>
      <c r="BD49" s="2" t="s">
        <v>3</v>
      </c>
      <c r="BE49" s="2" t="s">
        <v>3</v>
      </c>
      <c r="BF49" s="2" t="s">
        <v>3</v>
      </c>
      <c r="BG49" s="2" t="s">
        <v>3</v>
      </c>
      <c r="BH49" s="2">
        <v>0</v>
      </c>
      <c r="BI49" s="2">
        <v>1</v>
      </c>
      <c r="BJ49" s="2" t="s">
        <v>130</v>
      </c>
      <c r="BK49" s="2"/>
      <c r="BL49" s="2"/>
      <c r="BM49" s="2">
        <v>700007</v>
      </c>
      <c r="BN49" s="2">
        <v>0</v>
      </c>
      <c r="BO49" s="2" t="s">
        <v>3</v>
      </c>
      <c r="BP49" s="2">
        <v>0</v>
      </c>
      <c r="BQ49" s="2">
        <v>19</v>
      </c>
      <c r="BR49" s="2">
        <v>0</v>
      </c>
      <c r="BS49" s="2">
        <v>1</v>
      </c>
      <c r="BT49" s="2">
        <v>1</v>
      </c>
      <c r="BU49" s="2">
        <v>1</v>
      </c>
      <c r="BV49" s="2">
        <v>1</v>
      </c>
      <c r="BW49" s="2">
        <v>1</v>
      </c>
      <c r="BX49" s="2">
        <v>1</v>
      </c>
      <c r="BY49" s="2" t="s">
        <v>3</v>
      </c>
      <c r="BZ49" s="2">
        <v>90</v>
      </c>
      <c r="CA49" s="2">
        <v>42</v>
      </c>
      <c r="CB49" s="2" t="s">
        <v>3</v>
      </c>
      <c r="CC49" s="2"/>
      <c r="CD49" s="2"/>
      <c r="CE49" s="2">
        <v>0</v>
      </c>
      <c r="CF49" s="2">
        <v>0</v>
      </c>
      <c r="CG49" s="2">
        <v>0</v>
      </c>
      <c r="CH49" s="2"/>
      <c r="CI49" s="2"/>
      <c r="CJ49" s="2"/>
      <c r="CK49" s="2"/>
      <c r="CL49" s="2"/>
      <c r="CM49" s="2">
        <v>0</v>
      </c>
      <c r="CN49" s="2" t="s">
        <v>3</v>
      </c>
      <c r="CO49" s="2">
        <v>0</v>
      </c>
      <c r="CP49" s="2">
        <f>AB49*AZ49</f>
        <v>1490.12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/>
      <c r="DB49" s="2"/>
      <c r="DC49" s="2" t="s">
        <v>3</v>
      </c>
      <c r="DD49" s="2" t="s">
        <v>3</v>
      </c>
      <c r="DE49" s="2" t="s">
        <v>3</v>
      </c>
      <c r="DF49" s="2" t="s">
        <v>3</v>
      </c>
      <c r="DG49" s="2" t="s">
        <v>3</v>
      </c>
      <c r="DH49" s="2" t="s">
        <v>3</v>
      </c>
      <c r="DI49" s="2" t="s">
        <v>3</v>
      </c>
      <c r="DJ49" s="2" t="s">
        <v>3</v>
      </c>
      <c r="DK49" s="2" t="s">
        <v>3</v>
      </c>
      <c r="DL49" s="2" t="s">
        <v>3</v>
      </c>
      <c r="DM49" s="2" t="s">
        <v>3</v>
      </c>
      <c r="DN49" s="2">
        <v>0</v>
      </c>
      <c r="DO49" s="2">
        <v>0</v>
      </c>
      <c r="DP49" s="2">
        <v>1</v>
      </c>
      <c r="DQ49" s="2">
        <v>1</v>
      </c>
      <c r="DR49" s="2"/>
      <c r="DS49" s="2"/>
      <c r="DT49" s="2"/>
      <c r="DU49" s="2">
        <v>1013</v>
      </c>
      <c r="DV49" s="2" t="s">
        <v>132</v>
      </c>
      <c r="DW49" s="2" t="s">
        <v>132</v>
      </c>
      <c r="DX49" s="2">
        <v>1</v>
      </c>
      <c r="DY49" s="2"/>
      <c r="DZ49" s="2" t="s">
        <v>3</v>
      </c>
      <c r="EA49" s="2" t="s">
        <v>3</v>
      </c>
      <c r="EB49" s="2" t="s">
        <v>3</v>
      </c>
      <c r="EC49" s="2" t="s">
        <v>3</v>
      </c>
      <c r="ED49" s="2"/>
      <c r="EE49" s="2">
        <v>89977456</v>
      </c>
      <c r="EF49" s="2">
        <v>19</v>
      </c>
      <c r="EG49" s="2" t="s">
        <v>133</v>
      </c>
      <c r="EH49" s="2">
        <v>106</v>
      </c>
      <c r="EI49" s="2" t="s">
        <v>133</v>
      </c>
      <c r="EJ49" s="2">
        <v>1</v>
      </c>
      <c r="EK49" s="2">
        <v>700007</v>
      </c>
      <c r="EL49" s="2" t="s">
        <v>133</v>
      </c>
      <c r="EM49" s="2" t="s">
        <v>134</v>
      </c>
      <c r="EN49" s="2"/>
      <c r="EO49" s="2" t="s">
        <v>3</v>
      </c>
      <c r="EP49" s="2"/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0</v>
      </c>
      <c r="EY49" s="2">
        <v>0</v>
      </c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>
        <v>0</v>
      </c>
      <c r="FR49" s="2">
        <v>0</v>
      </c>
      <c r="FS49" s="2">
        <v>0</v>
      </c>
      <c r="FT49" s="2"/>
      <c r="FU49" s="2"/>
      <c r="FV49" s="2"/>
      <c r="FW49" s="2"/>
      <c r="FX49" s="2">
        <v>0</v>
      </c>
      <c r="FY49" s="2">
        <v>0</v>
      </c>
      <c r="FZ49" s="2"/>
      <c r="GA49" s="2" t="s">
        <v>3</v>
      </c>
      <c r="GB49" s="2"/>
      <c r="GC49" s="2"/>
      <c r="GD49" s="2">
        <v>1</v>
      </c>
      <c r="GE49" s="2"/>
      <c r="GF49" s="2">
        <v>974204656</v>
      </c>
      <c r="GG49" s="2">
        <v>2</v>
      </c>
      <c r="GH49" s="2">
        <v>1</v>
      </c>
      <c r="GI49" s="2">
        <v>-2</v>
      </c>
      <c r="GJ49" s="2">
        <v>2</v>
      </c>
      <c r="GK49" s="2">
        <v>0</v>
      </c>
      <c r="GL49" s="2">
        <f t="shared" si="34"/>
        <v>0</v>
      </c>
      <c r="GM49" s="2">
        <f>ROUND(CP49*I49,2)</f>
        <v>1668.93</v>
      </c>
      <c r="GN49" s="2">
        <f t="shared" si="36"/>
        <v>1668.93</v>
      </c>
      <c r="GO49" s="2">
        <f t="shared" si="37"/>
        <v>0</v>
      </c>
      <c r="GP49" s="2">
        <f t="shared" si="38"/>
        <v>0</v>
      </c>
      <c r="GQ49" s="2"/>
      <c r="GR49" s="2">
        <v>0</v>
      </c>
      <c r="GS49" s="2">
        <v>0</v>
      </c>
      <c r="GT49" s="2">
        <v>0</v>
      </c>
      <c r="GU49" s="2" t="s">
        <v>3</v>
      </c>
      <c r="GV49" s="2">
        <f>0</f>
        <v>0</v>
      </c>
      <c r="GW49" s="2">
        <v>1</v>
      </c>
      <c r="GX49" s="2">
        <f>0</f>
        <v>0</v>
      </c>
      <c r="GY49" s="2"/>
      <c r="GZ49" s="2"/>
      <c r="HA49" s="2">
        <v>0</v>
      </c>
      <c r="HB49" s="2">
        <v>0</v>
      </c>
      <c r="HC49" s="2">
        <v>0</v>
      </c>
      <c r="HD49" s="2">
        <f>GM49</f>
        <v>1668.93</v>
      </c>
      <c r="HE49" s="2" t="s">
        <v>3</v>
      </c>
      <c r="HF49" s="2" t="s">
        <v>3</v>
      </c>
      <c r="HG49" s="2"/>
      <c r="HH49" s="2"/>
      <c r="HI49" s="2"/>
      <c r="HJ49" s="2"/>
      <c r="HK49" s="2"/>
      <c r="HL49" s="2"/>
      <c r="HM49" s="2" t="s">
        <v>3</v>
      </c>
      <c r="HN49" s="2" t="s">
        <v>135</v>
      </c>
      <c r="HO49" s="2" t="s">
        <v>136</v>
      </c>
      <c r="HP49" s="2" t="s">
        <v>133</v>
      </c>
      <c r="HQ49" s="2" t="s">
        <v>133</v>
      </c>
      <c r="HR49" s="2"/>
      <c r="HS49" s="2">
        <v>0</v>
      </c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>
        <v>0</v>
      </c>
      <c r="IL49" s="2"/>
      <c r="IM49" s="2"/>
      <c r="IN49" s="2"/>
      <c r="IO49" s="2"/>
      <c r="IP49" s="2"/>
      <c r="IQ49" s="2"/>
      <c r="IR49" s="2"/>
      <c r="IS49" s="2"/>
      <c r="IT49" s="2"/>
      <c r="IU49" s="2"/>
    </row>
    <row r="50" spans="1:255" x14ac:dyDescent="0.2">
      <c r="A50" s="2">
        <v>17</v>
      </c>
      <c r="B50" s="2">
        <v>1</v>
      </c>
      <c r="C50" s="2"/>
      <c r="D50" s="2"/>
      <c r="E50" s="2" t="s">
        <v>137</v>
      </c>
      <c r="F50" s="2" t="s">
        <v>138</v>
      </c>
      <c r="G50" s="2" t="s">
        <v>139</v>
      </c>
      <c r="H50" s="2" t="s">
        <v>132</v>
      </c>
      <c r="I50" s="2">
        <v>1.1200000000000001</v>
      </c>
      <c r="J50" s="2">
        <v>0</v>
      </c>
      <c r="K50" s="2">
        <v>1.1200000000000001</v>
      </c>
      <c r="L50" s="2"/>
      <c r="M50" s="2"/>
      <c r="N50" s="2"/>
      <c r="O50" s="2">
        <f>0</f>
        <v>0</v>
      </c>
      <c r="P50" s="2">
        <f>0</f>
        <v>0</v>
      </c>
      <c r="Q50" s="2">
        <f>0</f>
        <v>0</v>
      </c>
      <c r="R50" s="2">
        <f>0</f>
        <v>0</v>
      </c>
      <c r="S50" s="2">
        <f>0</f>
        <v>0</v>
      </c>
      <c r="T50" s="2">
        <f>0</f>
        <v>0</v>
      </c>
      <c r="U50" s="2">
        <f>0</f>
        <v>0</v>
      </c>
      <c r="V50" s="2">
        <f>0</f>
        <v>0</v>
      </c>
      <c r="W50" s="2">
        <f>0</f>
        <v>0</v>
      </c>
      <c r="X50" s="2">
        <f>0</f>
        <v>0</v>
      </c>
      <c r="Y50" s="2">
        <f>0</f>
        <v>0</v>
      </c>
      <c r="Z50" s="2"/>
      <c r="AA50" s="2">
        <v>94104265</v>
      </c>
      <c r="AB50" s="2">
        <f>ROUND((AK50),6)</f>
        <v>519.79</v>
      </c>
      <c r="AC50" s="2">
        <f>0</f>
        <v>0</v>
      </c>
      <c r="AD50" s="2">
        <f>0</f>
        <v>0</v>
      </c>
      <c r="AE50" s="2">
        <f>0</f>
        <v>0</v>
      </c>
      <c r="AF50" s="2">
        <f>0</f>
        <v>0</v>
      </c>
      <c r="AG50" s="2">
        <f>0</f>
        <v>0</v>
      </c>
      <c r="AH50" s="2">
        <f>0</f>
        <v>0</v>
      </c>
      <c r="AI50" s="2">
        <f>0</f>
        <v>0</v>
      </c>
      <c r="AJ50" s="2">
        <f>0</f>
        <v>0</v>
      </c>
      <c r="AK50" s="2">
        <v>519.79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1</v>
      </c>
      <c r="AW50" s="2">
        <v>1</v>
      </c>
      <c r="AX50" s="2"/>
      <c r="AY50" s="2"/>
      <c r="AZ50" s="2">
        <v>1</v>
      </c>
      <c r="BA50" s="2">
        <v>1</v>
      </c>
      <c r="BB50" s="2">
        <v>1</v>
      </c>
      <c r="BC50" s="2">
        <v>1</v>
      </c>
      <c r="BD50" s="2" t="s">
        <v>3</v>
      </c>
      <c r="BE50" s="2" t="s">
        <v>3</v>
      </c>
      <c r="BF50" s="2" t="s">
        <v>3</v>
      </c>
      <c r="BG50" s="2" t="s">
        <v>3</v>
      </c>
      <c r="BH50" s="2">
        <v>0</v>
      </c>
      <c r="BI50" s="2">
        <v>1</v>
      </c>
      <c r="BJ50" s="2" t="s">
        <v>138</v>
      </c>
      <c r="BK50" s="2"/>
      <c r="BL50" s="2"/>
      <c r="BM50" s="2">
        <v>700008</v>
      </c>
      <c r="BN50" s="2">
        <v>0</v>
      </c>
      <c r="BO50" s="2" t="s">
        <v>3</v>
      </c>
      <c r="BP50" s="2">
        <v>0</v>
      </c>
      <c r="BQ50" s="2">
        <v>10</v>
      </c>
      <c r="BR50" s="2">
        <v>0</v>
      </c>
      <c r="BS50" s="2">
        <v>1</v>
      </c>
      <c r="BT50" s="2">
        <v>1</v>
      </c>
      <c r="BU50" s="2">
        <v>1</v>
      </c>
      <c r="BV50" s="2">
        <v>1</v>
      </c>
      <c r="BW50" s="2">
        <v>1</v>
      </c>
      <c r="BX50" s="2">
        <v>1</v>
      </c>
      <c r="BY50" s="2" t="s">
        <v>3</v>
      </c>
      <c r="BZ50" s="2">
        <v>94</v>
      </c>
      <c r="CA50" s="2">
        <v>61</v>
      </c>
      <c r="CB50" s="2" t="s">
        <v>3</v>
      </c>
      <c r="CC50" s="2"/>
      <c r="CD50" s="2"/>
      <c r="CE50" s="2">
        <v>0</v>
      </c>
      <c r="CF50" s="2">
        <v>0</v>
      </c>
      <c r="CG50" s="2">
        <v>0</v>
      </c>
      <c r="CH50" s="2"/>
      <c r="CI50" s="2"/>
      <c r="CJ50" s="2"/>
      <c r="CK50" s="2"/>
      <c r="CL50" s="2"/>
      <c r="CM50" s="2">
        <v>0</v>
      </c>
      <c r="CN50" s="2" t="s">
        <v>3</v>
      </c>
      <c r="CO50" s="2">
        <v>0</v>
      </c>
      <c r="CP50" s="2">
        <f>AB50*AZ50</f>
        <v>519.79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/>
      <c r="DB50" s="2"/>
      <c r="DC50" s="2" t="s">
        <v>3</v>
      </c>
      <c r="DD50" s="2" t="s">
        <v>3</v>
      </c>
      <c r="DE50" s="2" t="s">
        <v>3</v>
      </c>
      <c r="DF50" s="2" t="s">
        <v>3</v>
      </c>
      <c r="DG50" s="2" t="s">
        <v>3</v>
      </c>
      <c r="DH50" s="2" t="s">
        <v>3</v>
      </c>
      <c r="DI50" s="2" t="s">
        <v>3</v>
      </c>
      <c r="DJ50" s="2" t="s">
        <v>3</v>
      </c>
      <c r="DK50" s="2" t="s">
        <v>3</v>
      </c>
      <c r="DL50" s="2" t="s">
        <v>3</v>
      </c>
      <c r="DM50" s="2" t="s">
        <v>3</v>
      </c>
      <c r="DN50" s="2">
        <v>0</v>
      </c>
      <c r="DO50" s="2">
        <v>0</v>
      </c>
      <c r="DP50" s="2">
        <v>1</v>
      </c>
      <c r="DQ50" s="2">
        <v>1</v>
      </c>
      <c r="DR50" s="2"/>
      <c r="DS50" s="2"/>
      <c r="DT50" s="2"/>
      <c r="DU50" s="2">
        <v>1013</v>
      </c>
      <c r="DV50" s="2" t="s">
        <v>132</v>
      </c>
      <c r="DW50" s="2" t="s">
        <v>132</v>
      </c>
      <c r="DX50" s="2">
        <v>1</v>
      </c>
      <c r="DY50" s="2"/>
      <c r="DZ50" s="2" t="s">
        <v>3</v>
      </c>
      <c r="EA50" s="2" t="s">
        <v>3</v>
      </c>
      <c r="EB50" s="2" t="s">
        <v>3</v>
      </c>
      <c r="EC50" s="2" t="s">
        <v>3</v>
      </c>
      <c r="ED50" s="2"/>
      <c r="EE50" s="2">
        <v>89977457</v>
      </c>
      <c r="EF50" s="2">
        <v>10</v>
      </c>
      <c r="EG50" s="2" t="s">
        <v>140</v>
      </c>
      <c r="EH50" s="2">
        <v>107</v>
      </c>
      <c r="EI50" s="2" t="s">
        <v>141</v>
      </c>
      <c r="EJ50" s="2">
        <v>1</v>
      </c>
      <c r="EK50" s="2">
        <v>700008</v>
      </c>
      <c r="EL50" s="2" t="s">
        <v>142</v>
      </c>
      <c r="EM50" s="2" t="s">
        <v>143</v>
      </c>
      <c r="EN50" s="2"/>
      <c r="EO50" s="2" t="s">
        <v>3</v>
      </c>
      <c r="EP50" s="2"/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0</v>
      </c>
      <c r="EX50" s="2">
        <v>0</v>
      </c>
      <c r="EY50" s="2">
        <v>0</v>
      </c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>
        <v>0</v>
      </c>
      <c r="FR50" s="2">
        <v>0</v>
      </c>
      <c r="FS50" s="2">
        <v>0</v>
      </c>
      <c r="FT50" s="2"/>
      <c r="FU50" s="2"/>
      <c r="FV50" s="2"/>
      <c r="FW50" s="2"/>
      <c r="FX50" s="2">
        <v>0</v>
      </c>
      <c r="FY50" s="2">
        <v>0</v>
      </c>
      <c r="FZ50" s="2"/>
      <c r="GA50" s="2" t="s">
        <v>3</v>
      </c>
      <c r="GB50" s="2"/>
      <c r="GC50" s="2"/>
      <c r="GD50" s="2">
        <v>1</v>
      </c>
      <c r="GE50" s="2"/>
      <c r="GF50" s="2">
        <v>-1584862761</v>
      </c>
      <c r="GG50" s="2">
        <v>2</v>
      </c>
      <c r="GH50" s="2">
        <v>1</v>
      </c>
      <c r="GI50" s="2">
        <v>-2</v>
      </c>
      <c r="GJ50" s="2">
        <v>2</v>
      </c>
      <c r="GK50" s="2">
        <v>0</v>
      </c>
      <c r="GL50" s="2">
        <f t="shared" si="34"/>
        <v>0</v>
      </c>
      <c r="GM50" s="2">
        <f>ROUND(CP50*I50,2)</f>
        <v>582.16</v>
      </c>
      <c r="GN50" s="2">
        <f t="shared" si="36"/>
        <v>582.16</v>
      </c>
      <c r="GO50" s="2">
        <f t="shared" si="37"/>
        <v>0</v>
      </c>
      <c r="GP50" s="2">
        <f t="shared" si="38"/>
        <v>0</v>
      </c>
      <c r="GQ50" s="2"/>
      <c r="GR50" s="2">
        <v>0</v>
      </c>
      <c r="GS50" s="2">
        <v>0</v>
      </c>
      <c r="GT50" s="2">
        <v>0</v>
      </c>
      <c r="GU50" s="2" t="s">
        <v>3</v>
      </c>
      <c r="GV50" s="2">
        <f>0</f>
        <v>0</v>
      </c>
      <c r="GW50" s="2">
        <v>1</v>
      </c>
      <c r="GX50" s="2">
        <f>0</f>
        <v>0</v>
      </c>
      <c r="GY50" s="2"/>
      <c r="GZ50" s="2"/>
      <c r="HA50" s="2">
        <v>0</v>
      </c>
      <c r="HB50" s="2">
        <v>0</v>
      </c>
      <c r="HC50" s="2">
        <v>0</v>
      </c>
      <c r="HD50" s="2">
        <f>GM50</f>
        <v>582.16</v>
      </c>
      <c r="HE50" s="2" t="s">
        <v>3</v>
      </c>
      <c r="HF50" s="2" t="s">
        <v>3</v>
      </c>
      <c r="HG50" s="2"/>
      <c r="HH50" s="2"/>
      <c r="HI50" s="2"/>
      <c r="HJ50" s="2"/>
      <c r="HK50" s="2"/>
      <c r="HL50" s="2"/>
      <c r="HM50" s="2" t="s">
        <v>3</v>
      </c>
      <c r="HN50" s="2" t="s">
        <v>144</v>
      </c>
      <c r="HO50" s="2" t="s">
        <v>145</v>
      </c>
      <c r="HP50" s="2" t="s">
        <v>141</v>
      </c>
      <c r="HQ50" s="2" t="s">
        <v>141</v>
      </c>
      <c r="HR50" s="2"/>
      <c r="HS50" s="2">
        <v>0</v>
      </c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>
        <v>0</v>
      </c>
      <c r="IL50" s="2"/>
      <c r="IM50" s="2"/>
      <c r="IN50" s="2"/>
      <c r="IO50" s="2"/>
      <c r="IP50" s="2"/>
      <c r="IQ50" s="2"/>
      <c r="IR50" s="2"/>
      <c r="IS50" s="2"/>
      <c r="IT50" s="2"/>
      <c r="IU50" s="2"/>
    </row>
    <row r="52" spans="1:255" x14ac:dyDescent="0.2">
      <c r="A52" s="3">
        <v>51</v>
      </c>
      <c r="B52" s="3">
        <f>B24</f>
        <v>1</v>
      </c>
      <c r="C52" s="3">
        <f>A24</f>
        <v>4</v>
      </c>
      <c r="D52" s="3">
        <f>ROW(A24)</f>
        <v>24</v>
      </c>
      <c r="E52" s="3"/>
      <c r="F52" s="3" t="str">
        <f>IF(F24&lt;&gt;"",F24,"")</f>
        <v>Новый раздел</v>
      </c>
      <c r="G52" s="3" t="str">
        <f>IF(G24&lt;&gt;"",G24,"")</f>
        <v>ул. Николоямская</v>
      </c>
      <c r="H52" s="3">
        <v>0</v>
      </c>
      <c r="I52" s="3"/>
      <c r="J52" s="3"/>
      <c r="K52" s="3"/>
      <c r="L52" s="3"/>
      <c r="M52" s="3"/>
      <c r="N52" s="3"/>
      <c r="O52" s="3">
        <f t="shared" ref="O52:T52" si="48">ROUND(AB52,2)</f>
        <v>27300.59</v>
      </c>
      <c r="P52" s="3">
        <f t="shared" si="48"/>
        <v>7995.52</v>
      </c>
      <c r="Q52" s="3">
        <f t="shared" si="48"/>
        <v>236.09</v>
      </c>
      <c r="R52" s="3">
        <f t="shared" si="48"/>
        <v>146.52000000000001</v>
      </c>
      <c r="S52" s="3">
        <f t="shared" si="48"/>
        <v>18922.46</v>
      </c>
      <c r="T52" s="3">
        <f t="shared" si="48"/>
        <v>0</v>
      </c>
      <c r="U52" s="3">
        <f>AH52</f>
        <v>28.80772</v>
      </c>
      <c r="V52" s="3">
        <f>AI52</f>
        <v>0.20580500000000002</v>
      </c>
      <c r="W52" s="3">
        <f>ROUND(AJ52,2)</f>
        <v>0</v>
      </c>
      <c r="X52" s="3">
        <f>ROUND(AK52,2)</f>
        <v>18149.650000000001</v>
      </c>
      <c r="Y52" s="3">
        <f>ROUND(AL52,2)</f>
        <v>9493.42</v>
      </c>
      <c r="Z52" s="3"/>
      <c r="AA52" s="3"/>
      <c r="AB52" s="3">
        <f>ROUND(SUMIF(AA28:AA50,"=94104265",O28:O50),2)</f>
        <v>27300.59</v>
      </c>
      <c r="AC52" s="3">
        <f>ROUND(SUMIF(AA28:AA50,"=94104265",P28:P50),2)</f>
        <v>7995.52</v>
      </c>
      <c r="AD52" s="3">
        <f>ROUND(SUMIF(AA28:AA50,"=94104265",Q28:Q50),2)</f>
        <v>236.09</v>
      </c>
      <c r="AE52" s="3">
        <f>ROUND(SUMIF(AA28:AA50,"=94104265",R28:R50),2)</f>
        <v>146.52000000000001</v>
      </c>
      <c r="AF52" s="3">
        <f>ROUND(SUMIF(AA28:AA50,"=94104265",S28:S50),2)</f>
        <v>18922.46</v>
      </c>
      <c r="AG52" s="3">
        <f>ROUND(SUMIF(AA28:AA50,"=94104265",T28:T50),2)</f>
        <v>0</v>
      </c>
      <c r="AH52" s="3">
        <f>SUMIF(AA28:AA50,"=94104265",U28:U50)</f>
        <v>28.80772</v>
      </c>
      <c r="AI52" s="3">
        <f>SUMIF(AA28:AA50,"=94104265",V28:V50)</f>
        <v>0.20580500000000002</v>
      </c>
      <c r="AJ52" s="3">
        <f>ROUND(SUMIF(AA28:AA50,"=94104265",W28:W50),2)</f>
        <v>0</v>
      </c>
      <c r="AK52" s="3">
        <f>ROUND(SUMIF(AA28:AA50,"=94104265",X28:X50),2)</f>
        <v>18149.650000000001</v>
      </c>
      <c r="AL52" s="3">
        <f>ROUND(SUMIF(AA28:AA50,"=94104265",Y28:Y50),2)</f>
        <v>9493.42</v>
      </c>
      <c r="AM52" s="3"/>
      <c r="AN52" s="3"/>
      <c r="AO52" s="3">
        <f t="shared" ref="AO52:BD52" si="49">ROUND(BX52,2)</f>
        <v>0</v>
      </c>
      <c r="AP52" s="3">
        <f t="shared" si="49"/>
        <v>0</v>
      </c>
      <c r="AQ52" s="3">
        <f t="shared" si="49"/>
        <v>0</v>
      </c>
      <c r="AR52" s="3">
        <f t="shared" si="49"/>
        <v>57194.75</v>
      </c>
      <c r="AS52" s="3">
        <f t="shared" si="49"/>
        <v>57194.75</v>
      </c>
      <c r="AT52" s="3">
        <f t="shared" si="49"/>
        <v>0</v>
      </c>
      <c r="AU52" s="3">
        <f t="shared" si="49"/>
        <v>0</v>
      </c>
      <c r="AV52" s="3">
        <f t="shared" si="49"/>
        <v>7995.52</v>
      </c>
      <c r="AW52" s="3">
        <f t="shared" si="49"/>
        <v>7995.52</v>
      </c>
      <c r="AX52" s="3">
        <f t="shared" si="49"/>
        <v>0</v>
      </c>
      <c r="AY52" s="3">
        <f t="shared" si="49"/>
        <v>7995.52</v>
      </c>
      <c r="AZ52" s="3">
        <f t="shared" si="49"/>
        <v>0</v>
      </c>
      <c r="BA52" s="3">
        <f t="shared" si="49"/>
        <v>0</v>
      </c>
      <c r="BB52" s="3">
        <f t="shared" si="49"/>
        <v>0</v>
      </c>
      <c r="BC52" s="3">
        <f t="shared" si="49"/>
        <v>0</v>
      </c>
      <c r="BD52" s="3">
        <f t="shared" si="49"/>
        <v>2251.09</v>
      </c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>
        <f>ROUND(SUMIF(AA28:AA50,"=94104265",FQ28:FQ50),2)</f>
        <v>0</v>
      </c>
      <c r="BY52" s="3">
        <f>ROUND(SUMIF(AA28:AA50,"=94104265",FR28:FR50),2)</f>
        <v>0</v>
      </c>
      <c r="BZ52" s="3">
        <f>ROUND(SUMIF(AA28:AA50,"=94104265",GL28:GL50),2)</f>
        <v>0</v>
      </c>
      <c r="CA52" s="3">
        <f>ROUND(SUMIF(AA28:AA50,"=94104265",GM28:GM50),2)</f>
        <v>57194.75</v>
      </c>
      <c r="CB52" s="3">
        <f>ROUND(SUMIF(AA28:AA50,"=94104265",GN28:GN50),2)</f>
        <v>57194.75</v>
      </c>
      <c r="CC52" s="3">
        <f>ROUND(SUMIF(AA28:AA50,"=94104265",GO28:GO50),2)</f>
        <v>0</v>
      </c>
      <c r="CD52" s="3">
        <f>ROUND(SUMIF(AA28:AA50,"=94104265",GP28:GP50),2)</f>
        <v>0</v>
      </c>
      <c r="CE52" s="3">
        <f>AC52-BX52</f>
        <v>7995.52</v>
      </c>
      <c r="CF52" s="3">
        <f>AC52-BY52</f>
        <v>7995.52</v>
      </c>
      <c r="CG52" s="3">
        <f>BX52-BZ52</f>
        <v>0</v>
      </c>
      <c r="CH52" s="3">
        <f>AC52-BX52-BY52+BZ52</f>
        <v>7995.52</v>
      </c>
      <c r="CI52" s="3">
        <f>BY52-BZ52</f>
        <v>0</v>
      </c>
      <c r="CJ52" s="3">
        <f>ROUND(SUMIF(AA28:AA50,"=94104265",GX28:GX50),2)</f>
        <v>0</v>
      </c>
      <c r="CK52" s="3">
        <f>ROUND(SUMIF(AA28:AA50,"=94104265",GY28:GY50),2)</f>
        <v>0</v>
      </c>
      <c r="CL52" s="3">
        <f>ROUND(SUMIF(AA28:AA50,"=94104265",GZ28:GZ50),2)</f>
        <v>0</v>
      </c>
      <c r="CM52" s="3">
        <f>ROUND(SUMIF(AA28:AA50,"=94104265",HD28:HD50),2)</f>
        <v>2251.09</v>
      </c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>
        <v>0</v>
      </c>
    </row>
    <row r="54" spans="1:255" x14ac:dyDescent="0.2">
      <c r="A54" s="5">
        <v>50</v>
      </c>
      <c r="B54" s="5">
        <v>0</v>
      </c>
      <c r="C54" s="5">
        <v>0</v>
      </c>
      <c r="D54" s="5">
        <v>1</v>
      </c>
      <c r="E54" s="5">
        <v>201</v>
      </c>
      <c r="F54" s="5">
        <f>ROUND(Source!O52,O54)</f>
        <v>27300.59</v>
      </c>
      <c r="G54" s="5" t="s">
        <v>146</v>
      </c>
      <c r="H54" s="5" t="s">
        <v>147</v>
      </c>
      <c r="I54" s="5"/>
      <c r="J54" s="5"/>
      <c r="K54" s="5">
        <v>201</v>
      </c>
      <c r="L54" s="5">
        <v>1</v>
      </c>
      <c r="M54" s="5">
        <v>3</v>
      </c>
      <c r="N54" s="5" t="s">
        <v>3</v>
      </c>
      <c r="O54" s="5">
        <v>2</v>
      </c>
      <c r="P54" s="5"/>
      <c r="Q54" s="5"/>
      <c r="R54" s="5"/>
      <c r="S54" s="5"/>
      <c r="T54" s="5"/>
      <c r="U54" s="5"/>
      <c r="V54" s="5"/>
      <c r="W54" s="5">
        <v>29551.68</v>
      </c>
      <c r="X54" s="5">
        <v>1</v>
      </c>
      <c r="Y54" s="5">
        <v>29551.68</v>
      </c>
      <c r="Z54" s="5"/>
      <c r="AA54" s="5"/>
      <c r="AB54" s="5"/>
    </row>
    <row r="55" spans="1:255" x14ac:dyDescent="0.2">
      <c r="A55" s="5">
        <v>50</v>
      </c>
      <c r="B55" s="5">
        <v>0</v>
      </c>
      <c r="C55" s="5">
        <v>0</v>
      </c>
      <c r="D55" s="5">
        <v>1</v>
      </c>
      <c r="E55" s="5">
        <v>202</v>
      </c>
      <c r="F55" s="5">
        <f>ROUND(Source!P52,O55)</f>
        <v>7995.52</v>
      </c>
      <c r="G55" s="5" t="s">
        <v>148</v>
      </c>
      <c r="H55" s="5" t="s">
        <v>149</v>
      </c>
      <c r="I55" s="5"/>
      <c r="J55" s="5"/>
      <c r="K55" s="5">
        <v>202</v>
      </c>
      <c r="L55" s="5">
        <v>2</v>
      </c>
      <c r="M55" s="5">
        <v>3</v>
      </c>
      <c r="N55" s="5" t="s">
        <v>3</v>
      </c>
      <c r="O55" s="5">
        <v>2</v>
      </c>
      <c r="P55" s="5"/>
      <c r="Q55" s="5"/>
      <c r="R55" s="5"/>
      <c r="S55" s="5"/>
      <c r="T55" s="5"/>
      <c r="U55" s="5"/>
      <c r="V55" s="5"/>
      <c r="W55" s="5">
        <v>7995.52</v>
      </c>
      <c r="X55" s="5">
        <v>1</v>
      </c>
      <c r="Y55" s="5">
        <v>7995.52</v>
      </c>
      <c r="Z55" s="5"/>
      <c r="AA55" s="5"/>
      <c r="AB55" s="5"/>
    </row>
    <row r="56" spans="1:255" x14ac:dyDescent="0.2">
      <c r="A56" s="5">
        <v>50</v>
      </c>
      <c r="B56" s="5">
        <v>0</v>
      </c>
      <c r="C56" s="5">
        <v>0</v>
      </c>
      <c r="D56" s="5">
        <v>1</v>
      </c>
      <c r="E56" s="5">
        <v>222</v>
      </c>
      <c r="F56" s="5">
        <f>ROUND(Source!AO52,O56)</f>
        <v>0</v>
      </c>
      <c r="G56" s="5" t="s">
        <v>150</v>
      </c>
      <c r="H56" s="5" t="s">
        <v>151</v>
      </c>
      <c r="I56" s="5"/>
      <c r="J56" s="5"/>
      <c r="K56" s="5">
        <v>222</v>
      </c>
      <c r="L56" s="5">
        <v>3</v>
      </c>
      <c r="M56" s="5">
        <v>3</v>
      </c>
      <c r="N56" s="5" t="s">
        <v>3</v>
      </c>
      <c r="O56" s="5">
        <v>2</v>
      </c>
      <c r="P56" s="5"/>
      <c r="Q56" s="5"/>
      <c r="R56" s="5"/>
      <c r="S56" s="5"/>
      <c r="T56" s="5"/>
      <c r="U56" s="5"/>
      <c r="V56" s="5"/>
      <c r="W56" s="5">
        <v>0</v>
      </c>
      <c r="X56" s="5">
        <v>1</v>
      </c>
      <c r="Y56" s="5">
        <v>0</v>
      </c>
      <c r="Z56" s="5"/>
      <c r="AA56" s="5"/>
      <c r="AB56" s="5"/>
    </row>
    <row r="57" spans="1:255" x14ac:dyDescent="0.2">
      <c r="A57" s="5">
        <v>50</v>
      </c>
      <c r="B57" s="5">
        <v>0</v>
      </c>
      <c r="C57" s="5">
        <v>0</v>
      </c>
      <c r="D57" s="5">
        <v>1</v>
      </c>
      <c r="E57" s="5">
        <v>225</v>
      </c>
      <c r="F57" s="5">
        <f>ROUND(Source!AV52,O57)</f>
        <v>7995.52</v>
      </c>
      <c r="G57" s="5" t="s">
        <v>152</v>
      </c>
      <c r="H57" s="5" t="s">
        <v>153</v>
      </c>
      <c r="I57" s="5"/>
      <c r="J57" s="5"/>
      <c r="K57" s="5">
        <v>225</v>
      </c>
      <c r="L57" s="5">
        <v>4</v>
      </c>
      <c r="M57" s="5">
        <v>3</v>
      </c>
      <c r="N57" s="5" t="s">
        <v>3</v>
      </c>
      <c r="O57" s="5">
        <v>2</v>
      </c>
      <c r="P57" s="5"/>
      <c r="Q57" s="5"/>
      <c r="R57" s="5"/>
      <c r="S57" s="5"/>
      <c r="T57" s="5"/>
      <c r="U57" s="5"/>
      <c r="V57" s="5"/>
      <c r="W57" s="5">
        <v>7995.52</v>
      </c>
      <c r="X57" s="5">
        <v>1</v>
      </c>
      <c r="Y57" s="5">
        <v>7995.52</v>
      </c>
      <c r="Z57" s="5"/>
      <c r="AA57" s="5"/>
      <c r="AB57" s="5"/>
    </row>
    <row r="58" spans="1:255" x14ac:dyDescent="0.2">
      <c r="A58" s="5">
        <v>50</v>
      </c>
      <c r="B58" s="5">
        <v>0</v>
      </c>
      <c r="C58" s="5">
        <v>0</v>
      </c>
      <c r="D58" s="5">
        <v>1</v>
      </c>
      <c r="E58" s="5">
        <v>226</v>
      </c>
      <c r="F58" s="5">
        <f>ROUND(Source!AW52,O58)</f>
        <v>7995.52</v>
      </c>
      <c r="G58" s="5" t="s">
        <v>154</v>
      </c>
      <c r="H58" s="5" t="s">
        <v>155</v>
      </c>
      <c r="I58" s="5"/>
      <c r="J58" s="5"/>
      <c r="K58" s="5">
        <v>226</v>
      </c>
      <c r="L58" s="5">
        <v>5</v>
      </c>
      <c r="M58" s="5">
        <v>3</v>
      </c>
      <c r="N58" s="5" t="s">
        <v>3</v>
      </c>
      <c r="O58" s="5">
        <v>2</v>
      </c>
      <c r="P58" s="5"/>
      <c r="Q58" s="5"/>
      <c r="R58" s="5"/>
      <c r="S58" s="5"/>
      <c r="T58" s="5"/>
      <c r="U58" s="5"/>
      <c r="V58" s="5"/>
      <c r="W58" s="5">
        <v>7995.52</v>
      </c>
      <c r="X58" s="5">
        <v>1</v>
      </c>
      <c r="Y58" s="5">
        <v>7995.52</v>
      </c>
      <c r="Z58" s="5"/>
      <c r="AA58" s="5"/>
      <c r="AB58" s="5"/>
    </row>
    <row r="59" spans="1:255" x14ac:dyDescent="0.2">
      <c r="A59" s="5">
        <v>50</v>
      </c>
      <c r="B59" s="5">
        <v>0</v>
      </c>
      <c r="C59" s="5">
        <v>0</v>
      </c>
      <c r="D59" s="5">
        <v>1</v>
      </c>
      <c r="E59" s="5">
        <v>227</v>
      </c>
      <c r="F59" s="5">
        <f>ROUND(Source!AX52,O59)</f>
        <v>0</v>
      </c>
      <c r="G59" s="5" t="s">
        <v>156</v>
      </c>
      <c r="H59" s="5" t="s">
        <v>157</v>
      </c>
      <c r="I59" s="5"/>
      <c r="J59" s="5"/>
      <c r="K59" s="5">
        <v>227</v>
      </c>
      <c r="L59" s="5">
        <v>6</v>
      </c>
      <c r="M59" s="5">
        <v>3</v>
      </c>
      <c r="N59" s="5" t="s">
        <v>3</v>
      </c>
      <c r="O59" s="5">
        <v>2</v>
      </c>
      <c r="P59" s="5"/>
      <c r="Q59" s="5"/>
      <c r="R59" s="5"/>
      <c r="S59" s="5"/>
      <c r="T59" s="5"/>
      <c r="U59" s="5"/>
      <c r="V59" s="5"/>
      <c r="W59" s="5">
        <v>0</v>
      </c>
      <c r="X59" s="5">
        <v>1</v>
      </c>
      <c r="Y59" s="5">
        <v>0</v>
      </c>
      <c r="Z59" s="5"/>
      <c r="AA59" s="5"/>
      <c r="AB59" s="5"/>
    </row>
    <row r="60" spans="1:255" x14ac:dyDescent="0.2">
      <c r="A60" s="5">
        <v>50</v>
      </c>
      <c r="B60" s="5">
        <v>0</v>
      </c>
      <c r="C60" s="5">
        <v>0</v>
      </c>
      <c r="D60" s="5">
        <v>1</v>
      </c>
      <c r="E60" s="5">
        <v>228</v>
      </c>
      <c r="F60" s="5">
        <f>ROUND(Source!AY52,O60)</f>
        <v>7995.52</v>
      </c>
      <c r="G60" s="5" t="s">
        <v>158</v>
      </c>
      <c r="H60" s="5" t="s">
        <v>159</v>
      </c>
      <c r="I60" s="5"/>
      <c r="J60" s="5"/>
      <c r="K60" s="5">
        <v>228</v>
      </c>
      <c r="L60" s="5">
        <v>7</v>
      </c>
      <c r="M60" s="5">
        <v>3</v>
      </c>
      <c r="N60" s="5" t="s">
        <v>3</v>
      </c>
      <c r="O60" s="5">
        <v>2</v>
      </c>
      <c r="P60" s="5"/>
      <c r="Q60" s="5"/>
      <c r="R60" s="5"/>
      <c r="S60" s="5"/>
      <c r="T60" s="5"/>
      <c r="U60" s="5"/>
      <c r="V60" s="5"/>
      <c r="W60" s="5">
        <v>7995.52</v>
      </c>
      <c r="X60" s="5">
        <v>1</v>
      </c>
      <c r="Y60" s="5">
        <v>7995.52</v>
      </c>
      <c r="Z60" s="5"/>
      <c r="AA60" s="5"/>
      <c r="AB60" s="5"/>
    </row>
    <row r="61" spans="1:255" x14ac:dyDescent="0.2">
      <c r="A61" s="5">
        <v>50</v>
      </c>
      <c r="B61" s="5">
        <v>0</v>
      </c>
      <c r="C61" s="5">
        <v>0</v>
      </c>
      <c r="D61" s="5">
        <v>1</v>
      </c>
      <c r="E61" s="5">
        <v>216</v>
      </c>
      <c r="F61" s="5">
        <f>ROUND(Source!AP52,O61)</f>
        <v>0</v>
      </c>
      <c r="G61" s="5" t="s">
        <v>160</v>
      </c>
      <c r="H61" s="5" t="s">
        <v>161</v>
      </c>
      <c r="I61" s="5"/>
      <c r="J61" s="5"/>
      <c r="K61" s="5">
        <v>216</v>
      </c>
      <c r="L61" s="5">
        <v>8</v>
      </c>
      <c r="M61" s="5">
        <v>3</v>
      </c>
      <c r="N61" s="5" t="s">
        <v>3</v>
      </c>
      <c r="O61" s="5">
        <v>2</v>
      </c>
      <c r="P61" s="5"/>
      <c r="Q61" s="5"/>
      <c r="R61" s="5"/>
      <c r="S61" s="5"/>
      <c r="T61" s="5"/>
      <c r="U61" s="5"/>
      <c r="V61" s="5"/>
      <c r="W61" s="5">
        <v>0</v>
      </c>
      <c r="X61" s="5">
        <v>1</v>
      </c>
      <c r="Y61" s="5">
        <v>0</v>
      </c>
      <c r="Z61" s="5"/>
      <c r="AA61" s="5"/>
      <c r="AB61" s="5"/>
    </row>
    <row r="62" spans="1:255" x14ac:dyDescent="0.2">
      <c r="A62" s="5">
        <v>50</v>
      </c>
      <c r="B62" s="5">
        <v>0</v>
      </c>
      <c r="C62" s="5">
        <v>0</v>
      </c>
      <c r="D62" s="5">
        <v>1</v>
      </c>
      <c r="E62" s="5">
        <v>223</v>
      </c>
      <c r="F62" s="5">
        <f>ROUND(Source!AQ52,O62)</f>
        <v>0</v>
      </c>
      <c r="G62" s="5" t="s">
        <v>162</v>
      </c>
      <c r="H62" s="5" t="s">
        <v>163</v>
      </c>
      <c r="I62" s="5"/>
      <c r="J62" s="5"/>
      <c r="K62" s="5">
        <v>223</v>
      </c>
      <c r="L62" s="5">
        <v>9</v>
      </c>
      <c r="M62" s="5">
        <v>3</v>
      </c>
      <c r="N62" s="5" t="s">
        <v>3</v>
      </c>
      <c r="O62" s="5">
        <v>2</v>
      </c>
      <c r="P62" s="5"/>
      <c r="Q62" s="5"/>
      <c r="R62" s="5"/>
      <c r="S62" s="5"/>
      <c r="T62" s="5"/>
      <c r="U62" s="5"/>
      <c r="V62" s="5"/>
      <c r="W62" s="5">
        <v>0</v>
      </c>
      <c r="X62" s="5">
        <v>1</v>
      </c>
      <c r="Y62" s="5">
        <v>0</v>
      </c>
      <c r="Z62" s="5"/>
      <c r="AA62" s="5"/>
      <c r="AB62" s="5"/>
    </row>
    <row r="63" spans="1:255" x14ac:dyDescent="0.2">
      <c r="A63" s="5">
        <v>50</v>
      </c>
      <c r="B63" s="5">
        <v>0</v>
      </c>
      <c r="C63" s="5">
        <v>0</v>
      </c>
      <c r="D63" s="5">
        <v>1</v>
      </c>
      <c r="E63" s="5">
        <v>229</v>
      </c>
      <c r="F63" s="5">
        <f>ROUND(Source!AZ52,O63)</f>
        <v>0</v>
      </c>
      <c r="G63" s="5" t="s">
        <v>164</v>
      </c>
      <c r="H63" s="5" t="s">
        <v>165</v>
      </c>
      <c r="I63" s="5"/>
      <c r="J63" s="5"/>
      <c r="K63" s="5">
        <v>229</v>
      </c>
      <c r="L63" s="5">
        <v>10</v>
      </c>
      <c r="M63" s="5">
        <v>3</v>
      </c>
      <c r="N63" s="5" t="s">
        <v>3</v>
      </c>
      <c r="O63" s="5">
        <v>2</v>
      </c>
      <c r="P63" s="5"/>
      <c r="Q63" s="5"/>
      <c r="R63" s="5"/>
      <c r="S63" s="5"/>
      <c r="T63" s="5"/>
      <c r="U63" s="5"/>
      <c r="V63" s="5"/>
      <c r="W63" s="5">
        <v>0</v>
      </c>
      <c r="X63" s="5">
        <v>1</v>
      </c>
      <c r="Y63" s="5">
        <v>0</v>
      </c>
      <c r="Z63" s="5"/>
      <c r="AA63" s="5"/>
      <c r="AB63" s="5"/>
    </row>
    <row r="64" spans="1:255" x14ac:dyDescent="0.2">
      <c r="A64" s="5">
        <v>50</v>
      </c>
      <c r="B64" s="5">
        <v>0</v>
      </c>
      <c r="C64" s="5">
        <v>0</v>
      </c>
      <c r="D64" s="5">
        <v>1</v>
      </c>
      <c r="E64" s="5">
        <v>203</v>
      </c>
      <c r="F64" s="5">
        <f>ROUND(Source!Q52,O64)</f>
        <v>236.09</v>
      </c>
      <c r="G64" s="5" t="s">
        <v>166</v>
      </c>
      <c r="H64" s="5" t="s">
        <v>167</v>
      </c>
      <c r="I64" s="5"/>
      <c r="J64" s="5"/>
      <c r="K64" s="5">
        <v>203</v>
      </c>
      <c r="L64" s="5">
        <v>11</v>
      </c>
      <c r="M64" s="5">
        <v>3</v>
      </c>
      <c r="N64" s="5" t="s">
        <v>3</v>
      </c>
      <c r="O64" s="5">
        <v>2</v>
      </c>
      <c r="P64" s="5"/>
      <c r="Q64" s="5"/>
      <c r="R64" s="5"/>
      <c r="S64" s="5"/>
      <c r="T64" s="5"/>
      <c r="U64" s="5"/>
      <c r="V64" s="5"/>
      <c r="W64" s="5">
        <v>236.09000000000003</v>
      </c>
      <c r="X64" s="5">
        <v>1</v>
      </c>
      <c r="Y64" s="5">
        <v>236.09000000000003</v>
      </c>
      <c r="Z64" s="5"/>
      <c r="AA64" s="5"/>
      <c r="AB64" s="5"/>
    </row>
    <row r="65" spans="1:28" x14ac:dyDescent="0.2">
      <c r="A65" s="5">
        <v>50</v>
      </c>
      <c r="B65" s="5">
        <v>0</v>
      </c>
      <c r="C65" s="5">
        <v>0</v>
      </c>
      <c r="D65" s="5">
        <v>1</v>
      </c>
      <c r="E65" s="5">
        <v>231</v>
      </c>
      <c r="F65" s="5">
        <f>ROUND(Source!BB52,O65)</f>
        <v>0</v>
      </c>
      <c r="G65" s="5" t="s">
        <v>168</v>
      </c>
      <c r="H65" s="5" t="s">
        <v>169</v>
      </c>
      <c r="I65" s="5"/>
      <c r="J65" s="5"/>
      <c r="K65" s="5">
        <v>231</v>
      </c>
      <c r="L65" s="5">
        <v>12</v>
      </c>
      <c r="M65" s="5">
        <v>3</v>
      </c>
      <c r="N65" s="5" t="s">
        <v>3</v>
      </c>
      <c r="O65" s="5">
        <v>2</v>
      </c>
      <c r="P65" s="5"/>
      <c r="Q65" s="5"/>
      <c r="R65" s="5"/>
      <c r="S65" s="5"/>
      <c r="T65" s="5"/>
      <c r="U65" s="5"/>
      <c r="V65" s="5"/>
      <c r="W65" s="5">
        <v>0</v>
      </c>
      <c r="X65" s="5">
        <v>1</v>
      </c>
      <c r="Y65" s="5">
        <v>0</v>
      </c>
      <c r="Z65" s="5"/>
      <c r="AA65" s="5"/>
      <c r="AB65" s="5"/>
    </row>
    <row r="66" spans="1:28" x14ac:dyDescent="0.2">
      <c r="A66" s="5">
        <v>50</v>
      </c>
      <c r="B66" s="5">
        <v>0</v>
      </c>
      <c r="C66" s="5">
        <v>0</v>
      </c>
      <c r="D66" s="5">
        <v>1</v>
      </c>
      <c r="E66" s="5">
        <v>204</v>
      </c>
      <c r="F66" s="5">
        <f>ROUND(Source!R52,O66)</f>
        <v>146.52000000000001</v>
      </c>
      <c r="G66" s="5" t="s">
        <v>170</v>
      </c>
      <c r="H66" s="5" t="s">
        <v>171</v>
      </c>
      <c r="I66" s="5"/>
      <c r="J66" s="5"/>
      <c r="K66" s="5">
        <v>204</v>
      </c>
      <c r="L66" s="5">
        <v>13</v>
      </c>
      <c r="M66" s="5">
        <v>3</v>
      </c>
      <c r="N66" s="5" t="s">
        <v>3</v>
      </c>
      <c r="O66" s="5">
        <v>2</v>
      </c>
      <c r="P66" s="5"/>
      <c r="Q66" s="5"/>
      <c r="R66" s="5"/>
      <c r="S66" s="5"/>
      <c r="T66" s="5"/>
      <c r="U66" s="5"/>
      <c r="V66" s="5"/>
      <c r="W66" s="5">
        <v>146.51999999999998</v>
      </c>
      <c r="X66" s="5">
        <v>1</v>
      </c>
      <c r="Y66" s="5">
        <v>146.51999999999998</v>
      </c>
      <c r="Z66" s="5"/>
      <c r="AA66" s="5"/>
      <c r="AB66" s="5"/>
    </row>
    <row r="67" spans="1:28" x14ac:dyDescent="0.2">
      <c r="A67" s="5">
        <v>50</v>
      </c>
      <c r="B67" s="5">
        <v>0</v>
      </c>
      <c r="C67" s="5">
        <v>0</v>
      </c>
      <c r="D67" s="5">
        <v>1</v>
      </c>
      <c r="E67" s="5">
        <v>205</v>
      </c>
      <c r="F67" s="5">
        <f>ROUND(Source!S52,O67)</f>
        <v>18922.46</v>
      </c>
      <c r="G67" s="5" t="s">
        <v>172</v>
      </c>
      <c r="H67" s="5" t="s">
        <v>173</v>
      </c>
      <c r="I67" s="5"/>
      <c r="J67" s="5"/>
      <c r="K67" s="5">
        <v>205</v>
      </c>
      <c r="L67" s="5">
        <v>14</v>
      </c>
      <c r="M67" s="5">
        <v>3</v>
      </c>
      <c r="N67" s="5" t="s">
        <v>3</v>
      </c>
      <c r="O67" s="5">
        <v>2</v>
      </c>
      <c r="P67" s="5"/>
      <c r="Q67" s="5"/>
      <c r="R67" s="5"/>
      <c r="S67" s="5"/>
      <c r="T67" s="5"/>
      <c r="U67" s="5"/>
      <c r="V67" s="5"/>
      <c r="W67" s="5">
        <v>18922.46</v>
      </c>
      <c r="X67" s="5">
        <v>1</v>
      </c>
      <c r="Y67" s="5">
        <v>18922.46</v>
      </c>
      <c r="Z67" s="5"/>
      <c r="AA67" s="5"/>
      <c r="AB67" s="5"/>
    </row>
    <row r="68" spans="1:28" x14ac:dyDescent="0.2">
      <c r="A68" s="5">
        <v>50</v>
      </c>
      <c r="B68" s="5">
        <v>0</v>
      </c>
      <c r="C68" s="5">
        <v>0</v>
      </c>
      <c r="D68" s="5">
        <v>1</v>
      </c>
      <c r="E68" s="5">
        <v>232</v>
      </c>
      <c r="F68" s="5">
        <f>ROUND(Source!BC52,O68)</f>
        <v>0</v>
      </c>
      <c r="G68" s="5" t="s">
        <v>174</v>
      </c>
      <c r="H68" s="5" t="s">
        <v>175</v>
      </c>
      <c r="I68" s="5"/>
      <c r="J68" s="5"/>
      <c r="K68" s="5">
        <v>232</v>
      </c>
      <c r="L68" s="5">
        <v>15</v>
      </c>
      <c r="M68" s="5">
        <v>3</v>
      </c>
      <c r="N68" s="5" t="s">
        <v>3</v>
      </c>
      <c r="O68" s="5">
        <v>2</v>
      </c>
      <c r="P68" s="5"/>
      <c r="Q68" s="5"/>
      <c r="R68" s="5"/>
      <c r="S68" s="5"/>
      <c r="T68" s="5"/>
      <c r="U68" s="5"/>
      <c r="V68" s="5"/>
      <c r="W68" s="5">
        <v>0</v>
      </c>
      <c r="X68" s="5">
        <v>1</v>
      </c>
      <c r="Y68" s="5">
        <v>0</v>
      </c>
      <c r="Z68" s="5"/>
      <c r="AA68" s="5"/>
      <c r="AB68" s="5"/>
    </row>
    <row r="69" spans="1:28" x14ac:dyDescent="0.2">
      <c r="A69" s="5">
        <v>50</v>
      </c>
      <c r="B69" s="5">
        <v>0</v>
      </c>
      <c r="C69" s="5">
        <v>0</v>
      </c>
      <c r="D69" s="5">
        <v>1</v>
      </c>
      <c r="E69" s="5">
        <v>214</v>
      </c>
      <c r="F69" s="5">
        <f>ROUND(Source!AS52,O69)</f>
        <v>57194.75</v>
      </c>
      <c r="G69" s="5" t="s">
        <v>176</v>
      </c>
      <c r="H69" s="5" t="s">
        <v>177</v>
      </c>
      <c r="I69" s="5"/>
      <c r="J69" s="5"/>
      <c r="K69" s="5">
        <v>214</v>
      </c>
      <c r="L69" s="5">
        <v>16</v>
      </c>
      <c r="M69" s="5">
        <v>3</v>
      </c>
      <c r="N69" s="5" t="s">
        <v>3</v>
      </c>
      <c r="O69" s="5">
        <v>2</v>
      </c>
      <c r="P69" s="5"/>
      <c r="Q69" s="5"/>
      <c r="R69" s="5"/>
      <c r="S69" s="5"/>
      <c r="T69" s="5"/>
      <c r="U69" s="5"/>
      <c r="V69" s="5"/>
      <c r="W69" s="5">
        <v>57194.75</v>
      </c>
      <c r="X69" s="5">
        <v>1</v>
      </c>
      <c r="Y69" s="5">
        <v>57194.75</v>
      </c>
      <c r="Z69" s="5"/>
      <c r="AA69" s="5"/>
      <c r="AB69" s="5"/>
    </row>
    <row r="70" spans="1:28" x14ac:dyDescent="0.2">
      <c r="A70" s="5">
        <v>50</v>
      </c>
      <c r="B70" s="5">
        <v>0</v>
      </c>
      <c r="C70" s="5">
        <v>0</v>
      </c>
      <c r="D70" s="5">
        <v>1</v>
      </c>
      <c r="E70" s="5">
        <v>215</v>
      </c>
      <c r="F70" s="5">
        <f>ROUND(Source!AT52,O70)</f>
        <v>0</v>
      </c>
      <c r="G70" s="5" t="s">
        <v>178</v>
      </c>
      <c r="H70" s="5" t="s">
        <v>179</v>
      </c>
      <c r="I70" s="5"/>
      <c r="J70" s="5"/>
      <c r="K70" s="5">
        <v>215</v>
      </c>
      <c r="L70" s="5">
        <v>17</v>
      </c>
      <c r="M70" s="5">
        <v>3</v>
      </c>
      <c r="N70" s="5" t="s">
        <v>3</v>
      </c>
      <c r="O70" s="5">
        <v>2</v>
      </c>
      <c r="P70" s="5"/>
      <c r="Q70" s="5"/>
      <c r="R70" s="5"/>
      <c r="S70" s="5"/>
      <c r="T70" s="5"/>
      <c r="U70" s="5"/>
      <c r="V70" s="5"/>
      <c r="W70" s="5">
        <v>0</v>
      </c>
      <c r="X70" s="5">
        <v>1</v>
      </c>
      <c r="Y70" s="5">
        <v>0</v>
      </c>
      <c r="Z70" s="5"/>
      <c r="AA70" s="5"/>
      <c r="AB70" s="5"/>
    </row>
    <row r="71" spans="1:28" x14ac:dyDescent="0.2">
      <c r="A71" s="5">
        <v>50</v>
      </c>
      <c r="B71" s="5">
        <v>0</v>
      </c>
      <c r="C71" s="5">
        <v>0</v>
      </c>
      <c r="D71" s="5">
        <v>1</v>
      </c>
      <c r="E71" s="5">
        <v>217</v>
      </c>
      <c r="F71" s="5">
        <f>ROUND(Source!AU52,O71)</f>
        <v>0</v>
      </c>
      <c r="G71" s="5" t="s">
        <v>180</v>
      </c>
      <c r="H71" s="5" t="s">
        <v>181</v>
      </c>
      <c r="I71" s="5"/>
      <c r="J71" s="5"/>
      <c r="K71" s="5">
        <v>217</v>
      </c>
      <c r="L71" s="5">
        <v>18</v>
      </c>
      <c r="M71" s="5">
        <v>3</v>
      </c>
      <c r="N71" s="5" t="s">
        <v>3</v>
      </c>
      <c r="O71" s="5">
        <v>2</v>
      </c>
      <c r="P71" s="5"/>
      <c r="Q71" s="5"/>
      <c r="R71" s="5"/>
      <c r="S71" s="5"/>
      <c r="T71" s="5"/>
      <c r="U71" s="5"/>
      <c r="V71" s="5"/>
      <c r="W71" s="5">
        <v>0</v>
      </c>
      <c r="X71" s="5">
        <v>1</v>
      </c>
      <c r="Y71" s="5">
        <v>0</v>
      </c>
      <c r="Z71" s="5"/>
      <c r="AA71" s="5"/>
      <c r="AB71" s="5"/>
    </row>
    <row r="72" spans="1:28" x14ac:dyDescent="0.2">
      <c r="A72" s="5">
        <v>50</v>
      </c>
      <c r="B72" s="5">
        <v>0</v>
      </c>
      <c r="C72" s="5">
        <v>0</v>
      </c>
      <c r="D72" s="5">
        <v>1</v>
      </c>
      <c r="E72" s="5">
        <v>230</v>
      </c>
      <c r="F72" s="5">
        <f>ROUND(Source!BA52,O72)</f>
        <v>0</v>
      </c>
      <c r="G72" s="5" t="s">
        <v>182</v>
      </c>
      <c r="H72" s="5" t="s">
        <v>183</v>
      </c>
      <c r="I72" s="5"/>
      <c r="J72" s="5"/>
      <c r="K72" s="5">
        <v>230</v>
      </c>
      <c r="L72" s="5">
        <v>19</v>
      </c>
      <c r="M72" s="5">
        <v>3</v>
      </c>
      <c r="N72" s="5" t="s">
        <v>3</v>
      </c>
      <c r="O72" s="5">
        <v>2</v>
      </c>
      <c r="P72" s="5"/>
      <c r="Q72" s="5"/>
      <c r="R72" s="5"/>
      <c r="S72" s="5"/>
      <c r="T72" s="5"/>
      <c r="U72" s="5"/>
      <c r="V72" s="5"/>
      <c r="W72" s="5">
        <v>0</v>
      </c>
      <c r="X72" s="5">
        <v>1</v>
      </c>
      <c r="Y72" s="5">
        <v>0</v>
      </c>
      <c r="Z72" s="5"/>
      <c r="AA72" s="5"/>
      <c r="AB72" s="5"/>
    </row>
    <row r="73" spans="1:28" x14ac:dyDescent="0.2">
      <c r="A73" s="5">
        <v>50</v>
      </c>
      <c r="B73" s="5">
        <v>0</v>
      </c>
      <c r="C73" s="5">
        <v>0</v>
      </c>
      <c r="D73" s="5">
        <v>1</v>
      </c>
      <c r="E73" s="5">
        <v>206</v>
      </c>
      <c r="F73" s="5">
        <f>ROUND(Source!T52,O73)</f>
        <v>0</v>
      </c>
      <c r="G73" s="5" t="s">
        <v>184</v>
      </c>
      <c r="H73" s="5" t="s">
        <v>185</v>
      </c>
      <c r="I73" s="5"/>
      <c r="J73" s="5"/>
      <c r="K73" s="5">
        <v>206</v>
      </c>
      <c r="L73" s="5">
        <v>20</v>
      </c>
      <c r="M73" s="5">
        <v>3</v>
      </c>
      <c r="N73" s="5" t="s">
        <v>3</v>
      </c>
      <c r="O73" s="5">
        <v>2</v>
      </c>
      <c r="P73" s="5"/>
      <c r="Q73" s="5"/>
      <c r="R73" s="5"/>
      <c r="S73" s="5"/>
      <c r="T73" s="5"/>
      <c r="U73" s="5"/>
      <c r="V73" s="5"/>
      <c r="W73" s="5">
        <v>0</v>
      </c>
      <c r="X73" s="5">
        <v>1</v>
      </c>
      <c r="Y73" s="5">
        <v>0</v>
      </c>
      <c r="Z73" s="5"/>
      <c r="AA73" s="5"/>
      <c r="AB73" s="5"/>
    </row>
    <row r="74" spans="1:28" x14ac:dyDescent="0.2">
      <c r="A74" s="5">
        <v>50</v>
      </c>
      <c r="B74" s="5">
        <v>0</v>
      </c>
      <c r="C74" s="5">
        <v>0</v>
      </c>
      <c r="D74" s="5">
        <v>1</v>
      </c>
      <c r="E74" s="5">
        <v>207</v>
      </c>
      <c r="F74" s="5">
        <f>ROUND(Source!U52,O74)</f>
        <v>28.80772</v>
      </c>
      <c r="G74" s="5" t="s">
        <v>186</v>
      </c>
      <c r="H74" s="5" t="s">
        <v>187</v>
      </c>
      <c r="I74" s="5"/>
      <c r="J74" s="5"/>
      <c r="K74" s="5">
        <v>207</v>
      </c>
      <c r="L74" s="5">
        <v>21</v>
      </c>
      <c r="M74" s="5">
        <v>3</v>
      </c>
      <c r="N74" s="5" t="s">
        <v>3</v>
      </c>
      <c r="O74" s="5">
        <v>7</v>
      </c>
      <c r="P74" s="5"/>
      <c r="Q74" s="5"/>
      <c r="R74" s="5"/>
      <c r="S74" s="5"/>
      <c r="T74" s="5"/>
      <c r="U74" s="5"/>
      <c r="V74" s="5"/>
      <c r="W74" s="5">
        <v>28.80772</v>
      </c>
      <c r="X74" s="5">
        <v>1</v>
      </c>
      <c r="Y74" s="5">
        <v>28.80772</v>
      </c>
      <c r="Z74" s="5"/>
      <c r="AA74" s="5"/>
      <c r="AB74" s="5"/>
    </row>
    <row r="75" spans="1:28" x14ac:dyDescent="0.2">
      <c r="A75" s="5">
        <v>50</v>
      </c>
      <c r="B75" s="5">
        <v>0</v>
      </c>
      <c r="C75" s="5">
        <v>0</v>
      </c>
      <c r="D75" s="5">
        <v>1</v>
      </c>
      <c r="E75" s="5">
        <v>208</v>
      </c>
      <c r="F75" s="5">
        <f>ROUND(Source!V52,O75)</f>
        <v>0.20580499999999999</v>
      </c>
      <c r="G75" s="5" t="s">
        <v>188</v>
      </c>
      <c r="H75" s="5" t="s">
        <v>189</v>
      </c>
      <c r="I75" s="5"/>
      <c r="J75" s="5"/>
      <c r="K75" s="5">
        <v>208</v>
      </c>
      <c r="L75" s="5">
        <v>22</v>
      </c>
      <c r="M75" s="5">
        <v>3</v>
      </c>
      <c r="N75" s="5" t="s">
        <v>3</v>
      </c>
      <c r="O75" s="5">
        <v>7</v>
      </c>
      <c r="P75" s="5"/>
      <c r="Q75" s="5"/>
      <c r="R75" s="5"/>
      <c r="S75" s="5"/>
      <c r="T75" s="5"/>
      <c r="U75" s="5"/>
      <c r="V75" s="5"/>
      <c r="W75" s="5">
        <v>0.20580499999999999</v>
      </c>
      <c r="X75" s="5">
        <v>1</v>
      </c>
      <c r="Y75" s="5">
        <v>0.20580499999999999</v>
      </c>
      <c r="Z75" s="5"/>
      <c r="AA75" s="5"/>
      <c r="AB75" s="5"/>
    </row>
    <row r="76" spans="1:28" x14ac:dyDescent="0.2">
      <c r="A76" s="5">
        <v>50</v>
      </c>
      <c r="B76" s="5">
        <v>0</v>
      </c>
      <c r="C76" s="5">
        <v>0</v>
      </c>
      <c r="D76" s="5">
        <v>1</v>
      </c>
      <c r="E76" s="5">
        <v>209</v>
      </c>
      <c r="F76" s="5">
        <f>ROUND(Source!W52,O76)</f>
        <v>0</v>
      </c>
      <c r="G76" s="5" t="s">
        <v>190</v>
      </c>
      <c r="H76" s="5" t="s">
        <v>191</v>
      </c>
      <c r="I76" s="5"/>
      <c r="J76" s="5"/>
      <c r="K76" s="5">
        <v>209</v>
      </c>
      <c r="L76" s="5">
        <v>23</v>
      </c>
      <c r="M76" s="5">
        <v>3</v>
      </c>
      <c r="N76" s="5" t="s">
        <v>3</v>
      </c>
      <c r="O76" s="5">
        <v>2</v>
      </c>
      <c r="P76" s="5"/>
      <c r="Q76" s="5"/>
      <c r="R76" s="5"/>
      <c r="S76" s="5"/>
      <c r="T76" s="5"/>
      <c r="U76" s="5"/>
      <c r="V76" s="5"/>
      <c r="W76" s="5">
        <v>0</v>
      </c>
      <c r="X76" s="5">
        <v>1</v>
      </c>
      <c r="Y76" s="5">
        <v>0</v>
      </c>
      <c r="Z76" s="5"/>
      <c r="AA76" s="5"/>
      <c r="AB76" s="5"/>
    </row>
    <row r="77" spans="1:28" x14ac:dyDescent="0.2">
      <c r="A77" s="5">
        <v>50</v>
      </c>
      <c r="B77" s="5">
        <v>0</v>
      </c>
      <c r="C77" s="5">
        <v>0</v>
      </c>
      <c r="D77" s="5">
        <v>1</v>
      </c>
      <c r="E77" s="5">
        <v>233</v>
      </c>
      <c r="F77" s="5">
        <f>ROUND(Source!BD52,O77)</f>
        <v>2251.09</v>
      </c>
      <c r="G77" s="5" t="s">
        <v>192</v>
      </c>
      <c r="H77" s="5" t="s">
        <v>193</v>
      </c>
      <c r="I77" s="5"/>
      <c r="J77" s="5"/>
      <c r="K77" s="5">
        <v>233</v>
      </c>
      <c r="L77" s="5">
        <v>24</v>
      </c>
      <c r="M77" s="5">
        <v>3</v>
      </c>
      <c r="N77" s="5" t="s">
        <v>3</v>
      </c>
      <c r="O77" s="5">
        <v>2</v>
      </c>
      <c r="P77" s="5"/>
      <c r="Q77" s="5"/>
      <c r="R77" s="5"/>
      <c r="S77" s="5"/>
      <c r="T77" s="5"/>
      <c r="U77" s="5"/>
      <c r="V77" s="5"/>
      <c r="W77" s="5">
        <v>2251.09</v>
      </c>
      <c r="X77" s="5">
        <v>1</v>
      </c>
      <c r="Y77" s="5">
        <v>2251.09</v>
      </c>
      <c r="Z77" s="5"/>
      <c r="AA77" s="5"/>
      <c r="AB77" s="5"/>
    </row>
    <row r="78" spans="1:28" x14ac:dyDescent="0.2">
      <c r="A78" s="5">
        <v>50</v>
      </c>
      <c r="B78" s="5">
        <v>0</v>
      </c>
      <c r="C78" s="5">
        <v>0</v>
      </c>
      <c r="D78" s="5">
        <v>1</v>
      </c>
      <c r="E78" s="5">
        <v>210</v>
      </c>
      <c r="F78" s="5">
        <f>ROUND(Source!X52,O78)</f>
        <v>18149.650000000001</v>
      </c>
      <c r="G78" s="5" t="s">
        <v>194</v>
      </c>
      <c r="H78" s="5" t="s">
        <v>195</v>
      </c>
      <c r="I78" s="5"/>
      <c r="J78" s="5"/>
      <c r="K78" s="5">
        <v>210</v>
      </c>
      <c r="L78" s="5">
        <v>25</v>
      </c>
      <c r="M78" s="5">
        <v>3</v>
      </c>
      <c r="N78" s="5" t="s">
        <v>3</v>
      </c>
      <c r="O78" s="5">
        <v>2</v>
      </c>
      <c r="P78" s="5"/>
      <c r="Q78" s="5"/>
      <c r="R78" s="5"/>
      <c r="S78" s="5"/>
      <c r="T78" s="5"/>
      <c r="U78" s="5"/>
      <c r="V78" s="5"/>
      <c r="W78" s="5">
        <v>18149.650000000001</v>
      </c>
      <c r="X78" s="5">
        <v>1</v>
      </c>
      <c r="Y78" s="5">
        <v>18149.650000000001</v>
      </c>
      <c r="Z78" s="5"/>
      <c r="AA78" s="5"/>
      <c r="AB78" s="5"/>
    </row>
    <row r="79" spans="1:28" x14ac:dyDescent="0.2">
      <c r="A79" s="5">
        <v>50</v>
      </c>
      <c r="B79" s="5">
        <v>0</v>
      </c>
      <c r="C79" s="5">
        <v>0</v>
      </c>
      <c r="D79" s="5">
        <v>1</v>
      </c>
      <c r="E79" s="5">
        <v>211</v>
      </c>
      <c r="F79" s="5">
        <f>ROUND(Source!Y52,O79)</f>
        <v>9493.42</v>
      </c>
      <c r="G79" s="5" t="s">
        <v>196</v>
      </c>
      <c r="H79" s="5" t="s">
        <v>197</v>
      </c>
      <c r="I79" s="5"/>
      <c r="J79" s="5"/>
      <c r="K79" s="5">
        <v>211</v>
      </c>
      <c r="L79" s="5">
        <v>26</v>
      </c>
      <c r="M79" s="5">
        <v>3</v>
      </c>
      <c r="N79" s="5" t="s">
        <v>3</v>
      </c>
      <c r="O79" s="5">
        <v>2</v>
      </c>
      <c r="P79" s="5"/>
      <c r="Q79" s="5"/>
      <c r="R79" s="5"/>
      <c r="S79" s="5"/>
      <c r="T79" s="5"/>
      <c r="U79" s="5"/>
      <c r="V79" s="5"/>
      <c r="W79" s="5">
        <v>9493.42</v>
      </c>
      <c r="X79" s="5">
        <v>1</v>
      </c>
      <c r="Y79" s="5">
        <v>9493.42</v>
      </c>
      <c r="Z79" s="5"/>
      <c r="AA79" s="5"/>
      <c r="AB79" s="5"/>
    </row>
    <row r="80" spans="1:28" x14ac:dyDescent="0.2">
      <c r="A80" s="5">
        <v>50</v>
      </c>
      <c r="B80" s="5">
        <v>0</v>
      </c>
      <c r="C80" s="5">
        <v>0</v>
      </c>
      <c r="D80" s="5">
        <v>1</v>
      </c>
      <c r="E80" s="5">
        <v>224</v>
      </c>
      <c r="F80" s="5">
        <f>ROUND(Source!AR52,O80)</f>
        <v>57194.75</v>
      </c>
      <c r="G80" s="5" t="s">
        <v>198</v>
      </c>
      <c r="H80" s="5" t="s">
        <v>199</v>
      </c>
      <c r="I80" s="5"/>
      <c r="J80" s="5"/>
      <c r="K80" s="5">
        <v>224</v>
      </c>
      <c r="L80" s="5">
        <v>27</v>
      </c>
      <c r="M80" s="5">
        <v>3</v>
      </c>
      <c r="N80" s="5" t="s">
        <v>3</v>
      </c>
      <c r="O80" s="5">
        <v>2</v>
      </c>
      <c r="P80" s="5"/>
      <c r="Q80" s="5"/>
      <c r="R80" s="5"/>
      <c r="S80" s="5"/>
      <c r="T80" s="5"/>
      <c r="U80" s="5"/>
      <c r="V80" s="5"/>
      <c r="W80" s="5">
        <v>57194.75</v>
      </c>
      <c r="X80" s="5">
        <v>1</v>
      </c>
      <c r="Y80" s="5">
        <v>57194.75</v>
      </c>
      <c r="Z80" s="5"/>
      <c r="AA80" s="5"/>
      <c r="AB80" s="5"/>
    </row>
    <row r="81" spans="1:255" x14ac:dyDescent="0.2">
      <c r="A81" s="5">
        <v>50</v>
      </c>
      <c r="B81" s="5">
        <v>1</v>
      </c>
      <c r="C81" s="5">
        <v>0</v>
      </c>
      <c r="D81" s="5">
        <v>2</v>
      </c>
      <c r="E81" s="5">
        <v>0</v>
      </c>
      <c r="F81" s="5">
        <f>ROUND(F80,O81)</f>
        <v>57194.75</v>
      </c>
      <c r="G81" s="5" t="s">
        <v>200</v>
      </c>
      <c r="H81" s="5" t="s">
        <v>200</v>
      </c>
      <c r="I81" s="5"/>
      <c r="J81" s="5"/>
      <c r="K81" s="5">
        <v>212</v>
      </c>
      <c r="L81" s="5">
        <v>28</v>
      </c>
      <c r="M81" s="5">
        <v>0</v>
      </c>
      <c r="N81" s="5" t="s">
        <v>3</v>
      </c>
      <c r="O81" s="5">
        <v>2</v>
      </c>
      <c r="P81" s="5"/>
      <c r="Q81" s="5"/>
      <c r="R81" s="5"/>
      <c r="S81" s="5"/>
      <c r="T81" s="5"/>
      <c r="U81" s="5"/>
      <c r="V81" s="5"/>
      <c r="W81" s="5">
        <v>57194.75</v>
      </c>
      <c r="X81" s="5">
        <v>1</v>
      </c>
      <c r="Y81" s="5">
        <v>57194.75</v>
      </c>
      <c r="Z81" s="5"/>
      <c r="AA81" s="5"/>
      <c r="AB81" s="5"/>
    </row>
    <row r="82" spans="1:255" x14ac:dyDescent="0.2">
      <c r="A82" s="5">
        <v>50</v>
      </c>
      <c r="B82" s="5">
        <v>1</v>
      </c>
      <c r="C82" s="5">
        <v>0</v>
      </c>
      <c r="D82" s="5">
        <v>2</v>
      </c>
      <c r="E82" s="5">
        <v>0</v>
      </c>
      <c r="F82" s="5">
        <f>ROUND(F81*0.22,O82)</f>
        <v>12582.85</v>
      </c>
      <c r="G82" s="5" t="s">
        <v>201</v>
      </c>
      <c r="H82" s="5" t="s">
        <v>202</v>
      </c>
      <c r="I82" s="5"/>
      <c r="J82" s="5"/>
      <c r="K82" s="5">
        <v>212</v>
      </c>
      <c r="L82" s="5">
        <v>29</v>
      </c>
      <c r="M82" s="5">
        <v>0</v>
      </c>
      <c r="N82" s="5" t="s">
        <v>3</v>
      </c>
      <c r="O82" s="5">
        <v>2</v>
      </c>
      <c r="P82" s="5"/>
      <c r="Q82" s="5"/>
      <c r="R82" s="5"/>
      <c r="S82" s="5"/>
      <c r="T82" s="5"/>
      <c r="U82" s="5"/>
      <c r="V82" s="5"/>
      <c r="W82" s="5">
        <v>12582.85</v>
      </c>
      <c r="X82" s="5">
        <v>1</v>
      </c>
      <c r="Y82" s="5">
        <v>12582.85</v>
      </c>
      <c r="Z82" s="5"/>
      <c r="AA82" s="5"/>
      <c r="AB82" s="5"/>
    </row>
    <row r="83" spans="1:255" x14ac:dyDescent="0.2">
      <c r="A83" s="5">
        <v>50</v>
      </c>
      <c r="B83" s="5">
        <v>1</v>
      </c>
      <c r="C83" s="5">
        <v>0</v>
      </c>
      <c r="D83" s="5">
        <v>2</v>
      </c>
      <c r="E83" s="5">
        <v>213</v>
      </c>
      <c r="F83" s="5">
        <f>ROUND(F81+F82,O83)</f>
        <v>69777.600000000006</v>
      </c>
      <c r="G83" s="5" t="s">
        <v>203</v>
      </c>
      <c r="H83" s="5" t="s">
        <v>204</v>
      </c>
      <c r="I83" s="5"/>
      <c r="J83" s="5"/>
      <c r="K83" s="5">
        <v>212</v>
      </c>
      <c r="L83" s="5">
        <v>30</v>
      </c>
      <c r="M83" s="5">
        <v>0</v>
      </c>
      <c r="N83" s="5" t="s">
        <v>3</v>
      </c>
      <c r="O83" s="5">
        <v>2</v>
      </c>
      <c r="P83" s="5"/>
      <c r="Q83" s="5"/>
      <c r="R83" s="5"/>
      <c r="S83" s="5"/>
      <c r="T83" s="5"/>
      <c r="U83" s="5"/>
      <c r="V83" s="5"/>
      <c r="W83" s="5">
        <v>69777.600000000006</v>
      </c>
      <c r="X83" s="5">
        <v>1</v>
      </c>
      <c r="Y83" s="5">
        <v>69777.600000000006</v>
      </c>
      <c r="Z83" s="5"/>
      <c r="AA83" s="5"/>
      <c r="AB83" s="5"/>
    </row>
    <row r="85" spans="1:255" x14ac:dyDescent="0.2">
      <c r="A85" s="1">
        <v>4</v>
      </c>
      <c r="B85" s="1">
        <v>1</v>
      </c>
      <c r="C85" s="1"/>
      <c r="D85" s="1">
        <f>ROW(A273)</f>
        <v>273</v>
      </c>
      <c r="E85" s="1"/>
      <c r="F85" s="1" t="s">
        <v>15</v>
      </c>
      <c r="G85" s="1" t="s">
        <v>205</v>
      </c>
      <c r="H85" s="1" t="s">
        <v>3</v>
      </c>
      <c r="I85" s="1">
        <v>0</v>
      </c>
      <c r="J85" s="1"/>
      <c r="K85" s="1">
        <v>0</v>
      </c>
      <c r="L85" s="1"/>
      <c r="M85" s="1" t="s">
        <v>3</v>
      </c>
      <c r="N85" s="1"/>
      <c r="O85" s="1"/>
      <c r="P85" s="1"/>
      <c r="Q85" s="1"/>
      <c r="R85" s="1"/>
      <c r="S85" s="1">
        <v>0</v>
      </c>
      <c r="T85" s="1"/>
      <c r="U85" s="1" t="s">
        <v>3</v>
      </c>
      <c r="V85" s="1">
        <v>0</v>
      </c>
      <c r="W85" s="1"/>
      <c r="X85" s="1"/>
      <c r="Y85" s="1"/>
      <c r="Z85" s="1"/>
      <c r="AA85" s="1"/>
      <c r="AB85" s="1" t="s">
        <v>3</v>
      </c>
      <c r="AC85" s="1" t="s">
        <v>3</v>
      </c>
      <c r="AD85" s="1" t="s">
        <v>3</v>
      </c>
      <c r="AE85" s="1" t="s">
        <v>3</v>
      </c>
      <c r="AF85" s="1" t="s">
        <v>3</v>
      </c>
      <c r="AG85" s="1" t="s">
        <v>3</v>
      </c>
      <c r="AH85" s="1"/>
      <c r="AI85" s="1"/>
      <c r="AJ85" s="1"/>
      <c r="AK85" s="1"/>
      <c r="AL85" s="1"/>
      <c r="AM85" s="1"/>
      <c r="AN85" s="1"/>
      <c r="AO85" s="1"/>
      <c r="AP85" s="1" t="s">
        <v>3</v>
      </c>
      <c r="AQ85" s="1" t="s">
        <v>3</v>
      </c>
      <c r="AR85" s="1" t="s">
        <v>3</v>
      </c>
      <c r="AS85" s="1"/>
      <c r="AT85" s="1"/>
      <c r="AU85" s="1"/>
      <c r="AV85" s="1"/>
      <c r="AW85" s="1"/>
      <c r="AX85" s="1"/>
      <c r="AY85" s="1"/>
      <c r="AZ85" s="1" t="s">
        <v>3</v>
      </c>
      <c r="BA85" s="1"/>
      <c r="BB85" s="1" t="s">
        <v>3</v>
      </c>
      <c r="BC85" s="1" t="s">
        <v>3</v>
      </c>
      <c r="BD85" s="1" t="s">
        <v>3</v>
      </c>
      <c r="BE85" s="1" t="s">
        <v>3</v>
      </c>
      <c r="BF85" s="1" t="s">
        <v>3</v>
      </c>
      <c r="BG85" s="1" t="s">
        <v>3</v>
      </c>
      <c r="BH85" s="1" t="s">
        <v>3</v>
      </c>
      <c r="BI85" s="1" t="s">
        <v>3</v>
      </c>
      <c r="BJ85" s="1" t="s">
        <v>3</v>
      </c>
      <c r="BK85" s="1" t="s">
        <v>3</v>
      </c>
      <c r="BL85" s="1" t="s">
        <v>3</v>
      </c>
      <c r="BM85" s="1" t="s">
        <v>3</v>
      </c>
      <c r="BN85" s="1" t="s">
        <v>3</v>
      </c>
      <c r="BO85" s="1" t="s">
        <v>3</v>
      </c>
      <c r="BP85" s="1" t="s">
        <v>3</v>
      </c>
      <c r="BQ85" s="1"/>
      <c r="BR85" s="1"/>
      <c r="BS85" s="1"/>
      <c r="BT85" s="1"/>
      <c r="BU85" s="1"/>
      <c r="BV85" s="1"/>
      <c r="BW85" s="1"/>
      <c r="BX85" s="1">
        <v>0</v>
      </c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>
        <v>0</v>
      </c>
    </row>
    <row r="87" spans="1:255" x14ac:dyDescent="0.2">
      <c r="A87" s="3">
        <v>52</v>
      </c>
      <c r="B87" s="3">
        <f t="shared" ref="B87:G87" si="50">B273</f>
        <v>1</v>
      </c>
      <c r="C87" s="3">
        <f t="shared" si="50"/>
        <v>4</v>
      </c>
      <c r="D87" s="3">
        <f t="shared" si="50"/>
        <v>85</v>
      </c>
      <c r="E87" s="3">
        <f t="shared" si="50"/>
        <v>0</v>
      </c>
      <c r="F87" s="3" t="str">
        <f t="shared" si="50"/>
        <v>Новый раздел</v>
      </c>
      <c r="G87" s="3" t="str">
        <f t="shared" si="50"/>
        <v>ФОК</v>
      </c>
      <c r="H87" s="3"/>
      <c r="I87" s="3"/>
      <c r="J87" s="3"/>
      <c r="K87" s="3"/>
      <c r="L87" s="3"/>
      <c r="M87" s="3"/>
      <c r="N87" s="3"/>
      <c r="O87" s="3">
        <f t="shared" ref="O87:AT87" si="51">O273</f>
        <v>93738.86</v>
      </c>
      <c r="P87" s="3">
        <f t="shared" si="51"/>
        <v>40718.400000000001</v>
      </c>
      <c r="Q87" s="3">
        <f t="shared" si="51"/>
        <v>473.93</v>
      </c>
      <c r="R87" s="3">
        <f t="shared" si="51"/>
        <v>351.33</v>
      </c>
      <c r="S87" s="3">
        <f t="shared" si="51"/>
        <v>52195.199999999997</v>
      </c>
      <c r="T87" s="3">
        <f t="shared" si="51"/>
        <v>0</v>
      </c>
      <c r="U87" s="3">
        <f t="shared" si="51"/>
        <v>78.8871556</v>
      </c>
      <c r="V87" s="3">
        <f t="shared" si="51"/>
        <v>0.50955320000000004</v>
      </c>
      <c r="W87" s="3">
        <f t="shared" si="51"/>
        <v>0</v>
      </c>
      <c r="X87" s="3">
        <f t="shared" si="51"/>
        <v>50933.31</v>
      </c>
      <c r="Y87" s="3">
        <f t="shared" si="51"/>
        <v>27370.52</v>
      </c>
      <c r="Z87" s="3">
        <f t="shared" si="51"/>
        <v>0</v>
      </c>
      <c r="AA87" s="3">
        <f t="shared" si="51"/>
        <v>0</v>
      </c>
      <c r="AB87" s="3">
        <f t="shared" si="51"/>
        <v>0</v>
      </c>
      <c r="AC87" s="3">
        <f t="shared" si="51"/>
        <v>0</v>
      </c>
      <c r="AD87" s="3">
        <f t="shared" si="51"/>
        <v>0</v>
      </c>
      <c r="AE87" s="3">
        <f t="shared" si="51"/>
        <v>0</v>
      </c>
      <c r="AF87" s="3">
        <f t="shared" si="51"/>
        <v>0</v>
      </c>
      <c r="AG87" s="3">
        <f t="shared" si="51"/>
        <v>0</v>
      </c>
      <c r="AH87" s="3">
        <f t="shared" si="51"/>
        <v>0</v>
      </c>
      <c r="AI87" s="3">
        <f t="shared" si="51"/>
        <v>0</v>
      </c>
      <c r="AJ87" s="3">
        <f t="shared" si="51"/>
        <v>0</v>
      </c>
      <c r="AK87" s="3">
        <f t="shared" si="51"/>
        <v>0</v>
      </c>
      <c r="AL87" s="3">
        <f t="shared" si="51"/>
        <v>0</v>
      </c>
      <c r="AM87" s="3">
        <f t="shared" si="51"/>
        <v>0</v>
      </c>
      <c r="AN87" s="3">
        <f t="shared" si="51"/>
        <v>0</v>
      </c>
      <c r="AO87" s="3">
        <f t="shared" si="51"/>
        <v>0</v>
      </c>
      <c r="AP87" s="3">
        <f t="shared" si="51"/>
        <v>0</v>
      </c>
      <c r="AQ87" s="3">
        <f t="shared" si="51"/>
        <v>0</v>
      </c>
      <c r="AR87" s="3">
        <f t="shared" si="51"/>
        <v>174615.37</v>
      </c>
      <c r="AS87" s="3">
        <f t="shared" si="51"/>
        <v>174615.37</v>
      </c>
      <c r="AT87" s="3">
        <f t="shared" si="51"/>
        <v>0</v>
      </c>
      <c r="AU87" s="3">
        <f t="shared" ref="AU87:BZ87" si="52">AU273</f>
        <v>0</v>
      </c>
      <c r="AV87" s="3">
        <f t="shared" si="52"/>
        <v>40718.400000000001</v>
      </c>
      <c r="AW87" s="3">
        <f t="shared" si="52"/>
        <v>40718.400000000001</v>
      </c>
      <c r="AX87" s="3">
        <f t="shared" si="52"/>
        <v>0</v>
      </c>
      <c r="AY87" s="3">
        <f t="shared" si="52"/>
        <v>40718.400000000001</v>
      </c>
      <c r="AZ87" s="3">
        <f t="shared" si="52"/>
        <v>0</v>
      </c>
      <c r="BA87" s="3">
        <f t="shared" si="52"/>
        <v>0</v>
      </c>
      <c r="BB87" s="3">
        <f t="shared" si="52"/>
        <v>0</v>
      </c>
      <c r="BC87" s="3">
        <f t="shared" si="52"/>
        <v>0</v>
      </c>
      <c r="BD87" s="3">
        <f t="shared" si="52"/>
        <v>2572.6799999999998</v>
      </c>
      <c r="BE87" s="3">
        <f t="shared" si="52"/>
        <v>0</v>
      </c>
      <c r="BF87" s="3">
        <f t="shared" si="52"/>
        <v>0</v>
      </c>
      <c r="BG87" s="3">
        <f t="shared" si="52"/>
        <v>0</v>
      </c>
      <c r="BH87" s="3">
        <f t="shared" si="52"/>
        <v>0</v>
      </c>
      <c r="BI87" s="3">
        <f t="shared" si="52"/>
        <v>0</v>
      </c>
      <c r="BJ87" s="3">
        <f t="shared" si="52"/>
        <v>0</v>
      </c>
      <c r="BK87" s="3">
        <f t="shared" si="52"/>
        <v>0</v>
      </c>
      <c r="BL87" s="3">
        <f t="shared" si="52"/>
        <v>0</v>
      </c>
      <c r="BM87" s="3">
        <f t="shared" si="52"/>
        <v>0</v>
      </c>
      <c r="BN87" s="3">
        <f t="shared" si="52"/>
        <v>0</v>
      </c>
      <c r="BO87" s="3">
        <f t="shared" si="52"/>
        <v>0</v>
      </c>
      <c r="BP87" s="3">
        <f t="shared" si="52"/>
        <v>0</v>
      </c>
      <c r="BQ87" s="3">
        <f t="shared" si="52"/>
        <v>0</v>
      </c>
      <c r="BR87" s="3">
        <f t="shared" si="52"/>
        <v>0</v>
      </c>
      <c r="BS87" s="3">
        <f t="shared" si="52"/>
        <v>0</v>
      </c>
      <c r="BT87" s="3">
        <f t="shared" si="52"/>
        <v>0</v>
      </c>
      <c r="BU87" s="3">
        <f t="shared" si="52"/>
        <v>0</v>
      </c>
      <c r="BV87" s="3">
        <f t="shared" si="52"/>
        <v>0</v>
      </c>
      <c r="BW87" s="3">
        <f t="shared" si="52"/>
        <v>0</v>
      </c>
      <c r="BX87" s="3">
        <f t="shared" si="52"/>
        <v>0</v>
      </c>
      <c r="BY87" s="3">
        <f t="shared" si="52"/>
        <v>0</v>
      </c>
      <c r="BZ87" s="3">
        <f t="shared" si="52"/>
        <v>0</v>
      </c>
      <c r="CA87" s="3">
        <f t="shared" ref="CA87:DF87" si="53">CA273</f>
        <v>0</v>
      </c>
      <c r="CB87" s="3">
        <f t="shared" si="53"/>
        <v>0</v>
      </c>
      <c r="CC87" s="3">
        <f t="shared" si="53"/>
        <v>0</v>
      </c>
      <c r="CD87" s="3">
        <f t="shared" si="53"/>
        <v>0</v>
      </c>
      <c r="CE87" s="3">
        <f t="shared" si="53"/>
        <v>0</v>
      </c>
      <c r="CF87" s="3">
        <f t="shared" si="53"/>
        <v>0</v>
      </c>
      <c r="CG87" s="3">
        <f t="shared" si="53"/>
        <v>0</v>
      </c>
      <c r="CH87" s="3">
        <f t="shared" si="53"/>
        <v>0</v>
      </c>
      <c r="CI87" s="3">
        <f t="shared" si="53"/>
        <v>0</v>
      </c>
      <c r="CJ87" s="3">
        <f t="shared" si="53"/>
        <v>0</v>
      </c>
      <c r="CK87" s="3">
        <f t="shared" si="53"/>
        <v>0</v>
      </c>
      <c r="CL87" s="3">
        <f t="shared" si="53"/>
        <v>0</v>
      </c>
      <c r="CM87" s="3">
        <f t="shared" si="53"/>
        <v>0</v>
      </c>
      <c r="CN87" s="3">
        <f t="shared" si="53"/>
        <v>0</v>
      </c>
      <c r="CO87" s="3">
        <f t="shared" si="53"/>
        <v>0</v>
      </c>
      <c r="CP87" s="3">
        <f t="shared" si="53"/>
        <v>0</v>
      </c>
      <c r="CQ87" s="3">
        <f t="shared" si="53"/>
        <v>0</v>
      </c>
      <c r="CR87" s="3">
        <f t="shared" si="53"/>
        <v>0</v>
      </c>
      <c r="CS87" s="3">
        <f t="shared" si="53"/>
        <v>0</v>
      </c>
      <c r="CT87" s="3">
        <f t="shared" si="53"/>
        <v>0</v>
      </c>
      <c r="CU87" s="3">
        <f t="shared" si="53"/>
        <v>0</v>
      </c>
      <c r="CV87" s="3">
        <f t="shared" si="53"/>
        <v>0</v>
      </c>
      <c r="CW87" s="3">
        <f t="shared" si="53"/>
        <v>0</v>
      </c>
      <c r="CX87" s="3">
        <f t="shared" si="53"/>
        <v>0</v>
      </c>
      <c r="CY87" s="3">
        <f t="shared" si="53"/>
        <v>0</v>
      </c>
      <c r="CZ87" s="3">
        <f t="shared" si="53"/>
        <v>0</v>
      </c>
      <c r="DA87" s="3">
        <f t="shared" si="53"/>
        <v>0</v>
      </c>
      <c r="DB87" s="3">
        <f t="shared" si="53"/>
        <v>0</v>
      </c>
      <c r="DC87" s="3">
        <f t="shared" si="53"/>
        <v>0</v>
      </c>
      <c r="DD87" s="3">
        <f t="shared" si="53"/>
        <v>0</v>
      </c>
      <c r="DE87" s="3">
        <f t="shared" si="53"/>
        <v>0</v>
      </c>
      <c r="DF87" s="3">
        <f t="shared" si="53"/>
        <v>0</v>
      </c>
      <c r="DG87" s="4">
        <f t="shared" ref="DG87:EL87" si="54">DG273</f>
        <v>0</v>
      </c>
      <c r="DH87" s="4">
        <f t="shared" si="54"/>
        <v>0</v>
      </c>
      <c r="DI87" s="4">
        <f t="shared" si="54"/>
        <v>0</v>
      </c>
      <c r="DJ87" s="4">
        <f t="shared" si="54"/>
        <v>0</v>
      </c>
      <c r="DK87" s="4">
        <f t="shared" si="54"/>
        <v>0</v>
      </c>
      <c r="DL87" s="4">
        <f t="shared" si="54"/>
        <v>0</v>
      </c>
      <c r="DM87" s="4">
        <f t="shared" si="54"/>
        <v>0</v>
      </c>
      <c r="DN87" s="4">
        <f t="shared" si="54"/>
        <v>0</v>
      </c>
      <c r="DO87" s="4">
        <f t="shared" si="54"/>
        <v>0</v>
      </c>
      <c r="DP87" s="4">
        <f t="shared" si="54"/>
        <v>0</v>
      </c>
      <c r="DQ87" s="4">
        <f t="shared" si="54"/>
        <v>0</v>
      </c>
      <c r="DR87" s="4">
        <f t="shared" si="54"/>
        <v>0</v>
      </c>
      <c r="DS87" s="4">
        <f t="shared" si="54"/>
        <v>0</v>
      </c>
      <c r="DT87" s="4">
        <f t="shared" si="54"/>
        <v>0</v>
      </c>
      <c r="DU87" s="4">
        <f t="shared" si="54"/>
        <v>0</v>
      </c>
      <c r="DV87" s="4">
        <f t="shared" si="54"/>
        <v>0</v>
      </c>
      <c r="DW87" s="4">
        <f t="shared" si="54"/>
        <v>0</v>
      </c>
      <c r="DX87" s="4">
        <f t="shared" si="54"/>
        <v>0</v>
      </c>
      <c r="DY87" s="4">
        <f t="shared" si="54"/>
        <v>0</v>
      </c>
      <c r="DZ87" s="4">
        <f t="shared" si="54"/>
        <v>0</v>
      </c>
      <c r="EA87" s="4">
        <f t="shared" si="54"/>
        <v>0</v>
      </c>
      <c r="EB87" s="4">
        <f t="shared" si="54"/>
        <v>0</v>
      </c>
      <c r="EC87" s="4">
        <f t="shared" si="54"/>
        <v>0</v>
      </c>
      <c r="ED87" s="4">
        <f t="shared" si="54"/>
        <v>0</v>
      </c>
      <c r="EE87" s="4">
        <f t="shared" si="54"/>
        <v>0</v>
      </c>
      <c r="EF87" s="4">
        <f t="shared" si="54"/>
        <v>0</v>
      </c>
      <c r="EG87" s="4">
        <f t="shared" si="54"/>
        <v>0</v>
      </c>
      <c r="EH87" s="4">
        <f t="shared" si="54"/>
        <v>0</v>
      </c>
      <c r="EI87" s="4">
        <f t="shared" si="54"/>
        <v>0</v>
      </c>
      <c r="EJ87" s="4">
        <f t="shared" si="54"/>
        <v>0</v>
      </c>
      <c r="EK87" s="4">
        <f t="shared" si="54"/>
        <v>0</v>
      </c>
      <c r="EL87" s="4">
        <f t="shared" si="54"/>
        <v>0</v>
      </c>
      <c r="EM87" s="4">
        <f t="shared" ref="EM87:FR87" si="55">EM273</f>
        <v>0</v>
      </c>
      <c r="EN87" s="4">
        <f t="shared" si="55"/>
        <v>0</v>
      </c>
      <c r="EO87" s="4">
        <f t="shared" si="55"/>
        <v>0</v>
      </c>
      <c r="EP87" s="4">
        <f t="shared" si="55"/>
        <v>0</v>
      </c>
      <c r="EQ87" s="4">
        <f t="shared" si="55"/>
        <v>0</v>
      </c>
      <c r="ER87" s="4">
        <f t="shared" si="55"/>
        <v>0</v>
      </c>
      <c r="ES87" s="4">
        <f t="shared" si="55"/>
        <v>0</v>
      </c>
      <c r="ET87" s="4">
        <f t="shared" si="55"/>
        <v>0</v>
      </c>
      <c r="EU87" s="4">
        <f t="shared" si="55"/>
        <v>0</v>
      </c>
      <c r="EV87" s="4">
        <f t="shared" si="55"/>
        <v>0</v>
      </c>
      <c r="EW87" s="4">
        <f t="shared" si="55"/>
        <v>0</v>
      </c>
      <c r="EX87" s="4">
        <f t="shared" si="55"/>
        <v>0</v>
      </c>
      <c r="EY87" s="4">
        <f t="shared" si="55"/>
        <v>0</v>
      </c>
      <c r="EZ87" s="4">
        <f t="shared" si="55"/>
        <v>0</v>
      </c>
      <c r="FA87" s="4">
        <f t="shared" si="55"/>
        <v>0</v>
      </c>
      <c r="FB87" s="4">
        <f t="shared" si="55"/>
        <v>0</v>
      </c>
      <c r="FC87" s="4">
        <f t="shared" si="55"/>
        <v>0</v>
      </c>
      <c r="FD87" s="4">
        <f t="shared" si="55"/>
        <v>0</v>
      </c>
      <c r="FE87" s="4">
        <f t="shared" si="55"/>
        <v>0</v>
      </c>
      <c r="FF87" s="4">
        <f t="shared" si="55"/>
        <v>0</v>
      </c>
      <c r="FG87" s="4">
        <f t="shared" si="55"/>
        <v>0</v>
      </c>
      <c r="FH87" s="4">
        <f t="shared" si="55"/>
        <v>0</v>
      </c>
      <c r="FI87" s="4">
        <f t="shared" si="55"/>
        <v>0</v>
      </c>
      <c r="FJ87" s="4">
        <f t="shared" si="55"/>
        <v>0</v>
      </c>
      <c r="FK87" s="4">
        <f t="shared" si="55"/>
        <v>0</v>
      </c>
      <c r="FL87" s="4">
        <f t="shared" si="55"/>
        <v>0</v>
      </c>
      <c r="FM87" s="4">
        <f t="shared" si="55"/>
        <v>0</v>
      </c>
      <c r="FN87" s="4">
        <f t="shared" si="55"/>
        <v>0</v>
      </c>
      <c r="FO87" s="4">
        <f t="shared" si="55"/>
        <v>0</v>
      </c>
      <c r="FP87" s="4">
        <f t="shared" si="55"/>
        <v>0</v>
      </c>
      <c r="FQ87" s="4">
        <f t="shared" si="55"/>
        <v>0</v>
      </c>
      <c r="FR87" s="4">
        <f t="shared" si="55"/>
        <v>0</v>
      </c>
      <c r="FS87" s="4">
        <f t="shared" ref="FS87:GX87" si="56">FS273</f>
        <v>0</v>
      </c>
      <c r="FT87" s="4">
        <f t="shared" si="56"/>
        <v>0</v>
      </c>
      <c r="FU87" s="4">
        <f t="shared" si="56"/>
        <v>0</v>
      </c>
      <c r="FV87" s="4">
        <f t="shared" si="56"/>
        <v>0</v>
      </c>
      <c r="FW87" s="4">
        <f t="shared" si="56"/>
        <v>0</v>
      </c>
      <c r="FX87" s="4">
        <f t="shared" si="56"/>
        <v>0</v>
      </c>
      <c r="FY87" s="4">
        <f t="shared" si="56"/>
        <v>0</v>
      </c>
      <c r="FZ87" s="4">
        <f t="shared" si="56"/>
        <v>0</v>
      </c>
      <c r="GA87" s="4">
        <f t="shared" si="56"/>
        <v>0</v>
      </c>
      <c r="GB87" s="4">
        <f t="shared" si="56"/>
        <v>0</v>
      </c>
      <c r="GC87" s="4">
        <f t="shared" si="56"/>
        <v>0</v>
      </c>
      <c r="GD87" s="4">
        <f t="shared" si="56"/>
        <v>0</v>
      </c>
      <c r="GE87" s="4">
        <f t="shared" si="56"/>
        <v>0</v>
      </c>
      <c r="GF87" s="4">
        <f t="shared" si="56"/>
        <v>0</v>
      </c>
      <c r="GG87" s="4">
        <f t="shared" si="56"/>
        <v>0</v>
      </c>
      <c r="GH87" s="4">
        <f t="shared" si="56"/>
        <v>0</v>
      </c>
      <c r="GI87" s="4">
        <f t="shared" si="56"/>
        <v>0</v>
      </c>
      <c r="GJ87" s="4">
        <f t="shared" si="56"/>
        <v>0</v>
      </c>
      <c r="GK87" s="4">
        <f t="shared" si="56"/>
        <v>0</v>
      </c>
      <c r="GL87" s="4">
        <f t="shared" si="56"/>
        <v>0</v>
      </c>
      <c r="GM87" s="4">
        <f t="shared" si="56"/>
        <v>0</v>
      </c>
      <c r="GN87" s="4">
        <f t="shared" si="56"/>
        <v>0</v>
      </c>
      <c r="GO87" s="4">
        <f t="shared" si="56"/>
        <v>0</v>
      </c>
      <c r="GP87" s="4">
        <f t="shared" si="56"/>
        <v>0</v>
      </c>
      <c r="GQ87" s="4">
        <f t="shared" si="56"/>
        <v>0</v>
      </c>
      <c r="GR87" s="4">
        <f t="shared" si="56"/>
        <v>0</v>
      </c>
      <c r="GS87" s="4">
        <f t="shared" si="56"/>
        <v>0</v>
      </c>
      <c r="GT87" s="4">
        <f t="shared" si="56"/>
        <v>0</v>
      </c>
      <c r="GU87" s="4">
        <f t="shared" si="56"/>
        <v>0</v>
      </c>
      <c r="GV87" s="4">
        <f t="shared" si="56"/>
        <v>0</v>
      </c>
      <c r="GW87" s="4">
        <f t="shared" si="56"/>
        <v>0</v>
      </c>
      <c r="GX87" s="4">
        <f t="shared" si="56"/>
        <v>0</v>
      </c>
    </row>
    <row r="89" spans="1:255" x14ac:dyDescent="0.2">
      <c r="A89" s="1">
        <v>5</v>
      </c>
      <c r="B89" s="1">
        <v>1</v>
      </c>
      <c r="C89" s="1"/>
      <c r="D89" s="1">
        <f>ROW(A111)</f>
        <v>111</v>
      </c>
      <c r="E89" s="1"/>
      <c r="F89" s="1" t="s">
        <v>206</v>
      </c>
      <c r="G89" s="1" t="s">
        <v>207</v>
      </c>
      <c r="H89" s="1" t="s">
        <v>3</v>
      </c>
      <c r="I89" s="1">
        <v>0</v>
      </c>
      <c r="J89" s="1"/>
      <c r="K89" s="1">
        <v>0</v>
      </c>
      <c r="L89" s="1"/>
      <c r="M89" s="1" t="s">
        <v>3</v>
      </c>
      <c r="N89" s="1"/>
      <c r="O89" s="1"/>
      <c r="P89" s="1"/>
      <c r="Q89" s="1"/>
      <c r="R89" s="1"/>
      <c r="S89" s="1">
        <v>0</v>
      </c>
      <c r="T89" s="1"/>
      <c r="U89" s="1" t="s">
        <v>3</v>
      </c>
      <c r="V89" s="1">
        <v>0</v>
      </c>
      <c r="W89" s="1"/>
      <c r="X89" s="1"/>
      <c r="Y89" s="1"/>
      <c r="Z89" s="1"/>
      <c r="AA89" s="1"/>
      <c r="AB89" s="1" t="s">
        <v>3</v>
      </c>
      <c r="AC89" s="1" t="s">
        <v>3</v>
      </c>
      <c r="AD89" s="1" t="s">
        <v>3</v>
      </c>
      <c r="AE89" s="1" t="s">
        <v>3</v>
      </c>
      <c r="AF89" s="1" t="s">
        <v>3</v>
      </c>
      <c r="AG89" s="1" t="s">
        <v>3</v>
      </c>
      <c r="AH89" s="1"/>
      <c r="AI89" s="1"/>
      <c r="AJ89" s="1"/>
      <c r="AK89" s="1"/>
      <c r="AL89" s="1"/>
      <c r="AM89" s="1"/>
      <c r="AN89" s="1"/>
      <c r="AO89" s="1"/>
      <c r="AP89" s="1" t="s">
        <v>3</v>
      </c>
      <c r="AQ89" s="1" t="s">
        <v>3</v>
      </c>
      <c r="AR89" s="1" t="s">
        <v>3</v>
      </c>
      <c r="AS89" s="1"/>
      <c r="AT89" s="1"/>
      <c r="AU89" s="1"/>
      <c r="AV89" s="1"/>
      <c r="AW89" s="1"/>
      <c r="AX89" s="1"/>
      <c r="AY89" s="1"/>
      <c r="AZ89" s="1" t="s">
        <v>3</v>
      </c>
      <c r="BA89" s="1"/>
      <c r="BB89" s="1" t="s">
        <v>3</v>
      </c>
      <c r="BC89" s="1" t="s">
        <v>3</v>
      </c>
      <c r="BD89" s="1" t="s">
        <v>3</v>
      </c>
      <c r="BE89" s="1" t="s">
        <v>3</v>
      </c>
      <c r="BF89" s="1" t="s">
        <v>3</v>
      </c>
      <c r="BG89" s="1" t="s">
        <v>3</v>
      </c>
      <c r="BH89" s="1" t="s">
        <v>3</v>
      </c>
      <c r="BI89" s="1" t="s">
        <v>3</v>
      </c>
      <c r="BJ89" s="1" t="s">
        <v>3</v>
      </c>
      <c r="BK89" s="1" t="s">
        <v>3</v>
      </c>
      <c r="BL89" s="1" t="s">
        <v>3</v>
      </c>
      <c r="BM89" s="1" t="s">
        <v>3</v>
      </c>
      <c r="BN89" s="1" t="s">
        <v>3</v>
      </c>
      <c r="BO89" s="1" t="s">
        <v>3</v>
      </c>
      <c r="BP89" s="1" t="s">
        <v>3</v>
      </c>
      <c r="BQ89" s="1"/>
      <c r="BR89" s="1"/>
      <c r="BS89" s="1"/>
      <c r="BT89" s="1"/>
      <c r="BU89" s="1"/>
      <c r="BV89" s="1"/>
      <c r="BW89" s="1"/>
      <c r="BX89" s="1">
        <v>0</v>
      </c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>
        <v>0</v>
      </c>
    </row>
    <row r="91" spans="1:255" x14ac:dyDescent="0.2">
      <c r="A91" s="3">
        <v>52</v>
      </c>
      <c r="B91" s="3">
        <f t="shared" ref="B91:G91" si="57">B111</f>
        <v>1</v>
      </c>
      <c r="C91" s="3">
        <f t="shared" si="57"/>
        <v>5</v>
      </c>
      <c r="D91" s="3">
        <f t="shared" si="57"/>
        <v>89</v>
      </c>
      <c r="E91" s="3">
        <f t="shared" si="57"/>
        <v>0</v>
      </c>
      <c r="F91" s="3" t="str">
        <f t="shared" si="57"/>
        <v>Новый подраздел</v>
      </c>
      <c r="G91" s="3" t="str">
        <f t="shared" si="57"/>
        <v>площадка входа</v>
      </c>
      <c r="H91" s="3"/>
      <c r="I91" s="3"/>
      <c r="J91" s="3"/>
      <c r="K91" s="3"/>
      <c r="L91" s="3"/>
      <c r="M91" s="3"/>
      <c r="N91" s="3"/>
      <c r="O91" s="3">
        <f t="shared" ref="O91:AT91" si="58">O111</f>
        <v>27630.22</v>
      </c>
      <c r="P91" s="3">
        <f t="shared" si="58"/>
        <v>11897.58</v>
      </c>
      <c r="Q91" s="3">
        <f t="shared" si="58"/>
        <v>369.95</v>
      </c>
      <c r="R91" s="3">
        <f t="shared" si="58"/>
        <v>94.59</v>
      </c>
      <c r="S91" s="3">
        <f t="shared" si="58"/>
        <v>15268.1</v>
      </c>
      <c r="T91" s="3">
        <f t="shared" si="58"/>
        <v>0</v>
      </c>
      <c r="U91" s="3">
        <f t="shared" si="58"/>
        <v>23.211936000000001</v>
      </c>
      <c r="V91" s="3">
        <f t="shared" si="58"/>
        <v>0.13675300000000001</v>
      </c>
      <c r="W91" s="3">
        <f t="shared" si="58"/>
        <v>0</v>
      </c>
      <c r="X91" s="3">
        <f t="shared" si="58"/>
        <v>15809.95</v>
      </c>
      <c r="Y91" s="3">
        <f t="shared" si="58"/>
        <v>8669.5400000000009</v>
      </c>
      <c r="Z91" s="3">
        <f t="shared" si="58"/>
        <v>0</v>
      </c>
      <c r="AA91" s="3">
        <f t="shared" si="58"/>
        <v>0</v>
      </c>
      <c r="AB91" s="3">
        <f t="shared" si="58"/>
        <v>27630.22</v>
      </c>
      <c r="AC91" s="3">
        <f t="shared" si="58"/>
        <v>11897.58</v>
      </c>
      <c r="AD91" s="3">
        <f t="shared" si="58"/>
        <v>369.95</v>
      </c>
      <c r="AE91" s="3">
        <f t="shared" si="58"/>
        <v>94.59</v>
      </c>
      <c r="AF91" s="3">
        <f t="shared" si="58"/>
        <v>15268.1</v>
      </c>
      <c r="AG91" s="3">
        <f t="shared" si="58"/>
        <v>0</v>
      </c>
      <c r="AH91" s="3">
        <f t="shared" si="58"/>
        <v>23.211936000000001</v>
      </c>
      <c r="AI91" s="3">
        <f t="shared" si="58"/>
        <v>0.13675300000000001</v>
      </c>
      <c r="AJ91" s="3">
        <f t="shared" si="58"/>
        <v>0</v>
      </c>
      <c r="AK91" s="3">
        <f t="shared" si="58"/>
        <v>15809.95</v>
      </c>
      <c r="AL91" s="3">
        <f t="shared" si="58"/>
        <v>8669.5400000000009</v>
      </c>
      <c r="AM91" s="3">
        <f t="shared" si="58"/>
        <v>0</v>
      </c>
      <c r="AN91" s="3">
        <f t="shared" si="58"/>
        <v>0</v>
      </c>
      <c r="AO91" s="3">
        <f t="shared" si="58"/>
        <v>0</v>
      </c>
      <c r="AP91" s="3">
        <f t="shared" si="58"/>
        <v>0</v>
      </c>
      <c r="AQ91" s="3">
        <f t="shared" si="58"/>
        <v>0</v>
      </c>
      <c r="AR91" s="3">
        <f t="shared" si="58"/>
        <v>52109.71</v>
      </c>
      <c r="AS91" s="3">
        <f t="shared" si="58"/>
        <v>52109.71</v>
      </c>
      <c r="AT91" s="3">
        <f t="shared" si="58"/>
        <v>0</v>
      </c>
      <c r="AU91" s="3">
        <f t="shared" ref="AU91:BZ91" si="59">AU111</f>
        <v>0</v>
      </c>
      <c r="AV91" s="3">
        <f t="shared" si="59"/>
        <v>11897.58</v>
      </c>
      <c r="AW91" s="3">
        <f t="shared" si="59"/>
        <v>11897.58</v>
      </c>
      <c r="AX91" s="3">
        <f t="shared" si="59"/>
        <v>0</v>
      </c>
      <c r="AY91" s="3">
        <f t="shared" si="59"/>
        <v>11897.58</v>
      </c>
      <c r="AZ91" s="3">
        <f t="shared" si="59"/>
        <v>0</v>
      </c>
      <c r="BA91" s="3">
        <f t="shared" si="59"/>
        <v>0</v>
      </c>
      <c r="BB91" s="3">
        <f t="shared" si="59"/>
        <v>0</v>
      </c>
      <c r="BC91" s="3">
        <f t="shared" si="59"/>
        <v>0</v>
      </c>
      <c r="BD91" s="3">
        <f t="shared" si="59"/>
        <v>0</v>
      </c>
      <c r="BE91" s="3">
        <f t="shared" si="59"/>
        <v>0</v>
      </c>
      <c r="BF91" s="3">
        <f t="shared" si="59"/>
        <v>0</v>
      </c>
      <c r="BG91" s="3">
        <f t="shared" si="59"/>
        <v>0</v>
      </c>
      <c r="BH91" s="3">
        <f t="shared" si="59"/>
        <v>0</v>
      </c>
      <c r="BI91" s="3">
        <f t="shared" si="59"/>
        <v>0</v>
      </c>
      <c r="BJ91" s="3">
        <f t="shared" si="59"/>
        <v>0</v>
      </c>
      <c r="BK91" s="3">
        <f t="shared" si="59"/>
        <v>0</v>
      </c>
      <c r="BL91" s="3">
        <f t="shared" si="59"/>
        <v>0</v>
      </c>
      <c r="BM91" s="3">
        <f t="shared" si="59"/>
        <v>0</v>
      </c>
      <c r="BN91" s="3">
        <f t="shared" si="59"/>
        <v>0</v>
      </c>
      <c r="BO91" s="3">
        <f t="shared" si="59"/>
        <v>0</v>
      </c>
      <c r="BP91" s="3">
        <f t="shared" si="59"/>
        <v>0</v>
      </c>
      <c r="BQ91" s="3">
        <f t="shared" si="59"/>
        <v>0</v>
      </c>
      <c r="BR91" s="3">
        <f t="shared" si="59"/>
        <v>0</v>
      </c>
      <c r="BS91" s="3">
        <f t="shared" si="59"/>
        <v>0</v>
      </c>
      <c r="BT91" s="3">
        <f t="shared" si="59"/>
        <v>0</v>
      </c>
      <c r="BU91" s="3">
        <f t="shared" si="59"/>
        <v>0</v>
      </c>
      <c r="BV91" s="3">
        <f t="shared" si="59"/>
        <v>0</v>
      </c>
      <c r="BW91" s="3">
        <f t="shared" si="59"/>
        <v>0</v>
      </c>
      <c r="BX91" s="3">
        <f t="shared" si="59"/>
        <v>0</v>
      </c>
      <c r="BY91" s="3">
        <f t="shared" si="59"/>
        <v>0</v>
      </c>
      <c r="BZ91" s="3">
        <f t="shared" si="59"/>
        <v>0</v>
      </c>
      <c r="CA91" s="3">
        <f t="shared" ref="CA91:DF91" si="60">CA111</f>
        <v>52109.71</v>
      </c>
      <c r="CB91" s="3">
        <f t="shared" si="60"/>
        <v>52109.71</v>
      </c>
      <c r="CC91" s="3">
        <f t="shared" si="60"/>
        <v>0</v>
      </c>
      <c r="CD91" s="3">
        <f t="shared" si="60"/>
        <v>0</v>
      </c>
      <c r="CE91" s="3">
        <f t="shared" si="60"/>
        <v>11897.58</v>
      </c>
      <c r="CF91" s="3">
        <f t="shared" si="60"/>
        <v>11897.58</v>
      </c>
      <c r="CG91" s="3">
        <f t="shared" si="60"/>
        <v>0</v>
      </c>
      <c r="CH91" s="3">
        <f t="shared" si="60"/>
        <v>11897.58</v>
      </c>
      <c r="CI91" s="3">
        <f t="shared" si="60"/>
        <v>0</v>
      </c>
      <c r="CJ91" s="3">
        <f t="shared" si="60"/>
        <v>0</v>
      </c>
      <c r="CK91" s="3">
        <f t="shared" si="60"/>
        <v>0</v>
      </c>
      <c r="CL91" s="3">
        <f t="shared" si="60"/>
        <v>0</v>
      </c>
      <c r="CM91" s="3">
        <f t="shared" si="60"/>
        <v>0</v>
      </c>
      <c r="CN91" s="3">
        <f t="shared" si="60"/>
        <v>0</v>
      </c>
      <c r="CO91" s="3">
        <f t="shared" si="60"/>
        <v>0</v>
      </c>
      <c r="CP91" s="3">
        <f t="shared" si="60"/>
        <v>0</v>
      </c>
      <c r="CQ91" s="3">
        <f t="shared" si="60"/>
        <v>0</v>
      </c>
      <c r="CR91" s="3">
        <f t="shared" si="60"/>
        <v>0</v>
      </c>
      <c r="CS91" s="3">
        <f t="shared" si="60"/>
        <v>0</v>
      </c>
      <c r="CT91" s="3">
        <f t="shared" si="60"/>
        <v>0</v>
      </c>
      <c r="CU91" s="3">
        <f t="shared" si="60"/>
        <v>0</v>
      </c>
      <c r="CV91" s="3">
        <f t="shared" si="60"/>
        <v>0</v>
      </c>
      <c r="CW91" s="3">
        <f t="shared" si="60"/>
        <v>0</v>
      </c>
      <c r="CX91" s="3">
        <f t="shared" si="60"/>
        <v>0</v>
      </c>
      <c r="CY91" s="3">
        <f t="shared" si="60"/>
        <v>0</v>
      </c>
      <c r="CZ91" s="3">
        <f t="shared" si="60"/>
        <v>0</v>
      </c>
      <c r="DA91" s="3">
        <f t="shared" si="60"/>
        <v>0</v>
      </c>
      <c r="DB91" s="3">
        <f t="shared" si="60"/>
        <v>0</v>
      </c>
      <c r="DC91" s="3">
        <f t="shared" si="60"/>
        <v>0</v>
      </c>
      <c r="DD91" s="3">
        <f t="shared" si="60"/>
        <v>0</v>
      </c>
      <c r="DE91" s="3">
        <f t="shared" si="60"/>
        <v>0</v>
      </c>
      <c r="DF91" s="3">
        <f t="shared" si="60"/>
        <v>0</v>
      </c>
      <c r="DG91" s="4">
        <f t="shared" ref="DG91:EL91" si="61">DG111</f>
        <v>0</v>
      </c>
      <c r="DH91" s="4">
        <f t="shared" si="61"/>
        <v>0</v>
      </c>
      <c r="DI91" s="4">
        <f t="shared" si="61"/>
        <v>0</v>
      </c>
      <c r="DJ91" s="4">
        <f t="shared" si="61"/>
        <v>0</v>
      </c>
      <c r="DK91" s="4">
        <f t="shared" si="61"/>
        <v>0</v>
      </c>
      <c r="DL91" s="4">
        <f t="shared" si="61"/>
        <v>0</v>
      </c>
      <c r="DM91" s="4">
        <f t="shared" si="61"/>
        <v>0</v>
      </c>
      <c r="DN91" s="4">
        <f t="shared" si="61"/>
        <v>0</v>
      </c>
      <c r="DO91" s="4">
        <f t="shared" si="61"/>
        <v>0</v>
      </c>
      <c r="DP91" s="4">
        <f t="shared" si="61"/>
        <v>0</v>
      </c>
      <c r="DQ91" s="4">
        <f t="shared" si="61"/>
        <v>0</v>
      </c>
      <c r="DR91" s="4">
        <f t="shared" si="61"/>
        <v>0</v>
      </c>
      <c r="DS91" s="4">
        <f t="shared" si="61"/>
        <v>0</v>
      </c>
      <c r="DT91" s="4">
        <f t="shared" si="61"/>
        <v>0</v>
      </c>
      <c r="DU91" s="4">
        <f t="shared" si="61"/>
        <v>0</v>
      </c>
      <c r="DV91" s="4">
        <f t="shared" si="61"/>
        <v>0</v>
      </c>
      <c r="DW91" s="4">
        <f t="shared" si="61"/>
        <v>0</v>
      </c>
      <c r="DX91" s="4">
        <f t="shared" si="61"/>
        <v>0</v>
      </c>
      <c r="DY91" s="4">
        <f t="shared" si="61"/>
        <v>0</v>
      </c>
      <c r="DZ91" s="4">
        <f t="shared" si="61"/>
        <v>0</v>
      </c>
      <c r="EA91" s="4">
        <f t="shared" si="61"/>
        <v>0</v>
      </c>
      <c r="EB91" s="4">
        <f t="shared" si="61"/>
        <v>0</v>
      </c>
      <c r="EC91" s="4">
        <f t="shared" si="61"/>
        <v>0</v>
      </c>
      <c r="ED91" s="4">
        <f t="shared" si="61"/>
        <v>0</v>
      </c>
      <c r="EE91" s="4">
        <f t="shared" si="61"/>
        <v>0</v>
      </c>
      <c r="EF91" s="4">
        <f t="shared" si="61"/>
        <v>0</v>
      </c>
      <c r="EG91" s="4">
        <f t="shared" si="61"/>
        <v>0</v>
      </c>
      <c r="EH91" s="4">
        <f t="shared" si="61"/>
        <v>0</v>
      </c>
      <c r="EI91" s="4">
        <f t="shared" si="61"/>
        <v>0</v>
      </c>
      <c r="EJ91" s="4">
        <f t="shared" si="61"/>
        <v>0</v>
      </c>
      <c r="EK91" s="4">
        <f t="shared" si="61"/>
        <v>0</v>
      </c>
      <c r="EL91" s="4">
        <f t="shared" si="61"/>
        <v>0</v>
      </c>
      <c r="EM91" s="4">
        <f t="shared" ref="EM91:FR91" si="62">EM111</f>
        <v>0</v>
      </c>
      <c r="EN91" s="4">
        <f t="shared" si="62"/>
        <v>0</v>
      </c>
      <c r="EO91" s="4">
        <f t="shared" si="62"/>
        <v>0</v>
      </c>
      <c r="EP91" s="4">
        <f t="shared" si="62"/>
        <v>0</v>
      </c>
      <c r="EQ91" s="4">
        <f t="shared" si="62"/>
        <v>0</v>
      </c>
      <c r="ER91" s="4">
        <f t="shared" si="62"/>
        <v>0</v>
      </c>
      <c r="ES91" s="4">
        <f t="shared" si="62"/>
        <v>0</v>
      </c>
      <c r="ET91" s="4">
        <f t="shared" si="62"/>
        <v>0</v>
      </c>
      <c r="EU91" s="4">
        <f t="shared" si="62"/>
        <v>0</v>
      </c>
      <c r="EV91" s="4">
        <f t="shared" si="62"/>
        <v>0</v>
      </c>
      <c r="EW91" s="4">
        <f t="shared" si="62"/>
        <v>0</v>
      </c>
      <c r="EX91" s="4">
        <f t="shared" si="62"/>
        <v>0</v>
      </c>
      <c r="EY91" s="4">
        <f t="shared" si="62"/>
        <v>0</v>
      </c>
      <c r="EZ91" s="4">
        <f t="shared" si="62"/>
        <v>0</v>
      </c>
      <c r="FA91" s="4">
        <f t="shared" si="62"/>
        <v>0</v>
      </c>
      <c r="FB91" s="4">
        <f t="shared" si="62"/>
        <v>0</v>
      </c>
      <c r="FC91" s="4">
        <f t="shared" si="62"/>
        <v>0</v>
      </c>
      <c r="FD91" s="4">
        <f t="shared" si="62"/>
        <v>0</v>
      </c>
      <c r="FE91" s="4">
        <f t="shared" si="62"/>
        <v>0</v>
      </c>
      <c r="FF91" s="4">
        <f t="shared" si="62"/>
        <v>0</v>
      </c>
      <c r="FG91" s="4">
        <f t="shared" si="62"/>
        <v>0</v>
      </c>
      <c r="FH91" s="4">
        <f t="shared" si="62"/>
        <v>0</v>
      </c>
      <c r="FI91" s="4">
        <f t="shared" si="62"/>
        <v>0</v>
      </c>
      <c r="FJ91" s="4">
        <f t="shared" si="62"/>
        <v>0</v>
      </c>
      <c r="FK91" s="4">
        <f t="shared" si="62"/>
        <v>0</v>
      </c>
      <c r="FL91" s="4">
        <f t="shared" si="62"/>
        <v>0</v>
      </c>
      <c r="FM91" s="4">
        <f t="shared" si="62"/>
        <v>0</v>
      </c>
      <c r="FN91" s="4">
        <f t="shared" si="62"/>
        <v>0</v>
      </c>
      <c r="FO91" s="4">
        <f t="shared" si="62"/>
        <v>0</v>
      </c>
      <c r="FP91" s="4">
        <f t="shared" si="62"/>
        <v>0</v>
      </c>
      <c r="FQ91" s="4">
        <f t="shared" si="62"/>
        <v>0</v>
      </c>
      <c r="FR91" s="4">
        <f t="shared" si="62"/>
        <v>0</v>
      </c>
      <c r="FS91" s="4">
        <f t="shared" ref="FS91:GX91" si="63">FS111</f>
        <v>0</v>
      </c>
      <c r="FT91" s="4">
        <f t="shared" si="63"/>
        <v>0</v>
      </c>
      <c r="FU91" s="4">
        <f t="shared" si="63"/>
        <v>0</v>
      </c>
      <c r="FV91" s="4">
        <f t="shared" si="63"/>
        <v>0</v>
      </c>
      <c r="FW91" s="4">
        <f t="shared" si="63"/>
        <v>0</v>
      </c>
      <c r="FX91" s="4">
        <f t="shared" si="63"/>
        <v>0</v>
      </c>
      <c r="FY91" s="4">
        <f t="shared" si="63"/>
        <v>0</v>
      </c>
      <c r="FZ91" s="4">
        <f t="shared" si="63"/>
        <v>0</v>
      </c>
      <c r="GA91" s="4">
        <f t="shared" si="63"/>
        <v>0</v>
      </c>
      <c r="GB91" s="4">
        <f t="shared" si="63"/>
        <v>0</v>
      </c>
      <c r="GC91" s="4">
        <f t="shared" si="63"/>
        <v>0</v>
      </c>
      <c r="GD91" s="4">
        <f t="shared" si="63"/>
        <v>0</v>
      </c>
      <c r="GE91" s="4">
        <f t="shared" si="63"/>
        <v>0</v>
      </c>
      <c r="GF91" s="4">
        <f t="shared" si="63"/>
        <v>0</v>
      </c>
      <c r="GG91" s="4">
        <f t="shared" si="63"/>
        <v>0</v>
      </c>
      <c r="GH91" s="4">
        <f t="shared" si="63"/>
        <v>0</v>
      </c>
      <c r="GI91" s="4">
        <f t="shared" si="63"/>
        <v>0</v>
      </c>
      <c r="GJ91" s="4">
        <f t="shared" si="63"/>
        <v>0</v>
      </c>
      <c r="GK91" s="4">
        <f t="shared" si="63"/>
        <v>0</v>
      </c>
      <c r="GL91" s="4">
        <f t="shared" si="63"/>
        <v>0</v>
      </c>
      <c r="GM91" s="4">
        <f t="shared" si="63"/>
        <v>0</v>
      </c>
      <c r="GN91" s="4">
        <f t="shared" si="63"/>
        <v>0</v>
      </c>
      <c r="GO91" s="4">
        <f t="shared" si="63"/>
        <v>0</v>
      </c>
      <c r="GP91" s="4">
        <f t="shared" si="63"/>
        <v>0</v>
      </c>
      <c r="GQ91" s="4">
        <f t="shared" si="63"/>
        <v>0</v>
      </c>
      <c r="GR91" s="4">
        <f t="shared" si="63"/>
        <v>0</v>
      </c>
      <c r="GS91" s="4">
        <f t="shared" si="63"/>
        <v>0</v>
      </c>
      <c r="GT91" s="4">
        <f t="shared" si="63"/>
        <v>0</v>
      </c>
      <c r="GU91" s="4">
        <f t="shared" si="63"/>
        <v>0</v>
      </c>
      <c r="GV91" s="4">
        <f t="shared" si="63"/>
        <v>0</v>
      </c>
      <c r="GW91" s="4">
        <f t="shared" si="63"/>
        <v>0</v>
      </c>
      <c r="GX91" s="4">
        <f t="shared" si="63"/>
        <v>0</v>
      </c>
    </row>
    <row r="93" spans="1:255" x14ac:dyDescent="0.2">
      <c r="A93" s="2">
        <v>17</v>
      </c>
      <c r="B93" s="2">
        <v>1</v>
      </c>
      <c r="C93" s="2">
        <f>ROW(SmtRes!A82)</f>
        <v>82</v>
      </c>
      <c r="D93" s="2">
        <f>ROW(EtalonRes!A82)</f>
        <v>82</v>
      </c>
      <c r="E93" s="2" t="s">
        <v>208</v>
      </c>
      <c r="F93" s="2" t="s">
        <v>18</v>
      </c>
      <c r="G93" s="2" t="s">
        <v>19</v>
      </c>
      <c r="H93" s="2" t="s">
        <v>20</v>
      </c>
      <c r="I93" s="2">
        <f>ROUND(1.5*1.7/100,7)</f>
        <v>2.5499999999999998E-2</v>
      </c>
      <c r="J93" s="2">
        <v>0</v>
      </c>
      <c r="K93" s="2">
        <f>ROUND(1.5*1.7/100,7)</f>
        <v>2.5499999999999998E-2</v>
      </c>
      <c r="L93" s="2"/>
      <c r="M93" s="2"/>
      <c r="N93" s="2"/>
      <c r="O93" s="2">
        <f t="shared" ref="O93:O109" si="64">ROUND(CP93,2)</f>
        <v>1280.0999999999999</v>
      </c>
      <c r="P93" s="2">
        <f>SUMIF(SmtRes!AQ79:'SmtRes'!AQ82,"=1",SmtRes!DF79:'SmtRes'!DF82)</f>
        <v>0</v>
      </c>
      <c r="Q93" s="2">
        <f>SUMIF(SmtRes!AQ79:'SmtRes'!AQ82,"=1",SmtRes!DG79:'SmtRes'!DG82)</f>
        <v>1.18</v>
      </c>
      <c r="R93" s="2">
        <f>SUMIF(SmtRes!AQ79:'SmtRes'!AQ82,"=1",SmtRes!DH79:'SmtRes'!DH82)</f>
        <v>13.08</v>
      </c>
      <c r="S93" s="2">
        <f>SUMIF(SmtRes!AQ79:'SmtRes'!AQ82,"=1",SmtRes!DI79:'SmtRes'!DI82)</f>
        <v>1265.8399999999999</v>
      </c>
      <c r="T93" s="2">
        <f t="shared" ref="T93:T109" si="65">ROUND(CU93*I93,2)</f>
        <v>0</v>
      </c>
      <c r="U93" s="2">
        <f>SUMIF(SmtRes!AQ79:'SmtRes'!AQ82,"=1",SmtRes!CV79:'SmtRes'!CV82)</f>
        <v>2.00787</v>
      </c>
      <c r="V93" s="2">
        <f>SUMIF(SmtRes!AQ79:'SmtRes'!AQ82,"=1",SmtRes!CW79:'SmtRes'!CW82)</f>
        <v>2.0145E-2</v>
      </c>
      <c r="W93" s="2">
        <f t="shared" ref="W93:W109" si="66">ROUND(CX93*I93,2)</f>
        <v>0</v>
      </c>
      <c r="X93" s="2">
        <f t="shared" ref="X93:X109" si="67">ROUND(CY93,2)</f>
        <v>1138.24</v>
      </c>
      <c r="Y93" s="2">
        <f t="shared" ref="Y93:Y109" si="68">ROUND(CZ93,2)</f>
        <v>626.66999999999996</v>
      </c>
      <c r="Z93" s="2"/>
      <c r="AA93" s="2">
        <v>94104265</v>
      </c>
      <c r="AB93" s="2">
        <f t="shared" ref="AB93:AB109" si="69">ROUND((AC93+AD93+AF93),6)</f>
        <v>49670.328399999999</v>
      </c>
      <c r="AC93" s="2">
        <f>ROUND((0),6)</f>
        <v>0</v>
      </c>
      <c r="AD93" s="2">
        <f>ROUND((((SUM(SmtRes!BR79:'SmtRes'!BR82))-(SUM(SmtRes!BS79:'SmtRes'!BS82)))+AE93),6)</f>
        <v>29.482800000000001</v>
      </c>
      <c r="AE93" s="2">
        <f>ROUND((SUM(SmtRes!BS79:'SmtRes'!BS82)),6)</f>
        <v>512.89959999999996</v>
      </c>
      <c r="AF93" s="2">
        <f>ROUND((SUM(SmtRes!BT79:'SmtRes'!BT82)),6)</f>
        <v>49640.845600000001</v>
      </c>
      <c r="AG93" s="2">
        <f t="shared" ref="AG93:AG109" si="70">ROUND((AP93),6)</f>
        <v>0</v>
      </c>
      <c r="AH93" s="2">
        <f>(SUM(SmtRes!BU79:'SmtRes'!BU82))</f>
        <v>78.739999999999995</v>
      </c>
      <c r="AI93" s="2">
        <f>(SUM(SmtRes!BV79:'SmtRes'!BV82))</f>
        <v>0.79</v>
      </c>
      <c r="AJ93" s="2">
        <f t="shared" ref="AJ93:AJ109" si="71">(AS93)</f>
        <v>0</v>
      </c>
      <c r="AK93" s="2">
        <v>50183.227999999996</v>
      </c>
      <c r="AL93" s="2">
        <v>0</v>
      </c>
      <c r="AM93" s="2">
        <v>29.482800000000001</v>
      </c>
      <c r="AN93" s="2">
        <v>512.89960000000008</v>
      </c>
      <c r="AO93" s="2">
        <v>49640.845600000001</v>
      </c>
      <c r="AP93" s="2">
        <v>0</v>
      </c>
      <c r="AQ93" s="2">
        <v>78.739999999999995</v>
      </c>
      <c r="AR93" s="2">
        <v>0.79</v>
      </c>
      <c r="AS93" s="2">
        <v>0</v>
      </c>
      <c r="AT93" s="2">
        <v>89</v>
      </c>
      <c r="AU93" s="2">
        <v>49</v>
      </c>
      <c r="AV93" s="2">
        <v>1</v>
      </c>
      <c r="AW93" s="2">
        <v>1</v>
      </c>
      <c r="AX93" s="2"/>
      <c r="AY93" s="2"/>
      <c r="AZ93" s="2">
        <v>1</v>
      </c>
      <c r="BA93" s="2">
        <v>1</v>
      </c>
      <c r="BB93" s="2">
        <v>1</v>
      </c>
      <c r="BC93" s="2">
        <v>1</v>
      </c>
      <c r="BD93" s="2" t="s">
        <v>3</v>
      </c>
      <c r="BE93" s="2" t="s">
        <v>3</v>
      </c>
      <c r="BF93" s="2" t="s">
        <v>3</v>
      </c>
      <c r="BG93" s="2" t="s">
        <v>3</v>
      </c>
      <c r="BH93" s="2">
        <v>0</v>
      </c>
      <c r="BI93" s="2">
        <v>1</v>
      </c>
      <c r="BJ93" s="2" t="s">
        <v>21</v>
      </c>
      <c r="BK93" s="2"/>
      <c r="BL93" s="2"/>
      <c r="BM93" s="2">
        <v>57001</v>
      </c>
      <c r="BN93" s="2">
        <v>0</v>
      </c>
      <c r="BO93" s="2" t="s">
        <v>3</v>
      </c>
      <c r="BP93" s="2">
        <v>0</v>
      </c>
      <c r="BQ93" s="2">
        <v>6</v>
      </c>
      <c r="BR93" s="2">
        <v>0</v>
      </c>
      <c r="BS93" s="2">
        <v>1</v>
      </c>
      <c r="BT93" s="2">
        <v>1</v>
      </c>
      <c r="BU93" s="2">
        <v>1</v>
      </c>
      <c r="BV93" s="2">
        <v>1</v>
      </c>
      <c r="BW93" s="2">
        <v>1</v>
      </c>
      <c r="BX93" s="2">
        <v>1</v>
      </c>
      <c r="BY93" s="2" t="s">
        <v>3</v>
      </c>
      <c r="BZ93" s="2">
        <v>89</v>
      </c>
      <c r="CA93" s="2">
        <v>49</v>
      </c>
      <c r="CB93" s="2" t="s">
        <v>3</v>
      </c>
      <c r="CC93" s="2"/>
      <c r="CD93" s="2"/>
      <c r="CE93" s="2">
        <v>0</v>
      </c>
      <c r="CF93" s="2">
        <v>0</v>
      </c>
      <c r="CG93" s="2">
        <v>0</v>
      </c>
      <c r="CH93" s="2"/>
      <c r="CI93" s="2"/>
      <c r="CJ93" s="2"/>
      <c r="CK93" s="2"/>
      <c r="CL93" s="2"/>
      <c r="CM93" s="2">
        <v>0</v>
      </c>
      <c r="CN93" s="2" t="s">
        <v>3</v>
      </c>
      <c r="CO93" s="2">
        <v>0</v>
      </c>
      <c r="CP93" s="2">
        <f t="shared" ref="CP93:CP109" si="72">(P93+Q93+S93+R93)</f>
        <v>1280.0999999999999</v>
      </c>
      <c r="CQ93" s="2">
        <f>SUMIF(SmtRes!AQ79:'SmtRes'!AQ82,"=1",SmtRes!AA79:'SmtRes'!AA82)</f>
        <v>0</v>
      </c>
      <c r="CR93" s="2">
        <f>SUMIF(SmtRes!AQ79:'SmtRes'!AQ82,"=1",SmtRes!AB79:'SmtRes'!AB82)</f>
        <v>58.59</v>
      </c>
      <c r="CS93" s="2">
        <f>SUMIF(SmtRes!AQ79:'SmtRes'!AQ82,"=1",SmtRes!AC79:'SmtRes'!AC82)</f>
        <v>649.24</v>
      </c>
      <c r="CT93" s="2">
        <f>SUMIF(SmtRes!AQ79:'SmtRes'!AQ82,"=1",SmtRes!AD79:'SmtRes'!AD82)</f>
        <v>630.44000000000005</v>
      </c>
      <c r="CU93" s="2">
        <f t="shared" ref="CU93:CU109" si="73">AG93</f>
        <v>0</v>
      </c>
      <c r="CV93" s="2">
        <f>SUMIF(SmtRes!AQ79:'SmtRes'!AQ82,"=1",SmtRes!BU79:'SmtRes'!BU82)</f>
        <v>78.739999999999995</v>
      </c>
      <c r="CW93" s="2">
        <f>SUMIF(SmtRes!AQ79:'SmtRes'!AQ82,"=1",SmtRes!BV79:'SmtRes'!BV82)</f>
        <v>0.79</v>
      </c>
      <c r="CX93" s="2">
        <f t="shared" ref="CX93:CX109" si="74">AJ93</f>
        <v>0</v>
      </c>
      <c r="CY93" s="2">
        <f t="shared" ref="CY93:CY109" si="75">(((S93+R93)*AT93)/100)</f>
        <v>1138.2387999999999</v>
      </c>
      <c r="CZ93" s="2">
        <f t="shared" ref="CZ93:CZ109" si="76">(((S93+R93)*AU93)/100)</f>
        <v>626.67079999999999</v>
      </c>
      <c r="DA93" s="2"/>
      <c r="DB93" s="2"/>
      <c r="DC93" s="2" t="s">
        <v>3</v>
      </c>
      <c r="DD93" s="2" t="s">
        <v>3</v>
      </c>
      <c r="DE93" s="2" t="s">
        <v>3</v>
      </c>
      <c r="DF93" s="2" t="s">
        <v>3</v>
      </c>
      <c r="DG93" s="2" t="s">
        <v>3</v>
      </c>
      <c r="DH93" s="2" t="s">
        <v>3</v>
      </c>
      <c r="DI93" s="2" t="s">
        <v>3</v>
      </c>
      <c r="DJ93" s="2" t="s">
        <v>3</v>
      </c>
      <c r="DK93" s="2" t="s">
        <v>3</v>
      </c>
      <c r="DL93" s="2" t="s">
        <v>3</v>
      </c>
      <c r="DM93" s="2" t="s">
        <v>3</v>
      </c>
      <c r="DN93" s="2">
        <v>0</v>
      </c>
      <c r="DO93" s="2">
        <v>0</v>
      </c>
      <c r="DP93" s="2">
        <v>1</v>
      </c>
      <c r="DQ93" s="2">
        <v>1</v>
      </c>
      <c r="DR93" s="2"/>
      <c r="DS93" s="2"/>
      <c r="DT93" s="2"/>
      <c r="DU93" s="2">
        <v>1005</v>
      </c>
      <c r="DV93" s="2" t="s">
        <v>20</v>
      </c>
      <c r="DW93" s="2" t="s">
        <v>20</v>
      </c>
      <c r="DX93" s="2">
        <v>100</v>
      </c>
      <c r="DY93" s="2"/>
      <c r="DZ93" s="2" t="s">
        <v>3</v>
      </c>
      <c r="EA93" s="2" t="s">
        <v>3</v>
      </c>
      <c r="EB93" s="2" t="s">
        <v>3</v>
      </c>
      <c r="EC93" s="2" t="s">
        <v>3</v>
      </c>
      <c r="ED93" s="2"/>
      <c r="EE93" s="2">
        <v>89977071</v>
      </c>
      <c r="EF93" s="2">
        <v>6</v>
      </c>
      <c r="EG93" s="2" t="s">
        <v>22</v>
      </c>
      <c r="EH93" s="2">
        <v>11</v>
      </c>
      <c r="EI93" s="2" t="s">
        <v>23</v>
      </c>
      <c r="EJ93" s="2">
        <v>1</v>
      </c>
      <c r="EK93" s="2">
        <v>57001</v>
      </c>
      <c r="EL93" s="2" t="s">
        <v>23</v>
      </c>
      <c r="EM93" s="2" t="s">
        <v>24</v>
      </c>
      <c r="EN93" s="2"/>
      <c r="EO93" s="2" t="s">
        <v>3</v>
      </c>
      <c r="EP93" s="2"/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78.739999999999995</v>
      </c>
      <c r="EX93" s="2">
        <v>0.79</v>
      </c>
      <c r="EY93" s="2">
        <v>0</v>
      </c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>
        <v>0</v>
      </c>
      <c r="FR93" s="2">
        <v>0</v>
      </c>
      <c r="FS93" s="2">
        <v>0</v>
      </c>
      <c r="FT93" s="2"/>
      <c r="FU93" s="2"/>
      <c r="FV93" s="2"/>
      <c r="FW93" s="2"/>
      <c r="FX93" s="2">
        <v>89</v>
      </c>
      <c r="FY93" s="2">
        <v>49</v>
      </c>
      <c r="FZ93" s="2"/>
      <c r="GA93" s="2" t="s">
        <v>3</v>
      </c>
      <c r="GB93" s="2"/>
      <c r="GC93" s="2"/>
      <c r="GD93" s="2">
        <v>1</v>
      </c>
      <c r="GE93" s="2"/>
      <c r="GF93" s="2">
        <v>-1629797085</v>
      </c>
      <c r="GG93" s="2">
        <v>2</v>
      </c>
      <c r="GH93" s="2">
        <v>1</v>
      </c>
      <c r="GI93" s="2">
        <v>-2</v>
      </c>
      <c r="GJ93" s="2">
        <v>0</v>
      </c>
      <c r="GK93" s="2">
        <v>0</v>
      </c>
      <c r="GL93" s="2">
        <f t="shared" ref="GL93:GL109" si="77">ROUND(IF(AND(BH93=3,BI93=3,FS93&lt;&gt;0),P93,0),2)</f>
        <v>0</v>
      </c>
      <c r="GM93" s="2">
        <f t="shared" ref="GM93:GM109" si="78">ROUND(O93+X93+Y93,2)+GX93</f>
        <v>3045.01</v>
      </c>
      <c r="GN93" s="2">
        <f t="shared" ref="GN93:GN109" si="79">IF(OR(BI93=0,BI93=1),GM93-GX93,0)</f>
        <v>3045.01</v>
      </c>
      <c r="GO93" s="2">
        <f t="shared" ref="GO93:GO109" si="80">IF(BI93=2,GM93-GX93,0)</f>
        <v>0</v>
      </c>
      <c r="GP93" s="2">
        <f t="shared" ref="GP93:GP109" si="81">IF(BI93=4,GM93-GX93,0)</f>
        <v>0</v>
      </c>
      <c r="GQ93" s="2"/>
      <c r="GR93" s="2">
        <v>0</v>
      </c>
      <c r="GS93" s="2">
        <v>0</v>
      </c>
      <c r="GT93" s="2">
        <v>0</v>
      </c>
      <c r="GU93" s="2" t="s">
        <v>3</v>
      </c>
      <c r="GV93" s="2">
        <f t="shared" ref="GV93:GV109" si="82">ROUND((GT93),6)</f>
        <v>0</v>
      </c>
      <c r="GW93" s="2">
        <v>1</v>
      </c>
      <c r="GX93" s="2">
        <f t="shared" ref="GX93:GX109" si="83">ROUND(HC93*I93,2)</f>
        <v>0</v>
      </c>
      <c r="GY93" s="2"/>
      <c r="GZ93" s="2"/>
      <c r="HA93" s="2">
        <v>0</v>
      </c>
      <c r="HB93" s="2">
        <v>0</v>
      </c>
      <c r="HC93" s="2">
        <f t="shared" ref="HC93:HC109" si="84">GV93*GW93</f>
        <v>0</v>
      </c>
      <c r="HD93" s="2"/>
      <c r="HE93" s="2" t="s">
        <v>3</v>
      </c>
      <c r="HF93" s="2" t="s">
        <v>3</v>
      </c>
      <c r="HG93" s="2"/>
      <c r="HH93" s="2"/>
      <c r="HI93" s="2"/>
      <c r="HJ93" s="2"/>
      <c r="HK93" s="2"/>
      <c r="HL93" s="2"/>
      <c r="HM93" s="2" t="s">
        <v>3</v>
      </c>
      <c r="HN93" s="2" t="s">
        <v>25</v>
      </c>
      <c r="HO93" s="2" t="s">
        <v>26</v>
      </c>
      <c r="HP93" s="2" t="s">
        <v>23</v>
      </c>
      <c r="HQ93" s="2" t="s">
        <v>23</v>
      </c>
      <c r="HR93" s="2"/>
      <c r="HS93" s="2">
        <v>0</v>
      </c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>
        <v>0</v>
      </c>
      <c r="IL93" s="2"/>
      <c r="IM93" s="2"/>
      <c r="IN93" s="2"/>
      <c r="IO93" s="2"/>
      <c r="IP93" s="2"/>
      <c r="IQ93" s="2"/>
      <c r="IR93" s="2"/>
      <c r="IS93" s="2"/>
      <c r="IT93" s="2"/>
      <c r="IU93" s="2"/>
    </row>
    <row r="94" spans="1:255" x14ac:dyDescent="0.2">
      <c r="A94" s="2">
        <v>18</v>
      </c>
      <c r="B94" s="2">
        <v>1</v>
      </c>
      <c r="C94" s="2">
        <v>82</v>
      </c>
      <c r="D94" s="2"/>
      <c r="E94" s="2" t="s">
        <v>209</v>
      </c>
      <c r="F94" s="2" t="s">
        <v>28</v>
      </c>
      <c r="G94" s="2" t="s">
        <v>29</v>
      </c>
      <c r="H94" s="2" t="s">
        <v>30</v>
      </c>
      <c r="I94" s="2">
        <f>I93*J94</f>
        <v>0.10964999999999998</v>
      </c>
      <c r="J94" s="2">
        <v>4.3</v>
      </c>
      <c r="K94" s="2">
        <v>4.3</v>
      </c>
      <c r="L94" s="2"/>
      <c r="M94" s="2"/>
      <c r="N94" s="2"/>
      <c r="O94" s="2">
        <f t="shared" si="64"/>
        <v>0</v>
      </c>
      <c r="P94" s="2">
        <f>ROUND(CQ94*I94,2)</f>
        <v>0</v>
      </c>
      <c r="Q94" s="2">
        <f>ROUND(CR94*I94,2)</f>
        <v>0</v>
      </c>
      <c r="R94" s="2">
        <f>ROUND(CS94*I94,2)</f>
        <v>0</v>
      </c>
      <c r="S94" s="2">
        <f>ROUND(CT94*I94,2)</f>
        <v>0</v>
      </c>
      <c r="T94" s="2">
        <f t="shared" si="65"/>
        <v>0</v>
      </c>
      <c r="U94" s="2">
        <f>ROUND(CV94*I94,7)</f>
        <v>0</v>
      </c>
      <c r="V94" s="2">
        <f>ROUND(CW94*I94,7)</f>
        <v>0</v>
      </c>
      <c r="W94" s="2">
        <f t="shared" si="66"/>
        <v>0</v>
      </c>
      <c r="X94" s="2">
        <f t="shared" si="67"/>
        <v>0</v>
      </c>
      <c r="Y94" s="2">
        <f t="shared" si="68"/>
        <v>0</v>
      </c>
      <c r="Z94" s="2"/>
      <c r="AA94" s="2">
        <v>94104265</v>
      </c>
      <c r="AB94" s="2">
        <f t="shared" si="69"/>
        <v>0</v>
      </c>
      <c r="AC94" s="2">
        <f>ROUND((ES94),6)</f>
        <v>0</v>
      </c>
      <c r="AD94" s="2">
        <f>ROUND((((ET94)-(EU94))+AE94),6)</f>
        <v>0</v>
      </c>
      <c r="AE94" s="2">
        <f>ROUND((EU94),6)</f>
        <v>0</v>
      </c>
      <c r="AF94" s="2">
        <f>ROUND((EV94),6)</f>
        <v>0</v>
      </c>
      <c r="AG94" s="2">
        <f t="shared" si="70"/>
        <v>0</v>
      </c>
      <c r="AH94" s="2">
        <f>(EW94)</f>
        <v>0</v>
      </c>
      <c r="AI94" s="2">
        <f>(EX94)</f>
        <v>0</v>
      </c>
      <c r="AJ94" s="2">
        <f t="shared" si="71"/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89</v>
      </c>
      <c r="AU94" s="2">
        <v>49</v>
      </c>
      <c r="AV94" s="2">
        <v>1</v>
      </c>
      <c r="AW94" s="2">
        <v>1</v>
      </c>
      <c r="AX94" s="2"/>
      <c r="AY94" s="2"/>
      <c r="AZ94" s="2">
        <v>1</v>
      </c>
      <c r="BA94" s="2">
        <v>1</v>
      </c>
      <c r="BB94" s="2">
        <v>1</v>
      </c>
      <c r="BC94" s="2">
        <v>1</v>
      </c>
      <c r="BD94" s="2" t="s">
        <v>3</v>
      </c>
      <c r="BE94" s="2" t="s">
        <v>3</v>
      </c>
      <c r="BF94" s="2" t="s">
        <v>3</v>
      </c>
      <c r="BG94" s="2" t="s">
        <v>3</v>
      </c>
      <c r="BH94" s="2">
        <v>3</v>
      </c>
      <c r="BI94" s="2">
        <v>1</v>
      </c>
      <c r="BJ94" s="2" t="s">
        <v>3</v>
      </c>
      <c r="BK94" s="2"/>
      <c r="BL94" s="2"/>
      <c r="BM94" s="2">
        <v>57001</v>
      </c>
      <c r="BN94" s="2">
        <v>0</v>
      </c>
      <c r="BO94" s="2" t="s">
        <v>3</v>
      </c>
      <c r="BP94" s="2">
        <v>0</v>
      </c>
      <c r="BQ94" s="2">
        <v>6</v>
      </c>
      <c r="BR94" s="2">
        <v>0</v>
      </c>
      <c r="BS94" s="2">
        <v>1</v>
      </c>
      <c r="BT94" s="2">
        <v>1</v>
      </c>
      <c r="BU94" s="2">
        <v>1</v>
      </c>
      <c r="BV94" s="2">
        <v>1</v>
      </c>
      <c r="BW94" s="2">
        <v>1</v>
      </c>
      <c r="BX94" s="2">
        <v>1</v>
      </c>
      <c r="BY94" s="2" t="s">
        <v>3</v>
      </c>
      <c r="BZ94" s="2">
        <v>89</v>
      </c>
      <c r="CA94" s="2">
        <v>49</v>
      </c>
      <c r="CB94" s="2" t="s">
        <v>3</v>
      </c>
      <c r="CC94" s="2"/>
      <c r="CD94" s="2"/>
      <c r="CE94" s="2">
        <v>0</v>
      </c>
      <c r="CF94" s="2">
        <v>0</v>
      </c>
      <c r="CG94" s="2">
        <v>0</v>
      </c>
      <c r="CH94" s="2"/>
      <c r="CI94" s="2"/>
      <c r="CJ94" s="2"/>
      <c r="CK94" s="2"/>
      <c r="CL94" s="2"/>
      <c r="CM94" s="2">
        <v>0</v>
      </c>
      <c r="CN94" s="2" t="s">
        <v>3</v>
      </c>
      <c r="CO94" s="2">
        <v>0</v>
      </c>
      <c r="CP94" s="2">
        <f t="shared" si="72"/>
        <v>0</v>
      </c>
      <c r="CQ94" s="2">
        <f>ROUND(AL94*BC94,2)</f>
        <v>0</v>
      </c>
      <c r="CR94" s="2">
        <f>ROUND(AM94*BB94,2)</f>
        <v>0</v>
      </c>
      <c r="CS94" s="2">
        <f>ROUND(AN94*BS94,2)</f>
        <v>0</v>
      </c>
      <c r="CT94" s="2">
        <f>ROUND(AO94*BA94,2)</f>
        <v>0</v>
      </c>
      <c r="CU94" s="2">
        <f t="shared" si="73"/>
        <v>0</v>
      </c>
      <c r="CV94" s="2">
        <f>AH94</f>
        <v>0</v>
      </c>
      <c r="CW94" s="2">
        <f>AI94</f>
        <v>0</v>
      </c>
      <c r="CX94" s="2">
        <f t="shared" si="74"/>
        <v>0</v>
      </c>
      <c r="CY94" s="2">
        <f t="shared" si="75"/>
        <v>0</v>
      </c>
      <c r="CZ94" s="2">
        <f t="shared" si="76"/>
        <v>0</v>
      </c>
      <c r="DA94" s="2"/>
      <c r="DB94" s="2"/>
      <c r="DC94" s="2" t="s">
        <v>3</v>
      </c>
      <c r="DD94" s="2" t="s">
        <v>3</v>
      </c>
      <c r="DE94" s="2" t="s">
        <v>3</v>
      </c>
      <c r="DF94" s="2" t="s">
        <v>3</v>
      </c>
      <c r="DG94" s="2" t="s">
        <v>3</v>
      </c>
      <c r="DH94" s="2" t="s">
        <v>3</v>
      </c>
      <c r="DI94" s="2" t="s">
        <v>3</v>
      </c>
      <c r="DJ94" s="2" t="s">
        <v>3</v>
      </c>
      <c r="DK94" s="2" t="s">
        <v>3</v>
      </c>
      <c r="DL94" s="2" t="s">
        <v>3</v>
      </c>
      <c r="DM94" s="2" t="s">
        <v>3</v>
      </c>
      <c r="DN94" s="2">
        <v>0</v>
      </c>
      <c r="DO94" s="2">
        <v>0</v>
      </c>
      <c r="DP94" s="2">
        <v>1</v>
      </c>
      <c r="DQ94" s="2">
        <v>1</v>
      </c>
      <c r="DR94" s="2"/>
      <c r="DS94" s="2"/>
      <c r="DT94" s="2"/>
      <c r="DU94" s="2">
        <v>1009</v>
      </c>
      <c r="DV94" s="2" t="s">
        <v>30</v>
      </c>
      <c r="DW94" s="2" t="s">
        <v>30</v>
      </c>
      <c r="DX94" s="2">
        <v>1000</v>
      </c>
      <c r="DY94" s="2"/>
      <c r="DZ94" s="2" t="s">
        <v>3</v>
      </c>
      <c r="EA94" s="2" t="s">
        <v>3</v>
      </c>
      <c r="EB94" s="2" t="s">
        <v>3</v>
      </c>
      <c r="EC94" s="2" t="s">
        <v>3</v>
      </c>
      <c r="ED94" s="2"/>
      <c r="EE94" s="2">
        <v>89977071</v>
      </c>
      <c r="EF94" s="2">
        <v>6</v>
      </c>
      <c r="EG94" s="2" t="s">
        <v>22</v>
      </c>
      <c r="EH94" s="2">
        <v>11</v>
      </c>
      <c r="EI94" s="2" t="s">
        <v>23</v>
      </c>
      <c r="EJ94" s="2">
        <v>1</v>
      </c>
      <c r="EK94" s="2">
        <v>57001</v>
      </c>
      <c r="EL94" s="2" t="s">
        <v>23</v>
      </c>
      <c r="EM94" s="2" t="s">
        <v>24</v>
      </c>
      <c r="EN94" s="2"/>
      <c r="EO94" s="2" t="s">
        <v>3</v>
      </c>
      <c r="EP94" s="2"/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0</v>
      </c>
      <c r="EX94" s="2">
        <v>0</v>
      </c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>
        <v>0</v>
      </c>
      <c r="FR94" s="2">
        <v>0</v>
      </c>
      <c r="FS94" s="2">
        <v>0</v>
      </c>
      <c r="FT94" s="2"/>
      <c r="FU94" s="2"/>
      <c r="FV94" s="2"/>
      <c r="FW94" s="2"/>
      <c r="FX94" s="2">
        <v>89</v>
      </c>
      <c r="FY94" s="2">
        <v>49</v>
      </c>
      <c r="FZ94" s="2"/>
      <c r="GA94" s="2" t="s">
        <v>3</v>
      </c>
      <c r="GB94" s="2"/>
      <c r="GC94" s="2"/>
      <c r="GD94" s="2">
        <v>1</v>
      </c>
      <c r="GE94" s="2"/>
      <c r="GF94" s="2">
        <v>2102561428</v>
      </c>
      <c r="GG94" s="2">
        <v>2</v>
      </c>
      <c r="GH94" s="2">
        <v>1</v>
      </c>
      <c r="GI94" s="2">
        <v>-2</v>
      </c>
      <c r="GJ94" s="2">
        <v>0</v>
      </c>
      <c r="GK94" s="2">
        <v>0</v>
      </c>
      <c r="GL94" s="2">
        <f t="shared" si="77"/>
        <v>0</v>
      </c>
      <c r="GM94" s="2">
        <f t="shared" si="78"/>
        <v>0</v>
      </c>
      <c r="GN94" s="2">
        <f t="shared" si="79"/>
        <v>0</v>
      </c>
      <c r="GO94" s="2">
        <f t="shared" si="80"/>
        <v>0</v>
      </c>
      <c r="GP94" s="2">
        <f t="shared" si="81"/>
        <v>0</v>
      </c>
      <c r="GQ94" s="2"/>
      <c r="GR94" s="2">
        <v>0</v>
      </c>
      <c r="GS94" s="2">
        <v>0</v>
      </c>
      <c r="GT94" s="2">
        <v>0</v>
      </c>
      <c r="GU94" s="2" t="s">
        <v>3</v>
      </c>
      <c r="GV94" s="2">
        <f t="shared" si="82"/>
        <v>0</v>
      </c>
      <c r="GW94" s="2">
        <v>1</v>
      </c>
      <c r="GX94" s="2">
        <f t="shared" si="83"/>
        <v>0</v>
      </c>
      <c r="GY94" s="2"/>
      <c r="GZ94" s="2"/>
      <c r="HA94" s="2">
        <v>0</v>
      </c>
      <c r="HB94" s="2">
        <v>0</v>
      </c>
      <c r="HC94" s="2">
        <f t="shared" si="84"/>
        <v>0</v>
      </c>
      <c r="HD94" s="2"/>
      <c r="HE94" s="2" t="s">
        <v>3</v>
      </c>
      <c r="HF94" s="2" t="s">
        <v>3</v>
      </c>
      <c r="HG94" s="2"/>
      <c r="HH94" s="2"/>
      <c r="HI94" s="2"/>
      <c r="HJ94" s="2"/>
      <c r="HK94" s="2"/>
      <c r="HL94" s="2"/>
      <c r="HM94" s="2" t="s">
        <v>3</v>
      </c>
      <c r="HN94" s="2" t="s">
        <v>25</v>
      </c>
      <c r="HO94" s="2" t="s">
        <v>26</v>
      </c>
      <c r="HP94" s="2" t="s">
        <v>23</v>
      </c>
      <c r="HQ94" s="2" t="s">
        <v>23</v>
      </c>
      <c r="HR94" s="2"/>
      <c r="HS94" s="2">
        <v>0</v>
      </c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>
        <v>0</v>
      </c>
      <c r="IL94" s="2"/>
      <c r="IM94" s="2"/>
      <c r="IN94" s="2"/>
      <c r="IO94" s="2"/>
      <c r="IP94" s="2"/>
      <c r="IQ94" s="2"/>
      <c r="IR94" s="2"/>
      <c r="IS94" s="2"/>
      <c r="IT94" s="2"/>
      <c r="IU94" s="2"/>
    </row>
    <row r="95" spans="1:255" x14ac:dyDescent="0.2">
      <c r="A95" s="2">
        <v>17</v>
      </c>
      <c r="B95" s="2">
        <v>1</v>
      </c>
      <c r="C95" s="2">
        <f>ROW(SmtRes!A88)</f>
        <v>88</v>
      </c>
      <c r="D95" s="2">
        <f>ROW(EtalonRes!A88)</f>
        <v>88</v>
      </c>
      <c r="E95" s="2" t="s">
        <v>210</v>
      </c>
      <c r="F95" s="2" t="s">
        <v>32</v>
      </c>
      <c r="G95" s="2" t="s">
        <v>33</v>
      </c>
      <c r="H95" s="2" t="s">
        <v>34</v>
      </c>
      <c r="I95" s="2">
        <f>ROUND(1.5*1.7*0.15,7)</f>
        <v>0.38250000000000001</v>
      </c>
      <c r="J95" s="2">
        <v>0</v>
      </c>
      <c r="K95" s="2">
        <f>ROUND(1.5*1.7*0.15,7)</f>
        <v>0.38250000000000001</v>
      </c>
      <c r="L95" s="2"/>
      <c r="M95" s="2"/>
      <c r="N95" s="2"/>
      <c r="O95" s="2">
        <f t="shared" si="64"/>
        <v>5299.5</v>
      </c>
      <c r="P95" s="2">
        <f>SUMIF(SmtRes!AQ83:'SmtRes'!AQ88,"=1",SmtRes!DF83:'SmtRes'!DF88)</f>
        <v>129.59</v>
      </c>
      <c r="Q95" s="2">
        <f>SUMIF(SmtRes!AQ83:'SmtRes'!AQ88,"=1",SmtRes!DG83:'SmtRes'!DG88)</f>
        <v>311.17999999999995</v>
      </c>
      <c r="R95" s="2">
        <f>SUMIF(SmtRes!AQ83:'SmtRes'!AQ88,"=1",SmtRes!DH83:'SmtRes'!DH88)</f>
        <v>0</v>
      </c>
      <c r="S95" s="2">
        <f>SUMIF(SmtRes!AQ83:'SmtRes'!AQ88,"=1",SmtRes!DI83:'SmtRes'!DI88)</f>
        <v>4858.7299999999996</v>
      </c>
      <c r="T95" s="2">
        <f t="shared" si="65"/>
        <v>0</v>
      </c>
      <c r="U95" s="2">
        <f>SUMIF(SmtRes!AQ83:'SmtRes'!AQ88,"=1",SmtRes!CV83:'SmtRes'!CV88)</f>
        <v>7.5773250000000001</v>
      </c>
      <c r="V95" s="2">
        <f>SUMIF(SmtRes!AQ83:'SmtRes'!AQ88,"=1",SmtRes!CW83:'SmtRes'!CW88)</f>
        <v>0</v>
      </c>
      <c r="W95" s="2">
        <f t="shared" si="66"/>
        <v>0</v>
      </c>
      <c r="X95" s="2">
        <f t="shared" si="67"/>
        <v>4470.03</v>
      </c>
      <c r="Y95" s="2">
        <f t="shared" si="68"/>
        <v>2137.84</v>
      </c>
      <c r="Z95" s="2"/>
      <c r="AA95" s="2">
        <v>94104265</v>
      </c>
      <c r="AB95" s="2">
        <f t="shared" si="69"/>
        <v>13612.693799999999</v>
      </c>
      <c r="AC95" s="2">
        <f>ROUND((SUM(SmtRes!BQ83:'SmtRes'!BQ88)),6)</f>
        <v>317.78660000000002</v>
      </c>
      <c r="AD95" s="2">
        <f>ROUND((((SUM(SmtRes!BR83:'SmtRes'!BR88))-(0))+AE95),6)</f>
        <v>592.33900000000006</v>
      </c>
      <c r="AE95" s="2">
        <f>ROUND((0),6)</f>
        <v>0</v>
      </c>
      <c r="AF95" s="2">
        <f>ROUND((SUM(SmtRes!BT83:'SmtRes'!BT88)),6)</f>
        <v>12702.5682</v>
      </c>
      <c r="AG95" s="2">
        <f t="shared" si="70"/>
        <v>0</v>
      </c>
      <c r="AH95" s="2">
        <f>(SUM(SmtRes!BU83:'SmtRes'!BU88))</f>
        <v>19.809999999999999</v>
      </c>
      <c r="AI95" s="2">
        <f>(0)</f>
        <v>0</v>
      </c>
      <c r="AJ95" s="2">
        <f t="shared" si="71"/>
        <v>0</v>
      </c>
      <c r="AK95" s="2">
        <v>13612.693799999999</v>
      </c>
      <c r="AL95" s="2">
        <v>317.78660000000002</v>
      </c>
      <c r="AM95" s="2">
        <v>592.33900000000006</v>
      </c>
      <c r="AN95" s="2">
        <v>0</v>
      </c>
      <c r="AO95" s="2">
        <v>12702.5682</v>
      </c>
      <c r="AP95" s="2">
        <v>0</v>
      </c>
      <c r="AQ95" s="2">
        <v>19.809999999999999</v>
      </c>
      <c r="AR95" s="2">
        <v>0</v>
      </c>
      <c r="AS95" s="2">
        <v>0</v>
      </c>
      <c r="AT95" s="2">
        <v>92</v>
      </c>
      <c r="AU95" s="2">
        <v>44</v>
      </c>
      <c r="AV95" s="2">
        <v>1</v>
      </c>
      <c r="AW95" s="2">
        <v>1</v>
      </c>
      <c r="AX95" s="2"/>
      <c r="AY95" s="2"/>
      <c r="AZ95" s="2">
        <v>1</v>
      </c>
      <c r="BA95" s="2">
        <v>1</v>
      </c>
      <c r="BB95" s="2">
        <v>1</v>
      </c>
      <c r="BC95" s="2">
        <v>1</v>
      </c>
      <c r="BD95" s="2" t="s">
        <v>3</v>
      </c>
      <c r="BE95" s="2" t="s">
        <v>3</v>
      </c>
      <c r="BF95" s="2" t="s">
        <v>3</v>
      </c>
      <c r="BG95" s="2" t="s">
        <v>3</v>
      </c>
      <c r="BH95" s="2">
        <v>0</v>
      </c>
      <c r="BI95" s="2">
        <v>1</v>
      </c>
      <c r="BJ95" s="2" t="s">
        <v>35</v>
      </c>
      <c r="BK95" s="2"/>
      <c r="BL95" s="2"/>
      <c r="BM95" s="2">
        <v>69001</v>
      </c>
      <c r="BN95" s="2">
        <v>0</v>
      </c>
      <c r="BO95" s="2" t="s">
        <v>3</v>
      </c>
      <c r="BP95" s="2">
        <v>0</v>
      </c>
      <c r="BQ95" s="2">
        <v>6</v>
      </c>
      <c r="BR95" s="2">
        <v>0</v>
      </c>
      <c r="BS95" s="2">
        <v>1</v>
      </c>
      <c r="BT95" s="2">
        <v>1</v>
      </c>
      <c r="BU95" s="2">
        <v>1</v>
      </c>
      <c r="BV95" s="2">
        <v>1</v>
      </c>
      <c r="BW95" s="2">
        <v>1</v>
      </c>
      <c r="BX95" s="2">
        <v>1</v>
      </c>
      <c r="BY95" s="2" t="s">
        <v>3</v>
      </c>
      <c r="BZ95" s="2">
        <v>92</v>
      </c>
      <c r="CA95" s="2">
        <v>44</v>
      </c>
      <c r="CB95" s="2" t="s">
        <v>3</v>
      </c>
      <c r="CC95" s="2"/>
      <c r="CD95" s="2"/>
      <c r="CE95" s="2">
        <v>0</v>
      </c>
      <c r="CF95" s="2">
        <v>0</v>
      </c>
      <c r="CG95" s="2">
        <v>0</v>
      </c>
      <c r="CH95" s="2"/>
      <c r="CI95" s="2"/>
      <c r="CJ95" s="2"/>
      <c r="CK95" s="2"/>
      <c r="CL95" s="2"/>
      <c r="CM95" s="2">
        <v>0</v>
      </c>
      <c r="CN95" s="2" t="s">
        <v>3</v>
      </c>
      <c r="CO95" s="2">
        <v>0</v>
      </c>
      <c r="CP95" s="2">
        <f t="shared" si="72"/>
        <v>5299.5</v>
      </c>
      <c r="CQ95" s="2">
        <f>SUMIF(SmtRes!AQ83:'SmtRes'!AQ88,"=1",SmtRes!AA83:'SmtRes'!AA88)</f>
        <v>643.25</v>
      </c>
      <c r="CR95" s="2">
        <f>SUMIF(SmtRes!AQ83:'SmtRes'!AQ88,"=1",SmtRes!AB83:'SmtRes'!AB88)</f>
        <v>100.17999999999999</v>
      </c>
      <c r="CS95" s="2">
        <f>SUMIF(SmtRes!AQ83:'SmtRes'!AQ88,"=1",SmtRes!AC83:'SmtRes'!AC88)</f>
        <v>0</v>
      </c>
      <c r="CT95" s="2">
        <f>SUMIF(SmtRes!AQ83:'SmtRes'!AQ88,"=1",SmtRes!AD83:'SmtRes'!AD88)</f>
        <v>641.22</v>
      </c>
      <c r="CU95" s="2">
        <f t="shared" si="73"/>
        <v>0</v>
      </c>
      <c r="CV95" s="2">
        <f>SUMIF(SmtRes!AQ83:'SmtRes'!AQ88,"=1",SmtRes!BU83:'SmtRes'!BU88)</f>
        <v>19.809999999999999</v>
      </c>
      <c r="CW95" s="2">
        <f>SUMIF(SmtRes!AQ83:'SmtRes'!AQ88,"=1",SmtRes!BV83:'SmtRes'!BV88)</f>
        <v>0</v>
      </c>
      <c r="CX95" s="2">
        <f t="shared" si="74"/>
        <v>0</v>
      </c>
      <c r="CY95" s="2">
        <f t="shared" si="75"/>
        <v>4470.0315999999993</v>
      </c>
      <c r="CZ95" s="2">
        <f t="shared" si="76"/>
        <v>2137.8411999999998</v>
      </c>
      <c r="DA95" s="2"/>
      <c r="DB95" s="2"/>
      <c r="DC95" s="2" t="s">
        <v>3</v>
      </c>
      <c r="DD95" s="2" t="s">
        <v>3</v>
      </c>
      <c r="DE95" s="2" t="s">
        <v>3</v>
      </c>
      <c r="DF95" s="2" t="s">
        <v>3</v>
      </c>
      <c r="DG95" s="2" t="s">
        <v>3</v>
      </c>
      <c r="DH95" s="2" t="s">
        <v>3</v>
      </c>
      <c r="DI95" s="2" t="s">
        <v>3</v>
      </c>
      <c r="DJ95" s="2" t="s">
        <v>3</v>
      </c>
      <c r="DK95" s="2" t="s">
        <v>3</v>
      </c>
      <c r="DL95" s="2" t="s">
        <v>3</v>
      </c>
      <c r="DM95" s="2" t="s">
        <v>3</v>
      </c>
      <c r="DN95" s="2">
        <v>0</v>
      </c>
      <c r="DO95" s="2">
        <v>0</v>
      </c>
      <c r="DP95" s="2">
        <v>1</v>
      </c>
      <c r="DQ95" s="2">
        <v>1</v>
      </c>
      <c r="DR95" s="2"/>
      <c r="DS95" s="2"/>
      <c r="DT95" s="2"/>
      <c r="DU95" s="2">
        <v>1007</v>
      </c>
      <c r="DV95" s="2" t="s">
        <v>34</v>
      </c>
      <c r="DW95" s="2" t="s">
        <v>34</v>
      </c>
      <c r="DX95" s="2">
        <v>1</v>
      </c>
      <c r="DY95" s="2"/>
      <c r="DZ95" s="2" t="s">
        <v>3</v>
      </c>
      <c r="EA95" s="2" t="s">
        <v>3</v>
      </c>
      <c r="EB95" s="2" t="s">
        <v>3</v>
      </c>
      <c r="EC95" s="2" t="s">
        <v>3</v>
      </c>
      <c r="ED95" s="2"/>
      <c r="EE95" s="2">
        <v>89977119</v>
      </c>
      <c r="EF95" s="2">
        <v>6</v>
      </c>
      <c r="EG95" s="2" t="s">
        <v>22</v>
      </c>
      <c r="EH95" s="2">
        <v>103</v>
      </c>
      <c r="EI95" s="2" t="s">
        <v>36</v>
      </c>
      <c r="EJ95" s="2">
        <v>1</v>
      </c>
      <c r="EK95" s="2">
        <v>69001</v>
      </c>
      <c r="EL95" s="2" t="s">
        <v>36</v>
      </c>
      <c r="EM95" s="2" t="s">
        <v>37</v>
      </c>
      <c r="EN95" s="2"/>
      <c r="EO95" s="2" t="s">
        <v>3</v>
      </c>
      <c r="EP95" s="2"/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19.809999999999999</v>
      </c>
      <c r="EX95" s="2">
        <v>0</v>
      </c>
      <c r="EY95" s="2">
        <v>0</v>
      </c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>
        <v>0</v>
      </c>
      <c r="FR95" s="2">
        <v>0</v>
      </c>
      <c r="FS95" s="2">
        <v>0</v>
      </c>
      <c r="FT95" s="2"/>
      <c r="FU95" s="2"/>
      <c r="FV95" s="2"/>
      <c r="FW95" s="2"/>
      <c r="FX95" s="2">
        <v>92</v>
      </c>
      <c r="FY95" s="2">
        <v>44</v>
      </c>
      <c r="FZ95" s="2"/>
      <c r="GA95" s="2" t="s">
        <v>3</v>
      </c>
      <c r="GB95" s="2"/>
      <c r="GC95" s="2"/>
      <c r="GD95" s="2">
        <v>1</v>
      </c>
      <c r="GE95" s="2"/>
      <c r="GF95" s="2">
        <v>1982531256</v>
      </c>
      <c r="GG95" s="2">
        <v>2</v>
      </c>
      <c r="GH95" s="2">
        <v>1</v>
      </c>
      <c r="GI95" s="2">
        <v>-2</v>
      </c>
      <c r="GJ95" s="2">
        <v>0</v>
      </c>
      <c r="GK95" s="2">
        <v>0</v>
      </c>
      <c r="GL95" s="2">
        <f t="shared" si="77"/>
        <v>0</v>
      </c>
      <c r="GM95" s="2">
        <f t="shared" si="78"/>
        <v>11907.37</v>
      </c>
      <c r="GN95" s="2">
        <f t="shared" si="79"/>
        <v>11907.37</v>
      </c>
      <c r="GO95" s="2">
        <f t="shared" si="80"/>
        <v>0</v>
      </c>
      <c r="GP95" s="2">
        <f t="shared" si="81"/>
        <v>0</v>
      </c>
      <c r="GQ95" s="2"/>
      <c r="GR95" s="2">
        <v>0</v>
      </c>
      <c r="GS95" s="2">
        <v>0</v>
      </c>
      <c r="GT95" s="2">
        <v>0</v>
      </c>
      <c r="GU95" s="2" t="s">
        <v>3</v>
      </c>
      <c r="GV95" s="2">
        <f t="shared" si="82"/>
        <v>0</v>
      </c>
      <c r="GW95" s="2">
        <v>1</v>
      </c>
      <c r="GX95" s="2">
        <f t="shared" si="83"/>
        <v>0</v>
      </c>
      <c r="GY95" s="2"/>
      <c r="GZ95" s="2"/>
      <c r="HA95" s="2">
        <v>0</v>
      </c>
      <c r="HB95" s="2">
        <v>0</v>
      </c>
      <c r="HC95" s="2">
        <f t="shared" si="84"/>
        <v>0</v>
      </c>
      <c r="HD95" s="2"/>
      <c r="HE95" s="2" t="s">
        <v>3</v>
      </c>
      <c r="HF95" s="2" t="s">
        <v>3</v>
      </c>
      <c r="HG95" s="2"/>
      <c r="HH95" s="2"/>
      <c r="HI95" s="2"/>
      <c r="HJ95" s="2"/>
      <c r="HK95" s="2"/>
      <c r="HL95" s="2"/>
      <c r="HM95" s="2" t="s">
        <v>3</v>
      </c>
      <c r="HN95" s="2" t="s">
        <v>38</v>
      </c>
      <c r="HO95" s="2" t="s">
        <v>39</v>
      </c>
      <c r="HP95" s="2" t="s">
        <v>36</v>
      </c>
      <c r="HQ95" s="2" t="s">
        <v>36</v>
      </c>
      <c r="HR95" s="2"/>
      <c r="HS95" s="2">
        <v>0</v>
      </c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>
        <v>0</v>
      </c>
      <c r="IL95" s="2"/>
      <c r="IM95" s="2"/>
      <c r="IN95" s="2"/>
      <c r="IO95" s="2"/>
      <c r="IP95" s="2"/>
      <c r="IQ95" s="2"/>
      <c r="IR95" s="2"/>
      <c r="IS95" s="2"/>
      <c r="IT95" s="2"/>
      <c r="IU95" s="2"/>
    </row>
    <row r="96" spans="1:255" x14ac:dyDescent="0.2">
      <c r="A96" s="2">
        <v>17</v>
      </c>
      <c r="B96" s="2">
        <v>1</v>
      </c>
      <c r="C96" s="2">
        <f>ROW(SmtRes!A102)</f>
        <v>102</v>
      </c>
      <c r="D96" s="2">
        <f>ROW(EtalonRes!A102)</f>
        <v>102</v>
      </c>
      <c r="E96" s="2" t="s">
        <v>211</v>
      </c>
      <c r="F96" s="2" t="s">
        <v>41</v>
      </c>
      <c r="G96" s="2" t="s">
        <v>42</v>
      </c>
      <c r="H96" s="2" t="s">
        <v>34</v>
      </c>
      <c r="I96" s="2">
        <v>0.38250000000000001</v>
      </c>
      <c r="J96" s="2">
        <v>0</v>
      </c>
      <c r="K96" s="2">
        <v>0.38250000000000001</v>
      </c>
      <c r="L96" s="2"/>
      <c r="M96" s="2"/>
      <c r="N96" s="2"/>
      <c r="O96" s="2">
        <f t="shared" si="64"/>
        <v>1901.96</v>
      </c>
      <c r="P96" s="2">
        <f>SUMIF(SmtRes!AQ89:'SmtRes'!AQ102,"=1",SmtRes!DF89:'SmtRes'!DF102)</f>
        <v>632.74</v>
      </c>
      <c r="Q96" s="2">
        <f>SUMIF(SmtRes!AQ89:'SmtRes'!AQ102,"=1",SmtRes!DG89:'SmtRes'!DG102)</f>
        <v>30.28</v>
      </c>
      <c r="R96" s="2">
        <f>SUMIF(SmtRes!AQ89:'SmtRes'!AQ102,"=1",SmtRes!DH89:'SmtRes'!DH102)</f>
        <v>34.520000000000003</v>
      </c>
      <c r="S96" s="2">
        <f>SUMIF(SmtRes!AQ89:'SmtRes'!AQ102,"=1",SmtRes!DI89:'SmtRes'!DI102)</f>
        <v>1204.42</v>
      </c>
      <c r="T96" s="2">
        <f t="shared" si="65"/>
        <v>0</v>
      </c>
      <c r="U96" s="2">
        <f>SUMIF(SmtRes!AQ89:'SmtRes'!AQ102,"=1",SmtRes!CV89:'SmtRes'!CV102)</f>
        <v>1.8551249999999999</v>
      </c>
      <c r="V96" s="2">
        <f>SUMIF(SmtRes!AQ89:'SmtRes'!AQ102,"=1",SmtRes!CW89:'SmtRes'!CW102)</f>
        <v>4.5900000000000003E-2</v>
      </c>
      <c r="W96" s="2">
        <f t="shared" si="66"/>
        <v>0</v>
      </c>
      <c r="X96" s="2">
        <f t="shared" si="67"/>
        <v>1263.72</v>
      </c>
      <c r="Y96" s="2">
        <f t="shared" si="68"/>
        <v>718.59</v>
      </c>
      <c r="Z96" s="2"/>
      <c r="AA96" s="2">
        <v>94104265</v>
      </c>
      <c r="AB96" s="2">
        <f t="shared" si="69"/>
        <v>4351.3340639999997</v>
      </c>
      <c r="AC96" s="2">
        <f>ROUND((SUM(SmtRes!BQ89:'SmtRes'!BQ102)),6)</f>
        <v>1124.106364</v>
      </c>
      <c r="AD96" s="2">
        <f>ROUND((((SUM(SmtRes!BR89:'SmtRes'!BR102))-(SUM(SmtRes!BS89:'SmtRes'!BS102)))+AE96),6)</f>
        <v>78.413700000000006</v>
      </c>
      <c r="AE96" s="2">
        <f>ROUND((SUM(SmtRes!BS89:'SmtRes'!BS102)),6)</f>
        <v>90.239199999999997</v>
      </c>
      <c r="AF96" s="2">
        <f>ROUND((SUM(SmtRes!BT89:'SmtRes'!BT102)),6)</f>
        <v>3148.8139999999999</v>
      </c>
      <c r="AG96" s="2">
        <f t="shared" si="70"/>
        <v>0</v>
      </c>
      <c r="AH96" s="2">
        <f>(SUM(SmtRes!BU89:'SmtRes'!BU102))</f>
        <v>4.8499999999999996</v>
      </c>
      <c r="AI96" s="2">
        <f>(SUM(SmtRes!BV89:'SmtRes'!BV102))</f>
        <v>0.12</v>
      </c>
      <c r="AJ96" s="2">
        <f t="shared" si="71"/>
        <v>0</v>
      </c>
      <c r="AK96" s="2">
        <v>4441.5732639999997</v>
      </c>
      <c r="AL96" s="2">
        <v>1124.106364</v>
      </c>
      <c r="AM96" s="2">
        <v>78.413699999999992</v>
      </c>
      <c r="AN96" s="2">
        <v>90.239200000000011</v>
      </c>
      <c r="AO96" s="2">
        <v>3148.8139999999999</v>
      </c>
      <c r="AP96" s="2">
        <v>0</v>
      </c>
      <c r="AQ96" s="2">
        <v>4.8499999999999996</v>
      </c>
      <c r="AR96" s="2">
        <v>0.12</v>
      </c>
      <c r="AS96" s="2">
        <v>0</v>
      </c>
      <c r="AT96" s="2">
        <v>102</v>
      </c>
      <c r="AU96" s="2">
        <v>58</v>
      </c>
      <c r="AV96" s="2">
        <v>1</v>
      </c>
      <c r="AW96" s="2">
        <v>1</v>
      </c>
      <c r="AX96" s="2"/>
      <c r="AY96" s="2"/>
      <c r="AZ96" s="2">
        <v>1</v>
      </c>
      <c r="BA96" s="2">
        <v>1</v>
      </c>
      <c r="BB96" s="2">
        <v>1</v>
      </c>
      <c r="BC96" s="2">
        <v>1</v>
      </c>
      <c r="BD96" s="2" t="s">
        <v>3</v>
      </c>
      <c r="BE96" s="2" t="s">
        <v>3</v>
      </c>
      <c r="BF96" s="2" t="s">
        <v>3</v>
      </c>
      <c r="BG96" s="2" t="s">
        <v>3</v>
      </c>
      <c r="BH96" s="2">
        <v>0</v>
      </c>
      <c r="BI96" s="2">
        <v>1</v>
      </c>
      <c r="BJ96" s="2" t="s">
        <v>43</v>
      </c>
      <c r="BK96" s="2"/>
      <c r="BL96" s="2"/>
      <c r="BM96" s="2">
        <v>6001</v>
      </c>
      <c r="BN96" s="2">
        <v>0</v>
      </c>
      <c r="BO96" s="2" t="s">
        <v>3</v>
      </c>
      <c r="BP96" s="2">
        <v>0</v>
      </c>
      <c r="BQ96" s="2">
        <v>2</v>
      </c>
      <c r="BR96" s="2">
        <v>0</v>
      </c>
      <c r="BS96" s="2">
        <v>1</v>
      </c>
      <c r="BT96" s="2">
        <v>1</v>
      </c>
      <c r="BU96" s="2">
        <v>1</v>
      </c>
      <c r="BV96" s="2">
        <v>1</v>
      </c>
      <c r="BW96" s="2">
        <v>1</v>
      </c>
      <c r="BX96" s="2">
        <v>1</v>
      </c>
      <c r="BY96" s="2" t="s">
        <v>3</v>
      </c>
      <c r="BZ96" s="2">
        <v>102</v>
      </c>
      <c r="CA96" s="2">
        <v>58</v>
      </c>
      <c r="CB96" s="2" t="s">
        <v>3</v>
      </c>
      <c r="CC96" s="2"/>
      <c r="CD96" s="2"/>
      <c r="CE96" s="2">
        <v>0</v>
      </c>
      <c r="CF96" s="2">
        <v>0</v>
      </c>
      <c r="CG96" s="2">
        <v>0</v>
      </c>
      <c r="CH96" s="2"/>
      <c r="CI96" s="2"/>
      <c r="CJ96" s="2"/>
      <c r="CK96" s="2"/>
      <c r="CL96" s="2"/>
      <c r="CM96" s="2">
        <v>0</v>
      </c>
      <c r="CN96" s="2" t="s">
        <v>3</v>
      </c>
      <c r="CO96" s="2">
        <v>0</v>
      </c>
      <c r="CP96" s="2">
        <f t="shared" si="72"/>
        <v>1901.96</v>
      </c>
      <c r="CQ96" s="2">
        <f>SUMIF(SmtRes!AQ89:'SmtRes'!AQ102,"=1",SmtRes!AA89:'SmtRes'!AA102)</f>
        <v>23984.75</v>
      </c>
      <c r="CR96" s="2">
        <f>SUMIF(SmtRes!AQ89:'SmtRes'!AQ102,"=1",SmtRes!AB89:'SmtRes'!AB102)</f>
        <v>2155.39</v>
      </c>
      <c r="CS96" s="2">
        <f>SUMIF(SmtRes!AQ89:'SmtRes'!AQ102,"=1",SmtRes!AC89:'SmtRes'!AC102)</f>
        <v>1713.12</v>
      </c>
      <c r="CT96" s="2">
        <f>SUMIF(SmtRes!AQ89:'SmtRes'!AQ102,"=1",SmtRes!AD89:'SmtRes'!AD102)</f>
        <v>649.24</v>
      </c>
      <c r="CU96" s="2">
        <f t="shared" si="73"/>
        <v>0</v>
      </c>
      <c r="CV96" s="2">
        <f>SUMIF(SmtRes!AQ89:'SmtRes'!AQ102,"=1",SmtRes!BU89:'SmtRes'!BU102)</f>
        <v>4.8499999999999996</v>
      </c>
      <c r="CW96" s="2">
        <f>SUMIF(SmtRes!AQ89:'SmtRes'!AQ102,"=1",SmtRes!BV89:'SmtRes'!BV102)</f>
        <v>0.12</v>
      </c>
      <c r="CX96" s="2">
        <f t="shared" si="74"/>
        <v>0</v>
      </c>
      <c r="CY96" s="2">
        <f t="shared" si="75"/>
        <v>1263.7188000000001</v>
      </c>
      <c r="CZ96" s="2">
        <f t="shared" si="76"/>
        <v>718.58519999999999</v>
      </c>
      <c r="DA96" s="2"/>
      <c r="DB96" s="2"/>
      <c r="DC96" s="2" t="s">
        <v>3</v>
      </c>
      <c r="DD96" s="2" t="s">
        <v>3</v>
      </c>
      <c r="DE96" s="2" t="s">
        <v>3</v>
      </c>
      <c r="DF96" s="2" t="s">
        <v>3</v>
      </c>
      <c r="DG96" s="2" t="s">
        <v>3</v>
      </c>
      <c r="DH96" s="2" t="s">
        <v>3</v>
      </c>
      <c r="DI96" s="2" t="s">
        <v>3</v>
      </c>
      <c r="DJ96" s="2" t="s">
        <v>3</v>
      </c>
      <c r="DK96" s="2" t="s">
        <v>3</v>
      </c>
      <c r="DL96" s="2" t="s">
        <v>3</v>
      </c>
      <c r="DM96" s="2" t="s">
        <v>3</v>
      </c>
      <c r="DN96" s="2">
        <v>0</v>
      </c>
      <c r="DO96" s="2">
        <v>0</v>
      </c>
      <c r="DP96" s="2">
        <v>1</v>
      </c>
      <c r="DQ96" s="2">
        <v>1</v>
      </c>
      <c r="DR96" s="2"/>
      <c r="DS96" s="2"/>
      <c r="DT96" s="2"/>
      <c r="DU96" s="2">
        <v>1007</v>
      </c>
      <c r="DV96" s="2" t="s">
        <v>34</v>
      </c>
      <c r="DW96" s="2" t="s">
        <v>34</v>
      </c>
      <c r="DX96" s="2">
        <v>1</v>
      </c>
      <c r="DY96" s="2"/>
      <c r="DZ96" s="2" t="s">
        <v>3</v>
      </c>
      <c r="EA96" s="2" t="s">
        <v>3</v>
      </c>
      <c r="EB96" s="2" t="s">
        <v>3</v>
      </c>
      <c r="EC96" s="2" t="s">
        <v>3</v>
      </c>
      <c r="ED96" s="2"/>
      <c r="EE96" s="2">
        <v>89976980</v>
      </c>
      <c r="EF96" s="2">
        <v>2</v>
      </c>
      <c r="EG96" s="2" t="s">
        <v>44</v>
      </c>
      <c r="EH96" s="2">
        <v>6</v>
      </c>
      <c r="EI96" s="2" t="s">
        <v>45</v>
      </c>
      <c r="EJ96" s="2">
        <v>1</v>
      </c>
      <c r="EK96" s="2">
        <v>6001</v>
      </c>
      <c r="EL96" s="2" t="s">
        <v>45</v>
      </c>
      <c r="EM96" s="2" t="s">
        <v>46</v>
      </c>
      <c r="EN96" s="2"/>
      <c r="EO96" s="2" t="s">
        <v>3</v>
      </c>
      <c r="EP96" s="2"/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4.8499999999999996</v>
      </c>
      <c r="EX96" s="2">
        <v>0.12</v>
      </c>
      <c r="EY96" s="2">
        <v>0</v>
      </c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>
        <v>0</v>
      </c>
      <c r="FR96" s="2">
        <v>0</v>
      </c>
      <c r="FS96" s="2">
        <v>0</v>
      </c>
      <c r="FT96" s="2"/>
      <c r="FU96" s="2"/>
      <c r="FV96" s="2"/>
      <c r="FW96" s="2"/>
      <c r="FX96" s="2">
        <v>102</v>
      </c>
      <c r="FY96" s="2">
        <v>58</v>
      </c>
      <c r="FZ96" s="2"/>
      <c r="GA96" s="2" t="s">
        <v>3</v>
      </c>
      <c r="GB96" s="2"/>
      <c r="GC96" s="2"/>
      <c r="GD96" s="2">
        <v>1</v>
      </c>
      <c r="GE96" s="2"/>
      <c r="GF96" s="2">
        <v>-1301182781</v>
      </c>
      <c r="GG96" s="2">
        <v>2</v>
      </c>
      <c r="GH96" s="2">
        <v>1</v>
      </c>
      <c r="GI96" s="2">
        <v>-2</v>
      </c>
      <c r="GJ96" s="2">
        <v>0</v>
      </c>
      <c r="GK96" s="2">
        <v>0</v>
      </c>
      <c r="GL96" s="2">
        <f t="shared" si="77"/>
        <v>0</v>
      </c>
      <c r="GM96" s="2">
        <f t="shared" si="78"/>
        <v>3884.27</v>
      </c>
      <c r="GN96" s="2">
        <f t="shared" si="79"/>
        <v>3884.27</v>
      </c>
      <c r="GO96" s="2">
        <f t="shared" si="80"/>
        <v>0</v>
      </c>
      <c r="GP96" s="2">
        <f t="shared" si="81"/>
        <v>0</v>
      </c>
      <c r="GQ96" s="2"/>
      <c r="GR96" s="2">
        <v>0</v>
      </c>
      <c r="GS96" s="2">
        <v>0</v>
      </c>
      <c r="GT96" s="2">
        <v>0</v>
      </c>
      <c r="GU96" s="2" t="s">
        <v>3</v>
      </c>
      <c r="GV96" s="2">
        <f t="shared" si="82"/>
        <v>0</v>
      </c>
      <c r="GW96" s="2">
        <v>1</v>
      </c>
      <c r="GX96" s="2">
        <f t="shared" si="83"/>
        <v>0</v>
      </c>
      <c r="GY96" s="2"/>
      <c r="GZ96" s="2"/>
      <c r="HA96" s="2">
        <v>0</v>
      </c>
      <c r="HB96" s="2">
        <v>0</v>
      </c>
      <c r="HC96" s="2">
        <f t="shared" si="84"/>
        <v>0</v>
      </c>
      <c r="HD96" s="2"/>
      <c r="HE96" s="2" t="s">
        <v>3</v>
      </c>
      <c r="HF96" s="2" t="s">
        <v>3</v>
      </c>
      <c r="HG96" s="2"/>
      <c r="HH96" s="2"/>
      <c r="HI96" s="2"/>
      <c r="HJ96" s="2"/>
      <c r="HK96" s="2"/>
      <c r="HL96" s="2"/>
      <c r="HM96" s="2" t="s">
        <v>3</v>
      </c>
      <c r="HN96" s="2" t="s">
        <v>47</v>
      </c>
      <c r="HO96" s="2" t="s">
        <v>48</v>
      </c>
      <c r="HP96" s="2" t="s">
        <v>45</v>
      </c>
      <c r="HQ96" s="2" t="s">
        <v>45</v>
      </c>
      <c r="HR96" s="2"/>
      <c r="HS96" s="2">
        <v>0</v>
      </c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>
        <v>0</v>
      </c>
      <c r="IL96" s="2"/>
      <c r="IM96" s="2"/>
      <c r="IN96" s="2"/>
      <c r="IO96" s="2"/>
      <c r="IP96" s="2"/>
      <c r="IQ96" s="2"/>
      <c r="IR96" s="2"/>
      <c r="IS96" s="2"/>
      <c r="IT96" s="2"/>
      <c r="IU96" s="2"/>
    </row>
    <row r="97" spans="1:255" x14ac:dyDescent="0.2">
      <c r="A97" s="2">
        <v>18</v>
      </c>
      <c r="B97" s="2">
        <v>1</v>
      </c>
      <c r="C97" s="2">
        <v>97</v>
      </c>
      <c r="D97" s="2"/>
      <c r="E97" s="2" t="s">
        <v>212</v>
      </c>
      <c r="F97" s="2" t="s">
        <v>50</v>
      </c>
      <c r="G97" s="2" t="s">
        <v>51</v>
      </c>
      <c r="H97" s="2" t="s">
        <v>34</v>
      </c>
      <c r="I97" s="2">
        <f>I96*J97</f>
        <v>0.38823750000000007</v>
      </c>
      <c r="J97" s="2">
        <v>1.0150000000000001</v>
      </c>
      <c r="K97" s="2">
        <v>1.0149999999999999</v>
      </c>
      <c r="L97" s="2"/>
      <c r="M97" s="2"/>
      <c r="N97" s="2"/>
      <c r="O97" s="2">
        <f t="shared" si="64"/>
        <v>2351.48</v>
      </c>
      <c r="P97" s="2">
        <f>ROUND(CQ97*I97,2)</f>
        <v>2351.48</v>
      </c>
      <c r="Q97" s="2">
        <f>ROUND(CR97*I97,2)</f>
        <v>0</v>
      </c>
      <c r="R97" s="2">
        <f>ROUND(CS97*I97,2)</f>
        <v>0</v>
      </c>
      <c r="S97" s="2">
        <f>ROUND(CT97*I97,2)</f>
        <v>0</v>
      </c>
      <c r="T97" s="2">
        <f t="shared" si="65"/>
        <v>0</v>
      </c>
      <c r="U97" s="2">
        <f>ROUND(CV97*I97,7)</f>
        <v>0</v>
      </c>
      <c r="V97" s="2">
        <f>ROUND(CW97*I97,7)</f>
        <v>0</v>
      </c>
      <c r="W97" s="2">
        <f t="shared" si="66"/>
        <v>0</v>
      </c>
      <c r="X97" s="2">
        <f t="shared" si="67"/>
        <v>0</v>
      </c>
      <c r="Y97" s="2">
        <f t="shared" si="68"/>
        <v>0</v>
      </c>
      <c r="Z97" s="2"/>
      <c r="AA97" s="2">
        <v>94104265</v>
      </c>
      <c r="AB97" s="2">
        <f t="shared" si="69"/>
        <v>6056.81</v>
      </c>
      <c r="AC97" s="2">
        <f>ROUND((ES97),6)</f>
        <v>6056.81</v>
      </c>
      <c r="AD97" s="2">
        <f>ROUND((((ET97)-(EU97))+AE97),6)</f>
        <v>0</v>
      </c>
      <c r="AE97" s="2">
        <f t="shared" ref="AE97:AF99" si="85">ROUND((EU97),6)</f>
        <v>0</v>
      </c>
      <c r="AF97" s="2">
        <f t="shared" si="85"/>
        <v>0</v>
      </c>
      <c r="AG97" s="2">
        <f t="shared" si="70"/>
        <v>0</v>
      </c>
      <c r="AH97" s="2">
        <f t="shared" ref="AH97:AI99" si="86">(EW97)</f>
        <v>0</v>
      </c>
      <c r="AI97" s="2">
        <f t="shared" si="86"/>
        <v>0</v>
      </c>
      <c r="AJ97" s="2">
        <f t="shared" si="71"/>
        <v>0</v>
      </c>
      <c r="AK97" s="2">
        <v>6056.81</v>
      </c>
      <c r="AL97" s="2">
        <v>6056.81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102</v>
      </c>
      <c r="AU97" s="2">
        <v>58</v>
      </c>
      <c r="AV97" s="2">
        <v>1</v>
      </c>
      <c r="AW97" s="2">
        <v>1</v>
      </c>
      <c r="AX97" s="2"/>
      <c r="AY97" s="2"/>
      <c r="AZ97" s="2">
        <v>1</v>
      </c>
      <c r="BA97" s="2">
        <v>1</v>
      </c>
      <c r="BB97" s="2">
        <v>1</v>
      </c>
      <c r="BC97" s="2">
        <v>1</v>
      </c>
      <c r="BD97" s="2" t="s">
        <v>3</v>
      </c>
      <c r="BE97" s="2" t="s">
        <v>3</v>
      </c>
      <c r="BF97" s="2" t="s">
        <v>3</v>
      </c>
      <c r="BG97" s="2" t="s">
        <v>3</v>
      </c>
      <c r="BH97" s="2">
        <v>3</v>
      </c>
      <c r="BI97" s="2">
        <v>1</v>
      </c>
      <c r="BJ97" s="2" t="s">
        <v>52</v>
      </c>
      <c r="BK97" s="2"/>
      <c r="BL97" s="2"/>
      <c r="BM97" s="2">
        <v>6001</v>
      </c>
      <c r="BN97" s="2">
        <v>0</v>
      </c>
      <c r="BO97" s="2" t="s">
        <v>3</v>
      </c>
      <c r="BP97" s="2">
        <v>0</v>
      </c>
      <c r="BQ97" s="2">
        <v>2</v>
      </c>
      <c r="BR97" s="2">
        <v>0</v>
      </c>
      <c r="BS97" s="2">
        <v>1</v>
      </c>
      <c r="BT97" s="2">
        <v>1</v>
      </c>
      <c r="BU97" s="2">
        <v>1</v>
      </c>
      <c r="BV97" s="2">
        <v>1</v>
      </c>
      <c r="BW97" s="2">
        <v>1</v>
      </c>
      <c r="BX97" s="2">
        <v>1</v>
      </c>
      <c r="BY97" s="2" t="s">
        <v>3</v>
      </c>
      <c r="BZ97" s="2">
        <v>102</v>
      </c>
      <c r="CA97" s="2">
        <v>58</v>
      </c>
      <c r="CB97" s="2" t="s">
        <v>3</v>
      </c>
      <c r="CC97" s="2"/>
      <c r="CD97" s="2"/>
      <c r="CE97" s="2">
        <v>0</v>
      </c>
      <c r="CF97" s="2">
        <v>0</v>
      </c>
      <c r="CG97" s="2">
        <v>0</v>
      </c>
      <c r="CH97" s="2"/>
      <c r="CI97" s="2"/>
      <c r="CJ97" s="2"/>
      <c r="CK97" s="2"/>
      <c r="CL97" s="2"/>
      <c r="CM97" s="2">
        <v>0</v>
      </c>
      <c r="CN97" s="2" t="s">
        <v>3</v>
      </c>
      <c r="CO97" s="2">
        <v>0</v>
      </c>
      <c r="CP97" s="2">
        <f t="shared" si="72"/>
        <v>2351.48</v>
      </c>
      <c r="CQ97" s="2">
        <f>ROUND(AL97*BC97,2)</f>
        <v>6056.81</v>
      </c>
      <c r="CR97" s="2">
        <f>ROUND(AM97*BB97,2)</f>
        <v>0</v>
      </c>
      <c r="CS97" s="2">
        <f>ROUND(AN97*BS97,2)</f>
        <v>0</v>
      </c>
      <c r="CT97" s="2">
        <f>ROUND(AO97*BA97,2)</f>
        <v>0</v>
      </c>
      <c r="CU97" s="2">
        <f t="shared" si="73"/>
        <v>0</v>
      </c>
      <c r="CV97" s="2">
        <f t="shared" ref="CV97:CW99" si="87">AH97</f>
        <v>0</v>
      </c>
      <c r="CW97" s="2">
        <f t="shared" si="87"/>
        <v>0</v>
      </c>
      <c r="CX97" s="2">
        <f t="shared" si="74"/>
        <v>0</v>
      </c>
      <c r="CY97" s="2">
        <f t="shared" si="75"/>
        <v>0</v>
      </c>
      <c r="CZ97" s="2">
        <f t="shared" si="76"/>
        <v>0</v>
      </c>
      <c r="DA97" s="2"/>
      <c r="DB97" s="2"/>
      <c r="DC97" s="2" t="s">
        <v>3</v>
      </c>
      <c r="DD97" s="2" t="s">
        <v>3</v>
      </c>
      <c r="DE97" s="2" t="s">
        <v>3</v>
      </c>
      <c r="DF97" s="2" t="s">
        <v>3</v>
      </c>
      <c r="DG97" s="2" t="s">
        <v>3</v>
      </c>
      <c r="DH97" s="2" t="s">
        <v>3</v>
      </c>
      <c r="DI97" s="2" t="s">
        <v>3</v>
      </c>
      <c r="DJ97" s="2" t="s">
        <v>3</v>
      </c>
      <c r="DK97" s="2" t="s">
        <v>3</v>
      </c>
      <c r="DL97" s="2" t="s">
        <v>3</v>
      </c>
      <c r="DM97" s="2" t="s">
        <v>3</v>
      </c>
      <c r="DN97" s="2">
        <v>0</v>
      </c>
      <c r="DO97" s="2">
        <v>0</v>
      </c>
      <c r="DP97" s="2">
        <v>1</v>
      </c>
      <c r="DQ97" s="2">
        <v>1</v>
      </c>
      <c r="DR97" s="2"/>
      <c r="DS97" s="2"/>
      <c r="DT97" s="2"/>
      <c r="DU97" s="2">
        <v>1007</v>
      </c>
      <c r="DV97" s="2" t="s">
        <v>34</v>
      </c>
      <c r="DW97" s="2" t="s">
        <v>34</v>
      </c>
      <c r="DX97" s="2">
        <v>1</v>
      </c>
      <c r="DY97" s="2"/>
      <c r="DZ97" s="2" t="s">
        <v>3</v>
      </c>
      <c r="EA97" s="2" t="s">
        <v>3</v>
      </c>
      <c r="EB97" s="2" t="s">
        <v>3</v>
      </c>
      <c r="EC97" s="2" t="s">
        <v>3</v>
      </c>
      <c r="ED97" s="2"/>
      <c r="EE97" s="2">
        <v>89976980</v>
      </c>
      <c r="EF97" s="2">
        <v>2</v>
      </c>
      <c r="EG97" s="2" t="s">
        <v>44</v>
      </c>
      <c r="EH97" s="2">
        <v>6</v>
      </c>
      <c r="EI97" s="2" t="s">
        <v>45</v>
      </c>
      <c r="EJ97" s="2">
        <v>1</v>
      </c>
      <c r="EK97" s="2">
        <v>6001</v>
      </c>
      <c r="EL97" s="2" t="s">
        <v>45</v>
      </c>
      <c r="EM97" s="2" t="s">
        <v>46</v>
      </c>
      <c r="EN97" s="2"/>
      <c r="EO97" s="2" t="s">
        <v>3</v>
      </c>
      <c r="EP97" s="2"/>
      <c r="EQ97" s="2">
        <v>0</v>
      </c>
      <c r="ER97" s="2">
        <v>6056.81</v>
      </c>
      <c r="ES97" s="2">
        <v>6056.81</v>
      </c>
      <c r="ET97" s="2">
        <v>0</v>
      </c>
      <c r="EU97" s="2">
        <v>0</v>
      </c>
      <c r="EV97" s="2">
        <v>0</v>
      </c>
      <c r="EW97" s="2">
        <v>0</v>
      </c>
      <c r="EX97" s="2">
        <v>0</v>
      </c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>
        <v>0</v>
      </c>
      <c r="FR97" s="2">
        <v>0</v>
      </c>
      <c r="FS97" s="2">
        <v>0</v>
      </c>
      <c r="FT97" s="2"/>
      <c r="FU97" s="2"/>
      <c r="FV97" s="2"/>
      <c r="FW97" s="2"/>
      <c r="FX97" s="2">
        <v>102</v>
      </c>
      <c r="FY97" s="2">
        <v>58</v>
      </c>
      <c r="FZ97" s="2"/>
      <c r="GA97" s="2" t="s">
        <v>3</v>
      </c>
      <c r="GB97" s="2"/>
      <c r="GC97" s="2"/>
      <c r="GD97" s="2">
        <v>1</v>
      </c>
      <c r="GE97" s="2">
        <v>4541.55</v>
      </c>
      <c r="GF97" s="2">
        <v>740660255</v>
      </c>
      <c r="GG97" s="2">
        <v>2</v>
      </c>
      <c r="GH97" s="2">
        <v>1</v>
      </c>
      <c r="GI97" s="2">
        <v>-2</v>
      </c>
      <c r="GJ97" s="2">
        <v>0</v>
      </c>
      <c r="GK97" s="2">
        <v>0</v>
      </c>
      <c r="GL97" s="2">
        <f t="shared" si="77"/>
        <v>0</v>
      </c>
      <c r="GM97" s="2">
        <f t="shared" si="78"/>
        <v>2351.48</v>
      </c>
      <c r="GN97" s="2">
        <f t="shared" si="79"/>
        <v>2351.48</v>
      </c>
      <c r="GO97" s="2">
        <f t="shared" si="80"/>
        <v>0</v>
      </c>
      <c r="GP97" s="2">
        <f t="shared" si="81"/>
        <v>0</v>
      </c>
      <c r="GQ97" s="2"/>
      <c r="GR97" s="2">
        <v>3</v>
      </c>
      <c r="GS97" s="2">
        <v>0</v>
      </c>
      <c r="GT97" s="2">
        <v>0</v>
      </c>
      <c r="GU97" s="2" t="s">
        <v>3</v>
      </c>
      <c r="GV97" s="2">
        <f t="shared" si="82"/>
        <v>0</v>
      </c>
      <c r="GW97" s="2">
        <v>1</v>
      </c>
      <c r="GX97" s="2">
        <f t="shared" si="83"/>
        <v>0</v>
      </c>
      <c r="GY97" s="2"/>
      <c r="GZ97" s="2"/>
      <c r="HA97" s="2">
        <v>0</v>
      </c>
      <c r="HB97" s="2">
        <v>0</v>
      </c>
      <c r="HC97" s="2">
        <f t="shared" si="84"/>
        <v>0</v>
      </c>
      <c r="HD97" s="2"/>
      <c r="HE97" s="2" t="s">
        <v>3</v>
      </c>
      <c r="HF97" s="2" t="s">
        <v>3</v>
      </c>
      <c r="HG97" s="2"/>
      <c r="HH97" s="2"/>
      <c r="HI97" s="2"/>
      <c r="HJ97" s="2"/>
      <c r="HK97" s="2"/>
      <c r="HL97" s="2"/>
      <c r="HM97" s="2" t="s">
        <v>3</v>
      </c>
      <c r="HN97" s="2" t="s">
        <v>47</v>
      </c>
      <c r="HO97" s="2" t="s">
        <v>48</v>
      </c>
      <c r="HP97" s="2" t="s">
        <v>45</v>
      </c>
      <c r="HQ97" s="2" t="s">
        <v>45</v>
      </c>
      <c r="HR97" s="2"/>
      <c r="HS97" s="2">
        <v>0</v>
      </c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>
        <v>0</v>
      </c>
      <c r="IL97" s="2"/>
      <c r="IM97" s="2"/>
      <c r="IN97" s="2"/>
      <c r="IO97" s="2"/>
      <c r="IP97" s="2"/>
      <c r="IQ97" s="2"/>
      <c r="IR97" s="2"/>
      <c r="IS97" s="2"/>
      <c r="IT97" s="2"/>
      <c r="IU97" s="2"/>
    </row>
    <row r="98" spans="1:255" x14ac:dyDescent="0.2">
      <c r="A98" s="2">
        <v>18</v>
      </c>
      <c r="B98" s="2">
        <v>1</v>
      </c>
      <c r="C98" s="2">
        <v>101</v>
      </c>
      <c r="D98" s="2"/>
      <c r="E98" s="2" t="s">
        <v>213</v>
      </c>
      <c r="F98" s="2" t="s">
        <v>54</v>
      </c>
      <c r="G98" s="2" t="s">
        <v>55</v>
      </c>
      <c r="H98" s="2" t="s">
        <v>34</v>
      </c>
      <c r="I98" s="2">
        <f>I96*J98</f>
        <v>1.7600000000000001E-2</v>
      </c>
      <c r="J98" s="2">
        <v>4.6013071895424841E-2</v>
      </c>
      <c r="K98" s="2">
        <v>4.6013100000000001E-2</v>
      </c>
      <c r="L98" s="2"/>
      <c r="M98" s="2"/>
      <c r="N98" s="2"/>
      <c r="O98" s="2">
        <f t="shared" si="64"/>
        <v>179.51</v>
      </c>
      <c r="P98" s="2">
        <f>ROUND(CQ98*I98,2)</f>
        <v>179.51</v>
      </c>
      <c r="Q98" s="2">
        <f>ROUND(CR98*I98,2)</f>
        <v>0</v>
      </c>
      <c r="R98" s="2">
        <f>ROUND(CS98*I98,2)</f>
        <v>0</v>
      </c>
      <c r="S98" s="2">
        <f>ROUND(CT98*I98,2)</f>
        <v>0</v>
      </c>
      <c r="T98" s="2">
        <f t="shared" si="65"/>
        <v>0</v>
      </c>
      <c r="U98" s="2">
        <f>ROUND(CV98*I98,7)</f>
        <v>0</v>
      </c>
      <c r="V98" s="2">
        <f>ROUND(CW98*I98,7)</f>
        <v>0</v>
      </c>
      <c r="W98" s="2">
        <f t="shared" si="66"/>
        <v>0</v>
      </c>
      <c r="X98" s="2">
        <f t="shared" si="67"/>
        <v>0</v>
      </c>
      <c r="Y98" s="2">
        <f t="shared" si="68"/>
        <v>0</v>
      </c>
      <c r="Z98" s="2"/>
      <c r="AA98" s="2">
        <v>94104265</v>
      </c>
      <c r="AB98" s="2">
        <f t="shared" si="69"/>
        <v>7555</v>
      </c>
      <c r="AC98" s="2">
        <f>ROUND((ES98),6)</f>
        <v>7555</v>
      </c>
      <c r="AD98" s="2">
        <f>ROUND((((ET98)-(EU98))+AE98),6)</f>
        <v>0</v>
      </c>
      <c r="AE98" s="2">
        <f t="shared" si="85"/>
        <v>0</v>
      </c>
      <c r="AF98" s="2">
        <f t="shared" si="85"/>
        <v>0</v>
      </c>
      <c r="AG98" s="2">
        <f t="shared" si="70"/>
        <v>0</v>
      </c>
      <c r="AH98" s="2">
        <f t="shared" si="86"/>
        <v>0</v>
      </c>
      <c r="AI98" s="2">
        <f t="shared" si="86"/>
        <v>0</v>
      </c>
      <c r="AJ98" s="2">
        <f t="shared" si="71"/>
        <v>0</v>
      </c>
      <c r="AK98" s="2">
        <v>7555</v>
      </c>
      <c r="AL98" s="2">
        <v>7555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102</v>
      </c>
      <c r="AU98" s="2">
        <v>58</v>
      </c>
      <c r="AV98" s="2">
        <v>1</v>
      </c>
      <c r="AW98" s="2">
        <v>1</v>
      </c>
      <c r="AX98" s="2"/>
      <c r="AY98" s="2"/>
      <c r="AZ98" s="2">
        <v>1</v>
      </c>
      <c r="BA98" s="2">
        <v>1</v>
      </c>
      <c r="BB98" s="2">
        <v>1</v>
      </c>
      <c r="BC98" s="2">
        <v>1.35</v>
      </c>
      <c r="BD98" s="2" t="s">
        <v>3</v>
      </c>
      <c r="BE98" s="2" t="s">
        <v>3</v>
      </c>
      <c r="BF98" s="2" t="s">
        <v>3</v>
      </c>
      <c r="BG98" s="2" t="s">
        <v>3</v>
      </c>
      <c r="BH98" s="2">
        <v>3</v>
      </c>
      <c r="BI98" s="2">
        <v>1</v>
      </c>
      <c r="BJ98" s="2" t="s">
        <v>56</v>
      </c>
      <c r="BK98" s="2"/>
      <c r="BL98" s="2"/>
      <c r="BM98" s="2">
        <v>6001</v>
      </c>
      <c r="BN98" s="2">
        <v>0</v>
      </c>
      <c r="BO98" s="2" t="s">
        <v>54</v>
      </c>
      <c r="BP98" s="2">
        <v>1</v>
      </c>
      <c r="BQ98" s="2">
        <v>2</v>
      </c>
      <c r="BR98" s="2">
        <v>0</v>
      </c>
      <c r="BS98" s="2">
        <v>1</v>
      </c>
      <c r="BT98" s="2">
        <v>1</v>
      </c>
      <c r="BU98" s="2">
        <v>1</v>
      </c>
      <c r="BV98" s="2">
        <v>1</v>
      </c>
      <c r="BW98" s="2">
        <v>1</v>
      </c>
      <c r="BX98" s="2">
        <v>1</v>
      </c>
      <c r="BY98" s="2" t="s">
        <v>3</v>
      </c>
      <c r="BZ98" s="2">
        <v>102</v>
      </c>
      <c r="CA98" s="2">
        <v>58</v>
      </c>
      <c r="CB98" s="2" t="s">
        <v>3</v>
      </c>
      <c r="CC98" s="2"/>
      <c r="CD98" s="2"/>
      <c r="CE98" s="2">
        <v>0</v>
      </c>
      <c r="CF98" s="2">
        <v>0</v>
      </c>
      <c r="CG98" s="2">
        <v>0</v>
      </c>
      <c r="CH98" s="2"/>
      <c r="CI98" s="2"/>
      <c r="CJ98" s="2"/>
      <c r="CK98" s="2"/>
      <c r="CL98" s="2"/>
      <c r="CM98" s="2">
        <v>0</v>
      </c>
      <c r="CN98" s="2" t="s">
        <v>3</v>
      </c>
      <c r="CO98" s="2">
        <v>0</v>
      </c>
      <c r="CP98" s="2">
        <f t="shared" si="72"/>
        <v>179.51</v>
      </c>
      <c r="CQ98" s="2">
        <f>ROUND(AL98*BC98,2)</f>
        <v>10199.25</v>
      </c>
      <c r="CR98" s="2">
        <f>ROUND(AM98*BB98,2)</f>
        <v>0</v>
      </c>
      <c r="CS98" s="2">
        <f>ROUND(AN98*BS98,2)</f>
        <v>0</v>
      </c>
      <c r="CT98" s="2">
        <f>ROUND(AO98*BA98,2)</f>
        <v>0</v>
      </c>
      <c r="CU98" s="2">
        <f t="shared" si="73"/>
        <v>0</v>
      </c>
      <c r="CV98" s="2">
        <f t="shared" si="87"/>
        <v>0</v>
      </c>
      <c r="CW98" s="2">
        <f t="shared" si="87"/>
        <v>0</v>
      </c>
      <c r="CX98" s="2">
        <f t="shared" si="74"/>
        <v>0</v>
      </c>
      <c r="CY98" s="2">
        <f t="shared" si="75"/>
        <v>0</v>
      </c>
      <c r="CZ98" s="2">
        <f t="shared" si="76"/>
        <v>0</v>
      </c>
      <c r="DA98" s="2"/>
      <c r="DB98" s="2"/>
      <c r="DC98" s="2" t="s">
        <v>3</v>
      </c>
      <c r="DD98" s="2" t="s">
        <v>3</v>
      </c>
      <c r="DE98" s="2" t="s">
        <v>3</v>
      </c>
      <c r="DF98" s="2" t="s">
        <v>3</v>
      </c>
      <c r="DG98" s="2" t="s">
        <v>3</v>
      </c>
      <c r="DH98" s="2" t="s">
        <v>3</v>
      </c>
      <c r="DI98" s="2" t="s">
        <v>3</v>
      </c>
      <c r="DJ98" s="2" t="s">
        <v>3</v>
      </c>
      <c r="DK98" s="2" t="s">
        <v>3</v>
      </c>
      <c r="DL98" s="2" t="s">
        <v>3</v>
      </c>
      <c r="DM98" s="2" t="s">
        <v>3</v>
      </c>
      <c r="DN98" s="2">
        <v>0</v>
      </c>
      <c r="DO98" s="2">
        <v>0</v>
      </c>
      <c r="DP98" s="2">
        <v>1</v>
      </c>
      <c r="DQ98" s="2">
        <v>1</v>
      </c>
      <c r="DR98" s="2"/>
      <c r="DS98" s="2"/>
      <c r="DT98" s="2"/>
      <c r="DU98" s="2">
        <v>1007</v>
      </c>
      <c r="DV98" s="2" t="s">
        <v>34</v>
      </c>
      <c r="DW98" s="2" t="s">
        <v>34</v>
      </c>
      <c r="DX98" s="2">
        <v>1</v>
      </c>
      <c r="DY98" s="2"/>
      <c r="DZ98" s="2" t="s">
        <v>3</v>
      </c>
      <c r="EA98" s="2" t="s">
        <v>3</v>
      </c>
      <c r="EB98" s="2" t="s">
        <v>3</v>
      </c>
      <c r="EC98" s="2" t="s">
        <v>3</v>
      </c>
      <c r="ED98" s="2"/>
      <c r="EE98" s="2">
        <v>89976980</v>
      </c>
      <c r="EF98" s="2">
        <v>2</v>
      </c>
      <c r="EG98" s="2" t="s">
        <v>44</v>
      </c>
      <c r="EH98" s="2">
        <v>6</v>
      </c>
      <c r="EI98" s="2" t="s">
        <v>45</v>
      </c>
      <c r="EJ98" s="2">
        <v>1</v>
      </c>
      <c r="EK98" s="2">
        <v>6001</v>
      </c>
      <c r="EL98" s="2" t="s">
        <v>45</v>
      </c>
      <c r="EM98" s="2" t="s">
        <v>46</v>
      </c>
      <c r="EN98" s="2"/>
      <c r="EO98" s="2" t="s">
        <v>3</v>
      </c>
      <c r="EP98" s="2"/>
      <c r="EQ98" s="2">
        <v>0</v>
      </c>
      <c r="ER98" s="2">
        <v>7555</v>
      </c>
      <c r="ES98" s="2">
        <v>7555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>
        <v>0</v>
      </c>
      <c r="FR98" s="2">
        <v>0</v>
      </c>
      <c r="FS98" s="2">
        <v>0</v>
      </c>
      <c r="FT98" s="2"/>
      <c r="FU98" s="2"/>
      <c r="FV98" s="2"/>
      <c r="FW98" s="2"/>
      <c r="FX98" s="2">
        <v>102</v>
      </c>
      <c r="FY98" s="2">
        <v>58</v>
      </c>
      <c r="FZ98" s="2"/>
      <c r="GA98" s="2" t="s">
        <v>3</v>
      </c>
      <c r="GB98" s="2"/>
      <c r="GC98" s="2"/>
      <c r="GD98" s="2">
        <v>1</v>
      </c>
      <c r="GE98" s="2"/>
      <c r="GF98" s="2">
        <v>194416042</v>
      </c>
      <c r="GG98" s="2">
        <v>2</v>
      </c>
      <c r="GH98" s="2">
        <v>1</v>
      </c>
      <c r="GI98" s="2">
        <v>2</v>
      </c>
      <c r="GJ98" s="2">
        <v>0</v>
      </c>
      <c r="GK98" s="2">
        <v>0</v>
      </c>
      <c r="GL98" s="2">
        <f t="shared" si="77"/>
        <v>0</v>
      </c>
      <c r="GM98" s="2">
        <f t="shared" si="78"/>
        <v>179.51</v>
      </c>
      <c r="GN98" s="2">
        <f t="shared" si="79"/>
        <v>179.51</v>
      </c>
      <c r="GO98" s="2">
        <f t="shared" si="80"/>
        <v>0</v>
      </c>
      <c r="GP98" s="2">
        <f t="shared" si="81"/>
        <v>0</v>
      </c>
      <c r="GQ98" s="2"/>
      <c r="GR98" s="2">
        <v>0</v>
      </c>
      <c r="GS98" s="2">
        <v>0</v>
      </c>
      <c r="GT98" s="2">
        <v>0</v>
      </c>
      <c r="GU98" s="2" t="s">
        <v>3</v>
      </c>
      <c r="GV98" s="2">
        <f t="shared" si="82"/>
        <v>0</v>
      </c>
      <c r="GW98" s="2">
        <v>1</v>
      </c>
      <c r="GX98" s="2">
        <f t="shared" si="83"/>
        <v>0</v>
      </c>
      <c r="GY98" s="2"/>
      <c r="GZ98" s="2"/>
      <c r="HA98" s="2">
        <v>0</v>
      </c>
      <c r="HB98" s="2">
        <v>0</v>
      </c>
      <c r="HC98" s="2">
        <f t="shared" si="84"/>
        <v>0</v>
      </c>
      <c r="HD98" s="2"/>
      <c r="HE98" s="2" t="s">
        <v>3</v>
      </c>
      <c r="HF98" s="2" t="s">
        <v>3</v>
      </c>
      <c r="HG98" s="2"/>
      <c r="HH98" s="2"/>
      <c r="HI98" s="2"/>
      <c r="HJ98" s="2"/>
      <c r="HK98" s="2"/>
      <c r="HL98" s="2"/>
      <c r="HM98" s="2" t="s">
        <v>3</v>
      </c>
      <c r="HN98" s="2" t="s">
        <v>47</v>
      </c>
      <c r="HO98" s="2" t="s">
        <v>48</v>
      </c>
      <c r="HP98" s="2" t="s">
        <v>45</v>
      </c>
      <c r="HQ98" s="2" t="s">
        <v>45</v>
      </c>
      <c r="HR98" s="2"/>
      <c r="HS98" s="2">
        <v>0</v>
      </c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>
        <v>0</v>
      </c>
      <c r="IL98" s="2"/>
      <c r="IM98" s="2"/>
      <c r="IN98" s="2"/>
      <c r="IO98" s="2"/>
      <c r="IP98" s="2"/>
      <c r="IQ98" s="2"/>
      <c r="IR98" s="2"/>
      <c r="IS98" s="2"/>
      <c r="IT98" s="2"/>
      <c r="IU98" s="2"/>
    </row>
    <row r="99" spans="1:255" x14ac:dyDescent="0.2">
      <c r="A99" s="2">
        <v>18</v>
      </c>
      <c r="B99" s="2">
        <v>1</v>
      </c>
      <c r="C99" s="2">
        <v>98</v>
      </c>
      <c r="D99" s="2"/>
      <c r="E99" s="2" t="s">
        <v>214</v>
      </c>
      <c r="F99" s="2" t="s">
        <v>58</v>
      </c>
      <c r="G99" s="2" t="s">
        <v>59</v>
      </c>
      <c r="H99" s="2" t="s">
        <v>60</v>
      </c>
      <c r="I99" s="2">
        <f>I96*J99</f>
        <v>2.625</v>
      </c>
      <c r="J99" s="2">
        <v>6.8627450980392153</v>
      </c>
      <c r="K99" s="2">
        <v>6.8627450999999997</v>
      </c>
      <c r="L99" s="2"/>
      <c r="M99" s="2"/>
      <c r="N99" s="2"/>
      <c r="O99" s="2">
        <f t="shared" si="64"/>
        <v>252.66</v>
      </c>
      <c r="P99" s="2">
        <f>ROUND(CQ99*I99,2)</f>
        <v>252.66</v>
      </c>
      <c r="Q99" s="2">
        <f>ROUND(CR99*I99,2)</f>
        <v>0</v>
      </c>
      <c r="R99" s="2">
        <f>ROUND(CS99*I99,2)</f>
        <v>0</v>
      </c>
      <c r="S99" s="2">
        <f>ROUND(CT99*I99,2)</f>
        <v>0</v>
      </c>
      <c r="T99" s="2">
        <f t="shared" si="65"/>
        <v>0</v>
      </c>
      <c r="U99" s="2">
        <f>ROUND(CV99*I99,7)</f>
        <v>0</v>
      </c>
      <c r="V99" s="2">
        <f>ROUND(CW99*I99,7)</f>
        <v>0</v>
      </c>
      <c r="W99" s="2">
        <f t="shared" si="66"/>
        <v>0</v>
      </c>
      <c r="X99" s="2">
        <f t="shared" si="67"/>
        <v>0</v>
      </c>
      <c r="Y99" s="2">
        <f t="shared" si="68"/>
        <v>0</v>
      </c>
      <c r="Z99" s="2"/>
      <c r="AA99" s="2">
        <v>94104265</v>
      </c>
      <c r="AB99" s="2">
        <f t="shared" si="69"/>
        <v>93.45</v>
      </c>
      <c r="AC99" s="2">
        <f>ROUND((ES99),6)</f>
        <v>93.45</v>
      </c>
      <c r="AD99" s="2">
        <f>ROUND((((ET99)-(EU99))+AE99),6)</f>
        <v>0</v>
      </c>
      <c r="AE99" s="2">
        <f t="shared" si="85"/>
        <v>0</v>
      </c>
      <c r="AF99" s="2">
        <f t="shared" si="85"/>
        <v>0</v>
      </c>
      <c r="AG99" s="2">
        <f t="shared" si="70"/>
        <v>0</v>
      </c>
      <c r="AH99" s="2">
        <f t="shared" si="86"/>
        <v>0</v>
      </c>
      <c r="AI99" s="2">
        <f t="shared" si="86"/>
        <v>0</v>
      </c>
      <c r="AJ99" s="2">
        <f t="shared" si="71"/>
        <v>0</v>
      </c>
      <c r="AK99" s="2">
        <v>93.45</v>
      </c>
      <c r="AL99" s="2">
        <v>93.45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102</v>
      </c>
      <c r="AU99" s="2">
        <v>58</v>
      </c>
      <c r="AV99" s="2">
        <v>1</v>
      </c>
      <c r="AW99" s="2">
        <v>1</v>
      </c>
      <c r="AX99" s="2"/>
      <c r="AY99" s="2"/>
      <c r="AZ99" s="2">
        <v>1</v>
      </c>
      <c r="BA99" s="2">
        <v>1</v>
      </c>
      <c r="BB99" s="2">
        <v>1</v>
      </c>
      <c r="BC99" s="2">
        <v>1.03</v>
      </c>
      <c r="BD99" s="2" t="s">
        <v>3</v>
      </c>
      <c r="BE99" s="2" t="s">
        <v>3</v>
      </c>
      <c r="BF99" s="2" t="s">
        <v>3</v>
      </c>
      <c r="BG99" s="2" t="s">
        <v>3</v>
      </c>
      <c r="BH99" s="2">
        <v>3</v>
      </c>
      <c r="BI99" s="2">
        <v>1</v>
      </c>
      <c r="BJ99" s="2" t="s">
        <v>61</v>
      </c>
      <c r="BK99" s="2"/>
      <c r="BL99" s="2"/>
      <c r="BM99" s="2">
        <v>6001</v>
      </c>
      <c r="BN99" s="2">
        <v>0</v>
      </c>
      <c r="BO99" s="2" t="s">
        <v>58</v>
      </c>
      <c r="BP99" s="2">
        <v>1</v>
      </c>
      <c r="BQ99" s="2">
        <v>2</v>
      </c>
      <c r="BR99" s="2">
        <v>0</v>
      </c>
      <c r="BS99" s="2">
        <v>1</v>
      </c>
      <c r="BT99" s="2">
        <v>1</v>
      </c>
      <c r="BU99" s="2">
        <v>1</v>
      </c>
      <c r="BV99" s="2">
        <v>1</v>
      </c>
      <c r="BW99" s="2">
        <v>1</v>
      </c>
      <c r="BX99" s="2">
        <v>1</v>
      </c>
      <c r="BY99" s="2" t="s">
        <v>3</v>
      </c>
      <c r="BZ99" s="2">
        <v>102</v>
      </c>
      <c r="CA99" s="2">
        <v>58</v>
      </c>
      <c r="CB99" s="2" t="s">
        <v>3</v>
      </c>
      <c r="CC99" s="2"/>
      <c r="CD99" s="2"/>
      <c r="CE99" s="2">
        <v>0</v>
      </c>
      <c r="CF99" s="2">
        <v>0</v>
      </c>
      <c r="CG99" s="2">
        <v>0</v>
      </c>
      <c r="CH99" s="2"/>
      <c r="CI99" s="2"/>
      <c r="CJ99" s="2"/>
      <c r="CK99" s="2"/>
      <c r="CL99" s="2"/>
      <c r="CM99" s="2">
        <v>0</v>
      </c>
      <c r="CN99" s="2" t="s">
        <v>3</v>
      </c>
      <c r="CO99" s="2">
        <v>0</v>
      </c>
      <c r="CP99" s="2">
        <f t="shared" si="72"/>
        <v>252.66</v>
      </c>
      <c r="CQ99" s="2">
        <f>ROUND(AL99*BC99,2)</f>
        <v>96.25</v>
      </c>
      <c r="CR99" s="2">
        <f>ROUND(AM99*BB99,2)</f>
        <v>0</v>
      </c>
      <c r="CS99" s="2">
        <f>ROUND(AN99*BS99,2)</f>
        <v>0</v>
      </c>
      <c r="CT99" s="2">
        <f>ROUND(AO99*BA99,2)</f>
        <v>0</v>
      </c>
      <c r="CU99" s="2">
        <f t="shared" si="73"/>
        <v>0</v>
      </c>
      <c r="CV99" s="2">
        <f t="shared" si="87"/>
        <v>0</v>
      </c>
      <c r="CW99" s="2">
        <f t="shared" si="87"/>
        <v>0</v>
      </c>
      <c r="CX99" s="2">
        <f t="shared" si="74"/>
        <v>0</v>
      </c>
      <c r="CY99" s="2">
        <f t="shared" si="75"/>
        <v>0</v>
      </c>
      <c r="CZ99" s="2">
        <f t="shared" si="76"/>
        <v>0</v>
      </c>
      <c r="DA99" s="2"/>
      <c r="DB99" s="2"/>
      <c r="DC99" s="2" t="s">
        <v>3</v>
      </c>
      <c r="DD99" s="2" t="s">
        <v>3</v>
      </c>
      <c r="DE99" s="2" t="s">
        <v>3</v>
      </c>
      <c r="DF99" s="2" t="s">
        <v>3</v>
      </c>
      <c r="DG99" s="2" t="s">
        <v>3</v>
      </c>
      <c r="DH99" s="2" t="s">
        <v>3</v>
      </c>
      <c r="DI99" s="2" t="s">
        <v>3</v>
      </c>
      <c r="DJ99" s="2" t="s">
        <v>3</v>
      </c>
      <c r="DK99" s="2" t="s">
        <v>3</v>
      </c>
      <c r="DL99" s="2" t="s">
        <v>3</v>
      </c>
      <c r="DM99" s="2" t="s">
        <v>3</v>
      </c>
      <c r="DN99" s="2">
        <v>0</v>
      </c>
      <c r="DO99" s="2">
        <v>0</v>
      </c>
      <c r="DP99" s="2">
        <v>1</v>
      </c>
      <c r="DQ99" s="2">
        <v>1</v>
      </c>
      <c r="DR99" s="2"/>
      <c r="DS99" s="2"/>
      <c r="DT99" s="2"/>
      <c r="DU99" s="2">
        <v>1005</v>
      </c>
      <c r="DV99" s="2" t="s">
        <v>60</v>
      </c>
      <c r="DW99" s="2" t="s">
        <v>60</v>
      </c>
      <c r="DX99" s="2">
        <v>1</v>
      </c>
      <c r="DY99" s="2"/>
      <c r="DZ99" s="2" t="s">
        <v>3</v>
      </c>
      <c r="EA99" s="2" t="s">
        <v>3</v>
      </c>
      <c r="EB99" s="2" t="s">
        <v>3</v>
      </c>
      <c r="EC99" s="2" t="s">
        <v>3</v>
      </c>
      <c r="ED99" s="2"/>
      <c r="EE99" s="2">
        <v>89976980</v>
      </c>
      <c r="EF99" s="2">
        <v>2</v>
      </c>
      <c r="EG99" s="2" t="s">
        <v>44</v>
      </c>
      <c r="EH99" s="2">
        <v>6</v>
      </c>
      <c r="EI99" s="2" t="s">
        <v>45</v>
      </c>
      <c r="EJ99" s="2">
        <v>1</v>
      </c>
      <c r="EK99" s="2">
        <v>6001</v>
      </c>
      <c r="EL99" s="2" t="s">
        <v>45</v>
      </c>
      <c r="EM99" s="2" t="s">
        <v>46</v>
      </c>
      <c r="EN99" s="2"/>
      <c r="EO99" s="2" t="s">
        <v>3</v>
      </c>
      <c r="EP99" s="2"/>
      <c r="EQ99" s="2">
        <v>0</v>
      </c>
      <c r="ER99" s="2">
        <v>93.45</v>
      </c>
      <c r="ES99" s="2">
        <v>93.45</v>
      </c>
      <c r="ET99" s="2">
        <v>0</v>
      </c>
      <c r="EU99" s="2">
        <v>0</v>
      </c>
      <c r="EV99" s="2">
        <v>0</v>
      </c>
      <c r="EW99" s="2">
        <v>0</v>
      </c>
      <c r="EX99" s="2">
        <v>0</v>
      </c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>
        <v>0</v>
      </c>
      <c r="FR99" s="2">
        <v>0</v>
      </c>
      <c r="FS99" s="2">
        <v>0</v>
      </c>
      <c r="FT99" s="2"/>
      <c r="FU99" s="2"/>
      <c r="FV99" s="2"/>
      <c r="FW99" s="2"/>
      <c r="FX99" s="2">
        <v>102</v>
      </c>
      <c r="FY99" s="2">
        <v>58</v>
      </c>
      <c r="FZ99" s="2"/>
      <c r="GA99" s="2" t="s">
        <v>3</v>
      </c>
      <c r="GB99" s="2"/>
      <c r="GC99" s="2"/>
      <c r="GD99" s="2">
        <v>1</v>
      </c>
      <c r="GE99" s="2"/>
      <c r="GF99" s="2">
        <v>-1004543746</v>
      </c>
      <c r="GG99" s="2">
        <v>2</v>
      </c>
      <c r="GH99" s="2">
        <v>1</v>
      </c>
      <c r="GI99" s="2">
        <v>2</v>
      </c>
      <c r="GJ99" s="2">
        <v>0</v>
      </c>
      <c r="GK99" s="2">
        <v>0</v>
      </c>
      <c r="GL99" s="2">
        <f t="shared" si="77"/>
        <v>0</v>
      </c>
      <c r="GM99" s="2">
        <f t="shared" si="78"/>
        <v>252.66</v>
      </c>
      <c r="GN99" s="2">
        <f t="shared" si="79"/>
        <v>252.66</v>
      </c>
      <c r="GO99" s="2">
        <f t="shared" si="80"/>
        <v>0</v>
      </c>
      <c r="GP99" s="2">
        <f t="shared" si="81"/>
        <v>0</v>
      </c>
      <c r="GQ99" s="2"/>
      <c r="GR99" s="2">
        <v>0</v>
      </c>
      <c r="GS99" s="2">
        <v>0</v>
      </c>
      <c r="GT99" s="2">
        <v>0</v>
      </c>
      <c r="GU99" s="2" t="s">
        <v>3</v>
      </c>
      <c r="GV99" s="2">
        <f t="shared" si="82"/>
        <v>0</v>
      </c>
      <c r="GW99" s="2">
        <v>1</v>
      </c>
      <c r="GX99" s="2">
        <f t="shared" si="83"/>
        <v>0</v>
      </c>
      <c r="GY99" s="2"/>
      <c r="GZ99" s="2"/>
      <c r="HA99" s="2">
        <v>0</v>
      </c>
      <c r="HB99" s="2">
        <v>0</v>
      </c>
      <c r="HC99" s="2">
        <f t="shared" si="84"/>
        <v>0</v>
      </c>
      <c r="HD99" s="2"/>
      <c r="HE99" s="2" t="s">
        <v>3</v>
      </c>
      <c r="HF99" s="2" t="s">
        <v>3</v>
      </c>
      <c r="HG99" s="2"/>
      <c r="HH99" s="2"/>
      <c r="HI99" s="2"/>
      <c r="HJ99" s="2"/>
      <c r="HK99" s="2"/>
      <c r="HL99" s="2"/>
      <c r="HM99" s="2" t="s">
        <v>3</v>
      </c>
      <c r="HN99" s="2" t="s">
        <v>47</v>
      </c>
      <c r="HO99" s="2" t="s">
        <v>48</v>
      </c>
      <c r="HP99" s="2" t="s">
        <v>45</v>
      </c>
      <c r="HQ99" s="2" t="s">
        <v>45</v>
      </c>
      <c r="HR99" s="2"/>
      <c r="HS99" s="2">
        <v>0</v>
      </c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>
        <v>0</v>
      </c>
      <c r="IL99" s="2"/>
      <c r="IM99" s="2"/>
      <c r="IN99" s="2"/>
      <c r="IO99" s="2"/>
      <c r="IP99" s="2"/>
      <c r="IQ99" s="2"/>
      <c r="IR99" s="2"/>
      <c r="IS99" s="2"/>
      <c r="IT99" s="2"/>
      <c r="IU99" s="2"/>
    </row>
    <row r="100" spans="1:255" x14ac:dyDescent="0.2">
      <c r="A100" s="2">
        <v>17</v>
      </c>
      <c r="B100" s="2">
        <v>1</v>
      </c>
      <c r="C100" s="2">
        <f>ROW(SmtRes!A111)</f>
        <v>111</v>
      </c>
      <c r="D100" s="2">
        <f>ROW(EtalonRes!A111)</f>
        <v>111</v>
      </c>
      <c r="E100" s="2" t="s">
        <v>215</v>
      </c>
      <c r="F100" s="2" t="s">
        <v>63</v>
      </c>
      <c r="G100" s="2" t="s">
        <v>64</v>
      </c>
      <c r="H100" s="2" t="s">
        <v>30</v>
      </c>
      <c r="I100" s="2">
        <v>8.0000000000000004E-4</v>
      </c>
      <c r="J100" s="2">
        <v>0</v>
      </c>
      <c r="K100" s="2">
        <v>8.0000000000000004E-4</v>
      </c>
      <c r="L100" s="2"/>
      <c r="M100" s="2"/>
      <c r="N100" s="2"/>
      <c r="O100" s="2">
        <f t="shared" si="64"/>
        <v>68.760000000000005</v>
      </c>
      <c r="P100" s="2">
        <f>SUMIF(SmtRes!AQ103:'SmtRes'!AQ111,"=1",SmtRes!DF103:'SmtRes'!DF111)</f>
        <v>3.64</v>
      </c>
      <c r="Q100" s="2">
        <f>SUMIF(SmtRes!AQ103:'SmtRes'!AQ111,"=1",SmtRes!DG103:'SmtRes'!DG111)</f>
        <v>0.44</v>
      </c>
      <c r="R100" s="2">
        <f>SUMIF(SmtRes!AQ103:'SmtRes'!AQ111,"=1",SmtRes!DH103:'SmtRes'!DH111)</f>
        <v>0.33</v>
      </c>
      <c r="S100" s="2">
        <f>SUMIF(SmtRes!AQ103:'SmtRes'!AQ111,"=1",SmtRes!DI103:'SmtRes'!DI111)</f>
        <v>64.349999999999994</v>
      </c>
      <c r="T100" s="2">
        <f t="shared" si="65"/>
        <v>0</v>
      </c>
      <c r="U100" s="2">
        <f>SUMIF(SmtRes!AQ103:'SmtRes'!AQ111,"=1",SmtRes!CV103:'SmtRes'!CV111)</f>
        <v>9.4399999999999998E-2</v>
      </c>
      <c r="V100" s="2">
        <f>SUMIF(SmtRes!AQ103:'SmtRes'!AQ111,"=1",SmtRes!CW103:'SmtRes'!CW111)</f>
        <v>3.9999999999999996E-4</v>
      </c>
      <c r="W100" s="2">
        <f t="shared" si="66"/>
        <v>0</v>
      </c>
      <c r="X100" s="2">
        <f t="shared" si="67"/>
        <v>65.97</v>
      </c>
      <c r="Y100" s="2">
        <f t="shared" si="68"/>
        <v>37.51</v>
      </c>
      <c r="Z100" s="2"/>
      <c r="AA100" s="2">
        <v>94104265</v>
      </c>
      <c r="AB100" s="2">
        <f t="shared" si="69"/>
        <v>85444.418799999999</v>
      </c>
      <c r="AC100" s="2">
        <f>ROUND((SUM(SmtRes!BQ103:'SmtRes'!BQ111)),6)</f>
        <v>4462.6404000000002</v>
      </c>
      <c r="AD100" s="2">
        <f>ROUND((((SUM(SmtRes!BR103:'SmtRes'!BR111))-(SUM(SmtRes!BS103:'SmtRes'!BS111)))+AE100),6)</f>
        <v>549.4384</v>
      </c>
      <c r="AE100" s="2">
        <f>ROUND((SUM(SmtRes!BS103:'SmtRes'!BS111)),6)</f>
        <v>420.75119999999998</v>
      </c>
      <c r="AF100" s="2">
        <f>ROUND((SUM(SmtRes!BT103:'SmtRes'!BT111)),6)</f>
        <v>80432.34</v>
      </c>
      <c r="AG100" s="2">
        <f t="shared" si="70"/>
        <v>0</v>
      </c>
      <c r="AH100" s="2">
        <f>(SUM(SmtRes!BU103:'SmtRes'!BU111))</f>
        <v>118</v>
      </c>
      <c r="AI100" s="2">
        <f>(SUM(SmtRes!BV103:'SmtRes'!BV111))</f>
        <v>0.5</v>
      </c>
      <c r="AJ100" s="2">
        <f t="shared" si="71"/>
        <v>0</v>
      </c>
      <c r="AK100" s="2">
        <v>85865.17</v>
      </c>
      <c r="AL100" s="2">
        <v>4462.6403999999993</v>
      </c>
      <c r="AM100" s="2">
        <v>549.4384</v>
      </c>
      <c r="AN100" s="2">
        <v>420.75120000000004</v>
      </c>
      <c r="AO100" s="2">
        <v>80432.34</v>
      </c>
      <c r="AP100" s="2">
        <v>0</v>
      </c>
      <c r="AQ100" s="2">
        <v>118</v>
      </c>
      <c r="AR100" s="2">
        <v>0.5</v>
      </c>
      <c r="AS100" s="2">
        <v>0</v>
      </c>
      <c r="AT100" s="2">
        <v>102</v>
      </c>
      <c r="AU100" s="2">
        <v>58</v>
      </c>
      <c r="AV100" s="2">
        <v>1</v>
      </c>
      <c r="AW100" s="2">
        <v>1</v>
      </c>
      <c r="AX100" s="2"/>
      <c r="AY100" s="2"/>
      <c r="AZ100" s="2">
        <v>1</v>
      </c>
      <c r="BA100" s="2">
        <v>1</v>
      </c>
      <c r="BB100" s="2">
        <v>1</v>
      </c>
      <c r="BC100" s="2">
        <v>1</v>
      </c>
      <c r="BD100" s="2" t="s">
        <v>3</v>
      </c>
      <c r="BE100" s="2" t="s">
        <v>3</v>
      </c>
      <c r="BF100" s="2" t="s">
        <v>3</v>
      </c>
      <c r="BG100" s="2" t="s">
        <v>3</v>
      </c>
      <c r="BH100" s="2">
        <v>0</v>
      </c>
      <c r="BI100" s="2">
        <v>1</v>
      </c>
      <c r="BJ100" s="2" t="s">
        <v>65</v>
      </c>
      <c r="BK100" s="2"/>
      <c r="BL100" s="2"/>
      <c r="BM100" s="2">
        <v>6001</v>
      </c>
      <c r="BN100" s="2">
        <v>0</v>
      </c>
      <c r="BO100" s="2" t="s">
        <v>3</v>
      </c>
      <c r="BP100" s="2">
        <v>0</v>
      </c>
      <c r="BQ100" s="2">
        <v>2</v>
      </c>
      <c r="BR100" s="2">
        <v>0</v>
      </c>
      <c r="BS100" s="2">
        <v>1</v>
      </c>
      <c r="BT100" s="2">
        <v>1</v>
      </c>
      <c r="BU100" s="2">
        <v>1</v>
      </c>
      <c r="BV100" s="2">
        <v>1</v>
      </c>
      <c r="BW100" s="2">
        <v>1</v>
      </c>
      <c r="BX100" s="2">
        <v>1</v>
      </c>
      <c r="BY100" s="2" t="s">
        <v>3</v>
      </c>
      <c r="BZ100" s="2">
        <v>102</v>
      </c>
      <c r="CA100" s="2">
        <v>58</v>
      </c>
      <c r="CB100" s="2" t="s">
        <v>3</v>
      </c>
      <c r="CC100" s="2"/>
      <c r="CD100" s="2"/>
      <c r="CE100" s="2">
        <v>0</v>
      </c>
      <c r="CF100" s="2">
        <v>0</v>
      </c>
      <c r="CG100" s="2">
        <v>0</v>
      </c>
      <c r="CH100" s="2"/>
      <c r="CI100" s="2"/>
      <c r="CJ100" s="2"/>
      <c r="CK100" s="2"/>
      <c r="CL100" s="2"/>
      <c r="CM100" s="2">
        <v>0</v>
      </c>
      <c r="CN100" s="2" t="s">
        <v>3</v>
      </c>
      <c r="CO100" s="2">
        <v>0</v>
      </c>
      <c r="CP100" s="2">
        <f t="shared" si="72"/>
        <v>68.759999999999991</v>
      </c>
      <c r="CQ100" s="2">
        <f>SUMIF(SmtRes!AQ103:'SmtRes'!AQ111,"=1",SmtRes!AA103:'SmtRes'!AA111)</f>
        <v>117566.93</v>
      </c>
      <c r="CR100" s="2">
        <f>SUMIF(SmtRes!AQ103:'SmtRes'!AQ111,"=1",SmtRes!AB103:'SmtRes'!AB111)</f>
        <v>2162.7199999999998</v>
      </c>
      <c r="CS100" s="2">
        <f>SUMIF(SmtRes!AQ103:'SmtRes'!AQ111,"=1",SmtRes!AC103:'SmtRes'!AC111)</f>
        <v>1713.12</v>
      </c>
      <c r="CT100" s="2">
        <f>SUMIF(SmtRes!AQ103:'SmtRes'!AQ111,"=1",SmtRes!AD103:'SmtRes'!AD111)</f>
        <v>681.63</v>
      </c>
      <c r="CU100" s="2">
        <f t="shared" si="73"/>
        <v>0</v>
      </c>
      <c r="CV100" s="2">
        <f>SUMIF(SmtRes!AQ103:'SmtRes'!AQ111,"=1",SmtRes!BU103:'SmtRes'!BU111)</f>
        <v>118</v>
      </c>
      <c r="CW100" s="2">
        <f>SUMIF(SmtRes!AQ103:'SmtRes'!AQ111,"=1",SmtRes!BV103:'SmtRes'!BV111)</f>
        <v>0.5</v>
      </c>
      <c r="CX100" s="2">
        <f t="shared" si="74"/>
        <v>0</v>
      </c>
      <c r="CY100" s="2">
        <f t="shared" si="75"/>
        <v>65.97359999999999</v>
      </c>
      <c r="CZ100" s="2">
        <f t="shared" si="76"/>
        <v>37.514399999999995</v>
      </c>
      <c r="DA100" s="2"/>
      <c r="DB100" s="2"/>
      <c r="DC100" s="2" t="s">
        <v>3</v>
      </c>
      <c r="DD100" s="2" t="s">
        <v>3</v>
      </c>
      <c r="DE100" s="2" t="s">
        <v>3</v>
      </c>
      <c r="DF100" s="2" t="s">
        <v>3</v>
      </c>
      <c r="DG100" s="2" t="s">
        <v>3</v>
      </c>
      <c r="DH100" s="2" t="s">
        <v>3</v>
      </c>
      <c r="DI100" s="2" t="s">
        <v>3</v>
      </c>
      <c r="DJ100" s="2" t="s">
        <v>3</v>
      </c>
      <c r="DK100" s="2" t="s">
        <v>3</v>
      </c>
      <c r="DL100" s="2" t="s">
        <v>3</v>
      </c>
      <c r="DM100" s="2" t="s">
        <v>3</v>
      </c>
      <c r="DN100" s="2">
        <v>0</v>
      </c>
      <c r="DO100" s="2">
        <v>0</v>
      </c>
      <c r="DP100" s="2">
        <v>1</v>
      </c>
      <c r="DQ100" s="2">
        <v>1</v>
      </c>
      <c r="DR100" s="2"/>
      <c r="DS100" s="2"/>
      <c r="DT100" s="2"/>
      <c r="DU100" s="2">
        <v>1009</v>
      </c>
      <c r="DV100" s="2" t="s">
        <v>30</v>
      </c>
      <c r="DW100" s="2" t="s">
        <v>30</v>
      </c>
      <c r="DX100" s="2">
        <v>1000</v>
      </c>
      <c r="DY100" s="2"/>
      <c r="DZ100" s="2" t="s">
        <v>3</v>
      </c>
      <c r="EA100" s="2" t="s">
        <v>3</v>
      </c>
      <c r="EB100" s="2" t="s">
        <v>3</v>
      </c>
      <c r="EC100" s="2" t="s">
        <v>3</v>
      </c>
      <c r="ED100" s="2"/>
      <c r="EE100" s="2">
        <v>89976980</v>
      </c>
      <c r="EF100" s="2">
        <v>2</v>
      </c>
      <c r="EG100" s="2" t="s">
        <v>44</v>
      </c>
      <c r="EH100" s="2">
        <v>6</v>
      </c>
      <c r="EI100" s="2" t="s">
        <v>45</v>
      </c>
      <c r="EJ100" s="2">
        <v>1</v>
      </c>
      <c r="EK100" s="2">
        <v>6001</v>
      </c>
      <c r="EL100" s="2" t="s">
        <v>45</v>
      </c>
      <c r="EM100" s="2" t="s">
        <v>46</v>
      </c>
      <c r="EN100" s="2"/>
      <c r="EO100" s="2" t="s">
        <v>3</v>
      </c>
      <c r="EP100" s="2"/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118</v>
      </c>
      <c r="EX100" s="2">
        <v>0.5</v>
      </c>
      <c r="EY100" s="2">
        <v>0</v>
      </c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>
        <v>0</v>
      </c>
      <c r="FR100" s="2">
        <v>0</v>
      </c>
      <c r="FS100" s="2">
        <v>0</v>
      </c>
      <c r="FT100" s="2"/>
      <c r="FU100" s="2"/>
      <c r="FV100" s="2"/>
      <c r="FW100" s="2"/>
      <c r="FX100" s="2">
        <v>102</v>
      </c>
      <c r="FY100" s="2">
        <v>58</v>
      </c>
      <c r="FZ100" s="2"/>
      <c r="GA100" s="2" t="s">
        <v>3</v>
      </c>
      <c r="GB100" s="2"/>
      <c r="GC100" s="2"/>
      <c r="GD100" s="2">
        <v>1</v>
      </c>
      <c r="GE100" s="2"/>
      <c r="GF100" s="2">
        <v>-1969773591</v>
      </c>
      <c r="GG100" s="2">
        <v>2</v>
      </c>
      <c r="GH100" s="2">
        <v>1</v>
      </c>
      <c r="GI100" s="2">
        <v>-2</v>
      </c>
      <c r="GJ100" s="2">
        <v>0</v>
      </c>
      <c r="GK100" s="2">
        <v>0</v>
      </c>
      <c r="GL100" s="2">
        <f t="shared" si="77"/>
        <v>0</v>
      </c>
      <c r="GM100" s="2">
        <f t="shared" si="78"/>
        <v>172.24</v>
      </c>
      <c r="GN100" s="2">
        <f t="shared" si="79"/>
        <v>172.24</v>
      </c>
      <c r="GO100" s="2">
        <f t="shared" si="80"/>
        <v>0</v>
      </c>
      <c r="GP100" s="2">
        <f t="shared" si="81"/>
        <v>0</v>
      </c>
      <c r="GQ100" s="2"/>
      <c r="GR100" s="2">
        <v>0</v>
      </c>
      <c r="GS100" s="2">
        <v>0</v>
      </c>
      <c r="GT100" s="2">
        <v>0</v>
      </c>
      <c r="GU100" s="2" t="s">
        <v>3</v>
      </c>
      <c r="GV100" s="2">
        <f t="shared" si="82"/>
        <v>0</v>
      </c>
      <c r="GW100" s="2">
        <v>1</v>
      </c>
      <c r="GX100" s="2">
        <f t="shared" si="83"/>
        <v>0</v>
      </c>
      <c r="GY100" s="2"/>
      <c r="GZ100" s="2"/>
      <c r="HA100" s="2">
        <v>0</v>
      </c>
      <c r="HB100" s="2">
        <v>0</v>
      </c>
      <c r="HC100" s="2">
        <f t="shared" si="84"/>
        <v>0</v>
      </c>
      <c r="HD100" s="2"/>
      <c r="HE100" s="2" t="s">
        <v>3</v>
      </c>
      <c r="HF100" s="2" t="s">
        <v>3</v>
      </c>
      <c r="HG100" s="2"/>
      <c r="HH100" s="2"/>
      <c r="HI100" s="2"/>
      <c r="HJ100" s="2"/>
      <c r="HK100" s="2"/>
      <c r="HL100" s="2"/>
      <c r="HM100" s="2" t="s">
        <v>3</v>
      </c>
      <c r="HN100" s="2" t="s">
        <v>47</v>
      </c>
      <c r="HO100" s="2" t="s">
        <v>48</v>
      </c>
      <c r="HP100" s="2" t="s">
        <v>45</v>
      </c>
      <c r="HQ100" s="2" t="s">
        <v>45</v>
      </c>
      <c r="HR100" s="2"/>
      <c r="HS100" s="2">
        <v>0</v>
      </c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>
        <v>0</v>
      </c>
      <c r="IL100" s="2"/>
      <c r="IM100" s="2"/>
      <c r="IN100" s="2"/>
      <c r="IO100" s="2"/>
      <c r="IP100" s="2"/>
      <c r="IQ100" s="2"/>
      <c r="IR100" s="2"/>
      <c r="IS100" s="2"/>
      <c r="IT100" s="2"/>
      <c r="IU100" s="2"/>
    </row>
    <row r="101" spans="1:255" x14ac:dyDescent="0.2">
      <c r="A101" s="2">
        <v>18</v>
      </c>
      <c r="B101" s="2">
        <v>1</v>
      </c>
      <c r="C101" s="2">
        <v>110</v>
      </c>
      <c r="D101" s="2"/>
      <c r="E101" s="2" t="s">
        <v>216</v>
      </c>
      <c r="F101" s="2" t="s">
        <v>67</v>
      </c>
      <c r="G101" s="2" t="s">
        <v>68</v>
      </c>
      <c r="H101" s="2" t="s">
        <v>30</v>
      </c>
      <c r="I101" s="2">
        <f>I100*J101</f>
        <v>8.0000000000000004E-4</v>
      </c>
      <c r="J101" s="2">
        <v>1</v>
      </c>
      <c r="K101" s="2">
        <v>1</v>
      </c>
      <c r="L101" s="2"/>
      <c r="M101" s="2"/>
      <c r="N101" s="2"/>
      <c r="O101" s="2">
        <f t="shared" si="64"/>
        <v>165.64</v>
      </c>
      <c r="P101" s="2">
        <f>ROUND(CQ101*I101,2)</f>
        <v>165.64</v>
      </c>
      <c r="Q101" s="2">
        <f>ROUND(CR101*I101,2)</f>
        <v>0</v>
      </c>
      <c r="R101" s="2">
        <f>ROUND(CS101*I101,2)</f>
        <v>0</v>
      </c>
      <c r="S101" s="2">
        <f>ROUND(CT101*I101,2)</f>
        <v>0</v>
      </c>
      <c r="T101" s="2">
        <f t="shared" si="65"/>
        <v>0</v>
      </c>
      <c r="U101" s="2">
        <f>ROUND(CV101*I101,7)</f>
        <v>0</v>
      </c>
      <c r="V101" s="2">
        <f>ROUND(CW101*I101,7)</f>
        <v>0</v>
      </c>
      <c r="W101" s="2">
        <f t="shared" si="66"/>
        <v>0</v>
      </c>
      <c r="X101" s="2">
        <f t="shared" si="67"/>
        <v>0</v>
      </c>
      <c r="Y101" s="2">
        <f t="shared" si="68"/>
        <v>0</v>
      </c>
      <c r="Z101" s="2"/>
      <c r="AA101" s="2">
        <v>94104265</v>
      </c>
      <c r="AB101" s="2">
        <f t="shared" si="69"/>
        <v>191710.91</v>
      </c>
      <c r="AC101" s="2">
        <f>ROUND((ES101),6)</f>
        <v>191710.91</v>
      </c>
      <c r="AD101" s="2">
        <f>ROUND((((ET101)-(EU101))+AE101),6)</f>
        <v>0</v>
      </c>
      <c r="AE101" s="2">
        <f>ROUND((EU101),6)</f>
        <v>0</v>
      </c>
      <c r="AF101" s="2">
        <f>ROUND((EV101),6)</f>
        <v>0</v>
      </c>
      <c r="AG101" s="2">
        <f t="shared" si="70"/>
        <v>0</v>
      </c>
      <c r="AH101" s="2">
        <f>(EW101)</f>
        <v>0</v>
      </c>
      <c r="AI101" s="2">
        <f>(EX101)</f>
        <v>0</v>
      </c>
      <c r="AJ101" s="2">
        <f t="shared" si="71"/>
        <v>0</v>
      </c>
      <c r="AK101" s="2">
        <v>191710.91</v>
      </c>
      <c r="AL101" s="2">
        <v>191710.91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102</v>
      </c>
      <c r="AU101" s="2">
        <v>58</v>
      </c>
      <c r="AV101" s="2">
        <v>1</v>
      </c>
      <c r="AW101" s="2">
        <v>1</v>
      </c>
      <c r="AX101" s="2"/>
      <c r="AY101" s="2"/>
      <c r="AZ101" s="2">
        <v>1</v>
      </c>
      <c r="BA101" s="2">
        <v>1</v>
      </c>
      <c r="BB101" s="2">
        <v>1</v>
      </c>
      <c r="BC101" s="2">
        <v>1.08</v>
      </c>
      <c r="BD101" s="2" t="s">
        <v>3</v>
      </c>
      <c r="BE101" s="2" t="s">
        <v>3</v>
      </c>
      <c r="BF101" s="2" t="s">
        <v>3</v>
      </c>
      <c r="BG101" s="2" t="s">
        <v>3</v>
      </c>
      <c r="BH101" s="2">
        <v>3</v>
      </c>
      <c r="BI101" s="2">
        <v>1</v>
      </c>
      <c r="BJ101" s="2" t="s">
        <v>69</v>
      </c>
      <c r="BK101" s="2"/>
      <c r="BL101" s="2"/>
      <c r="BM101" s="2">
        <v>6001</v>
      </c>
      <c r="BN101" s="2">
        <v>0</v>
      </c>
      <c r="BO101" s="2" t="s">
        <v>67</v>
      </c>
      <c r="BP101" s="2">
        <v>1</v>
      </c>
      <c r="BQ101" s="2">
        <v>2</v>
      </c>
      <c r="BR101" s="2">
        <v>0</v>
      </c>
      <c r="BS101" s="2">
        <v>1</v>
      </c>
      <c r="BT101" s="2">
        <v>1</v>
      </c>
      <c r="BU101" s="2">
        <v>1</v>
      </c>
      <c r="BV101" s="2">
        <v>1</v>
      </c>
      <c r="BW101" s="2">
        <v>1</v>
      </c>
      <c r="BX101" s="2">
        <v>1</v>
      </c>
      <c r="BY101" s="2" t="s">
        <v>3</v>
      </c>
      <c r="BZ101" s="2">
        <v>102</v>
      </c>
      <c r="CA101" s="2">
        <v>58</v>
      </c>
      <c r="CB101" s="2" t="s">
        <v>3</v>
      </c>
      <c r="CC101" s="2"/>
      <c r="CD101" s="2"/>
      <c r="CE101" s="2">
        <v>0</v>
      </c>
      <c r="CF101" s="2">
        <v>0</v>
      </c>
      <c r="CG101" s="2">
        <v>0</v>
      </c>
      <c r="CH101" s="2"/>
      <c r="CI101" s="2"/>
      <c r="CJ101" s="2"/>
      <c r="CK101" s="2"/>
      <c r="CL101" s="2"/>
      <c r="CM101" s="2">
        <v>0</v>
      </c>
      <c r="CN101" s="2" t="s">
        <v>3</v>
      </c>
      <c r="CO101" s="2">
        <v>0</v>
      </c>
      <c r="CP101" s="2">
        <f t="shared" si="72"/>
        <v>165.64</v>
      </c>
      <c r="CQ101" s="2">
        <f>ROUND(AL101*BC101,2)</f>
        <v>207047.78</v>
      </c>
      <c r="CR101" s="2">
        <f>ROUND(AM101*BB101,2)</f>
        <v>0</v>
      </c>
      <c r="CS101" s="2">
        <f>ROUND(AN101*BS101,2)</f>
        <v>0</v>
      </c>
      <c r="CT101" s="2">
        <f>ROUND(AO101*BA101,2)</f>
        <v>0</v>
      </c>
      <c r="CU101" s="2">
        <f t="shared" si="73"/>
        <v>0</v>
      </c>
      <c r="CV101" s="2">
        <f>AH101</f>
        <v>0</v>
      </c>
      <c r="CW101" s="2">
        <f>AI101</f>
        <v>0</v>
      </c>
      <c r="CX101" s="2">
        <f t="shared" si="74"/>
        <v>0</v>
      </c>
      <c r="CY101" s="2">
        <f t="shared" si="75"/>
        <v>0</v>
      </c>
      <c r="CZ101" s="2">
        <f t="shared" si="76"/>
        <v>0</v>
      </c>
      <c r="DA101" s="2"/>
      <c r="DB101" s="2"/>
      <c r="DC101" s="2" t="s">
        <v>3</v>
      </c>
      <c r="DD101" s="2" t="s">
        <v>3</v>
      </c>
      <c r="DE101" s="2" t="s">
        <v>3</v>
      </c>
      <c r="DF101" s="2" t="s">
        <v>3</v>
      </c>
      <c r="DG101" s="2" t="s">
        <v>3</v>
      </c>
      <c r="DH101" s="2" t="s">
        <v>3</v>
      </c>
      <c r="DI101" s="2" t="s">
        <v>3</v>
      </c>
      <c r="DJ101" s="2" t="s">
        <v>3</v>
      </c>
      <c r="DK101" s="2" t="s">
        <v>3</v>
      </c>
      <c r="DL101" s="2" t="s">
        <v>3</v>
      </c>
      <c r="DM101" s="2" t="s">
        <v>3</v>
      </c>
      <c r="DN101" s="2">
        <v>0</v>
      </c>
      <c r="DO101" s="2">
        <v>0</v>
      </c>
      <c r="DP101" s="2">
        <v>1</v>
      </c>
      <c r="DQ101" s="2">
        <v>1</v>
      </c>
      <c r="DR101" s="2"/>
      <c r="DS101" s="2"/>
      <c r="DT101" s="2"/>
      <c r="DU101" s="2">
        <v>1009</v>
      </c>
      <c r="DV101" s="2" t="s">
        <v>30</v>
      </c>
      <c r="DW101" s="2" t="s">
        <v>30</v>
      </c>
      <c r="DX101" s="2">
        <v>1000</v>
      </c>
      <c r="DY101" s="2"/>
      <c r="DZ101" s="2" t="s">
        <v>3</v>
      </c>
      <c r="EA101" s="2" t="s">
        <v>3</v>
      </c>
      <c r="EB101" s="2" t="s">
        <v>3</v>
      </c>
      <c r="EC101" s="2" t="s">
        <v>3</v>
      </c>
      <c r="ED101" s="2"/>
      <c r="EE101" s="2">
        <v>89976980</v>
      </c>
      <c r="EF101" s="2">
        <v>2</v>
      </c>
      <c r="EG101" s="2" t="s">
        <v>44</v>
      </c>
      <c r="EH101" s="2">
        <v>6</v>
      </c>
      <c r="EI101" s="2" t="s">
        <v>45</v>
      </c>
      <c r="EJ101" s="2">
        <v>1</v>
      </c>
      <c r="EK101" s="2">
        <v>6001</v>
      </c>
      <c r="EL101" s="2" t="s">
        <v>45</v>
      </c>
      <c r="EM101" s="2" t="s">
        <v>46</v>
      </c>
      <c r="EN101" s="2"/>
      <c r="EO101" s="2" t="s">
        <v>3</v>
      </c>
      <c r="EP101" s="2"/>
      <c r="EQ101" s="2">
        <v>0</v>
      </c>
      <c r="ER101" s="2">
        <v>191710.91</v>
      </c>
      <c r="ES101" s="2">
        <v>191710.91</v>
      </c>
      <c r="ET101" s="2">
        <v>0</v>
      </c>
      <c r="EU101" s="2">
        <v>0</v>
      </c>
      <c r="EV101" s="2">
        <v>0</v>
      </c>
      <c r="EW101" s="2">
        <v>0</v>
      </c>
      <c r="EX101" s="2">
        <v>0</v>
      </c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>
        <v>0</v>
      </c>
      <c r="FR101" s="2">
        <v>0</v>
      </c>
      <c r="FS101" s="2">
        <v>0</v>
      </c>
      <c r="FT101" s="2"/>
      <c r="FU101" s="2"/>
      <c r="FV101" s="2"/>
      <c r="FW101" s="2"/>
      <c r="FX101" s="2">
        <v>102</v>
      </c>
      <c r="FY101" s="2">
        <v>58</v>
      </c>
      <c r="FZ101" s="2"/>
      <c r="GA101" s="2" t="s">
        <v>3</v>
      </c>
      <c r="GB101" s="2"/>
      <c r="GC101" s="2"/>
      <c r="GD101" s="2">
        <v>1</v>
      </c>
      <c r="GE101" s="2"/>
      <c r="GF101" s="2">
        <v>1532513223</v>
      </c>
      <c r="GG101" s="2">
        <v>2</v>
      </c>
      <c r="GH101" s="2">
        <v>1</v>
      </c>
      <c r="GI101" s="2">
        <v>2</v>
      </c>
      <c r="GJ101" s="2">
        <v>0</v>
      </c>
      <c r="GK101" s="2">
        <v>0</v>
      </c>
      <c r="GL101" s="2">
        <f t="shared" si="77"/>
        <v>0</v>
      </c>
      <c r="GM101" s="2">
        <f t="shared" si="78"/>
        <v>165.64</v>
      </c>
      <c r="GN101" s="2">
        <f t="shared" si="79"/>
        <v>165.64</v>
      </c>
      <c r="GO101" s="2">
        <f t="shared" si="80"/>
        <v>0</v>
      </c>
      <c r="GP101" s="2">
        <f t="shared" si="81"/>
        <v>0</v>
      </c>
      <c r="GQ101" s="2"/>
      <c r="GR101" s="2">
        <v>0</v>
      </c>
      <c r="GS101" s="2">
        <v>0</v>
      </c>
      <c r="GT101" s="2">
        <v>0</v>
      </c>
      <c r="GU101" s="2" t="s">
        <v>3</v>
      </c>
      <c r="GV101" s="2">
        <f t="shared" si="82"/>
        <v>0</v>
      </c>
      <c r="GW101" s="2">
        <v>1</v>
      </c>
      <c r="GX101" s="2">
        <f t="shared" si="83"/>
        <v>0</v>
      </c>
      <c r="GY101" s="2"/>
      <c r="GZ101" s="2"/>
      <c r="HA101" s="2">
        <v>0</v>
      </c>
      <c r="HB101" s="2">
        <v>0</v>
      </c>
      <c r="HC101" s="2">
        <f t="shared" si="84"/>
        <v>0</v>
      </c>
      <c r="HD101" s="2"/>
      <c r="HE101" s="2" t="s">
        <v>3</v>
      </c>
      <c r="HF101" s="2" t="s">
        <v>3</v>
      </c>
      <c r="HG101" s="2"/>
      <c r="HH101" s="2"/>
      <c r="HI101" s="2"/>
      <c r="HJ101" s="2"/>
      <c r="HK101" s="2"/>
      <c r="HL101" s="2"/>
      <c r="HM101" s="2" t="s">
        <v>3</v>
      </c>
      <c r="HN101" s="2" t="s">
        <v>47</v>
      </c>
      <c r="HO101" s="2" t="s">
        <v>48</v>
      </c>
      <c r="HP101" s="2" t="s">
        <v>45</v>
      </c>
      <c r="HQ101" s="2" t="s">
        <v>45</v>
      </c>
      <c r="HR101" s="2"/>
      <c r="HS101" s="2">
        <v>0</v>
      </c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>
        <v>0</v>
      </c>
      <c r="IL101" s="2"/>
      <c r="IM101" s="2"/>
      <c r="IN101" s="2"/>
      <c r="IO101" s="2"/>
      <c r="IP101" s="2"/>
      <c r="IQ101" s="2"/>
      <c r="IR101" s="2"/>
      <c r="IS101" s="2"/>
      <c r="IT101" s="2"/>
      <c r="IU101" s="2"/>
    </row>
    <row r="102" spans="1:255" x14ac:dyDescent="0.2">
      <c r="A102" s="2">
        <v>17</v>
      </c>
      <c r="B102" s="2">
        <v>1</v>
      </c>
      <c r="C102" s="2">
        <f>ROW(SmtRes!A123)</f>
        <v>123</v>
      </c>
      <c r="D102" s="2">
        <f>ROW(EtalonRes!A123)</f>
        <v>123</v>
      </c>
      <c r="E102" s="2" t="s">
        <v>217</v>
      </c>
      <c r="F102" s="2" t="s">
        <v>71</v>
      </c>
      <c r="G102" s="2" t="s">
        <v>72</v>
      </c>
      <c r="H102" s="2" t="s">
        <v>20</v>
      </c>
      <c r="I102" s="2">
        <f>ROUND(3.255/100,7)</f>
        <v>3.2550000000000003E-2</v>
      </c>
      <c r="J102" s="2">
        <v>0</v>
      </c>
      <c r="K102" s="2">
        <f>ROUND(3.255/100,7)</f>
        <v>3.2550000000000003E-2</v>
      </c>
      <c r="L102" s="2"/>
      <c r="M102" s="2"/>
      <c r="N102" s="2"/>
      <c r="O102" s="2">
        <f t="shared" si="64"/>
        <v>1281.45</v>
      </c>
      <c r="P102" s="2">
        <f>SUMIF(SmtRes!AQ112:'SmtRes'!AQ123,"=1",SmtRes!DF112:'SmtRes'!DF123)</f>
        <v>598.15</v>
      </c>
      <c r="Q102" s="2">
        <f>SUMIF(SmtRes!AQ112:'SmtRes'!AQ123,"=1",SmtRes!DG112:'SmtRes'!DG123)</f>
        <v>25.72</v>
      </c>
      <c r="R102" s="2">
        <f>SUMIF(SmtRes!AQ112:'SmtRes'!AQ123,"=1",SmtRes!DH112:'SmtRes'!DH123)</f>
        <v>9.75</v>
      </c>
      <c r="S102" s="2">
        <f>SUMIF(SmtRes!AQ112:'SmtRes'!AQ123,"=1",SmtRes!DI112:'SmtRes'!DI123)</f>
        <v>647.83000000000004</v>
      </c>
      <c r="T102" s="2">
        <f t="shared" si="65"/>
        <v>0</v>
      </c>
      <c r="U102" s="2">
        <f>SUMIF(SmtRes!AQ112:'SmtRes'!AQ123,"=1",SmtRes!CV112:'SmtRes'!CV123)</f>
        <v>0.79096500000000003</v>
      </c>
      <c r="V102" s="2">
        <f>SUMIF(SmtRes!AQ112:'SmtRes'!AQ123,"=1",SmtRes!CW112:'SmtRes'!CW123)</f>
        <v>1.39965E-2</v>
      </c>
      <c r="W102" s="2">
        <f t="shared" si="66"/>
        <v>0</v>
      </c>
      <c r="X102" s="2">
        <f t="shared" si="67"/>
        <v>736.49</v>
      </c>
      <c r="Y102" s="2">
        <f t="shared" si="68"/>
        <v>427.43</v>
      </c>
      <c r="Z102" s="2"/>
      <c r="AA102" s="2">
        <v>94104265</v>
      </c>
      <c r="AB102" s="2">
        <f t="shared" si="69"/>
        <v>35233.114959999999</v>
      </c>
      <c r="AC102" s="2">
        <f>ROUND((SUM(SmtRes!BQ112:'SmtRes'!BQ123)),6)</f>
        <v>14731.862859999999</v>
      </c>
      <c r="AD102" s="2">
        <f>ROUND((((SUM(SmtRes!BR112:'SmtRes'!BR123))-(SUM(SmtRes!BS112:'SmtRes'!BS123)))+AE102),6)</f>
        <v>598.58010000000002</v>
      </c>
      <c r="AE102" s="2">
        <f>ROUND((SUM(SmtRes!BS112:'SmtRes'!BS123)),6)</f>
        <v>299.63319999999999</v>
      </c>
      <c r="AF102" s="2">
        <f>ROUND((SUM(SmtRes!BT112:'SmtRes'!BT123)),6)</f>
        <v>19902.671999999999</v>
      </c>
      <c r="AG102" s="2">
        <f t="shared" si="70"/>
        <v>0</v>
      </c>
      <c r="AH102" s="2">
        <f>(SUM(SmtRes!BU112:'SmtRes'!BU123))</f>
        <v>24.3</v>
      </c>
      <c r="AI102" s="2">
        <f>(SUM(SmtRes!BV112:'SmtRes'!BV123))</f>
        <v>0.43</v>
      </c>
      <c r="AJ102" s="2">
        <f t="shared" si="71"/>
        <v>0</v>
      </c>
      <c r="AK102" s="2">
        <v>35532.748159999996</v>
      </c>
      <c r="AL102" s="2">
        <v>14731.862860000001</v>
      </c>
      <c r="AM102" s="2">
        <v>598.58010000000002</v>
      </c>
      <c r="AN102" s="2">
        <v>299.63319999999999</v>
      </c>
      <c r="AO102" s="2">
        <v>19902.671999999999</v>
      </c>
      <c r="AP102" s="2">
        <v>0</v>
      </c>
      <c r="AQ102" s="2">
        <v>24.3</v>
      </c>
      <c r="AR102" s="2">
        <v>0.43</v>
      </c>
      <c r="AS102" s="2">
        <v>0</v>
      </c>
      <c r="AT102" s="2">
        <v>112</v>
      </c>
      <c r="AU102" s="2">
        <v>65</v>
      </c>
      <c r="AV102" s="2">
        <v>1</v>
      </c>
      <c r="AW102" s="2">
        <v>1</v>
      </c>
      <c r="AX102" s="2"/>
      <c r="AY102" s="2"/>
      <c r="AZ102" s="2">
        <v>1</v>
      </c>
      <c r="BA102" s="2">
        <v>1</v>
      </c>
      <c r="BB102" s="2">
        <v>1</v>
      </c>
      <c r="BC102" s="2">
        <v>1</v>
      </c>
      <c r="BD102" s="2" t="s">
        <v>3</v>
      </c>
      <c r="BE102" s="2" t="s">
        <v>3</v>
      </c>
      <c r="BF102" s="2" t="s">
        <v>3</v>
      </c>
      <c r="BG102" s="2" t="s">
        <v>3</v>
      </c>
      <c r="BH102" s="2">
        <v>0</v>
      </c>
      <c r="BI102" s="2">
        <v>1</v>
      </c>
      <c r="BJ102" s="2" t="s">
        <v>73</v>
      </c>
      <c r="BK102" s="2"/>
      <c r="BL102" s="2"/>
      <c r="BM102" s="2">
        <v>11001</v>
      </c>
      <c r="BN102" s="2">
        <v>0</v>
      </c>
      <c r="BO102" s="2" t="s">
        <v>3</v>
      </c>
      <c r="BP102" s="2">
        <v>0</v>
      </c>
      <c r="BQ102" s="2">
        <v>2</v>
      </c>
      <c r="BR102" s="2">
        <v>0</v>
      </c>
      <c r="BS102" s="2">
        <v>1</v>
      </c>
      <c r="BT102" s="2">
        <v>1</v>
      </c>
      <c r="BU102" s="2">
        <v>1</v>
      </c>
      <c r="BV102" s="2">
        <v>1</v>
      </c>
      <c r="BW102" s="2">
        <v>1</v>
      </c>
      <c r="BX102" s="2">
        <v>1</v>
      </c>
      <c r="BY102" s="2" t="s">
        <v>3</v>
      </c>
      <c r="BZ102" s="2">
        <v>112</v>
      </c>
      <c r="CA102" s="2">
        <v>65</v>
      </c>
      <c r="CB102" s="2" t="s">
        <v>3</v>
      </c>
      <c r="CC102" s="2"/>
      <c r="CD102" s="2"/>
      <c r="CE102" s="2">
        <v>0</v>
      </c>
      <c r="CF102" s="2">
        <v>0</v>
      </c>
      <c r="CG102" s="2">
        <v>0</v>
      </c>
      <c r="CH102" s="2"/>
      <c r="CI102" s="2"/>
      <c r="CJ102" s="2"/>
      <c r="CK102" s="2"/>
      <c r="CL102" s="2"/>
      <c r="CM102" s="2">
        <v>0</v>
      </c>
      <c r="CN102" s="2" t="s">
        <v>3</v>
      </c>
      <c r="CO102" s="2">
        <v>0</v>
      </c>
      <c r="CP102" s="2">
        <f t="shared" si="72"/>
        <v>1281.45</v>
      </c>
      <c r="CQ102" s="2">
        <f>SUMIF(SmtRes!AQ112:'SmtRes'!AQ123,"=1",SmtRes!AA112:'SmtRes'!AA123)</f>
        <v>93133.56</v>
      </c>
      <c r="CR102" s="2">
        <f>SUMIF(SmtRes!AQ112:'SmtRes'!AQ123,"=1",SmtRes!AB112:'SmtRes'!AB123)</f>
        <v>772.02</v>
      </c>
      <c r="CS102" s="2">
        <f>SUMIF(SmtRes!AQ112:'SmtRes'!AQ123,"=1",SmtRes!AC112:'SmtRes'!AC123)</f>
        <v>1380.3200000000002</v>
      </c>
      <c r="CT102" s="2">
        <f>SUMIF(SmtRes!AQ112:'SmtRes'!AQ123,"=1",SmtRes!AD112:'SmtRes'!AD123)</f>
        <v>819.04</v>
      </c>
      <c r="CU102" s="2">
        <f t="shared" si="73"/>
        <v>0</v>
      </c>
      <c r="CV102" s="2">
        <f>SUMIF(SmtRes!AQ112:'SmtRes'!AQ123,"=1",SmtRes!BU112:'SmtRes'!BU123)</f>
        <v>24.3</v>
      </c>
      <c r="CW102" s="2">
        <f>SUMIF(SmtRes!AQ112:'SmtRes'!AQ123,"=1",SmtRes!BV112:'SmtRes'!BV123)</f>
        <v>0.43</v>
      </c>
      <c r="CX102" s="2">
        <f t="shared" si="74"/>
        <v>0</v>
      </c>
      <c r="CY102" s="2">
        <f t="shared" si="75"/>
        <v>736.48960000000011</v>
      </c>
      <c r="CZ102" s="2">
        <f t="shared" si="76"/>
        <v>427.42700000000002</v>
      </c>
      <c r="DA102" s="2"/>
      <c r="DB102" s="2"/>
      <c r="DC102" s="2" t="s">
        <v>3</v>
      </c>
      <c r="DD102" s="2" t="s">
        <v>3</v>
      </c>
      <c r="DE102" s="2" t="s">
        <v>3</v>
      </c>
      <c r="DF102" s="2" t="s">
        <v>3</v>
      </c>
      <c r="DG102" s="2" t="s">
        <v>3</v>
      </c>
      <c r="DH102" s="2" t="s">
        <v>3</v>
      </c>
      <c r="DI102" s="2" t="s">
        <v>3</v>
      </c>
      <c r="DJ102" s="2" t="s">
        <v>3</v>
      </c>
      <c r="DK102" s="2" t="s">
        <v>3</v>
      </c>
      <c r="DL102" s="2" t="s">
        <v>3</v>
      </c>
      <c r="DM102" s="2" t="s">
        <v>3</v>
      </c>
      <c r="DN102" s="2">
        <v>0</v>
      </c>
      <c r="DO102" s="2">
        <v>0</v>
      </c>
      <c r="DP102" s="2">
        <v>1</v>
      </c>
      <c r="DQ102" s="2">
        <v>1</v>
      </c>
      <c r="DR102" s="2"/>
      <c r="DS102" s="2"/>
      <c r="DT102" s="2"/>
      <c r="DU102" s="2">
        <v>1005</v>
      </c>
      <c r="DV102" s="2" t="s">
        <v>20</v>
      </c>
      <c r="DW102" s="2" t="s">
        <v>20</v>
      </c>
      <c r="DX102" s="2">
        <v>100</v>
      </c>
      <c r="DY102" s="2"/>
      <c r="DZ102" s="2" t="s">
        <v>3</v>
      </c>
      <c r="EA102" s="2" t="s">
        <v>3</v>
      </c>
      <c r="EB102" s="2" t="s">
        <v>3</v>
      </c>
      <c r="EC102" s="2" t="s">
        <v>3</v>
      </c>
      <c r="ED102" s="2"/>
      <c r="EE102" s="2">
        <v>89976994</v>
      </c>
      <c r="EF102" s="2">
        <v>2</v>
      </c>
      <c r="EG102" s="2" t="s">
        <v>44</v>
      </c>
      <c r="EH102" s="2">
        <v>11</v>
      </c>
      <c r="EI102" s="2" t="s">
        <v>23</v>
      </c>
      <c r="EJ102" s="2">
        <v>1</v>
      </c>
      <c r="EK102" s="2">
        <v>11001</v>
      </c>
      <c r="EL102" s="2" t="s">
        <v>23</v>
      </c>
      <c r="EM102" s="2" t="s">
        <v>74</v>
      </c>
      <c r="EN102" s="2"/>
      <c r="EO102" s="2" t="s">
        <v>3</v>
      </c>
      <c r="EP102" s="2"/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24.3</v>
      </c>
      <c r="EX102" s="2">
        <v>0.43</v>
      </c>
      <c r="EY102" s="2">
        <v>0</v>
      </c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>
        <v>0</v>
      </c>
      <c r="FR102" s="2">
        <v>0</v>
      </c>
      <c r="FS102" s="2">
        <v>0</v>
      </c>
      <c r="FT102" s="2"/>
      <c r="FU102" s="2"/>
      <c r="FV102" s="2"/>
      <c r="FW102" s="2"/>
      <c r="FX102" s="2">
        <v>112</v>
      </c>
      <c r="FY102" s="2">
        <v>65</v>
      </c>
      <c r="FZ102" s="2"/>
      <c r="GA102" s="2" t="s">
        <v>3</v>
      </c>
      <c r="GB102" s="2"/>
      <c r="GC102" s="2"/>
      <c r="GD102" s="2">
        <v>1</v>
      </c>
      <c r="GE102" s="2"/>
      <c r="GF102" s="2">
        <v>9800686</v>
      </c>
      <c r="GG102" s="2">
        <v>2</v>
      </c>
      <c r="GH102" s="2">
        <v>1</v>
      </c>
      <c r="GI102" s="2">
        <v>-2</v>
      </c>
      <c r="GJ102" s="2">
        <v>0</v>
      </c>
      <c r="GK102" s="2">
        <v>0</v>
      </c>
      <c r="GL102" s="2">
        <f t="shared" si="77"/>
        <v>0</v>
      </c>
      <c r="GM102" s="2">
        <f t="shared" si="78"/>
        <v>2445.37</v>
      </c>
      <c r="GN102" s="2">
        <f t="shared" si="79"/>
        <v>2445.37</v>
      </c>
      <c r="GO102" s="2">
        <f t="shared" si="80"/>
        <v>0</v>
      </c>
      <c r="GP102" s="2">
        <f t="shared" si="81"/>
        <v>0</v>
      </c>
      <c r="GQ102" s="2"/>
      <c r="GR102" s="2">
        <v>0</v>
      </c>
      <c r="GS102" s="2">
        <v>0</v>
      </c>
      <c r="GT102" s="2">
        <v>0</v>
      </c>
      <c r="GU102" s="2" t="s">
        <v>3</v>
      </c>
      <c r="GV102" s="2">
        <f t="shared" si="82"/>
        <v>0</v>
      </c>
      <c r="GW102" s="2">
        <v>1</v>
      </c>
      <c r="GX102" s="2">
        <f t="shared" si="83"/>
        <v>0</v>
      </c>
      <c r="GY102" s="2"/>
      <c r="GZ102" s="2"/>
      <c r="HA102" s="2">
        <v>0</v>
      </c>
      <c r="HB102" s="2">
        <v>0</v>
      </c>
      <c r="HC102" s="2">
        <f t="shared" si="84"/>
        <v>0</v>
      </c>
      <c r="HD102" s="2"/>
      <c r="HE102" s="2" t="s">
        <v>3</v>
      </c>
      <c r="HF102" s="2" t="s">
        <v>3</v>
      </c>
      <c r="HG102" s="2"/>
      <c r="HH102" s="2"/>
      <c r="HI102" s="2"/>
      <c r="HJ102" s="2"/>
      <c r="HK102" s="2"/>
      <c r="HL102" s="2"/>
      <c r="HM102" s="2" t="s">
        <v>3</v>
      </c>
      <c r="HN102" s="2" t="s">
        <v>75</v>
      </c>
      <c r="HO102" s="2" t="s">
        <v>76</v>
      </c>
      <c r="HP102" s="2" t="s">
        <v>23</v>
      </c>
      <c r="HQ102" s="2" t="s">
        <v>23</v>
      </c>
      <c r="HR102" s="2"/>
      <c r="HS102" s="2">
        <v>0</v>
      </c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>
        <v>0</v>
      </c>
      <c r="IL102" s="2"/>
      <c r="IM102" s="2"/>
      <c r="IN102" s="2"/>
      <c r="IO102" s="2"/>
      <c r="IP102" s="2"/>
      <c r="IQ102" s="2"/>
      <c r="IR102" s="2"/>
      <c r="IS102" s="2"/>
      <c r="IT102" s="2"/>
      <c r="IU102" s="2"/>
    </row>
    <row r="103" spans="1:255" x14ac:dyDescent="0.2">
      <c r="A103" s="2">
        <v>17</v>
      </c>
      <c r="B103" s="2">
        <v>1</v>
      </c>
      <c r="C103" s="2">
        <f>ROW(SmtRes!A136)</f>
        <v>136</v>
      </c>
      <c r="D103" s="2">
        <f>ROW(EtalonRes!A136)</f>
        <v>136</v>
      </c>
      <c r="E103" s="2" t="s">
        <v>218</v>
      </c>
      <c r="F103" s="2" t="s">
        <v>78</v>
      </c>
      <c r="G103" s="2" t="s">
        <v>79</v>
      </c>
      <c r="H103" s="2" t="s">
        <v>20</v>
      </c>
      <c r="I103" s="2">
        <f>ROUND(1.5*1.7/100+(1.7*0.15+1.5*0.15*2)/100,7)</f>
        <v>3.2550000000000003E-2</v>
      </c>
      <c r="J103" s="2">
        <v>0</v>
      </c>
      <c r="K103" s="2">
        <f>ROUND(1.5*1.7/100+(1.7*0.15+1.5*0.15*2)/100,7)</f>
        <v>3.2550000000000003E-2</v>
      </c>
      <c r="L103" s="2"/>
      <c r="M103" s="2"/>
      <c r="N103" s="2"/>
      <c r="O103" s="2">
        <f t="shared" si="64"/>
        <v>6795.56</v>
      </c>
      <c r="P103" s="2">
        <f>SUMIF(SmtRes!AQ124:'SmtRes'!AQ136,"=1",SmtRes!DF124:'SmtRes'!DF136)</f>
        <v>32.06</v>
      </c>
      <c r="Q103" s="2">
        <f>SUMIF(SmtRes!AQ124:'SmtRes'!AQ136,"=1",SmtRes!DG124:'SmtRes'!DG136)</f>
        <v>1.1499999999999999</v>
      </c>
      <c r="R103" s="2">
        <f>SUMIF(SmtRes!AQ124:'SmtRes'!AQ136,"=1",SmtRes!DH124:'SmtRes'!DH136)</f>
        <v>36.910000000000004</v>
      </c>
      <c r="S103" s="2">
        <f>SUMIF(SmtRes!AQ124:'SmtRes'!AQ136,"=1",SmtRes!DI124:'SmtRes'!DI136)</f>
        <v>6725.44</v>
      </c>
      <c r="T103" s="2">
        <f t="shared" si="65"/>
        <v>0</v>
      </c>
      <c r="U103" s="2">
        <f>SUMIF(SmtRes!AQ124:'SmtRes'!AQ136,"=1",SmtRes!CV124:'SmtRes'!CV136)</f>
        <v>10.104170999999999</v>
      </c>
      <c r="V103" s="2">
        <f>SUMIF(SmtRes!AQ124:'SmtRes'!AQ136,"=1",SmtRes!CW124:'SmtRes'!CW136)</f>
        <v>5.63115E-2</v>
      </c>
      <c r="W103" s="2">
        <f t="shared" si="66"/>
        <v>0</v>
      </c>
      <c r="X103" s="2">
        <f t="shared" si="67"/>
        <v>7573.83</v>
      </c>
      <c r="Y103" s="2">
        <f t="shared" si="68"/>
        <v>4395.53</v>
      </c>
      <c r="Z103" s="2"/>
      <c r="AA103" s="2">
        <v>94104265</v>
      </c>
      <c r="AB103" s="2">
        <f t="shared" si="69"/>
        <v>207625.3946</v>
      </c>
      <c r="AC103" s="2">
        <f>ROUND((SUM(SmtRes!BQ124:'SmtRes'!BQ136)),6)</f>
        <v>976.49429999999995</v>
      </c>
      <c r="AD103" s="2">
        <f>ROUND((((SUM(SmtRes!BR124:'SmtRes'!BR136))-(SUM(SmtRes!BS124:'SmtRes'!BS136)))+AE103),6)</f>
        <v>30.2441</v>
      </c>
      <c r="AE103" s="2">
        <f>ROUND((SUM(SmtRes!BS124:'SmtRes'!BS136)),6)</f>
        <v>1133.9875999999999</v>
      </c>
      <c r="AF103" s="2">
        <f>ROUND((SUM(SmtRes!BT124:'SmtRes'!BT136)),6)</f>
        <v>206618.6562</v>
      </c>
      <c r="AG103" s="2">
        <f t="shared" si="70"/>
        <v>0</v>
      </c>
      <c r="AH103" s="2">
        <f>(SUM(SmtRes!BU124:'SmtRes'!BU136))</f>
        <v>310.42</v>
      </c>
      <c r="AI103" s="2">
        <f>(SUM(SmtRes!BV124:'SmtRes'!BV136))</f>
        <v>1.73</v>
      </c>
      <c r="AJ103" s="2">
        <f t="shared" si="71"/>
        <v>0</v>
      </c>
      <c r="AK103" s="2">
        <v>208759.38220000002</v>
      </c>
      <c r="AL103" s="2">
        <v>976.49429999999995</v>
      </c>
      <c r="AM103" s="2">
        <v>30.244099999999996</v>
      </c>
      <c r="AN103" s="2">
        <v>1133.9875999999999</v>
      </c>
      <c r="AO103" s="2">
        <v>206618.65620000003</v>
      </c>
      <c r="AP103" s="2">
        <v>0</v>
      </c>
      <c r="AQ103" s="2">
        <v>310.42</v>
      </c>
      <c r="AR103" s="2">
        <v>1.73</v>
      </c>
      <c r="AS103" s="2">
        <v>0</v>
      </c>
      <c r="AT103" s="2">
        <v>112</v>
      </c>
      <c r="AU103" s="2">
        <v>65</v>
      </c>
      <c r="AV103" s="2">
        <v>1</v>
      </c>
      <c r="AW103" s="2">
        <v>1</v>
      </c>
      <c r="AX103" s="2"/>
      <c r="AY103" s="2"/>
      <c r="AZ103" s="2">
        <v>1</v>
      </c>
      <c r="BA103" s="2">
        <v>1</v>
      </c>
      <c r="BB103" s="2">
        <v>1</v>
      </c>
      <c r="BC103" s="2">
        <v>1</v>
      </c>
      <c r="BD103" s="2" t="s">
        <v>3</v>
      </c>
      <c r="BE103" s="2" t="s">
        <v>3</v>
      </c>
      <c r="BF103" s="2" t="s">
        <v>3</v>
      </c>
      <c r="BG103" s="2" t="s">
        <v>3</v>
      </c>
      <c r="BH103" s="2">
        <v>0</v>
      </c>
      <c r="BI103" s="2">
        <v>1</v>
      </c>
      <c r="BJ103" s="2" t="s">
        <v>80</v>
      </c>
      <c r="BK103" s="2"/>
      <c r="BL103" s="2"/>
      <c r="BM103" s="2">
        <v>11001</v>
      </c>
      <c r="BN103" s="2">
        <v>0</v>
      </c>
      <c r="BO103" s="2" t="s">
        <v>3</v>
      </c>
      <c r="BP103" s="2">
        <v>0</v>
      </c>
      <c r="BQ103" s="2">
        <v>2</v>
      </c>
      <c r="BR103" s="2">
        <v>0</v>
      </c>
      <c r="BS103" s="2">
        <v>1</v>
      </c>
      <c r="BT103" s="2">
        <v>1</v>
      </c>
      <c r="BU103" s="2">
        <v>1</v>
      </c>
      <c r="BV103" s="2">
        <v>1</v>
      </c>
      <c r="BW103" s="2">
        <v>1</v>
      </c>
      <c r="BX103" s="2">
        <v>1</v>
      </c>
      <c r="BY103" s="2" t="s">
        <v>3</v>
      </c>
      <c r="BZ103" s="2">
        <v>112</v>
      </c>
      <c r="CA103" s="2">
        <v>65</v>
      </c>
      <c r="CB103" s="2" t="s">
        <v>3</v>
      </c>
      <c r="CC103" s="2"/>
      <c r="CD103" s="2"/>
      <c r="CE103" s="2">
        <v>0</v>
      </c>
      <c r="CF103" s="2">
        <v>0</v>
      </c>
      <c r="CG103" s="2">
        <v>0</v>
      </c>
      <c r="CH103" s="2"/>
      <c r="CI103" s="2"/>
      <c r="CJ103" s="2"/>
      <c r="CK103" s="2"/>
      <c r="CL103" s="2"/>
      <c r="CM103" s="2">
        <v>0</v>
      </c>
      <c r="CN103" s="2" t="s">
        <v>3</v>
      </c>
      <c r="CO103" s="2">
        <v>0</v>
      </c>
      <c r="CP103" s="2">
        <f t="shared" si="72"/>
        <v>6795.5599999999995</v>
      </c>
      <c r="CQ103" s="2">
        <f>SUMIF(SmtRes!AQ124:'SmtRes'!AQ136,"=1",SmtRes!AA124:'SmtRes'!AA136)</f>
        <v>73950.559999999998</v>
      </c>
      <c r="CR103" s="2">
        <f>SUMIF(SmtRes!AQ124:'SmtRes'!AQ136,"=1",SmtRes!AB124:'SmtRes'!AB136)</f>
        <v>2506.91</v>
      </c>
      <c r="CS103" s="2">
        <f>SUMIF(SmtRes!AQ124:'SmtRes'!AQ136,"=1",SmtRes!AC124:'SmtRes'!AC136)</f>
        <v>3344.3999999999996</v>
      </c>
      <c r="CT103" s="2">
        <f>SUMIF(SmtRes!AQ124:'SmtRes'!AQ136,"=1",SmtRes!AD124:'SmtRes'!AD136)</f>
        <v>665.61</v>
      </c>
      <c r="CU103" s="2">
        <f t="shared" si="73"/>
        <v>0</v>
      </c>
      <c r="CV103" s="2">
        <f>SUMIF(SmtRes!AQ124:'SmtRes'!AQ136,"=1",SmtRes!BU124:'SmtRes'!BU136)</f>
        <v>310.42</v>
      </c>
      <c r="CW103" s="2">
        <f>SUMIF(SmtRes!AQ124:'SmtRes'!AQ136,"=1",SmtRes!BV124:'SmtRes'!BV136)</f>
        <v>1.73</v>
      </c>
      <c r="CX103" s="2">
        <f t="shared" si="74"/>
        <v>0</v>
      </c>
      <c r="CY103" s="2">
        <f t="shared" si="75"/>
        <v>7573.8319999999994</v>
      </c>
      <c r="CZ103" s="2">
        <f t="shared" si="76"/>
        <v>4395.5274999999992</v>
      </c>
      <c r="DA103" s="2"/>
      <c r="DB103" s="2"/>
      <c r="DC103" s="2" t="s">
        <v>3</v>
      </c>
      <c r="DD103" s="2" t="s">
        <v>3</v>
      </c>
      <c r="DE103" s="2" t="s">
        <v>3</v>
      </c>
      <c r="DF103" s="2" t="s">
        <v>3</v>
      </c>
      <c r="DG103" s="2" t="s">
        <v>3</v>
      </c>
      <c r="DH103" s="2" t="s">
        <v>3</v>
      </c>
      <c r="DI103" s="2" t="s">
        <v>3</v>
      </c>
      <c r="DJ103" s="2" t="s">
        <v>3</v>
      </c>
      <c r="DK103" s="2" t="s">
        <v>3</v>
      </c>
      <c r="DL103" s="2" t="s">
        <v>3</v>
      </c>
      <c r="DM103" s="2" t="s">
        <v>3</v>
      </c>
      <c r="DN103" s="2">
        <v>0</v>
      </c>
      <c r="DO103" s="2">
        <v>0</v>
      </c>
      <c r="DP103" s="2">
        <v>1</v>
      </c>
      <c r="DQ103" s="2">
        <v>1</v>
      </c>
      <c r="DR103" s="2"/>
      <c r="DS103" s="2"/>
      <c r="DT103" s="2"/>
      <c r="DU103" s="2">
        <v>1005</v>
      </c>
      <c r="DV103" s="2" t="s">
        <v>20</v>
      </c>
      <c r="DW103" s="2" t="s">
        <v>20</v>
      </c>
      <c r="DX103" s="2">
        <v>100</v>
      </c>
      <c r="DY103" s="2"/>
      <c r="DZ103" s="2" t="s">
        <v>3</v>
      </c>
      <c r="EA103" s="2" t="s">
        <v>3</v>
      </c>
      <c r="EB103" s="2" t="s">
        <v>3</v>
      </c>
      <c r="EC103" s="2" t="s">
        <v>3</v>
      </c>
      <c r="ED103" s="2"/>
      <c r="EE103" s="2">
        <v>89976994</v>
      </c>
      <c r="EF103" s="2">
        <v>2</v>
      </c>
      <c r="EG103" s="2" t="s">
        <v>44</v>
      </c>
      <c r="EH103" s="2">
        <v>11</v>
      </c>
      <c r="EI103" s="2" t="s">
        <v>23</v>
      </c>
      <c r="EJ103" s="2">
        <v>1</v>
      </c>
      <c r="EK103" s="2">
        <v>11001</v>
      </c>
      <c r="EL103" s="2" t="s">
        <v>23</v>
      </c>
      <c r="EM103" s="2" t="s">
        <v>74</v>
      </c>
      <c r="EN103" s="2"/>
      <c r="EO103" s="2" t="s">
        <v>3</v>
      </c>
      <c r="EP103" s="2"/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310.42</v>
      </c>
      <c r="EX103" s="2">
        <v>1.73</v>
      </c>
      <c r="EY103" s="2">
        <v>0</v>
      </c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>
        <v>0</v>
      </c>
      <c r="FR103" s="2">
        <v>0</v>
      </c>
      <c r="FS103" s="2">
        <v>0</v>
      </c>
      <c r="FT103" s="2"/>
      <c r="FU103" s="2"/>
      <c r="FV103" s="2"/>
      <c r="FW103" s="2"/>
      <c r="FX103" s="2">
        <v>112</v>
      </c>
      <c r="FY103" s="2">
        <v>65</v>
      </c>
      <c r="FZ103" s="2"/>
      <c r="GA103" s="2" t="s">
        <v>3</v>
      </c>
      <c r="GB103" s="2"/>
      <c r="GC103" s="2"/>
      <c r="GD103" s="2">
        <v>1</v>
      </c>
      <c r="GE103" s="2"/>
      <c r="GF103" s="2">
        <v>-1499530149</v>
      </c>
      <c r="GG103" s="2">
        <v>2</v>
      </c>
      <c r="GH103" s="2">
        <v>1</v>
      </c>
      <c r="GI103" s="2">
        <v>-2</v>
      </c>
      <c r="GJ103" s="2">
        <v>0</v>
      </c>
      <c r="GK103" s="2">
        <v>0</v>
      </c>
      <c r="GL103" s="2">
        <f t="shared" si="77"/>
        <v>0</v>
      </c>
      <c r="GM103" s="2">
        <f t="shared" si="78"/>
        <v>18764.919999999998</v>
      </c>
      <c r="GN103" s="2">
        <f t="shared" si="79"/>
        <v>18764.919999999998</v>
      </c>
      <c r="GO103" s="2">
        <f t="shared" si="80"/>
        <v>0</v>
      </c>
      <c r="GP103" s="2">
        <f t="shared" si="81"/>
        <v>0</v>
      </c>
      <c r="GQ103" s="2"/>
      <c r="GR103" s="2">
        <v>0</v>
      </c>
      <c r="GS103" s="2">
        <v>0</v>
      </c>
      <c r="GT103" s="2">
        <v>0</v>
      </c>
      <c r="GU103" s="2" t="s">
        <v>3</v>
      </c>
      <c r="GV103" s="2">
        <f t="shared" si="82"/>
        <v>0</v>
      </c>
      <c r="GW103" s="2">
        <v>1</v>
      </c>
      <c r="GX103" s="2">
        <f t="shared" si="83"/>
        <v>0</v>
      </c>
      <c r="GY103" s="2"/>
      <c r="GZ103" s="2"/>
      <c r="HA103" s="2">
        <v>0</v>
      </c>
      <c r="HB103" s="2">
        <v>0</v>
      </c>
      <c r="HC103" s="2">
        <f t="shared" si="84"/>
        <v>0</v>
      </c>
      <c r="HD103" s="2"/>
      <c r="HE103" s="2" t="s">
        <v>3</v>
      </c>
      <c r="HF103" s="2" t="s">
        <v>3</v>
      </c>
      <c r="HG103" s="2"/>
      <c r="HH103" s="2"/>
      <c r="HI103" s="2"/>
      <c r="HJ103" s="2"/>
      <c r="HK103" s="2"/>
      <c r="HL103" s="2"/>
      <c r="HM103" s="2" t="s">
        <v>3</v>
      </c>
      <c r="HN103" s="2" t="s">
        <v>75</v>
      </c>
      <c r="HO103" s="2" t="s">
        <v>76</v>
      </c>
      <c r="HP103" s="2" t="s">
        <v>23</v>
      </c>
      <c r="HQ103" s="2" t="s">
        <v>23</v>
      </c>
      <c r="HR103" s="2"/>
      <c r="HS103" s="2">
        <v>0</v>
      </c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>
        <v>0</v>
      </c>
      <c r="IL103" s="2"/>
      <c r="IM103" s="2"/>
      <c r="IN103" s="2"/>
      <c r="IO103" s="2"/>
      <c r="IP103" s="2"/>
      <c r="IQ103" s="2"/>
      <c r="IR103" s="2"/>
      <c r="IS103" s="2"/>
      <c r="IT103" s="2"/>
      <c r="IU103" s="2"/>
    </row>
    <row r="104" spans="1:255" x14ac:dyDescent="0.2">
      <c r="A104" s="2">
        <v>18</v>
      </c>
      <c r="B104" s="2">
        <v>1</v>
      </c>
      <c r="C104" s="2">
        <v>133</v>
      </c>
      <c r="D104" s="2"/>
      <c r="E104" s="2" t="s">
        <v>219</v>
      </c>
      <c r="F104" s="2" t="s">
        <v>82</v>
      </c>
      <c r="G104" s="2" t="s">
        <v>83</v>
      </c>
      <c r="H104" s="2" t="s">
        <v>60</v>
      </c>
      <c r="I104" s="2">
        <f>I103*J104</f>
        <v>3.3201000000000001</v>
      </c>
      <c r="J104" s="2">
        <v>102</v>
      </c>
      <c r="K104" s="2">
        <v>102</v>
      </c>
      <c r="L104" s="2"/>
      <c r="M104" s="2"/>
      <c r="N104" s="2"/>
      <c r="O104" s="2">
        <f t="shared" si="64"/>
        <v>3015.95</v>
      </c>
      <c r="P104" s="2">
        <f>ROUND(CQ104*I104,2)</f>
        <v>3015.95</v>
      </c>
      <c r="Q104" s="2">
        <f>ROUND(CR104*I104,2)</f>
        <v>0</v>
      </c>
      <c r="R104" s="2">
        <f>ROUND(CS104*I104,2)</f>
        <v>0</v>
      </c>
      <c r="S104" s="2">
        <f>ROUND(CT104*I104,2)</f>
        <v>0</v>
      </c>
      <c r="T104" s="2">
        <f t="shared" si="65"/>
        <v>0</v>
      </c>
      <c r="U104" s="2">
        <f>ROUND(CV104*I104,7)</f>
        <v>0</v>
      </c>
      <c r="V104" s="2">
        <f>ROUND(CW104*I104,7)</f>
        <v>0</v>
      </c>
      <c r="W104" s="2">
        <f t="shared" si="66"/>
        <v>0</v>
      </c>
      <c r="X104" s="2">
        <f t="shared" si="67"/>
        <v>0</v>
      </c>
      <c r="Y104" s="2">
        <f t="shared" si="68"/>
        <v>0</v>
      </c>
      <c r="Z104" s="2"/>
      <c r="AA104" s="2">
        <v>94104265</v>
      </c>
      <c r="AB104" s="2">
        <f t="shared" si="69"/>
        <v>908.39</v>
      </c>
      <c r="AC104" s="2">
        <f>ROUND((ES104),6)</f>
        <v>908.39</v>
      </c>
      <c r="AD104" s="2">
        <f>ROUND((((ET104)-(EU104))+AE104),6)</f>
        <v>0</v>
      </c>
      <c r="AE104" s="2">
        <f t="shared" ref="AE104:AF107" si="88">ROUND((EU104),6)</f>
        <v>0</v>
      </c>
      <c r="AF104" s="2">
        <f t="shared" si="88"/>
        <v>0</v>
      </c>
      <c r="AG104" s="2">
        <f t="shared" si="70"/>
        <v>0</v>
      </c>
      <c r="AH104" s="2">
        <f t="shared" ref="AH104:AI107" si="89">(EW104)</f>
        <v>0</v>
      </c>
      <c r="AI104" s="2">
        <f t="shared" si="89"/>
        <v>0</v>
      </c>
      <c r="AJ104" s="2">
        <f t="shared" si="71"/>
        <v>0</v>
      </c>
      <c r="AK104" s="2">
        <v>908.39</v>
      </c>
      <c r="AL104" s="2">
        <v>908.39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112</v>
      </c>
      <c r="AU104" s="2">
        <v>65</v>
      </c>
      <c r="AV104" s="2">
        <v>1</v>
      </c>
      <c r="AW104" s="2">
        <v>1</v>
      </c>
      <c r="AX104" s="2"/>
      <c r="AY104" s="2"/>
      <c r="AZ104" s="2">
        <v>1</v>
      </c>
      <c r="BA104" s="2">
        <v>1</v>
      </c>
      <c r="BB104" s="2">
        <v>1</v>
      </c>
      <c r="BC104" s="2">
        <v>1</v>
      </c>
      <c r="BD104" s="2" t="s">
        <v>3</v>
      </c>
      <c r="BE104" s="2" t="s">
        <v>3</v>
      </c>
      <c r="BF104" s="2" t="s">
        <v>3</v>
      </c>
      <c r="BG104" s="2" t="s">
        <v>3</v>
      </c>
      <c r="BH104" s="2">
        <v>3</v>
      </c>
      <c r="BI104" s="2">
        <v>1</v>
      </c>
      <c r="BJ104" s="2" t="s">
        <v>84</v>
      </c>
      <c r="BK104" s="2"/>
      <c r="BL104" s="2"/>
      <c r="BM104" s="2">
        <v>11001</v>
      </c>
      <c r="BN104" s="2">
        <v>0</v>
      </c>
      <c r="BO104" s="2" t="s">
        <v>3</v>
      </c>
      <c r="BP104" s="2">
        <v>0</v>
      </c>
      <c r="BQ104" s="2">
        <v>2</v>
      </c>
      <c r="BR104" s="2">
        <v>0</v>
      </c>
      <c r="BS104" s="2">
        <v>1</v>
      </c>
      <c r="BT104" s="2">
        <v>1</v>
      </c>
      <c r="BU104" s="2">
        <v>1</v>
      </c>
      <c r="BV104" s="2">
        <v>1</v>
      </c>
      <c r="BW104" s="2">
        <v>1</v>
      </c>
      <c r="BX104" s="2">
        <v>1</v>
      </c>
      <c r="BY104" s="2" t="s">
        <v>3</v>
      </c>
      <c r="BZ104" s="2">
        <v>112</v>
      </c>
      <c r="CA104" s="2">
        <v>65</v>
      </c>
      <c r="CB104" s="2" t="s">
        <v>3</v>
      </c>
      <c r="CC104" s="2"/>
      <c r="CD104" s="2"/>
      <c r="CE104" s="2">
        <v>0</v>
      </c>
      <c r="CF104" s="2">
        <v>0</v>
      </c>
      <c r="CG104" s="2">
        <v>0</v>
      </c>
      <c r="CH104" s="2"/>
      <c r="CI104" s="2"/>
      <c r="CJ104" s="2"/>
      <c r="CK104" s="2"/>
      <c r="CL104" s="2"/>
      <c r="CM104" s="2">
        <v>0</v>
      </c>
      <c r="CN104" s="2" t="s">
        <v>3</v>
      </c>
      <c r="CO104" s="2">
        <v>0</v>
      </c>
      <c r="CP104" s="2">
        <f t="shared" si="72"/>
        <v>3015.95</v>
      </c>
      <c r="CQ104" s="2">
        <f>ROUND(AL104*BC104,2)</f>
        <v>908.39</v>
      </c>
      <c r="CR104" s="2">
        <f>ROUND(AM104*BB104,2)</f>
        <v>0</v>
      </c>
      <c r="CS104" s="2">
        <f>ROUND(AN104*BS104,2)</f>
        <v>0</v>
      </c>
      <c r="CT104" s="2">
        <f>ROUND(AO104*BA104,2)</f>
        <v>0</v>
      </c>
      <c r="CU104" s="2">
        <f t="shared" si="73"/>
        <v>0</v>
      </c>
      <c r="CV104" s="2">
        <f t="shared" ref="CV104:CW107" si="90">AH104</f>
        <v>0</v>
      </c>
      <c r="CW104" s="2">
        <f t="shared" si="90"/>
        <v>0</v>
      </c>
      <c r="CX104" s="2">
        <f t="shared" si="74"/>
        <v>0</v>
      </c>
      <c r="CY104" s="2">
        <f t="shared" si="75"/>
        <v>0</v>
      </c>
      <c r="CZ104" s="2">
        <f t="shared" si="76"/>
        <v>0</v>
      </c>
      <c r="DA104" s="2"/>
      <c r="DB104" s="2"/>
      <c r="DC104" s="2" t="s">
        <v>3</v>
      </c>
      <c r="DD104" s="2" t="s">
        <v>3</v>
      </c>
      <c r="DE104" s="2" t="s">
        <v>3</v>
      </c>
      <c r="DF104" s="2" t="s">
        <v>3</v>
      </c>
      <c r="DG104" s="2" t="s">
        <v>3</v>
      </c>
      <c r="DH104" s="2" t="s">
        <v>3</v>
      </c>
      <c r="DI104" s="2" t="s">
        <v>3</v>
      </c>
      <c r="DJ104" s="2" t="s">
        <v>3</v>
      </c>
      <c r="DK104" s="2" t="s">
        <v>3</v>
      </c>
      <c r="DL104" s="2" t="s">
        <v>3</v>
      </c>
      <c r="DM104" s="2" t="s">
        <v>3</v>
      </c>
      <c r="DN104" s="2">
        <v>0</v>
      </c>
      <c r="DO104" s="2">
        <v>0</v>
      </c>
      <c r="DP104" s="2">
        <v>1</v>
      </c>
      <c r="DQ104" s="2">
        <v>1</v>
      </c>
      <c r="DR104" s="2"/>
      <c r="DS104" s="2"/>
      <c r="DT104" s="2"/>
      <c r="DU104" s="2">
        <v>1005</v>
      </c>
      <c r="DV104" s="2" t="s">
        <v>60</v>
      </c>
      <c r="DW104" s="2" t="s">
        <v>60</v>
      </c>
      <c r="DX104" s="2">
        <v>1</v>
      </c>
      <c r="DY104" s="2"/>
      <c r="DZ104" s="2" t="s">
        <v>3</v>
      </c>
      <c r="EA104" s="2" t="s">
        <v>3</v>
      </c>
      <c r="EB104" s="2" t="s">
        <v>3</v>
      </c>
      <c r="EC104" s="2" t="s">
        <v>3</v>
      </c>
      <c r="ED104" s="2"/>
      <c r="EE104" s="2">
        <v>89976994</v>
      </c>
      <c r="EF104" s="2">
        <v>2</v>
      </c>
      <c r="EG104" s="2" t="s">
        <v>44</v>
      </c>
      <c r="EH104" s="2">
        <v>11</v>
      </c>
      <c r="EI104" s="2" t="s">
        <v>23</v>
      </c>
      <c r="EJ104" s="2">
        <v>1</v>
      </c>
      <c r="EK104" s="2">
        <v>11001</v>
      </c>
      <c r="EL104" s="2" t="s">
        <v>23</v>
      </c>
      <c r="EM104" s="2" t="s">
        <v>74</v>
      </c>
      <c r="EN104" s="2"/>
      <c r="EO104" s="2" t="s">
        <v>3</v>
      </c>
      <c r="EP104" s="2"/>
      <c r="EQ104" s="2">
        <v>0</v>
      </c>
      <c r="ER104" s="2">
        <v>908.39</v>
      </c>
      <c r="ES104" s="2">
        <v>908.39</v>
      </c>
      <c r="ET104" s="2">
        <v>0</v>
      </c>
      <c r="EU104" s="2">
        <v>0</v>
      </c>
      <c r="EV104" s="2">
        <v>0</v>
      </c>
      <c r="EW104" s="2">
        <v>0</v>
      </c>
      <c r="EX104" s="2">
        <v>0</v>
      </c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>
        <v>0</v>
      </c>
      <c r="FR104" s="2">
        <v>0</v>
      </c>
      <c r="FS104" s="2">
        <v>0</v>
      </c>
      <c r="FT104" s="2"/>
      <c r="FU104" s="2"/>
      <c r="FV104" s="2"/>
      <c r="FW104" s="2"/>
      <c r="FX104" s="2">
        <v>112</v>
      </c>
      <c r="FY104" s="2">
        <v>65</v>
      </c>
      <c r="FZ104" s="2"/>
      <c r="GA104" s="2" t="s">
        <v>3</v>
      </c>
      <c r="GB104" s="2"/>
      <c r="GC104" s="2"/>
      <c r="GD104" s="2">
        <v>1</v>
      </c>
      <c r="GE104" s="2">
        <v>603.37</v>
      </c>
      <c r="GF104" s="2">
        <v>-917950727</v>
      </c>
      <c r="GG104" s="2">
        <v>2</v>
      </c>
      <c r="GH104" s="2">
        <v>1</v>
      </c>
      <c r="GI104" s="2">
        <v>-2</v>
      </c>
      <c r="GJ104" s="2">
        <v>0</v>
      </c>
      <c r="GK104" s="2">
        <v>0</v>
      </c>
      <c r="GL104" s="2">
        <f t="shared" si="77"/>
        <v>0</v>
      </c>
      <c r="GM104" s="2">
        <f t="shared" si="78"/>
        <v>3015.95</v>
      </c>
      <c r="GN104" s="2">
        <f t="shared" si="79"/>
        <v>3015.95</v>
      </c>
      <c r="GO104" s="2">
        <f t="shared" si="80"/>
        <v>0</v>
      </c>
      <c r="GP104" s="2">
        <f t="shared" si="81"/>
        <v>0</v>
      </c>
      <c r="GQ104" s="2"/>
      <c r="GR104" s="2">
        <v>3</v>
      </c>
      <c r="GS104" s="2">
        <v>0</v>
      </c>
      <c r="GT104" s="2">
        <v>0</v>
      </c>
      <c r="GU104" s="2" t="s">
        <v>3</v>
      </c>
      <c r="GV104" s="2">
        <f t="shared" si="82"/>
        <v>0</v>
      </c>
      <c r="GW104" s="2">
        <v>1</v>
      </c>
      <c r="GX104" s="2">
        <f t="shared" si="83"/>
        <v>0</v>
      </c>
      <c r="GY104" s="2"/>
      <c r="GZ104" s="2"/>
      <c r="HA104" s="2">
        <v>0</v>
      </c>
      <c r="HB104" s="2">
        <v>0</v>
      </c>
      <c r="HC104" s="2">
        <f t="shared" si="84"/>
        <v>0</v>
      </c>
      <c r="HD104" s="2"/>
      <c r="HE104" s="2" t="s">
        <v>3</v>
      </c>
      <c r="HF104" s="2" t="s">
        <v>3</v>
      </c>
      <c r="HG104" s="2"/>
      <c r="HH104" s="2"/>
      <c r="HI104" s="2"/>
      <c r="HJ104" s="2"/>
      <c r="HK104" s="2"/>
      <c r="HL104" s="2"/>
      <c r="HM104" s="2" t="s">
        <v>3</v>
      </c>
      <c r="HN104" s="2" t="s">
        <v>75</v>
      </c>
      <c r="HO104" s="2" t="s">
        <v>76</v>
      </c>
      <c r="HP104" s="2" t="s">
        <v>23</v>
      </c>
      <c r="HQ104" s="2" t="s">
        <v>23</v>
      </c>
      <c r="HR104" s="2"/>
      <c r="HS104" s="2">
        <v>0</v>
      </c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>
        <v>0</v>
      </c>
      <c r="IL104" s="2"/>
      <c r="IM104" s="2"/>
      <c r="IN104" s="2"/>
      <c r="IO104" s="2"/>
      <c r="IP104" s="2"/>
      <c r="IQ104" s="2"/>
      <c r="IR104" s="2"/>
      <c r="IS104" s="2"/>
      <c r="IT104" s="2"/>
      <c r="IU104" s="2"/>
    </row>
    <row r="105" spans="1:255" x14ac:dyDescent="0.2">
      <c r="A105" s="2">
        <v>18</v>
      </c>
      <c r="B105" s="2">
        <v>1</v>
      </c>
      <c r="C105" s="2">
        <v>134</v>
      </c>
      <c r="D105" s="2"/>
      <c r="E105" s="2" t="s">
        <v>220</v>
      </c>
      <c r="F105" s="2" t="s">
        <v>86</v>
      </c>
      <c r="G105" s="2" t="s">
        <v>87</v>
      </c>
      <c r="H105" s="2" t="s">
        <v>34</v>
      </c>
      <c r="I105" s="2">
        <f>I103*J105</f>
        <v>3.255E-4</v>
      </c>
      <c r="J105" s="2">
        <v>9.9999999999999985E-3</v>
      </c>
      <c r="K105" s="2">
        <v>0.01</v>
      </c>
      <c r="L105" s="2"/>
      <c r="M105" s="2"/>
      <c r="N105" s="2"/>
      <c r="O105" s="2">
        <f t="shared" si="64"/>
        <v>13.03</v>
      </c>
      <c r="P105" s="2">
        <f>ROUND(CQ105*I105,2)</f>
        <v>13.03</v>
      </c>
      <c r="Q105" s="2">
        <f>ROUND(CR105*I105,2)</f>
        <v>0</v>
      </c>
      <c r="R105" s="2">
        <f>ROUND(CS105*I105,2)</f>
        <v>0</v>
      </c>
      <c r="S105" s="2">
        <f>ROUND(CT105*I105,2)</f>
        <v>0</v>
      </c>
      <c r="T105" s="2">
        <f t="shared" si="65"/>
        <v>0</v>
      </c>
      <c r="U105" s="2">
        <f>ROUND(CV105*I105,7)</f>
        <v>0</v>
      </c>
      <c r="V105" s="2">
        <f>ROUND(CW105*I105,7)</f>
        <v>0</v>
      </c>
      <c r="W105" s="2">
        <f t="shared" si="66"/>
        <v>0</v>
      </c>
      <c r="X105" s="2">
        <f t="shared" si="67"/>
        <v>0</v>
      </c>
      <c r="Y105" s="2">
        <f t="shared" si="68"/>
        <v>0</v>
      </c>
      <c r="Z105" s="2"/>
      <c r="AA105" s="2">
        <v>94104265</v>
      </c>
      <c r="AB105" s="2">
        <f t="shared" si="69"/>
        <v>23139.16</v>
      </c>
      <c r="AC105" s="2">
        <f>ROUND((ES105),6)</f>
        <v>23139.16</v>
      </c>
      <c r="AD105" s="2">
        <f>ROUND((((ET105)-(EU105))+AE105),6)</f>
        <v>0</v>
      </c>
      <c r="AE105" s="2">
        <f t="shared" si="88"/>
        <v>0</v>
      </c>
      <c r="AF105" s="2">
        <f t="shared" si="88"/>
        <v>0</v>
      </c>
      <c r="AG105" s="2">
        <f t="shared" si="70"/>
        <v>0</v>
      </c>
      <c r="AH105" s="2">
        <f t="shared" si="89"/>
        <v>0</v>
      </c>
      <c r="AI105" s="2">
        <f t="shared" si="89"/>
        <v>0</v>
      </c>
      <c r="AJ105" s="2">
        <f t="shared" si="71"/>
        <v>0</v>
      </c>
      <c r="AK105" s="2">
        <v>23139.16</v>
      </c>
      <c r="AL105" s="2">
        <v>23139.16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112</v>
      </c>
      <c r="AU105" s="2">
        <v>65</v>
      </c>
      <c r="AV105" s="2">
        <v>1</v>
      </c>
      <c r="AW105" s="2">
        <v>1</v>
      </c>
      <c r="AX105" s="2"/>
      <c r="AY105" s="2"/>
      <c r="AZ105" s="2">
        <v>1</v>
      </c>
      <c r="BA105" s="2">
        <v>1</v>
      </c>
      <c r="BB105" s="2">
        <v>1</v>
      </c>
      <c r="BC105" s="2">
        <v>1.73</v>
      </c>
      <c r="BD105" s="2" t="s">
        <v>3</v>
      </c>
      <c r="BE105" s="2" t="s">
        <v>3</v>
      </c>
      <c r="BF105" s="2" t="s">
        <v>3</v>
      </c>
      <c r="BG105" s="2" t="s">
        <v>3</v>
      </c>
      <c r="BH105" s="2">
        <v>3</v>
      </c>
      <c r="BI105" s="2">
        <v>1</v>
      </c>
      <c r="BJ105" s="2" t="s">
        <v>88</v>
      </c>
      <c r="BK105" s="2"/>
      <c r="BL105" s="2"/>
      <c r="BM105" s="2">
        <v>11001</v>
      </c>
      <c r="BN105" s="2">
        <v>0</v>
      </c>
      <c r="BO105" s="2" t="s">
        <v>86</v>
      </c>
      <c r="BP105" s="2">
        <v>1</v>
      </c>
      <c r="BQ105" s="2">
        <v>2</v>
      </c>
      <c r="BR105" s="2">
        <v>0</v>
      </c>
      <c r="BS105" s="2">
        <v>1</v>
      </c>
      <c r="BT105" s="2">
        <v>1</v>
      </c>
      <c r="BU105" s="2">
        <v>1</v>
      </c>
      <c r="BV105" s="2">
        <v>1</v>
      </c>
      <c r="BW105" s="2">
        <v>1</v>
      </c>
      <c r="BX105" s="2">
        <v>1</v>
      </c>
      <c r="BY105" s="2" t="s">
        <v>3</v>
      </c>
      <c r="BZ105" s="2">
        <v>112</v>
      </c>
      <c r="CA105" s="2">
        <v>65</v>
      </c>
      <c r="CB105" s="2" t="s">
        <v>3</v>
      </c>
      <c r="CC105" s="2"/>
      <c r="CD105" s="2"/>
      <c r="CE105" s="2">
        <v>0</v>
      </c>
      <c r="CF105" s="2">
        <v>0</v>
      </c>
      <c r="CG105" s="2">
        <v>0</v>
      </c>
      <c r="CH105" s="2"/>
      <c r="CI105" s="2"/>
      <c r="CJ105" s="2"/>
      <c r="CK105" s="2"/>
      <c r="CL105" s="2"/>
      <c r="CM105" s="2">
        <v>0</v>
      </c>
      <c r="CN105" s="2" t="s">
        <v>3</v>
      </c>
      <c r="CO105" s="2">
        <v>0</v>
      </c>
      <c r="CP105" s="2">
        <f t="shared" si="72"/>
        <v>13.03</v>
      </c>
      <c r="CQ105" s="2">
        <f>ROUND(AL105*BC105,2)</f>
        <v>40030.75</v>
      </c>
      <c r="CR105" s="2">
        <f>ROUND(AM105*BB105,2)</f>
        <v>0</v>
      </c>
      <c r="CS105" s="2">
        <f>ROUND(AN105*BS105,2)</f>
        <v>0</v>
      </c>
      <c r="CT105" s="2">
        <f>ROUND(AO105*BA105,2)</f>
        <v>0</v>
      </c>
      <c r="CU105" s="2">
        <f t="shared" si="73"/>
        <v>0</v>
      </c>
      <c r="CV105" s="2">
        <f t="shared" si="90"/>
        <v>0</v>
      </c>
      <c r="CW105" s="2">
        <f t="shared" si="90"/>
        <v>0</v>
      </c>
      <c r="CX105" s="2">
        <f t="shared" si="74"/>
        <v>0</v>
      </c>
      <c r="CY105" s="2">
        <f t="shared" si="75"/>
        <v>0</v>
      </c>
      <c r="CZ105" s="2">
        <f t="shared" si="76"/>
        <v>0</v>
      </c>
      <c r="DA105" s="2"/>
      <c r="DB105" s="2"/>
      <c r="DC105" s="2" t="s">
        <v>3</v>
      </c>
      <c r="DD105" s="2" t="s">
        <v>3</v>
      </c>
      <c r="DE105" s="2" t="s">
        <v>3</v>
      </c>
      <c r="DF105" s="2" t="s">
        <v>3</v>
      </c>
      <c r="DG105" s="2" t="s">
        <v>3</v>
      </c>
      <c r="DH105" s="2" t="s">
        <v>3</v>
      </c>
      <c r="DI105" s="2" t="s">
        <v>3</v>
      </c>
      <c r="DJ105" s="2" t="s">
        <v>3</v>
      </c>
      <c r="DK105" s="2" t="s">
        <v>3</v>
      </c>
      <c r="DL105" s="2" t="s">
        <v>3</v>
      </c>
      <c r="DM105" s="2" t="s">
        <v>3</v>
      </c>
      <c r="DN105" s="2">
        <v>0</v>
      </c>
      <c r="DO105" s="2">
        <v>0</v>
      </c>
      <c r="DP105" s="2">
        <v>1</v>
      </c>
      <c r="DQ105" s="2">
        <v>1</v>
      </c>
      <c r="DR105" s="2"/>
      <c r="DS105" s="2"/>
      <c r="DT105" s="2"/>
      <c r="DU105" s="2">
        <v>1007</v>
      </c>
      <c r="DV105" s="2" t="s">
        <v>34</v>
      </c>
      <c r="DW105" s="2" t="s">
        <v>34</v>
      </c>
      <c r="DX105" s="2">
        <v>1</v>
      </c>
      <c r="DY105" s="2"/>
      <c r="DZ105" s="2" t="s">
        <v>3</v>
      </c>
      <c r="EA105" s="2" t="s">
        <v>3</v>
      </c>
      <c r="EB105" s="2" t="s">
        <v>3</v>
      </c>
      <c r="EC105" s="2" t="s">
        <v>3</v>
      </c>
      <c r="ED105" s="2"/>
      <c r="EE105" s="2">
        <v>89976994</v>
      </c>
      <c r="EF105" s="2">
        <v>2</v>
      </c>
      <c r="EG105" s="2" t="s">
        <v>44</v>
      </c>
      <c r="EH105" s="2">
        <v>11</v>
      </c>
      <c r="EI105" s="2" t="s">
        <v>23</v>
      </c>
      <c r="EJ105" s="2">
        <v>1</v>
      </c>
      <c r="EK105" s="2">
        <v>11001</v>
      </c>
      <c r="EL105" s="2" t="s">
        <v>23</v>
      </c>
      <c r="EM105" s="2" t="s">
        <v>74</v>
      </c>
      <c r="EN105" s="2"/>
      <c r="EO105" s="2" t="s">
        <v>3</v>
      </c>
      <c r="EP105" s="2"/>
      <c r="EQ105" s="2">
        <v>0</v>
      </c>
      <c r="ER105" s="2">
        <v>23139.16</v>
      </c>
      <c r="ES105" s="2">
        <v>23139.16</v>
      </c>
      <c r="ET105" s="2">
        <v>0</v>
      </c>
      <c r="EU105" s="2">
        <v>0</v>
      </c>
      <c r="EV105" s="2">
        <v>0</v>
      </c>
      <c r="EW105" s="2">
        <v>0</v>
      </c>
      <c r="EX105" s="2">
        <v>0</v>
      </c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>
        <v>0</v>
      </c>
      <c r="FR105" s="2">
        <v>0</v>
      </c>
      <c r="FS105" s="2">
        <v>0</v>
      </c>
      <c r="FT105" s="2"/>
      <c r="FU105" s="2"/>
      <c r="FV105" s="2"/>
      <c r="FW105" s="2"/>
      <c r="FX105" s="2">
        <v>112</v>
      </c>
      <c r="FY105" s="2">
        <v>65</v>
      </c>
      <c r="FZ105" s="2"/>
      <c r="GA105" s="2" t="s">
        <v>3</v>
      </c>
      <c r="GB105" s="2"/>
      <c r="GC105" s="2"/>
      <c r="GD105" s="2">
        <v>1</v>
      </c>
      <c r="GE105" s="2"/>
      <c r="GF105" s="2">
        <v>-492236760</v>
      </c>
      <c r="GG105" s="2">
        <v>2</v>
      </c>
      <c r="GH105" s="2">
        <v>1</v>
      </c>
      <c r="GI105" s="2">
        <v>2</v>
      </c>
      <c r="GJ105" s="2">
        <v>0</v>
      </c>
      <c r="GK105" s="2">
        <v>0</v>
      </c>
      <c r="GL105" s="2">
        <f t="shared" si="77"/>
        <v>0</v>
      </c>
      <c r="GM105" s="2">
        <f t="shared" si="78"/>
        <v>13.03</v>
      </c>
      <c r="GN105" s="2">
        <f t="shared" si="79"/>
        <v>13.03</v>
      </c>
      <c r="GO105" s="2">
        <f t="shared" si="80"/>
        <v>0</v>
      </c>
      <c r="GP105" s="2">
        <f t="shared" si="81"/>
        <v>0</v>
      </c>
      <c r="GQ105" s="2"/>
      <c r="GR105" s="2">
        <v>0</v>
      </c>
      <c r="GS105" s="2">
        <v>0</v>
      </c>
      <c r="GT105" s="2">
        <v>0</v>
      </c>
      <c r="GU105" s="2" t="s">
        <v>3</v>
      </c>
      <c r="GV105" s="2">
        <f t="shared" si="82"/>
        <v>0</v>
      </c>
      <c r="GW105" s="2">
        <v>1</v>
      </c>
      <c r="GX105" s="2">
        <f t="shared" si="83"/>
        <v>0</v>
      </c>
      <c r="GY105" s="2"/>
      <c r="GZ105" s="2"/>
      <c r="HA105" s="2">
        <v>0</v>
      </c>
      <c r="HB105" s="2">
        <v>0</v>
      </c>
      <c r="HC105" s="2">
        <f t="shared" si="84"/>
        <v>0</v>
      </c>
      <c r="HD105" s="2"/>
      <c r="HE105" s="2" t="s">
        <v>3</v>
      </c>
      <c r="HF105" s="2" t="s">
        <v>3</v>
      </c>
      <c r="HG105" s="2"/>
      <c r="HH105" s="2"/>
      <c r="HI105" s="2"/>
      <c r="HJ105" s="2"/>
      <c r="HK105" s="2"/>
      <c r="HL105" s="2"/>
      <c r="HM105" s="2" t="s">
        <v>3</v>
      </c>
      <c r="HN105" s="2" t="s">
        <v>75</v>
      </c>
      <c r="HO105" s="2" t="s">
        <v>76</v>
      </c>
      <c r="HP105" s="2" t="s">
        <v>23</v>
      </c>
      <c r="HQ105" s="2" t="s">
        <v>23</v>
      </c>
      <c r="HR105" s="2"/>
      <c r="HS105" s="2">
        <v>0</v>
      </c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>
        <v>0</v>
      </c>
      <c r="IL105" s="2"/>
      <c r="IM105" s="2"/>
      <c r="IN105" s="2"/>
      <c r="IO105" s="2"/>
      <c r="IP105" s="2"/>
      <c r="IQ105" s="2"/>
      <c r="IR105" s="2"/>
      <c r="IS105" s="2"/>
      <c r="IT105" s="2"/>
      <c r="IU105" s="2"/>
    </row>
    <row r="106" spans="1:255" x14ac:dyDescent="0.2">
      <c r="A106" s="2">
        <v>18</v>
      </c>
      <c r="B106" s="2">
        <v>1</v>
      </c>
      <c r="C106" s="2">
        <v>135</v>
      </c>
      <c r="D106" s="2"/>
      <c r="E106" s="2" t="s">
        <v>221</v>
      </c>
      <c r="F106" s="2" t="s">
        <v>90</v>
      </c>
      <c r="G106" s="2" t="s">
        <v>91</v>
      </c>
      <c r="H106" s="2" t="s">
        <v>30</v>
      </c>
      <c r="I106" s="2">
        <f>I103*J106</f>
        <v>3.9059999999999997E-2</v>
      </c>
      <c r="J106" s="2">
        <v>1.1999999999999997</v>
      </c>
      <c r="K106" s="2">
        <v>1.2</v>
      </c>
      <c r="L106" s="2"/>
      <c r="M106" s="2"/>
      <c r="N106" s="2"/>
      <c r="O106" s="2">
        <f t="shared" si="64"/>
        <v>1341.26</v>
      </c>
      <c r="P106" s="2">
        <f>ROUND(CQ106*I106,2)</f>
        <v>1341.26</v>
      </c>
      <c r="Q106" s="2">
        <f>ROUND(CR106*I106,2)</f>
        <v>0</v>
      </c>
      <c r="R106" s="2">
        <f>ROUND(CS106*I106,2)</f>
        <v>0</v>
      </c>
      <c r="S106" s="2">
        <f>ROUND(CT106*I106,2)</f>
        <v>0</v>
      </c>
      <c r="T106" s="2">
        <f t="shared" si="65"/>
        <v>0</v>
      </c>
      <c r="U106" s="2">
        <f>ROUND(CV106*I106,7)</f>
        <v>0</v>
      </c>
      <c r="V106" s="2">
        <f>ROUND(CW106*I106,7)</f>
        <v>0</v>
      </c>
      <c r="W106" s="2">
        <f t="shared" si="66"/>
        <v>0</v>
      </c>
      <c r="X106" s="2">
        <f t="shared" si="67"/>
        <v>0</v>
      </c>
      <c r="Y106" s="2">
        <f t="shared" si="68"/>
        <v>0</v>
      </c>
      <c r="Z106" s="2"/>
      <c r="AA106" s="2">
        <v>94104265</v>
      </c>
      <c r="AB106" s="2">
        <f t="shared" si="69"/>
        <v>33998.35</v>
      </c>
      <c r="AC106" s="2">
        <f>ROUND((ES106),6)</f>
        <v>33998.35</v>
      </c>
      <c r="AD106" s="2">
        <f>ROUND((((ET106)-(EU106))+AE106),6)</f>
        <v>0</v>
      </c>
      <c r="AE106" s="2">
        <f t="shared" si="88"/>
        <v>0</v>
      </c>
      <c r="AF106" s="2">
        <f t="shared" si="88"/>
        <v>0</v>
      </c>
      <c r="AG106" s="2">
        <f t="shared" si="70"/>
        <v>0</v>
      </c>
      <c r="AH106" s="2">
        <f t="shared" si="89"/>
        <v>0</v>
      </c>
      <c r="AI106" s="2">
        <f t="shared" si="89"/>
        <v>0</v>
      </c>
      <c r="AJ106" s="2">
        <f t="shared" si="71"/>
        <v>0</v>
      </c>
      <c r="AK106" s="2">
        <v>33998.35</v>
      </c>
      <c r="AL106" s="2">
        <v>33998.35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112</v>
      </c>
      <c r="AU106" s="2">
        <v>65</v>
      </c>
      <c r="AV106" s="2">
        <v>1</v>
      </c>
      <c r="AW106" s="2">
        <v>1</v>
      </c>
      <c r="AX106" s="2"/>
      <c r="AY106" s="2"/>
      <c r="AZ106" s="2">
        <v>1</v>
      </c>
      <c r="BA106" s="2">
        <v>1</v>
      </c>
      <c r="BB106" s="2">
        <v>1</v>
      </c>
      <c r="BC106" s="2">
        <v>1.01</v>
      </c>
      <c r="BD106" s="2" t="s">
        <v>3</v>
      </c>
      <c r="BE106" s="2" t="s">
        <v>3</v>
      </c>
      <c r="BF106" s="2" t="s">
        <v>3</v>
      </c>
      <c r="BG106" s="2" t="s">
        <v>3</v>
      </c>
      <c r="BH106" s="2">
        <v>3</v>
      </c>
      <c r="BI106" s="2">
        <v>1</v>
      </c>
      <c r="BJ106" s="2" t="s">
        <v>92</v>
      </c>
      <c r="BK106" s="2"/>
      <c r="BL106" s="2"/>
      <c r="BM106" s="2">
        <v>11001</v>
      </c>
      <c r="BN106" s="2">
        <v>0</v>
      </c>
      <c r="BO106" s="2" t="s">
        <v>90</v>
      </c>
      <c r="BP106" s="2">
        <v>1</v>
      </c>
      <c r="BQ106" s="2">
        <v>2</v>
      </c>
      <c r="BR106" s="2">
        <v>0</v>
      </c>
      <c r="BS106" s="2">
        <v>1</v>
      </c>
      <c r="BT106" s="2">
        <v>1</v>
      </c>
      <c r="BU106" s="2">
        <v>1</v>
      </c>
      <c r="BV106" s="2">
        <v>1</v>
      </c>
      <c r="BW106" s="2">
        <v>1</v>
      </c>
      <c r="BX106" s="2">
        <v>1</v>
      </c>
      <c r="BY106" s="2" t="s">
        <v>3</v>
      </c>
      <c r="BZ106" s="2">
        <v>112</v>
      </c>
      <c r="CA106" s="2">
        <v>65</v>
      </c>
      <c r="CB106" s="2" t="s">
        <v>3</v>
      </c>
      <c r="CC106" s="2"/>
      <c r="CD106" s="2"/>
      <c r="CE106" s="2">
        <v>0</v>
      </c>
      <c r="CF106" s="2">
        <v>0</v>
      </c>
      <c r="CG106" s="2">
        <v>0</v>
      </c>
      <c r="CH106" s="2"/>
      <c r="CI106" s="2"/>
      <c r="CJ106" s="2"/>
      <c r="CK106" s="2"/>
      <c r="CL106" s="2"/>
      <c r="CM106" s="2">
        <v>0</v>
      </c>
      <c r="CN106" s="2" t="s">
        <v>3</v>
      </c>
      <c r="CO106" s="2">
        <v>0</v>
      </c>
      <c r="CP106" s="2">
        <f t="shared" si="72"/>
        <v>1341.26</v>
      </c>
      <c r="CQ106" s="2">
        <f>ROUND(AL106*BC106,2)</f>
        <v>34338.33</v>
      </c>
      <c r="CR106" s="2">
        <f>ROUND(AM106*BB106,2)</f>
        <v>0</v>
      </c>
      <c r="CS106" s="2">
        <f>ROUND(AN106*BS106,2)</f>
        <v>0</v>
      </c>
      <c r="CT106" s="2">
        <f>ROUND(AO106*BA106,2)</f>
        <v>0</v>
      </c>
      <c r="CU106" s="2">
        <f t="shared" si="73"/>
        <v>0</v>
      </c>
      <c r="CV106" s="2">
        <f t="shared" si="90"/>
        <v>0</v>
      </c>
      <c r="CW106" s="2">
        <f t="shared" si="90"/>
        <v>0</v>
      </c>
      <c r="CX106" s="2">
        <f t="shared" si="74"/>
        <v>0</v>
      </c>
      <c r="CY106" s="2">
        <f t="shared" si="75"/>
        <v>0</v>
      </c>
      <c r="CZ106" s="2">
        <f t="shared" si="76"/>
        <v>0</v>
      </c>
      <c r="DA106" s="2"/>
      <c r="DB106" s="2"/>
      <c r="DC106" s="2" t="s">
        <v>3</v>
      </c>
      <c r="DD106" s="2" t="s">
        <v>3</v>
      </c>
      <c r="DE106" s="2" t="s">
        <v>3</v>
      </c>
      <c r="DF106" s="2" t="s">
        <v>3</v>
      </c>
      <c r="DG106" s="2" t="s">
        <v>3</v>
      </c>
      <c r="DH106" s="2" t="s">
        <v>3</v>
      </c>
      <c r="DI106" s="2" t="s">
        <v>3</v>
      </c>
      <c r="DJ106" s="2" t="s">
        <v>3</v>
      </c>
      <c r="DK106" s="2" t="s">
        <v>3</v>
      </c>
      <c r="DL106" s="2" t="s">
        <v>3</v>
      </c>
      <c r="DM106" s="2" t="s">
        <v>3</v>
      </c>
      <c r="DN106" s="2">
        <v>0</v>
      </c>
      <c r="DO106" s="2">
        <v>0</v>
      </c>
      <c r="DP106" s="2">
        <v>1</v>
      </c>
      <c r="DQ106" s="2">
        <v>1</v>
      </c>
      <c r="DR106" s="2"/>
      <c r="DS106" s="2"/>
      <c r="DT106" s="2"/>
      <c r="DU106" s="2">
        <v>1009</v>
      </c>
      <c r="DV106" s="2" t="s">
        <v>30</v>
      </c>
      <c r="DW106" s="2" t="s">
        <v>30</v>
      </c>
      <c r="DX106" s="2">
        <v>1000</v>
      </c>
      <c r="DY106" s="2"/>
      <c r="DZ106" s="2" t="s">
        <v>3</v>
      </c>
      <c r="EA106" s="2" t="s">
        <v>3</v>
      </c>
      <c r="EB106" s="2" t="s">
        <v>3</v>
      </c>
      <c r="EC106" s="2" t="s">
        <v>3</v>
      </c>
      <c r="ED106" s="2"/>
      <c r="EE106" s="2">
        <v>89976994</v>
      </c>
      <c r="EF106" s="2">
        <v>2</v>
      </c>
      <c r="EG106" s="2" t="s">
        <v>44</v>
      </c>
      <c r="EH106" s="2">
        <v>11</v>
      </c>
      <c r="EI106" s="2" t="s">
        <v>23</v>
      </c>
      <c r="EJ106" s="2">
        <v>1</v>
      </c>
      <c r="EK106" s="2">
        <v>11001</v>
      </c>
      <c r="EL106" s="2" t="s">
        <v>23</v>
      </c>
      <c r="EM106" s="2" t="s">
        <v>74</v>
      </c>
      <c r="EN106" s="2"/>
      <c r="EO106" s="2" t="s">
        <v>3</v>
      </c>
      <c r="EP106" s="2"/>
      <c r="EQ106" s="2">
        <v>0</v>
      </c>
      <c r="ER106" s="2">
        <v>33998.35</v>
      </c>
      <c r="ES106" s="2">
        <v>33998.35</v>
      </c>
      <c r="ET106" s="2">
        <v>0</v>
      </c>
      <c r="EU106" s="2">
        <v>0</v>
      </c>
      <c r="EV106" s="2">
        <v>0</v>
      </c>
      <c r="EW106" s="2">
        <v>0</v>
      </c>
      <c r="EX106" s="2">
        <v>0</v>
      </c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>
        <v>0</v>
      </c>
      <c r="FR106" s="2">
        <v>0</v>
      </c>
      <c r="FS106" s="2">
        <v>0</v>
      </c>
      <c r="FT106" s="2"/>
      <c r="FU106" s="2"/>
      <c r="FV106" s="2"/>
      <c r="FW106" s="2"/>
      <c r="FX106" s="2">
        <v>112</v>
      </c>
      <c r="FY106" s="2">
        <v>65</v>
      </c>
      <c r="FZ106" s="2"/>
      <c r="GA106" s="2" t="s">
        <v>3</v>
      </c>
      <c r="GB106" s="2"/>
      <c r="GC106" s="2"/>
      <c r="GD106" s="2">
        <v>1</v>
      </c>
      <c r="GE106" s="2"/>
      <c r="GF106" s="2">
        <v>1044775536</v>
      </c>
      <c r="GG106" s="2">
        <v>2</v>
      </c>
      <c r="GH106" s="2">
        <v>1</v>
      </c>
      <c r="GI106" s="2">
        <v>2</v>
      </c>
      <c r="GJ106" s="2">
        <v>0</v>
      </c>
      <c r="GK106" s="2">
        <v>0</v>
      </c>
      <c r="GL106" s="2">
        <f t="shared" si="77"/>
        <v>0</v>
      </c>
      <c r="GM106" s="2">
        <f t="shared" si="78"/>
        <v>1341.26</v>
      </c>
      <c r="GN106" s="2">
        <f t="shared" si="79"/>
        <v>1341.26</v>
      </c>
      <c r="GO106" s="2">
        <f t="shared" si="80"/>
        <v>0</v>
      </c>
      <c r="GP106" s="2">
        <f t="shared" si="81"/>
        <v>0</v>
      </c>
      <c r="GQ106" s="2"/>
      <c r="GR106" s="2">
        <v>0</v>
      </c>
      <c r="GS106" s="2">
        <v>0</v>
      </c>
      <c r="GT106" s="2">
        <v>0</v>
      </c>
      <c r="GU106" s="2" t="s">
        <v>3</v>
      </c>
      <c r="GV106" s="2">
        <f t="shared" si="82"/>
        <v>0</v>
      </c>
      <c r="GW106" s="2">
        <v>1</v>
      </c>
      <c r="GX106" s="2">
        <f t="shared" si="83"/>
        <v>0</v>
      </c>
      <c r="GY106" s="2"/>
      <c r="GZ106" s="2"/>
      <c r="HA106" s="2">
        <v>0</v>
      </c>
      <c r="HB106" s="2">
        <v>0</v>
      </c>
      <c r="HC106" s="2">
        <f t="shared" si="84"/>
        <v>0</v>
      </c>
      <c r="HD106" s="2"/>
      <c r="HE106" s="2" t="s">
        <v>3</v>
      </c>
      <c r="HF106" s="2" t="s">
        <v>3</v>
      </c>
      <c r="HG106" s="2"/>
      <c r="HH106" s="2"/>
      <c r="HI106" s="2"/>
      <c r="HJ106" s="2"/>
      <c r="HK106" s="2"/>
      <c r="HL106" s="2"/>
      <c r="HM106" s="2" t="s">
        <v>3</v>
      </c>
      <c r="HN106" s="2" t="s">
        <v>75</v>
      </c>
      <c r="HO106" s="2" t="s">
        <v>76</v>
      </c>
      <c r="HP106" s="2" t="s">
        <v>23</v>
      </c>
      <c r="HQ106" s="2" t="s">
        <v>23</v>
      </c>
      <c r="HR106" s="2"/>
      <c r="HS106" s="2">
        <v>0</v>
      </c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>
        <v>0</v>
      </c>
      <c r="IL106" s="2"/>
      <c r="IM106" s="2"/>
      <c r="IN106" s="2"/>
      <c r="IO106" s="2"/>
      <c r="IP106" s="2"/>
      <c r="IQ106" s="2"/>
      <c r="IR106" s="2"/>
      <c r="IS106" s="2"/>
      <c r="IT106" s="2"/>
      <c r="IU106" s="2"/>
    </row>
    <row r="107" spans="1:255" x14ac:dyDescent="0.2">
      <c r="A107" s="2">
        <v>18</v>
      </c>
      <c r="B107" s="2">
        <v>1</v>
      </c>
      <c r="C107" s="2">
        <v>136</v>
      </c>
      <c r="D107" s="2"/>
      <c r="E107" s="2" t="s">
        <v>222</v>
      </c>
      <c r="F107" s="2" t="s">
        <v>94</v>
      </c>
      <c r="G107" s="2" t="s">
        <v>95</v>
      </c>
      <c r="H107" s="2" t="s">
        <v>96</v>
      </c>
      <c r="I107" s="2">
        <f>I103*J107</f>
        <v>0.51</v>
      </c>
      <c r="J107" s="2">
        <v>15.668202764976957</v>
      </c>
      <c r="K107" s="2">
        <v>15.6682028</v>
      </c>
      <c r="L107" s="2"/>
      <c r="M107" s="2"/>
      <c r="N107" s="2"/>
      <c r="O107" s="2">
        <f t="shared" si="64"/>
        <v>818.58</v>
      </c>
      <c r="P107" s="2">
        <f>ROUND(CQ107*I107,2)</f>
        <v>818.58</v>
      </c>
      <c r="Q107" s="2">
        <f>ROUND(CR107*I107,2)</f>
        <v>0</v>
      </c>
      <c r="R107" s="2">
        <f>ROUND(CS107*I107,2)</f>
        <v>0</v>
      </c>
      <c r="S107" s="2">
        <f>ROUND(CT107*I107,2)</f>
        <v>0</v>
      </c>
      <c r="T107" s="2">
        <f t="shared" si="65"/>
        <v>0</v>
      </c>
      <c r="U107" s="2">
        <f>ROUND(CV107*I107,7)</f>
        <v>0</v>
      </c>
      <c r="V107" s="2">
        <f>ROUND(CW107*I107,7)</f>
        <v>0</v>
      </c>
      <c r="W107" s="2">
        <f t="shared" si="66"/>
        <v>0</v>
      </c>
      <c r="X107" s="2">
        <f t="shared" si="67"/>
        <v>0</v>
      </c>
      <c r="Y107" s="2">
        <f t="shared" si="68"/>
        <v>0</v>
      </c>
      <c r="Z107" s="2"/>
      <c r="AA107" s="2">
        <v>94104265</v>
      </c>
      <c r="AB107" s="2">
        <f t="shared" si="69"/>
        <v>1284.05</v>
      </c>
      <c r="AC107" s="2">
        <f>ROUND((ES107),6)</f>
        <v>1284.05</v>
      </c>
      <c r="AD107" s="2">
        <f>ROUND((((ET107)-(EU107))+AE107),6)</f>
        <v>0</v>
      </c>
      <c r="AE107" s="2">
        <f t="shared" si="88"/>
        <v>0</v>
      </c>
      <c r="AF107" s="2">
        <f t="shared" si="88"/>
        <v>0</v>
      </c>
      <c r="AG107" s="2">
        <f t="shared" si="70"/>
        <v>0</v>
      </c>
      <c r="AH107" s="2">
        <f t="shared" si="89"/>
        <v>0</v>
      </c>
      <c r="AI107" s="2">
        <f t="shared" si="89"/>
        <v>0</v>
      </c>
      <c r="AJ107" s="2">
        <f t="shared" si="71"/>
        <v>0</v>
      </c>
      <c r="AK107" s="2">
        <v>1284.05</v>
      </c>
      <c r="AL107" s="2">
        <v>1284.05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112</v>
      </c>
      <c r="AU107" s="2">
        <v>65</v>
      </c>
      <c r="AV107" s="2">
        <v>1</v>
      </c>
      <c r="AW107" s="2">
        <v>1</v>
      </c>
      <c r="AX107" s="2"/>
      <c r="AY107" s="2"/>
      <c r="AZ107" s="2">
        <v>1</v>
      </c>
      <c r="BA107" s="2">
        <v>1</v>
      </c>
      <c r="BB107" s="2">
        <v>1</v>
      </c>
      <c r="BC107" s="2">
        <v>1.25</v>
      </c>
      <c r="BD107" s="2" t="s">
        <v>3</v>
      </c>
      <c r="BE107" s="2" t="s">
        <v>3</v>
      </c>
      <c r="BF107" s="2" t="s">
        <v>3</v>
      </c>
      <c r="BG107" s="2" t="s">
        <v>3</v>
      </c>
      <c r="BH107" s="2">
        <v>3</v>
      </c>
      <c r="BI107" s="2">
        <v>1</v>
      </c>
      <c r="BJ107" s="2" t="s">
        <v>97</v>
      </c>
      <c r="BK107" s="2"/>
      <c r="BL107" s="2"/>
      <c r="BM107" s="2">
        <v>11001</v>
      </c>
      <c r="BN107" s="2">
        <v>0</v>
      </c>
      <c r="BO107" s="2" t="s">
        <v>94</v>
      </c>
      <c r="BP107" s="2">
        <v>1</v>
      </c>
      <c r="BQ107" s="2">
        <v>2</v>
      </c>
      <c r="BR107" s="2">
        <v>0</v>
      </c>
      <c r="BS107" s="2">
        <v>1</v>
      </c>
      <c r="BT107" s="2">
        <v>1</v>
      </c>
      <c r="BU107" s="2">
        <v>1</v>
      </c>
      <c r="BV107" s="2">
        <v>1</v>
      </c>
      <c r="BW107" s="2">
        <v>1</v>
      </c>
      <c r="BX107" s="2">
        <v>1</v>
      </c>
      <c r="BY107" s="2" t="s">
        <v>3</v>
      </c>
      <c r="BZ107" s="2">
        <v>112</v>
      </c>
      <c r="CA107" s="2">
        <v>65</v>
      </c>
      <c r="CB107" s="2" t="s">
        <v>3</v>
      </c>
      <c r="CC107" s="2"/>
      <c r="CD107" s="2"/>
      <c r="CE107" s="2">
        <v>0</v>
      </c>
      <c r="CF107" s="2">
        <v>0</v>
      </c>
      <c r="CG107" s="2">
        <v>0</v>
      </c>
      <c r="CH107" s="2"/>
      <c r="CI107" s="2"/>
      <c r="CJ107" s="2"/>
      <c r="CK107" s="2"/>
      <c r="CL107" s="2"/>
      <c r="CM107" s="2">
        <v>0</v>
      </c>
      <c r="CN107" s="2" t="s">
        <v>3</v>
      </c>
      <c r="CO107" s="2">
        <v>0</v>
      </c>
      <c r="CP107" s="2">
        <f t="shared" si="72"/>
        <v>818.58</v>
      </c>
      <c r="CQ107" s="2">
        <f>ROUND(AL107*BC107,2)</f>
        <v>1605.06</v>
      </c>
      <c r="CR107" s="2">
        <f>ROUND(AM107*BB107,2)</f>
        <v>0</v>
      </c>
      <c r="CS107" s="2">
        <f>ROUND(AN107*BS107,2)</f>
        <v>0</v>
      </c>
      <c r="CT107" s="2">
        <f>ROUND(AO107*BA107,2)</f>
        <v>0</v>
      </c>
      <c r="CU107" s="2">
        <f t="shared" si="73"/>
        <v>0</v>
      </c>
      <c r="CV107" s="2">
        <f t="shared" si="90"/>
        <v>0</v>
      </c>
      <c r="CW107" s="2">
        <f t="shared" si="90"/>
        <v>0</v>
      </c>
      <c r="CX107" s="2">
        <f t="shared" si="74"/>
        <v>0</v>
      </c>
      <c r="CY107" s="2">
        <f t="shared" si="75"/>
        <v>0</v>
      </c>
      <c r="CZ107" s="2">
        <f t="shared" si="76"/>
        <v>0</v>
      </c>
      <c r="DA107" s="2"/>
      <c r="DB107" s="2"/>
      <c r="DC107" s="2" t="s">
        <v>3</v>
      </c>
      <c r="DD107" s="2" t="s">
        <v>3</v>
      </c>
      <c r="DE107" s="2" t="s">
        <v>3</v>
      </c>
      <c r="DF107" s="2" t="s">
        <v>3</v>
      </c>
      <c r="DG107" s="2" t="s">
        <v>3</v>
      </c>
      <c r="DH107" s="2" t="s">
        <v>3</v>
      </c>
      <c r="DI107" s="2" t="s">
        <v>3</v>
      </c>
      <c r="DJ107" s="2" t="s">
        <v>3</v>
      </c>
      <c r="DK107" s="2" t="s">
        <v>3</v>
      </c>
      <c r="DL107" s="2" t="s">
        <v>3</v>
      </c>
      <c r="DM107" s="2" t="s">
        <v>3</v>
      </c>
      <c r="DN107" s="2">
        <v>0</v>
      </c>
      <c r="DO107" s="2">
        <v>0</v>
      </c>
      <c r="DP107" s="2">
        <v>1</v>
      </c>
      <c r="DQ107" s="2">
        <v>1</v>
      </c>
      <c r="DR107" s="2"/>
      <c r="DS107" s="2"/>
      <c r="DT107" s="2"/>
      <c r="DU107" s="2">
        <v>1009</v>
      </c>
      <c r="DV107" s="2" t="s">
        <v>96</v>
      </c>
      <c r="DW107" s="2" t="s">
        <v>96</v>
      </c>
      <c r="DX107" s="2">
        <v>1</v>
      </c>
      <c r="DY107" s="2"/>
      <c r="DZ107" s="2" t="s">
        <v>3</v>
      </c>
      <c r="EA107" s="2" t="s">
        <v>3</v>
      </c>
      <c r="EB107" s="2" t="s">
        <v>3</v>
      </c>
      <c r="EC107" s="2" t="s">
        <v>3</v>
      </c>
      <c r="ED107" s="2"/>
      <c r="EE107" s="2">
        <v>89976994</v>
      </c>
      <c r="EF107" s="2">
        <v>2</v>
      </c>
      <c r="EG107" s="2" t="s">
        <v>44</v>
      </c>
      <c r="EH107" s="2">
        <v>11</v>
      </c>
      <c r="EI107" s="2" t="s">
        <v>23</v>
      </c>
      <c r="EJ107" s="2">
        <v>1</v>
      </c>
      <c r="EK107" s="2">
        <v>11001</v>
      </c>
      <c r="EL107" s="2" t="s">
        <v>23</v>
      </c>
      <c r="EM107" s="2" t="s">
        <v>74</v>
      </c>
      <c r="EN107" s="2"/>
      <c r="EO107" s="2" t="s">
        <v>3</v>
      </c>
      <c r="EP107" s="2"/>
      <c r="EQ107" s="2">
        <v>0</v>
      </c>
      <c r="ER107" s="2">
        <v>1284.05</v>
      </c>
      <c r="ES107" s="2">
        <v>1284.05</v>
      </c>
      <c r="ET107" s="2">
        <v>0</v>
      </c>
      <c r="EU107" s="2">
        <v>0</v>
      </c>
      <c r="EV107" s="2">
        <v>0</v>
      </c>
      <c r="EW107" s="2">
        <v>0</v>
      </c>
      <c r="EX107" s="2">
        <v>0</v>
      </c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>
        <v>0</v>
      </c>
      <c r="FR107" s="2">
        <v>0</v>
      </c>
      <c r="FS107" s="2">
        <v>0</v>
      </c>
      <c r="FT107" s="2"/>
      <c r="FU107" s="2"/>
      <c r="FV107" s="2"/>
      <c r="FW107" s="2"/>
      <c r="FX107" s="2">
        <v>112</v>
      </c>
      <c r="FY107" s="2">
        <v>65</v>
      </c>
      <c r="FZ107" s="2"/>
      <c r="GA107" s="2" t="s">
        <v>3</v>
      </c>
      <c r="GB107" s="2"/>
      <c r="GC107" s="2"/>
      <c r="GD107" s="2">
        <v>1</v>
      </c>
      <c r="GE107" s="2"/>
      <c r="GF107" s="2">
        <v>-302696231</v>
      </c>
      <c r="GG107" s="2">
        <v>2</v>
      </c>
      <c r="GH107" s="2">
        <v>1</v>
      </c>
      <c r="GI107" s="2">
        <v>2</v>
      </c>
      <c r="GJ107" s="2">
        <v>0</v>
      </c>
      <c r="GK107" s="2">
        <v>0</v>
      </c>
      <c r="GL107" s="2">
        <f t="shared" si="77"/>
        <v>0</v>
      </c>
      <c r="GM107" s="2">
        <f t="shared" si="78"/>
        <v>818.58</v>
      </c>
      <c r="GN107" s="2">
        <f t="shared" si="79"/>
        <v>818.58</v>
      </c>
      <c r="GO107" s="2">
        <f t="shared" si="80"/>
        <v>0</v>
      </c>
      <c r="GP107" s="2">
        <f t="shared" si="81"/>
        <v>0</v>
      </c>
      <c r="GQ107" s="2"/>
      <c r="GR107" s="2">
        <v>0</v>
      </c>
      <c r="GS107" s="2">
        <v>0</v>
      </c>
      <c r="GT107" s="2">
        <v>0</v>
      </c>
      <c r="GU107" s="2" t="s">
        <v>3</v>
      </c>
      <c r="GV107" s="2">
        <f t="shared" si="82"/>
        <v>0</v>
      </c>
      <c r="GW107" s="2">
        <v>1</v>
      </c>
      <c r="GX107" s="2">
        <f t="shared" si="83"/>
        <v>0</v>
      </c>
      <c r="GY107" s="2"/>
      <c r="GZ107" s="2"/>
      <c r="HA107" s="2">
        <v>0</v>
      </c>
      <c r="HB107" s="2">
        <v>0</v>
      </c>
      <c r="HC107" s="2">
        <f t="shared" si="84"/>
        <v>0</v>
      </c>
      <c r="HD107" s="2"/>
      <c r="HE107" s="2" t="s">
        <v>3</v>
      </c>
      <c r="HF107" s="2" t="s">
        <v>3</v>
      </c>
      <c r="HG107" s="2"/>
      <c r="HH107" s="2"/>
      <c r="HI107" s="2"/>
      <c r="HJ107" s="2"/>
      <c r="HK107" s="2"/>
      <c r="HL107" s="2"/>
      <c r="HM107" s="2" t="s">
        <v>3</v>
      </c>
      <c r="HN107" s="2" t="s">
        <v>75</v>
      </c>
      <c r="HO107" s="2" t="s">
        <v>76</v>
      </c>
      <c r="HP107" s="2" t="s">
        <v>23</v>
      </c>
      <c r="HQ107" s="2" t="s">
        <v>23</v>
      </c>
      <c r="HR107" s="2"/>
      <c r="HS107" s="2">
        <v>0</v>
      </c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>
        <v>0</v>
      </c>
      <c r="IL107" s="2"/>
      <c r="IM107" s="2"/>
      <c r="IN107" s="2"/>
      <c r="IO107" s="2"/>
      <c r="IP107" s="2"/>
      <c r="IQ107" s="2"/>
      <c r="IR107" s="2"/>
      <c r="IS107" s="2"/>
      <c r="IT107" s="2"/>
      <c r="IU107" s="2"/>
    </row>
    <row r="108" spans="1:255" x14ac:dyDescent="0.2">
      <c r="A108" s="2">
        <v>17</v>
      </c>
      <c r="B108" s="2">
        <v>1</v>
      </c>
      <c r="C108" s="2">
        <f>ROW(SmtRes!A140)</f>
        <v>140</v>
      </c>
      <c r="D108" s="2">
        <f>ROW(EtalonRes!A140)</f>
        <v>140</v>
      </c>
      <c r="E108" s="2" t="s">
        <v>223</v>
      </c>
      <c r="F108" s="2" t="s">
        <v>99</v>
      </c>
      <c r="G108" s="2" t="s">
        <v>100</v>
      </c>
      <c r="H108" s="2" t="s">
        <v>101</v>
      </c>
      <c r="I108" s="2">
        <f>ROUND((1.5*2+1.7)/100,7)</f>
        <v>4.7E-2</v>
      </c>
      <c r="J108" s="2">
        <v>0</v>
      </c>
      <c r="K108" s="2">
        <f>ROUND((1.5*2+1.7)/100,7)</f>
        <v>4.7E-2</v>
      </c>
      <c r="L108" s="2"/>
      <c r="M108" s="2"/>
      <c r="N108" s="2"/>
      <c r="O108" s="2">
        <f t="shared" si="64"/>
        <v>540.39</v>
      </c>
      <c r="P108" s="2">
        <f>SUMIF(SmtRes!AQ137:'SmtRes'!AQ140,"=1",SmtRes!DF137:'SmtRes'!DF140)</f>
        <v>38.9</v>
      </c>
      <c r="Q108" s="2">
        <f>SUMIF(SmtRes!AQ137:'SmtRes'!AQ140,"=1",SmtRes!DG137:'SmtRes'!DG140)</f>
        <v>0</v>
      </c>
      <c r="R108" s="2">
        <f>SUMIF(SmtRes!AQ137:'SmtRes'!AQ140,"=1",SmtRes!DH137:'SmtRes'!DH140)</f>
        <v>0</v>
      </c>
      <c r="S108" s="2">
        <f>SUMIF(SmtRes!AQ137:'SmtRes'!AQ140,"=1",SmtRes!DI137:'SmtRes'!DI140)</f>
        <v>501.49</v>
      </c>
      <c r="T108" s="2">
        <f t="shared" si="65"/>
        <v>0</v>
      </c>
      <c r="U108" s="2">
        <f>SUMIF(SmtRes!AQ137:'SmtRes'!AQ140,"=1",SmtRes!CV137:'SmtRes'!CV140)</f>
        <v>0.78208</v>
      </c>
      <c r="V108" s="2">
        <f>SUMIF(SmtRes!AQ137:'SmtRes'!AQ140,"=1",SmtRes!CW137:'SmtRes'!CW140)</f>
        <v>0</v>
      </c>
      <c r="W108" s="2">
        <f t="shared" si="66"/>
        <v>0</v>
      </c>
      <c r="X108" s="2">
        <f t="shared" si="67"/>
        <v>561.66999999999996</v>
      </c>
      <c r="Y108" s="2">
        <f t="shared" si="68"/>
        <v>325.97000000000003</v>
      </c>
      <c r="Z108" s="2"/>
      <c r="AA108" s="2">
        <v>94104265</v>
      </c>
      <c r="AB108" s="2">
        <f t="shared" si="69"/>
        <v>11312.844719999999</v>
      </c>
      <c r="AC108" s="2">
        <f>ROUND((SUM(SmtRes!BQ137:'SmtRes'!BQ140)),6)</f>
        <v>642.94392000000005</v>
      </c>
      <c r="AD108" s="2">
        <f>ROUND((((0)-(0))+AE108),6)</f>
        <v>0</v>
      </c>
      <c r="AE108" s="2">
        <f>ROUND((0),6)</f>
        <v>0</v>
      </c>
      <c r="AF108" s="2">
        <f>ROUND((SUM(SmtRes!BT137:'SmtRes'!BT140)),6)</f>
        <v>10669.900799999999</v>
      </c>
      <c r="AG108" s="2">
        <f t="shared" si="70"/>
        <v>0</v>
      </c>
      <c r="AH108" s="2">
        <f>(SUM(SmtRes!BU137:'SmtRes'!BU140))</f>
        <v>16.64</v>
      </c>
      <c r="AI108" s="2">
        <f>(0)</f>
        <v>0</v>
      </c>
      <c r="AJ108" s="2">
        <f t="shared" si="71"/>
        <v>0</v>
      </c>
      <c r="AK108" s="2">
        <v>11312.844720000001</v>
      </c>
      <c r="AL108" s="2">
        <v>642.94391999999993</v>
      </c>
      <c r="AM108" s="2">
        <v>0</v>
      </c>
      <c r="AN108" s="2">
        <v>0</v>
      </c>
      <c r="AO108" s="2">
        <v>10669.900800000001</v>
      </c>
      <c r="AP108" s="2">
        <v>0</v>
      </c>
      <c r="AQ108" s="2">
        <v>16.64</v>
      </c>
      <c r="AR108" s="2">
        <v>0</v>
      </c>
      <c r="AS108" s="2">
        <v>0</v>
      </c>
      <c r="AT108" s="2">
        <v>112</v>
      </c>
      <c r="AU108" s="2">
        <v>65</v>
      </c>
      <c r="AV108" s="2">
        <v>1</v>
      </c>
      <c r="AW108" s="2">
        <v>1</v>
      </c>
      <c r="AX108" s="2"/>
      <c r="AY108" s="2"/>
      <c r="AZ108" s="2">
        <v>1</v>
      </c>
      <c r="BA108" s="2">
        <v>1</v>
      </c>
      <c r="BB108" s="2">
        <v>1</v>
      </c>
      <c r="BC108" s="2">
        <v>1</v>
      </c>
      <c r="BD108" s="2" t="s">
        <v>3</v>
      </c>
      <c r="BE108" s="2" t="s">
        <v>3</v>
      </c>
      <c r="BF108" s="2" t="s">
        <v>3</v>
      </c>
      <c r="BG108" s="2" t="s">
        <v>3</v>
      </c>
      <c r="BH108" s="2">
        <v>0</v>
      </c>
      <c r="BI108" s="2">
        <v>1</v>
      </c>
      <c r="BJ108" s="2" t="s">
        <v>102</v>
      </c>
      <c r="BK108" s="2"/>
      <c r="BL108" s="2"/>
      <c r="BM108" s="2">
        <v>11001</v>
      </c>
      <c r="BN108" s="2">
        <v>0</v>
      </c>
      <c r="BO108" s="2" t="s">
        <v>3</v>
      </c>
      <c r="BP108" s="2">
        <v>0</v>
      </c>
      <c r="BQ108" s="2">
        <v>2</v>
      </c>
      <c r="BR108" s="2">
        <v>0</v>
      </c>
      <c r="BS108" s="2">
        <v>1</v>
      </c>
      <c r="BT108" s="2">
        <v>1</v>
      </c>
      <c r="BU108" s="2">
        <v>1</v>
      </c>
      <c r="BV108" s="2">
        <v>1</v>
      </c>
      <c r="BW108" s="2">
        <v>1</v>
      </c>
      <c r="BX108" s="2">
        <v>1</v>
      </c>
      <c r="BY108" s="2" t="s">
        <v>3</v>
      </c>
      <c r="BZ108" s="2">
        <v>112</v>
      </c>
      <c r="CA108" s="2">
        <v>65</v>
      </c>
      <c r="CB108" s="2" t="s">
        <v>3</v>
      </c>
      <c r="CC108" s="2"/>
      <c r="CD108" s="2"/>
      <c r="CE108" s="2">
        <v>0</v>
      </c>
      <c r="CF108" s="2">
        <v>0</v>
      </c>
      <c r="CG108" s="2">
        <v>0</v>
      </c>
      <c r="CH108" s="2"/>
      <c r="CI108" s="2"/>
      <c r="CJ108" s="2"/>
      <c r="CK108" s="2"/>
      <c r="CL108" s="2"/>
      <c r="CM108" s="2">
        <v>0</v>
      </c>
      <c r="CN108" s="2" t="s">
        <v>3</v>
      </c>
      <c r="CO108" s="2">
        <v>0</v>
      </c>
      <c r="CP108" s="2">
        <f t="shared" si="72"/>
        <v>540.39</v>
      </c>
      <c r="CQ108" s="2">
        <f>SUMIF(SmtRes!AQ137:'SmtRes'!AQ140,"=1",SmtRes!AA137:'SmtRes'!AA140)</f>
        <v>123.33</v>
      </c>
      <c r="CR108" s="2">
        <f>SUMIF(SmtRes!AQ137:'SmtRes'!AQ140,"=1",SmtRes!AB137:'SmtRes'!AB140)</f>
        <v>0</v>
      </c>
      <c r="CS108" s="2">
        <f>SUMIF(SmtRes!AQ137:'SmtRes'!AQ140,"=1",SmtRes!AC137:'SmtRes'!AC140)</f>
        <v>0</v>
      </c>
      <c r="CT108" s="2">
        <f>SUMIF(SmtRes!AQ137:'SmtRes'!AQ140,"=1",SmtRes!AD137:'SmtRes'!AD140)</f>
        <v>641.22</v>
      </c>
      <c r="CU108" s="2">
        <f t="shared" si="73"/>
        <v>0</v>
      </c>
      <c r="CV108" s="2">
        <f>SUMIF(SmtRes!AQ137:'SmtRes'!AQ140,"=1",SmtRes!BU137:'SmtRes'!BU140)</f>
        <v>16.64</v>
      </c>
      <c r="CW108" s="2">
        <f>SUMIF(SmtRes!AQ137:'SmtRes'!AQ140,"=1",SmtRes!BV137:'SmtRes'!BV140)</f>
        <v>0</v>
      </c>
      <c r="CX108" s="2">
        <f t="shared" si="74"/>
        <v>0</v>
      </c>
      <c r="CY108" s="2">
        <f t="shared" si="75"/>
        <v>561.66880000000003</v>
      </c>
      <c r="CZ108" s="2">
        <f t="shared" si="76"/>
        <v>325.96850000000001</v>
      </c>
      <c r="DA108" s="2"/>
      <c r="DB108" s="2"/>
      <c r="DC108" s="2" t="s">
        <v>3</v>
      </c>
      <c r="DD108" s="2" t="s">
        <v>3</v>
      </c>
      <c r="DE108" s="2" t="s">
        <v>3</v>
      </c>
      <c r="DF108" s="2" t="s">
        <v>3</v>
      </c>
      <c r="DG108" s="2" t="s">
        <v>3</v>
      </c>
      <c r="DH108" s="2" t="s">
        <v>3</v>
      </c>
      <c r="DI108" s="2" t="s">
        <v>3</v>
      </c>
      <c r="DJ108" s="2" t="s">
        <v>3</v>
      </c>
      <c r="DK108" s="2" t="s">
        <v>3</v>
      </c>
      <c r="DL108" s="2" t="s">
        <v>3</v>
      </c>
      <c r="DM108" s="2" t="s">
        <v>3</v>
      </c>
      <c r="DN108" s="2">
        <v>0</v>
      </c>
      <c r="DO108" s="2">
        <v>0</v>
      </c>
      <c r="DP108" s="2">
        <v>1</v>
      </c>
      <c r="DQ108" s="2">
        <v>1</v>
      </c>
      <c r="DR108" s="2"/>
      <c r="DS108" s="2"/>
      <c r="DT108" s="2"/>
      <c r="DU108" s="2">
        <v>1003</v>
      </c>
      <c r="DV108" s="2" t="s">
        <v>101</v>
      </c>
      <c r="DW108" s="2" t="s">
        <v>101</v>
      </c>
      <c r="DX108" s="2">
        <v>100</v>
      </c>
      <c r="DY108" s="2"/>
      <c r="DZ108" s="2" t="s">
        <v>3</v>
      </c>
      <c r="EA108" s="2" t="s">
        <v>3</v>
      </c>
      <c r="EB108" s="2" t="s">
        <v>3</v>
      </c>
      <c r="EC108" s="2" t="s">
        <v>3</v>
      </c>
      <c r="ED108" s="2"/>
      <c r="EE108" s="2">
        <v>89976994</v>
      </c>
      <c r="EF108" s="2">
        <v>2</v>
      </c>
      <c r="EG108" s="2" t="s">
        <v>44</v>
      </c>
      <c r="EH108" s="2">
        <v>11</v>
      </c>
      <c r="EI108" s="2" t="s">
        <v>23</v>
      </c>
      <c r="EJ108" s="2">
        <v>1</v>
      </c>
      <c r="EK108" s="2">
        <v>11001</v>
      </c>
      <c r="EL108" s="2" t="s">
        <v>23</v>
      </c>
      <c r="EM108" s="2" t="s">
        <v>74</v>
      </c>
      <c r="EN108" s="2"/>
      <c r="EO108" s="2" t="s">
        <v>3</v>
      </c>
      <c r="EP108" s="2"/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16.64</v>
      </c>
      <c r="EX108" s="2">
        <v>0</v>
      </c>
      <c r="EY108" s="2">
        <v>0</v>
      </c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>
        <v>0</v>
      </c>
      <c r="FR108" s="2">
        <v>0</v>
      </c>
      <c r="FS108" s="2">
        <v>0</v>
      </c>
      <c r="FT108" s="2"/>
      <c r="FU108" s="2"/>
      <c r="FV108" s="2"/>
      <c r="FW108" s="2"/>
      <c r="FX108" s="2">
        <v>112</v>
      </c>
      <c r="FY108" s="2">
        <v>65</v>
      </c>
      <c r="FZ108" s="2"/>
      <c r="GA108" s="2" t="s">
        <v>3</v>
      </c>
      <c r="GB108" s="2"/>
      <c r="GC108" s="2"/>
      <c r="GD108" s="2">
        <v>1</v>
      </c>
      <c r="GE108" s="2"/>
      <c r="GF108" s="2">
        <v>882202194</v>
      </c>
      <c r="GG108" s="2">
        <v>2</v>
      </c>
      <c r="GH108" s="2">
        <v>1</v>
      </c>
      <c r="GI108" s="2">
        <v>-2</v>
      </c>
      <c r="GJ108" s="2">
        <v>0</v>
      </c>
      <c r="GK108" s="2">
        <v>0</v>
      </c>
      <c r="GL108" s="2">
        <f t="shared" si="77"/>
        <v>0</v>
      </c>
      <c r="GM108" s="2">
        <f t="shared" si="78"/>
        <v>1428.03</v>
      </c>
      <c r="GN108" s="2">
        <f t="shared" si="79"/>
        <v>1428.03</v>
      </c>
      <c r="GO108" s="2">
        <f t="shared" si="80"/>
        <v>0</v>
      </c>
      <c r="GP108" s="2">
        <f t="shared" si="81"/>
        <v>0</v>
      </c>
      <c r="GQ108" s="2"/>
      <c r="GR108" s="2">
        <v>0</v>
      </c>
      <c r="GS108" s="2">
        <v>0</v>
      </c>
      <c r="GT108" s="2">
        <v>0</v>
      </c>
      <c r="GU108" s="2" t="s">
        <v>3</v>
      </c>
      <c r="GV108" s="2">
        <f t="shared" si="82"/>
        <v>0</v>
      </c>
      <c r="GW108" s="2">
        <v>1</v>
      </c>
      <c r="GX108" s="2">
        <f t="shared" si="83"/>
        <v>0</v>
      </c>
      <c r="GY108" s="2"/>
      <c r="GZ108" s="2"/>
      <c r="HA108" s="2">
        <v>0</v>
      </c>
      <c r="HB108" s="2">
        <v>0</v>
      </c>
      <c r="HC108" s="2">
        <f t="shared" si="84"/>
        <v>0</v>
      </c>
      <c r="HD108" s="2"/>
      <c r="HE108" s="2" t="s">
        <v>3</v>
      </c>
      <c r="HF108" s="2" t="s">
        <v>3</v>
      </c>
      <c r="HG108" s="2"/>
      <c r="HH108" s="2"/>
      <c r="HI108" s="2"/>
      <c r="HJ108" s="2"/>
      <c r="HK108" s="2"/>
      <c r="HL108" s="2"/>
      <c r="HM108" s="2" t="s">
        <v>3</v>
      </c>
      <c r="HN108" s="2" t="s">
        <v>75</v>
      </c>
      <c r="HO108" s="2" t="s">
        <v>76</v>
      </c>
      <c r="HP108" s="2" t="s">
        <v>23</v>
      </c>
      <c r="HQ108" s="2" t="s">
        <v>23</v>
      </c>
      <c r="HR108" s="2"/>
      <c r="HS108" s="2">
        <v>0</v>
      </c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>
        <v>0</v>
      </c>
      <c r="IL108" s="2"/>
      <c r="IM108" s="2"/>
      <c r="IN108" s="2"/>
      <c r="IO108" s="2"/>
      <c r="IP108" s="2"/>
      <c r="IQ108" s="2"/>
      <c r="IR108" s="2"/>
      <c r="IS108" s="2"/>
      <c r="IT108" s="2"/>
      <c r="IU108" s="2"/>
    </row>
    <row r="109" spans="1:255" x14ac:dyDescent="0.2">
      <c r="A109" s="2">
        <v>18</v>
      </c>
      <c r="B109" s="2">
        <v>1</v>
      </c>
      <c r="C109" s="2">
        <v>140</v>
      </c>
      <c r="D109" s="2"/>
      <c r="E109" s="2" t="s">
        <v>224</v>
      </c>
      <c r="F109" s="2" t="s">
        <v>104</v>
      </c>
      <c r="G109" s="2" t="s">
        <v>105</v>
      </c>
      <c r="H109" s="2" t="s">
        <v>106</v>
      </c>
      <c r="I109" s="2">
        <f>I108*J109</f>
        <v>4.9349999999999996</v>
      </c>
      <c r="J109" s="2">
        <v>104.99999999999999</v>
      </c>
      <c r="K109" s="2">
        <v>105</v>
      </c>
      <c r="L109" s="2"/>
      <c r="M109" s="2"/>
      <c r="N109" s="2"/>
      <c r="O109" s="2">
        <f t="shared" si="64"/>
        <v>2324.39</v>
      </c>
      <c r="P109" s="2">
        <f>ROUND(CQ109*I109,2)</f>
        <v>2324.39</v>
      </c>
      <c r="Q109" s="2">
        <f>ROUND(CR109*I109,2)</f>
        <v>0</v>
      </c>
      <c r="R109" s="2">
        <f>ROUND(CS109*I109,2)</f>
        <v>0</v>
      </c>
      <c r="S109" s="2">
        <f>ROUND(CT109*I109,2)</f>
        <v>0</v>
      </c>
      <c r="T109" s="2">
        <f t="shared" si="65"/>
        <v>0</v>
      </c>
      <c r="U109" s="2">
        <f>ROUND(CV109*I109,7)</f>
        <v>0</v>
      </c>
      <c r="V109" s="2">
        <f>ROUND(CW109*I109,7)</f>
        <v>0</v>
      </c>
      <c r="W109" s="2">
        <f t="shared" si="66"/>
        <v>0</v>
      </c>
      <c r="X109" s="2">
        <f t="shared" si="67"/>
        <v>0</v>
      </c>
      <c r="Y109" s="2">
        <f t="shared" si="68"/>
        <v>0</v>
      </c>
      <c r="Z109" s="2"/>
      <c r="AA109" s="2">
        <v>94104265</v>
      </c>
      <c r="AB109" s="2">
        <f t="shared" si="69"/>
        <v>290.74</v>
      </c>
      <c r="AC109" s="2">
        <f>ROUND((ES109),6)</f>
        <v>290.74</v>
      </c>
      <c r="AD109" s="2">
        <f>ROUND((((ET109)-(EU109))+AE109),6)</f>
        <v>0</v>
      </c>
      <c r="AE109" s="2">
        <f>ROUND((EU109),6)</f>
        <v>0</v>
      </c>
      <c r="AF109" s="2">
        <f>ROUND((EV109),6)</f>
        <v>0</v>
      </c>
      <c r="AG109" s="2">
        <f t="shared" si="70"/>
        <v>0</v>
      </c>
      <c r="AH109" s="2">
        <f>(EW109)</f>
        <v>0</v>
      </c>
      <c r="AI109" s="2">
        <f>(EX109)</f>
        <v>0</v>
      </c>
      <c r="AJ109" s="2">
        <f t="shared" si="71"/>
        <v>0</v>
      </c>
      <c r="AK109" s="2">
        <v>290.74</v>
      </c>
      <c r="AL109" s="2">
        <v>290.74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112</v>
      </c>
      <c r="AU109" s="2">
        <v>65</v>
      </c>
      <c r="AV109" s="2">
        <v>1</v>
      </c>
      <c r="AW109" s="2">
        <v>1</v>
      </c>
      <c r="AX109" s="2"/>
      <c r="AY109" s="2"/>
      <c r="AZ109" s="2">
        <v>1</v>
      </c>
      <c r="BA109" s="2">
        <v>1</v>
      </c>
      <c r="BB109" s="2">
        <v>1</v>
      </c>
      <c r="BC109" s="2">
        <v>1.62</v>
      </c>
      <c r="BD109" s="2" t="s">
        <v>3</v>
      </c>
      <c r="BE109" s="2" t="s">
        <v>3</v>
      </c>
      <c r="BF109" s="2" t="s">
        <v>3</v>
      </c>
      <c r="BG109" s="2" t="s">
        <v>3</v>
      </c>
      <c r="BH109" s="2">
        <v>3</v>
      </c>
      <c r="BI109" s="2">
        <v>1</v>
      </c>
      <c r="BJ109" s="2" t="s">
        <v>107</v>
      </c>
      <c r="BK109" s="2"/>
      <c r="BL109" s="2"/>
      <c r="BM109" s="2">
        <v>11001</v>
      </c>
      <c r="BN109" s="2">
        <v>0</v>
      </c>
      <c r="BO109" s="2" t="s">
        <v>104</v>
      </c>
      <c r="BP109" s="2">
        <v>1</v>
      </c>
      <c r="BQ109" s="2">
        <v>2</v>
      </c>
      <c r="BR109" s="2">
        <v>0</v>
      </c>
      <c r="BS109" s="2">
        <v>1</v>
      </c>
      <c r="BT109" s="2">
        <v>1</v>
      </c>
      <c r="BU109" s="2">
        <v>1</v>
      </c>
      <c r="BV109" s="2">
        <v>1</v>
      </c>
      <c r="BW109" s="2">
        <v>1</v>
      </c>
      <c r="BX109" s="2">
        <v>1</v>
      </c>
      <c r="BY109" s="2" t="s">
        <v>3</v>
      </c>
      <c r="BZ109" s="2">
        <v>112</v>
      </c>
      <c r="CA109" s="2">
        <v>65</v>
      </c>
      <c r="CB109" s="2" t="s">
        <v>3</v>
      </c>
      <c r="CC109" s="2"/>
      <c r="CD109" s="2"/>
      <c r="CE109" s="2">
        <v>0</v>
      </c>
      <c r="CF109" s="2">
        <v>0</v>
      </c>
      <c r="CG109" s="2">
        <v>0</v>
      </c>
      <c r="CH109" s="2"/>
      <c r="CI109" s="2"/>
      <c r="CJ109" s="2"/>
      <c r="CK109" s="2"/>
      <c r="CL109" s="2"/>
      <c r="CM109" s="2">
        <v>0</v>
      </c>
      <c r="CN109" s="2" t="s">
        <v>3</v>
      </c>
      <c r="CO109" s="2">
        <v>0</v>
      </c>
      <c r="CP109" s="2">
        <f t="shared" si="72"/>
        <v>2324.39</v>
      </c>
      <c r="CQ109" s="2">
        <f>ROUND(AL109*BC109,2)</f>
        <v>471</v>
      </c>
      <c r="CR109" s="2">
        <f>ROUND(AM109*BB109,2)</f>
        <v>0</v>
      </c>
      <c r="CS109" s="2">
        <f>ROUND(AN109*BS109,2)</f>
        <v>0</v>
      </c>
      <c r="CT109" s="2">
        <f>ROUND(AO109*BA109,2)</f>
        <v>0</v>
      </c>
      <c r="CU109" s="2">
        <f t="shared" si="73"/>
        <v>0</v>
      </c>
      <c r="CV109" s="2">
        <f>AH109</f>
        <v>0</v>
      </c>
      <c r="CW109" s="2">
        <f>AI109</f>
        <v>0</v>
      </c>
      <c r="CX109" s="2">
        <f t="shared" si="74"/>
        <v>0</v>
      </c>
      <c r="CY109" s="2">
        <f t="shared" si="75"/>
        <v>0</v>
      </c>
      <c r="CZ109" s="2">
        <f t="shared" si="76"/>
        <v>0</v>
      </c>
      <c r="DA109" s="2"/>
      <c r="DB109" s="2"/>
      <c r="DC109" s="2" t="s">
        <v>3</v>
      </c>
      <c r="DD109" s="2" t="s">
        <v>3</v>
      </c>
      <c r="DE109" s="2" t="s">
        <v>3</v>
      </c>
      <c r="DF109" s="2" t="s">
        <v>3</v>
      </c>
      <c r="DG109" s="2" t="s">
        <v>3</v>
      </c>
      <c r="DH109" s="2" t="s">
        <v>3</v>
      </c>
      <c r="DI109" s="2" t="s">
        <v>3</v>
      </c>
      <c r="DJ109" s="2" t="s">
        <v>3</v>
      </c>
      <c r="DK109" s="2" t="s">
        <v>3</v>
      </c>
      <c r="DL109" s="2" t="s">
        <v>3</v>
      </c>
      <c r="DM109" s="2" t="s">
        <v>3</v>
      </c>
      <c r="DN109" s="2">
        <v>0</v>
      </c>
      <c r="DO109" s="2">
        <v>0</v>
      </c>
      <c r="DP109" s="2">
        <v>1</v>
      </c>
      <c r="DQ109" s="2">
        <v>1</v>
      </c>
      <c r="DR109" s="2"/>
      <c r="DS109" s="2"/>
      <c r="DT109" s="2"/>
      <c r="DU109" s="2">
        <v>1003</v>
      </c>
      <c r="DV109" s="2" t="s">
        <v>106</v>
      </c>
      <c r="DW109" s="2" t="s">
        <v>106</v>
      </c>
      <c r="DX109" s="2">
        <v>1</v>
      </c>
      <c r="DY109" s="2"/>
      <c r="DZ109" s="2" t="s">
        <v>3</v>
      </c>
      <c r="EA109" s="2" t="s">
        <v>3</v>
      </c>
      <c r="EB109" s="2" t="s">
        <v>3</v>
      </c>
      <c r="EC109" s="2" t="s">
        <v>3</v>
      </c>
      <c r="ED109" s="2"/>
      <c r="EE109" s="2">
        <v>89976994</v>
      </c>
      <c r="EF109" s="2">
        <v>2</v>
      </c>
      <c r="EG109" s="2" t="s">
        <v>44</v>
      </c>
      <c r="EH109" s="2">
        <v>11</v>
      </c>
      <c r="EI109" s="2" t="s">
        <v>23</v>
      </c>
      <c r="EJ109" s="2">
        <v>1</v>
      </c>
      <c r="EK109" s="2">
        <v>11001</v>
      </c>
      <c r="EL109" s="2" t="s">
        <v>23</v>
      </c>
      <c r="EM109" s="2" t="s">
        <v>74</v>
      </c>
      <c r="EN109" s="2"/>
      <c r="EO109" s="2" t="s">
        <v>3</v>
      </c>
      <c r="EP109" s="2"/>
      <c r="EQ109" s="2">
        <v>0</v>
      </c>
      <c r="ER109" s="2">
        <v>290.74</v>
      </c>
      <c r="ES109" s="2">
        <v>290.74</v>
      </c>
      <c r="ET109" s="2">
        <v>0</v>
      </c>
      <c r="EU109" s="2">
        <v>0</v>
      </c>
      <c r="EV109" s="2">
        <v>0</v>
      </c>
      <c r="EW109" s="2">
        <v>0</v>
      </c>
      <c r="EX109" s="2">
        <v>0</v>
      </c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>
        <v>0</v>
      </c>
      <c r="FR109" s="2">
        <v>0</v>
      </c>
      <c r="FS109" s="2">
        <v>0</v>
      </c>
      <c r="FT109" s="2"/>
      <c r="FU109" s="2"/>
      <c r="FV109" s="2"/>
      <c r="FW109" s="2"/>
      <c r="FX109" s="2">
        <v>112</v>
      </c>
      <c r="FY109" s="2">
        <v>65</v>
      </c>
      <c r="FZ109" s="2"/>
      <c r="GA109" s="2" t="s">
        <v>3</v>
      </c>
      <c r="GB109" s="2"/>
      <c r="GC109" s="2"/>
      <c r="GD109" s="2">
        <v>1</v>
      </c>
      <c r="GE109" s="2"/>
      <c r="GF109" s="2">
        <v>1688473548</v>
      </c>
      <c r="GG109" s="2">
        <v>2</v>
      </c>
      <c r="GH109" s="2">
        <v>1</v>
      </c>
      <c r="GI109" s="2">
        <v>2</v>
      </c>
      <c r="GJ109" s="2">
        <v>0</v>
      </c>
      <c r="GK109" s="2">
        <v>0</v>
      </c>
      <c r="GL109" s="2">
        <f t="shared" si="77"/>
        <v>0</v>
      </c>
      <c r="GM109" s="2">
        <f t="shared" si="78"/>
        <v>2324.39</v>
      </c>
      <c r="GN109" s="2">
        <f t="shared" si="79"/>
        <v>2324.39</v>
      </c>
      <c r="GO109" s="2">
        <f t="shared" si="80"/>
        <v>0</v>
      </c>
      <c r="GP109" s="2">
        <f t="shared" si="81"/>
        <v>0</v>
      </c>
      <c r="GQ109" s="2"/>
      <c r="GR109" s="2">
        <v>0</v>
      </c>
      <c r="GS109" s="2">
        <v>0</v>
      </c>
      <c r="GT109" s="2">
        <v>0</v>
      </c>
      <c r="GU109" s="2" t="s">
        <v>3</v>
      </c>
      <c r="GV109" s="2">
        <f t="shared" si="82"/>
        <v>0</v>
      </c>
      <c r="GW109" s="2">
        <v>1</v>
      </c>
      <c r="GX109" s="2">
        <f t="shared" si="83"/>
        <v>0</v>
      </c>
      <c r="GY109" s="2"/>
      <c r="GZ109" s="2"/>
      <c r="HA109" s="2">
        <v>0</v>
      </c>
      <c r="HB109" s="2">
        <v>0</v>
      </c>
      <c r="HC109" s="2">
        <f t="shared" si="84"/>
        <v>0</v>
      </c>
      <c r="HD109" s="2"/>
      <c r="HE109" s="2" t="s">
        <v>3</v>
      </c>
      <c r="HF109" s="2" t="s">
        <v>3</v>
      </c>
      <c r="HG109" s="2"/>
      <c r="HH109" s="2"/>
      <c r="HI109" s="2"/>
      <c r="HJ109" s="2"/>
      <c r="HK109" s="2"/>
      <c r="HL109" s="2"/>
      <c r="HM109" s="2" t="s">
        <v>3</v>
      </c>
      <c r="HN109" s="2" t="s">
        <v>75</v>
      </c>
      <c r="HO109" s="2" t="s">
        <v>76</v>
      </c>
      <c r="HP109" s="2" t="s">
        <v>23</v>
      </c>
      <c r="HQ109" s="2" t="s">
        <v>23</v>
      </c>
      <c r="HR109" s="2"/>
      <c r="HS109" s="2">
        <v>0</v>
      </c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>
        <v>0</v>
      </c>
      <c r="IL109" s="2"/>
      <c r="IM109" s="2"/>
      <c r="IN109" s="2"/>
      <c r="IO109" s="2"/>
      <c r="IP109" s="2"/>
      <c r="IQ109" s="2"/>
      <c r="IR109" s="2"/>
      <c r="IS109" s="2"/>
      <c r="IT109" s="2"/>
      <c r="IU109" s="2"/>
    </row>
    <row r="111" spans="1:255" x14ac:dyDescent="0.2">
      <c r="A111" s="3">
        <v>51</v>
      </c>
      <c r="B111" s="3">
        <f>B89</f>
        <v>1</v>
      </c>
      <c r="C111" s="3">
        <f>A89</f>
        <v>5</v>
      </c>
      <c r="D111" s="3">
        <f>ROW(A89)</f>
        <v>89</v>
      </c>
      <c r="E111" s="3"/>
      <c r="F111" s="3" t="str">
        <f>IF(F89&lt;&gt;"",F89,"")</f>
        <v>Новый подраздел</v>
      </c>
      <c r="G111" s="3" t="str">
        <f>IF(G89&lt;&gt;"",G89,"")</f>
        <v>площадка входа</v>
      </c>
      <c r="H111" s="3">
        <v>0</v>
      </c>
      <c r="I111" s="3"/>
      <c r="J111" s="3"/>
      <c r="K111" s="3"/>
      <c r="L111" s="3"/>
      <c r="M111" s="3"/>
      <c r="N111" s="3"/>
      <c r="O111" s="3">
        <f t="shared" ref="O111:T111" si="91">ROUND(AB111,2)</f>
        <v>27630.22</v>
      </c>
      <c r="P111" s="3">
        <f t="shared" si="91"/>
        <v>11897.58</v>
      </c>
      <c r="Q111" s="3">
        <f t="shared" si="91"/>
        <v>369.95</v>
      </c>
      <c r="R111" s="3">
        <f t="shared" si="91"/>
        <v>94.59</v>
      </c>
      <c r="S111" s="3">
        <f t="shared" si="91"/>
        <v>15268.1</v>
      </c>
      <c r="T111" s="3">
        <f t="shared" si="91"/>
        <v>0</v>
      </c>
      <c r="U111" s="3">
        <f>AH111</f>
        <v>23.211936000000001</v>
      </c>
      <c r="V111" s="3">
        <f>AI111</f>
        <v>0.13675300000000001</v>
      </c>
      <c r="W111" s="3">
        <f>ROUND(AJ111,2)</f>
        <v>0</v>
      </c>
      <c r="X111" s="3">
        <f>ROUND(AK111,2)</f>
        <v>15809.95</v>
      </c>
      <c r="Y111" s="3">
        <f>ROUND(AL111,2)</f>
        <v>8669.5400000000009</v>
      </c>
      <c r="Z111" s="3"/>
      <c r="AA111" s="3"/>
      <c r="AB111" s="3">
        <f>ROUND(SUMIF(AA93:AA109,"=94104265",O93:O109),2)</f>
        <v>27630.22</v>
      </c>
      <c r="AC111" s="3">
        <f>ROUND(SUMIF(AA93:AA109,"=94104265",P93:P109),2)</f>
        <v>11897.58</v>
      </c>
      <c r="AD111" s="3">
        <f>ROUND(SUMIF(AA93:AA109,"=94104265",Q93:Q109),2)</f>
        <v>369.95</v>
      </c>
      <c r="AE111" s="3">
        <f>ROUND(SUMIF(AA93:AA109,"=94104265",R93:R109),2)</f>
        <v>94.59</v>
      </c>
      <c r="AF111" s="3">
        <f>ROUND(SUMIF(AA93:AA109,"=94104265",S93:S109),2)</f>
        <v>15268.1</v>
      </c>
      <c r="AG111" s="3">
        <f>ROUND(SUMIF(AA93:AA109,"=94104265",T93:T109),2)</f>
        <v>0</v>
      </c>
      <c r="AH111" s="3">
        <f>SUMIF(AA93:AA109,"=94104265",U93:U109)</f>
        <v>23.211936000000001</v>
      </c>
      <c r="AI111" s="3">
        <f>SUMIF(AA93:AA109,"=94104265",V93:V109)</f>
        <v>0.13675300000000001</v>
      </c>
      <c r="AJ111" s="3">
        <f>ROUND(SUMIF(AA93:AA109,"=94104265",W93:W109),2)</f>
        <v>0</v>
      </c>
      <c r="AK111" s="3">
        <f>ROUND(SUMIF(AA93:AA109,"=94104265",X93:X109),2)</f>
        <v>15809.95</v>
      </c>
      <c r="AL111" s="3">
        <f>ROUND(SUMIF(AA93:AA109,"=94104265",Y93:Y109),2)</f>
        <v>8669.5400000000009</v>
      </c>
      <c r="AM111" s="3"/>
      <c r="AN111" s="3"/>
      <c r="AO111" s="3">
        <f t="shared" ref="AO111:BD111" si="92">ROUND(BX111,2)</f>
        <v>0</v>
      </c>
      <c r="AP111" s="3">
        <f t="shared" si="92"/>
        <v>0</v>
      </c>
      <c r="AQ111" s="3">
        <f t="shared" si="92"/>
        <v>0</v>
      </c>
      <c r="AR111" s="3">
        <f t="shared" si="92"/>
        <v>52109.71</v>
      </c>
      <c r="AS111" s="3">
        <f t="shared" si="92"/>
        <v>52109.71</v>
      </c>
      <c r="AT111" s="3">
        <f t="shared" si="92"/>
        <v>0</v>
      </c>
      <c r="AU111" s="3">
        <f t="shared" si="92"/>
        <v>0</v>
      </c>
      <c r="AV111" s="3">
        <f t="shared" si="92"/>
        <v>11897.58</v>
      </c>
      <c r="AW111" s="3">
        <f t="shared" si="92"/>
        <v>11897.58</v>
      </c>
      <c r="AX111" s="3">
        <f t="shared" si="92"/>
        <v>0</v>
      </c>
      <c r="AY111" s="3">
        <f t="shared" si="92"/>
        <v>11897.58</v>
      </c>
      <c r="AZ111" s="3">
        <f t="shared" si="92"/>
        <v>0</v>
      </c>
      <c r="BA111" s="3">
        <f t="shared" si="92"/>
        <v>0</v>
      </c>
      <c r="BB111" s="3">
        <f t="shared" si="92"/>
        <v>0</v>
      </c>
      <c r="BC111" s="3">
        <f t="shared" si="92"/>
        <v>0</v>
      </c>
      <c r="BD111" s="3">
        <f t="shared" si="92"/>
        <v>0</v>
      </c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>
        <f>ROUND(SUMIF(AA93:AA109,"=94104265",FQ93:FQ109),2)</f>
        <v>0</v>
      </c>
      <c r="BY111" s="3">
        <f>ROUND(SUMIF(AA93:AA109,"=94104265",FR93:FR109),2)</f>
        <v>0</v>
      </c>
      <c r="BZ111" s="3">
        <f>ROUND(SUMIF(AA93:AA109,"=94104265",GL93:GL109),2)</f>
        <v>0</v>
      </c>
      <c r="CA111" s="3">
        <f>ROUND(SUMIF(AA93:AA109,"=94104265",GM93:GM109),2)</f>
        <v>52109.71</v>
      </c>
      <c r="CB111" s="3">
        <f>ROUND(SUMIF(AA93:AA109,"=94104265",GN93:GN109),2)</f>
        <v>52109.71</v>
      </c>
      <c r="CC111" s="3">
        <f>ROUND(SUMIF(AA93:AA109,"=94104265",GO93:GO109),2)</f>
        <v>0</v>
      </c>
      <c r="CD111" s="3">
        <f>ROUND(SUMIF(AA93:AA109,"=94104265",GP93:GP109),2)</f>
        <v>0</v>
      </c>
      <c r="CE111" s="3">
        <f>AC111-BX111</f>
        <v>11897.58</v>
      </c>
      <c r="CF111" s="3">
        <f>AC111-BY111</f>
        <v>11897.58</v>
      </c>
      <c r="CG111" s="3">
        <f>BX111-BZ111</f>
        <v>0</v>
      </c>
      <c r="CH111" s="3">
        <f>AC111-BX111-BY111+BZ111</f>
        <v>11897.58</v>
      </c>
      <c r="CI111" s="3">
        <f>BY111-BZ111</f>
        <v>0</v>
      </c>
      <c r="CJ111" s="3">
        <f>ROUND(SUMIF(AA93:AA109,"=94104265",GX93:GX109),2)</f>
        <v>0</v>
      </c>
      <c r="CK111" s="3">
        <f>ROUND(SUMIF(AA93:AA109,"=94104265",GY93:GY109),2)</f>
        <v>0</v>
      </c>
      <c r="CL111" s="3">
        <f>ROUND(SUMIF(AA93:AA109,"=94104265",GZ93:GZ109),2)</f>
        <v>0</v>
      </c>
      <c r="CM111" s="3">
        <f>ROUND(SUMIF(AA93:AA109,"=94104265",HD93:HD109),2)</f>
        <v>0</v>
      </c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>
        <v>0</v>
      </c>
    </row>
    <row r="113" spans="1:28" x14ac:dyDescent="0.2">
      <c r="A113" s="5">
        <v>50</v>
      </c>
      <c r="B113" s="5">
        <v>0</v>
      </c>
      <c r="C113" s="5">
        <v>0</v>
      </c>
      <c r="D113" s="5">
        <v>1</v>
      </c>
      <c r="E113" s="5">
        <v>201</v>
      </c>
      <c r="F113" s="5">
        <f>ROUND(Source!O111,O113)</f>
        <v>27630.22</v>
      </c>
      <c r="G113" s="5" t="s">
        <v>146</v>
      </c>
      <c r="H113" s="5" t="s">
        <v>147</v>
      </c>
      <c r="I113" s="5"/>
      <c r="J113" s="5"/>
      <c r="K113" s="5">
        <v>201</v>
      </c>
      <c r="L113" s="5">
        <v>1</v>
      </c>
      <c r="M113" s="5">
        <v>3</v>
      </c>
      <c r="N113" s="5" t="s">
        <v>3</v>
      </c>
      <c r="O113" s="5">
        <v>2</v>
      </c>
      <c r="P113" s="5"/>
      <c r="Q113" s="5"/>
      <c r="R113" s="5"/>
      <c r="S113" s="5"/>
      <c r="T113" s="5"/>
      <c r="U113" s="5"/>
      <c r="V113" s="5"/>
      <c r="W113" s="5">
        <v>27630.22</v>
      </c>
      <c r="X113" s="5">
        <v>1</v>
      </c>
      <c r="Y113" s="5">
        <v>27630.22</v>
      </c>
      <c r="Z113" s="5"/>
      <c r="AA113" s="5"/>
      <c r="AB113" s="5"/>
    </row>
    <row r="114" spans="1:28" x14ac:dyDescent="0.2">
      <c r="A114" s="5">
        <v>50</v>
      </c>
      <c r="B114" s="5">
        <v>0</v>
      </c>
      <c r="C114" s="5">
        <v>0</v>
      </c>
      <c r="D114" s="5">
        <v>1</v>
      </c>
      <c r="E114" s="5">
        <v>202</v>
      </c>
      <c r="F114" s="5">
        <f>ROUND(Source!P111,O114)</f>
        <v>11897.58</v>
      </c>
      <c r="G114" s="5" t="s">
        <v>148</v>
      </c>
      <c r="H114" s="5" t="s">
        <v>149</v>
      </c>
      <c r="I114" s="5"/>
      <c r="J114" s="5"/>
      <c r="K114" s="5">
        <v>202</v>
      </c>
      <c r="L114" s="5">
        <v>2</v>
      </c>
      <c r="M114" s="5">
        <v>3</v>
      </c>
      <c r="N114" s="5" t="s">
        <v>3</v>
      </c>
      <c r="O114" s="5">
        <v>2</v>
      </c>
      <c r="P114" s="5"/>
      <c r="Q114" s="5"/>
      <c r="R114" s="5"/>
      <c r="S114" s="5"/>
      <c r="T114" s="5"/>
      <c r="U114" s="5"/>
      <c r="V114" s="5"/>
      <c r="W114" s="5">
        <v>11897.58</v>
      </c>
      <c r="X114" s="5">
        <v>1</v>
      </c>
      <c r="Y114" s="5">
        <v>11897.58</v>
      </c>
      <c r="Z114" s="5"/>
      <c r="AA114" s="5"/>
      <c r="AB114" s="5"/>
    </row>
    <row r="115" spans="1:28" x14ac:dyDescent="0.2">
      <c r="A115" s="5">
        <v>50</v>
      </c>
      <c r="B115" s="5">
        <v>0</v>
      </c>
      <c r="C115" s="5">
        <v>0</v>
      </c>
      <c r="D115" s="5">
        <v>1</v>
      </c>
      <c r="E115" s="5">
        <v>222</v>
      </c>
      <c r="F115" s="5">
        <f>ROUND(Source!AO111,O115)</f>
        <v>0</v>
      </c>
      <c r="G115" s="5" t="s">
        <v>150</v>
      </c>
      <c r="H115" s="5" t="s">
        <v>151</v>
      </c>
      <c r="I115" s="5"/>
      <c r="J115" s="5"/>
      <c r="K115" s="5">
        <v>222</v>
      </c>
      <c r="L115" s="5">
        <v>3</v>
      </c>
      <c r="M115" s="5">
        <v>3</v>
      </c>
      <c r="N115" s="5" t="s">
        <v>3</v>
      </c>
      <c r="O115" s="5">
        <v>2</v>
      </c>
      <c r="P115" s="5"/>
      <c r="Q115" s="5"/>
      <c r="R115" s="5"/>
      <c r="S115" s="5"/>
      <c r="T115" s="5"/>
      <c r="U115" s="5"/>
      <c r="V115" s="5"/>
      <c r="W115" s="5">
        <v>0</v>
      </c>
      <c r="X115" s="5">
        <v>1</v>
      </c>
      <c r="Y115" s="5">
        <v>0</v>
      </c>
      <c r="Z115" s="5"/>
      <c r="AA115" s="5"/>
      <c r="AB115" s="5"/>
    </row>
    <row r="116" spans="1:28" x14ac:dyDescent="0.2">
      <c r="A116" s="5">
        <v>50</v>
      </c>
      <c r="B116" s="5">
        <v>0</v>
      </c>
      <c r="C116" s="5">
        <v>0</v>
      </c>
      <c r="D116" s="5">
        <v>1</v>
      </c>
      <c r="E116" s="5">
        <v>225</v>
      </c>
      <c r="F116" s="5">
        <f>ROUND(Source!AV111,O116)</f>
        <v>11897.58</v>
      </c>
      <c r="G116" s="5" t="s">
        <v>152</v>
      </c>
      <c r="H116" s="5" t="s">
        <v>153</v>
      </c>
      <c r="I116" s="5"/>
      <c r="J116" s="5"/>
      <c r="K116" s="5">
        <v>225</v>
      </c>
      <c r="L116" s="5">
        <v>4</v>
      </c>
      <c r="M116" s="5">
        <v>3</v>
      </c>
      <c r="N116" s="5" t="s">
        <v>3</v>
      </c>
      <c r="O116" s="5">
        <v>2</v>
      </c>
      <c r="P116" s="5"/>
      <c r="Q116" s="5"/>
      <c r="R116" s="5"/>
      <c r="S116" s="5"/>
      <c r="T116" s="5"/>
      <c r="U116" s="5"/>
      <c r="V116" s="5"/>
      <c r="W116" s="5">
        <v>11897.58</v>
      </c>
      <c r="X116" s="5">
        <v>1</v>
      </c>
      <c r="Y116" s="5">
        <v>11897.58</v>
      </c>
      <c r="Z116" s="5"/>
      <c r="AA116" s="5"/>
      <c r="AB116" s="5"/>
    </row>
    <row r="117" spans="1:28" x14ac:dyDescent="0.2">
      <c r="A117" s="5">
        <v>50</v>
      </c>
      <c r="B117" s="5">
        <v>0</v>
      </c>
      <c r="C117" s="5">
        <v>0</v>
      </c>
      <c r="D117" s="5">
        <v>1</v>
      </c>
      <c r="E117" s="5">
        <v>226</v>
      </c>
      <c r="F117" s="5">
        <f>ROUND(Source!AW111,O117)</f>
        <v>11897.58</v>
      </c>
      <c r="G117" s="5" t="s">
        <v>154</v>
      </c>
      <c r="H117" s="5" t="s">
        <v>155</v>
      </c>
      <c r="I117" s="5"/>
      <c r="J117" s="5"/>
      <c r="K117" s="5">
        <v>226</v>
      </c>
      <c r="L117" s="5">
        <v>5</v>
      </c>
      <c r="M117" s="5">
        <v>3</v>
      </c>
      <c r="N117" s="5" t="s">
        <v>3</v>
      </c>
      <c r="O117" s="5">
        <v>2</v>
      </c>
      <c r="P117" s="5"/>
      <c r="Q117" s="5"/>
      <c r="R117" s="5"/>
      <c r="S117" s="5"/>
      <c r="T117" s="5"/>
      <c r="U117" s="5"/>
      <c r="V117" s="5"/>
      <c r="W117" s="5">
        <v>11897.58</v>
      </c>
      <c r="X117" s="5">
        <v>1</v>
      </c>
      <c r="Y117" s="5">
        <v>11897.58</v>
      </c>
      <c r="Z117" s="5"/>
      <c r="AA117" s="5"/>
      <c r="AB117" s="5"/>
    </row>
    <row r="118" spans="1:28" x14ac:dyDescent="0.2">
      <c r="A118" s="5">
        <v>50</v>
      </c>
      <c r="B118" s="5">
        <v>0</v>
      </c>
      <c r="C118" s="5">
        <v>0</v>
      </c>
      <c r="D118" s="5">
        <v>1</v>
      </c>
      <c r="E118" s="5">
        <v>227</v>
      </c>
      <c r="F118" s="5">
        <f>ROUND(Source!AX111,O118)</f>
        <v>0</v>
      </c>
      <c r="G118" s="5" t="s">
        <v>156</v>
      </c>
      <c r="H118" s="5" t="s">
        <v>157</v>
      </c>
      <c r="I118" s="5"/>
      <c r="J118" s="5"/>
      <c r="K118" s="5">
        <v>227</v>
      </c>
      <c r="L118" s="5">
        <v>6</v>
      </c>
      <c r="M118" s="5">
        <v>3</v>
      </c>
      <c r="N118" s="5" t="s">
        <v>3</v>
      </c>
      <c r="O118" s="5">
        <v>2</v>
      </c>
      <c r="P118" s="5"/>
      <c r="Q118" s="5"/>
      <c r="R118" s="5"/>
      <c r="S118" s="5"/>
      <c r="T118" s="5"/>
      <c r="U118" s="5"/>
      <c r="V118" s="5"/>
      <c r="W118" s="5">
        <v>0</v>
      </c>
      <c r="X118" s="5">
        <v>1</v>
      </c>
      <c r="Y118" s="5">
        <v>0</v>
      </c>
      <c r="Z118" s="5"/>
      <c r="AA118" s="5"/>
      <c r="AB118" s="5"/>
    </row>
    <row r="119" spans="1:28" x14ac:dyDescent="0.2">
      <c r="A119" s="5">
        <v>50</v>
      </c>
      <c r="B119" s="5">
        <v>0</v>
      </c>
      <c r="C119" s="5">
        <v>0</v>
      </c>
      <c r="D119" s="5">
        <v>1</v>
      </c>
      <c r="E119" s="5">
        <v>228</v>
      </c>
      <c r="F119" s="5">
        <f>ROUND(Source!AY111,O119)</f>
        <v>11897.58</v>
      </c>
      <c r="G119" s="5" t="s">
        <v>158</v>
      </c>
      <c r="H119" s="5" t="s">
        <v>159</v>
      </c>
      <c r="I119" s="5"/>
      <c r="J119" s="5"/>
      <c r="K119" s="5">
        <v>228</v>
      </c>
      <c r="L119" s="5">
        <v>7</v>
      </c>
      <c r="M119" s="5">
        <v>3</v>
      </c>
      <c r="N119" s="5" t="s">
        <v>3</v>
      </c>
      <c r="O119" s="5">
        <v>2</v>
      </c>
      <c r="P119" s="5"/>
      <c r="Q119" s="5"/>
      <c r="R119" s="5"/>
      <c r="S119" s="5"/>
      <c r="T119" s="5"/>
      <c r="U119" s="5"/>
      <c r="V119" s="5"/>
      <c r="W119" s="5">
        <v>11897.58</v>
      </c>
      <c r="X119" s="5">
        <v>1</v>
      </c>
      <c r="Y119" s="5">
        <v>11897.58</v>
      </c>
      <c r="Z119" s="5"/>
      <c r="AA119" s="5"/>
      <c r="AB119" s="5"/>
    </row>
    <row r="120" spans="1:28" x14ac:dyDescent="0.2">
      <c r="A120" s="5">
        <v>50</v>
      </c>
      <c r="B120" s="5">
        <v>0</v>
      </c>
      <c r="C120" s="5">
        <v>0</v>
      </c>
      <c r="D120" s="5">
        <v>1</v>
      </c>
      <c r="E120" s="5">
        <v>216</v>
      </c>
      <c r="F120" s="5">
        <f>ROUND(Source!AP111,O120)</f>
        <v>0</v>
      </c>
      <c r="G120" s="5" t="s">
        <v>160</v>
      </c>
      <c r="H120" s="5" t="s">
        <v>161</v>
      </c>
      <c r="I120" s="5"/>
      <c r="J120" s="5"/>
      <c r="K120" s="5">
        <v>216</v>
      </c>
      <c r="L120" s="5">
        <v>8</v>
      </c>
      <c r="M120" s="5">
        <v>3</v>
      </c>
      <c r="N120" s="5" t="s">
        <v>3</v>
      </c>
      <c r="O120" s="5">
        <v>2</v>
      </c>
      <c r="P120" s="5"/>
      <c r="Q120" s="5"/>
      <c r="R120" s="5"/>
      <c r="S120" s="5"/>
      <c r="T120" s="5"/>
      <c r="U120" s="5"/>
      <c r="V120" s="5"/>
      <c r="W120" s="5">
        <v>0</v>
      </c>
      <c r="X120" s="5">
        <v>1</v>
      </c>
      <c r="Y120" s="5">
        <v>0</v>
      </c>
      <c r="Z120" s="5"/>
      <c r="AA120" s="5"/>
      <c r="AB120" s="5"/>
    </row>
    <row r="121" spans="1:28" x14ac:dyDescent="0.2">
      <c r="A121" s="5">
        <v>50</v>
      </c>
      <c r="B121" s="5">
        <v>0</v>
      </c>
      <c r="C121" s="5">
        <v>0</v>
      </c>
      <c r="D121" s="5">
        <v>1</v>
      </c>
      <c r="E121" s="5">
        <v>223</v>
      </c>
      <c r="F121" s="5">
        <f>ROUND(Source!AQ111,O121)</f>
        <v>0</v>
      </c>
      <c r="G121" s="5" t="s">
        <v>162</v>
      </c>
      <c r="H121" s="5" t="s">
        <v>163</v>
      </c>
      <c r="I121" s="5"/>
      <c r="J121" s="5"/>
      <c r="K121" s="5">
        <v>223</v>
      </c>
      <c r="L121" s="5">
        <v>9</v>
      </c>
      <c r="M121" s="5">
        <v>3</v>
      </c>
      <c r="N121" s="5" t="s">
        <v>3</v>
      </c>
      <c r="O121" s="5">
        <v>2</v>
      </c>
      <c r="P121" s="5"/>
      <c r="Q121" s="5"/>
      <c r="R121" s="5"/>
      <c r="S121" s="5"/>
      <c r="T121" s="5"/>
      <c r="U121" s="5"/>
      <c r="V121" s="5"/>
      <c r="W121" s="5">
        <v>0</v>
      </c>
      <c r="X121" s="5">
        <v>1</v>
      </c>
      <c r="Y121" s="5">
        <v>0</v>
      </c>
      <c r="Z121" s="5"/>
      <c r="AA121" s="5"/>
      <c r="AB121" s="5"/>
    </row>
    <row r="122" spans="1:28" x14ac:dyDescent="0.2">
      <c r="A122" s="5">
        <v>50</v>
      </c>
      <c r="B122" s="5">
        <v>0</v>
      </c>
      <c r="C122" s="5">
        <v>0</v>
      </c>
      <c r="D122" s="5">
        <v>1</v>
      </c>
      <c r="E122" s="5">
        <v>229</v>
      </c>
      <c r="F122" s="5">
        <f>ROUND(Source!AZ111,O122)</f>
        <v>0</v>
      </c>
      <c r="G122" s="5" t="s">
        <v>164</v>
      </c>
      <c r="H122" s="5" t="s">
        <v>165</v>
      </c>
      <c r="I122" s="5"/>
      <c r="J122" s="5"/>
      <c r="K122" s="5">
        <v>229</v>
      </c>
      <c r="L122" s="5">
        <v>10</v>
      </c>
      <c r="M122" s="5">
        <v>3</v>
      </c>
      <c r="N122" s="5" t="s">
        <v>3</v>
      </c>
      <c r="O122" s="5">
        <v>2</v>
      </c>
      <c r="P122" s="5"/>
      <c r="Q122" s="5"/>
      <c r="R122" s="5"/>
      <c r="S122" s="5"/>
      <c r="T122" s="5"/>
      <c r="U122" s="5"/>
      <c r="V122" s="5"/>
      <c r="W122" s="5">
        <v>0</v>
      </c>
      <c r="X122" s="5">
        <v>1</v>
      </c>
      <c r="Y122" s="5">
        <v>0</v>
      </c>
      <c r="Z122" s="5"/>
      <c r="AA122" s="5"/>
      <c r="AB122" s="5"/>
    </row>
    <row r="123" spans="1:28" x14ac:dyDescent="0.2">
      <c r="A123" s="5">
        <v>50</v>
      </c>
      <c r="B123" s="5">
        <v>0</v>
      </c>
      <c r="C123" s="5">
        <v>0</v>
      </c>
      <c r="D123" s="5">
        <v>1</v>
      </c>
      <c r="E123" s="5">
        <v>203</v>
      </c>
      <c r="F123" s="5">
        <f>ROUND(Source!Q111,O123)</f>
        <v>369.95</v>
      </c>
      <c r="G123" s="5" t="s">
        <v>166</v>
      </c>
      <c r="H123" s="5" t="s">
        <v>167</v>
      </c>
      <c r="I123" s="5"/>
      <c r="J123" s="5"/>
      <c r="K123" s="5">
        <v>203</v>
      </c>
      <c r="L123" s="5">
        <v>11</v>
      </c>
      <c r="M123" s="5">
        <v>3</v>
      </c>
      <c r="N123" s="5" t="s">
        <v>3</v>
      </c>
      <c r="O123" s="5">
        <v>2</v>
      </c>
      <c r="P123" s="5"/>
      <c r="Q123" s="5"/>
      <c r="R123" s="5"/>
      <c r="S123" s="5"/>
      <c r="T123" s="5"/>
      <c r="U123" s="5"/>
      <c r="V123" s="5"/>
      <c r="W123" s="5">
        <v>369.94999999999993</v>
      </c>
      <c r="X123" s="5">
        <v>1</v>
      </c>
      <c r="Y123" s="5">
        <v>369.94999999999993</v>
      </c>
      <c r="Z123" s="5"/>
      <c r="AA123" s="5"/>
      <c r="AB123" s="5"/>
    </row>
    <row r="124" spans="1:28" x14ac:dyDescent="0.2">
      <c r="A124" s="5">
        <v>50</v>
      </c>
      <c r="B124" s="5">
        <v>0</v>
      </c>
      <c r="C124" s="5">
        <v>0</v>
      </c>
      <c r="D124" s="5">
        <v>1</v>
      </c>
      <c r="E124" s="5">
        <v>231</v>
      </c>
      <c r="F124" s="5">
        <f>ROUND(Source!BB111,O124)</f>
        <v>0</v>
      </c>
      <c r="G124" s="5" t="s">
        <v>168</v>
      </c>
      <c r="H124" s="5" t="s">
        <v>169</v>
      </c>
      <c r="I124" s="5"/>
      <c r="J124" s="5"/>
      <c r="K124" s="5">
        <v>231</v>
      </c>
      <c r="L124" s="5">
        <v>12</v>
      </c>
      <c r="M124" s="5">
        <v>3</v>
      </c>
      <c r="N124" s="5" t="s">
        <v>3</v>
      </c>
      <c r="O124" s="5">
        <v>2</v>
      </c>
      <c r="P124" s="5"/>
      <c r="Q124" s="5"/>
      <c r="R124" s="5"/>
      <c r="S124" s="5"/>
      <c r="T124" s="5"/>
      <c r="U124" s="5"/>
      <c r="V124" s="5"/>
      <c r="W124" s="5">
        <v>0</v>
      </c>
      <c r="X124" s="5">
        <v>1</v>
      </c>
      <c r="Y124" s="5">
        <v>0</v>
      </c>
      <c r="Z124" s="5"/>
      <c r="AA124" s="5"/>
      <c r="AB124" s="5"/>
    </row>
    <row r="125" spans="1:28" x14ac:dyDescent="0.2">
      <c r="A125" s="5">
        <v>50</v>
      </c>
      <c r="B125" s="5">
        <v>0</v>
      </c>
      <c r="C125" s="5">
        <v>0</v>
      </c>
      <c r="D125" s="5">
        <v>1</v>
      </c>
      <c r="E125" s="5">
        <v>204</v>
      </c>
      <c r="F125" s="5">
        <f>ROUND(Source!R111,O125)</f>
        <v>94.59</v>
      </c>
      <c r="G125" s="5" t="s">
        <v>170</v>
      </c>
      <c r="H125" s="5" t="s">
        <v>171</v>
      </c>
      <c r="I125" s="5"/>
      <c r="J125" s="5"/>
      <c r="K125" s="5">
        <v>204</v>
      </c>
      <c r="L125" s="5">
        <v>13</v>
      </c>
      <c r="M125" s="5">
        <v>3</v>
      </c>
      <c r="N125" s="5" t="s">
        <v>3</v>
      </c>
      <c r="O125" s="5">
        <v>2</v>
      </c>
      <c r="P125" s="5"/>
      <c r="Q125" s="5"/>
      <c r="R125" s="5"/>
      <c r="S125" s="5"/>
      <c r="T125" s="5"/>
      <c r="U125" s="5"/>
      <c r="V125" s="5"/>
      <c r="W125" s="5">
        <v>94.59</v>
      </c>
      <c r="X125" s="5">
        <v>1</v>
      </c>
      <c r="Y125" s="5">
        <v>94.59</v>
      </c>
      <c r="Z125" s="5"/>
      <c r="AA125" s="5"/>
      <c r="AB125" s="5"/>
    </row>
    <row r="126" spans="1:28" x14ac:dyDescent="0.2">
      <c r="A126" s="5">
        <v>50</v>
      </c>
      <c r="B126" s="5">
        <v>0</v>
      </c>
      <c r="C126" s="5">
        <v>0</v>
      </c>
      <c r="D126" s="5">
        <v>1</v>
      </c>
      <c r="E126" s="5">
        <v>205</v>
      </c>
      <c r="F126" s="5">
        <f>ROUND(Source!S111,O126)</f>
        <v>15268.1</v>
      </c>
      <c r="G126" s="5" t="s">
        <v>172</v>
      </c>
      <c r="H126" s="5" t="s">
        <v>173</v>
      </c>
      <c r="I126" s="5"/>
      <c r="J126" s="5"/>
      <c r="K126" s="5">
        <v>205</v>
      </c>
      <c r="L126" s="5">
        <v>14</v>
      </c>
      <c r="M126" s="5">
        <v>3</v>
      </c>
      <c r="N126" s="5" t="s">
        <v>3</v>
      </c>
      <c r="O126" s="5">
        <v>2</v>
      </c>
      <c r="P126" s="5"/>
      <c r="Q126" s="5"/>
      <c r="R126" s="5"/>
      <c r="S126" s="5"/>
      <c r="T126" s="5"/>
      <c r="U126" s="5"/>
      <c r="V126" s="5"/>
      <c r="W126" s="5">
        <v>15268.1</v>
      </c>
      <c r="X126" s="5">
        <v>1</v>
      </c>
      <c r="Y126" s="5">
        <v>15268.1</v>
      </c>
      <c r="Z126" s="5"/>
      <c r="AA126" s="5"/>
      <c r="AB126" s="5"/>
    </row>
    <row r="127" spans="1:28" x14ac:dyDescent="0.2">
      <c r="A127" s="5">
        <v>50</v>
      </c>
      <c r="B127" s="5">
        <v>0</v>
      </c>
      <c r="C127" s="5">
        <v>0</v>
      </c>
      <c r="D127" s="5">
        <v>1</v>
      </c>
      <c r="E127" s="5">
        <v>232</v>
      </c>
      <c r="F127" s="5">
        <f>ROUND(Source!BC111,O127)</f>
        <v>0</v>
      </c>
      <c r="G127" s="5" t="s">
        <v>174</v>
      </c>
      <c r="H127" s="5" t="s">
        <v>175</v>
      </c>
      <c r="I127" s="5"/>
      <c r="J127" s="5"/>
      <c r="K127" s="5">
        <v>232</v>
      </c>
      <c r="L127" s="5">
        <v>15</v>
      </c>
      <c r="M127" s="5">
        <v>3</v>
      </c>
      <c r="N127" s="5" t="s">
        <v>3</v>
      </c>
      <c r="O127" s="5">
        <v>2</v>
      </c>
      <c r="P127" s="5"/>
      <c r="Q127" s="5"/>
      <c r="R127" s="5"/>
      <c r="S127" s="5"/>
      <c r="T127" s="5"/>
      <c r="U127" s="5"/>
      <c r="V127" s="5"/>
      <c r="W127" s="5">
        <v>0</v>
      </c>
      <c r="X127" s="5">
        <v>1</v>
      </c>
      <c r="Y127" s="5">
        <v>0</v>
      </c>
      <c r="Z127" s="5"/>
      <c r="AA127" s="5"/>
      <c r="AB127" s="5"/>
    </row>
    <row r="128" spans="1:28" x14ac:dyDescent="0.2">
      <c r="A128" s="5">
        <v>50</v>
      </c>
      <c r="B128" s="5">
        <v>0</v>
      </c>
      <c r="C128" s="5">
        <v>0</v>
      </c>
      <c r="D128" s="5">
        <v>1</v>
      </c>
      <c r="E128" s="5">
        <v>214</v>
      </c>
      <c r="F128" s="5">
        <f>ROUND(Source!AS111,O128)</f>
        <v>52109.71</v>
      </c>
      <c r="G128" s="5" t="s">
        <v>176</v>
      </c>
      <c r="H128" s="5" t="s">
        <v>177</v>
      </c>
      <c r="I128" s="5"/>
      <c r="J128" s="5"/>
      <c r="K128" s="5">
        <v>214</v>
      </c>
      <c r="L128" s="5">
        <v>16</v>
      </c>
      <c r="M128" s="5">
        <v>3</v>
      </c>
      <c r="N128" s="5" t="s">
        <v>3</v>
      </c>
      <c r="O128" s="5">
        <v>2</v>
      </c>
      <c r="P128" s="5"/>
      <c r="Q128" s="5"/>
      <c r="R128" s="5"/>
      <c r="S128" s="5"/>
      <c r="T128" s="5"/>
      <c r="U128" s="5"/>
      <c r="V128" s="5"/>
      <c r="W128" s="5">
        <v>52109.71</v>
      </c>
      <c r="X128" s="5">
        <v>1</v>
      </c>
      <c r="Y128" s="5">
        <v>52109.71</v>
      </c>
      <c r="Z128" s="5"/>
      <c r="AA128" s="5"/>
      <c r="AB128" s="5"/>
    </row>
    <row r="129" spans="1:206" x14ac:dyDescent="0.2">
      <c r="A129" s="5">
        <v>50</v>
      </c>
      <c r="B129" s="5">
        <v>0</v>
      </c>
      <c r="C129" s="5">
        <v>0</v>
      </c>
      <c r="D129" s="5">
        <v>1</v>
      </c>
      <c r="E129" s="5">
        <v>215</v>
      </c>
      <c r="F129" s="5">
        <f>ROUND(Source!AT111,O129)</f>
        <v>0</v>
      </c>
      <c r="G129" s="5" t="s">
        <v>178</v>
      </c>
      <c r="H129" s="5" t="s">
        <v>179</v>
      </c>
      <c r="I129" s="5"/>
      <c r="J129" s="5"/>
      <c r="K129" s="5">
        <v>215</v>
      </c>
      <c r="L129" s="5">
        <v>17</v>
      </c>
      <c r="M129" s="5">
        <v>3</v>
      </c>
      <c r="N129" s="5" t="s">
        <v>3</v>
      </c>
      <c r="O129" s="5">
        <v>2</v>
      </c>
      <c r="P129" s="5"/>
      <c r="Q129" s="5"/>
      <c r="R129" s="5"/>
      <c r="S129" s="5"/>
      <c r="T129" s="5"/>
      <c r="U129" s="5"/>
      <c r="V129" s="5"/>
      <c r="W129" s="5">
        <v>0</v>
      </c>
      <c r="X129" s="5">
        <v>1</v>
      </c>
      <c r="Y129" s="5">
        <v>0</v>
      </c>
      <c r="Z129" s="5"/>
      <c r="AA129" s="5"/>
      <c r="AB129" s="5"/>
    </row>
    <row r="130" spans="1:206" x14ac:dyDescent="0.2">
      <c r="A130" s="5">
        <v>50</v>
      </c>
      <c r="B130" s="5">
        <v>0</v>
      </c>
      <c r="C130" s="5">
        <v>0</v>
      </c>
      <c r="D130" s="5">
        <v>1</v>
      </c>
      <c r="E130" s="5">
        <v>217</v>
      </c>
      <c r="F130" s="5">
        <f>ROUND(Source!AU111,O130)</f>
        <v>0</v>
      </c>
      <c r="G130" s="5" t="s">
        <v>180</v>
      </c>
      <c r="H130" s="5" t="s">
        <v>181</v>
      </c>
      <c r="I130" s="5"/>
      <c r="J130" s="5"/>
      <c r="K130" s="5">
        <v>217</v>
      </c>
      <c r="L130" s="5">
        <v>18</v>
      </c>
      <c r="M130" s="5">
        <v>3</v>
      </c>
      <c r="N130" s="5" t="s">
        <v>3</v>
      </c>
      <c r="O130" s="5">
        <v>2</v>
      </c>
      <c r="P130" s="5"/>
      <c r="Q130" s="5"/>
      <c r="R130" s="5"/>
      <c r="S130" s="5"/>
      <c r="T130" s="5"/>
      <c r="U130" s="5"/>
      <c r="V130" s="5"/>
      <c r="W130" s="5">
        <v>0</v>
      </c>
      <c r="X130" s="5">
        <v>1</v>
      </c>
      <c r="Y130" s="5">
        <v>0</v>
      </c>
      <c r="Z130" s="5"/>
      <c r="AA130" s="5"/>
      <c r="AB130" s="5"/>
    </row>
    <row r="131" spans="1:206" x14ac:dyDescent="0.2">
      <c r="A131" s="5">
        <v>50</v>
      </c>
      <c r="B131" s="5">
        <v>0</v>
      </c>
      <c r="C131" s="5">
        <v>0</v>
      </c>
      <c r="D131" s="5">
        <v>1</v>
      </c>
      <c r="E131" s="5">
        <v>230</v>
      </c>
      <c r="F131" s="5">
        <f>ROUND(Source!BA111,O131)</f>
        <v>0</v>
      </c>
      <c r="G131" s="5" t="s">
        <v>182</v>
      </c>
      <c r="H131" s="5" t="s">
        <v>183</v>
      </c>
      <c r="I131" s="5"/>
      <c r="J131" s="5"/>
      <c r="K131" s="5">
        <v>230</v>
      </c>
      <c r="L131" s="5">
        <v>19</v>
      </c>
      <c r="M131" s="5">
        <v>3</v>
      </c>
      <c r="N131" s="5" t="s">
        <v>3</v>
      </c>
      <c r="O131" s="5">
        <v>2</v>
      </c>
      <c r="P131" s="5"/>
      <c r="Q131" s="5"/>
      <c r="R131" s="5"/>
      <c r="S131" s="5"/>
      <c r="T131" s="5"/>
      <c r="U131" s="5"/>
      <c r="V131" s="5"/>
      <c r="W131" s="5">
        <v>0</v>
      </c>
      <c r="X131" s="5">
        <v>1</v>
      </c>
      <c r="Y131" s="5">
        <v>0</v>
      </c>
      <c r="Z131" s="5"/>
      <c r="AA131" s="5"/>
      <c r="AB131" s="5"/>
    </row>
    <row r="132" spans="1:206" x14ac:dyDescent="0.2">
      <c r="A132" s="5">
        <v>50</v>
      </c>
      <c r="B132" s="5">
        <v>0</v>
      </c>
      <c r="C132" s="5">
        <v>0</v>
      </c>
      <c r="D132" s="5">
        <v>1</v>
      </c>
      <c r="E132" s="5">
        <v>206</v>
      </c>
      <c r="F132" s="5">
        <f>ROUND(Source!T111,O132)</f>
        <v>0</v>
      </c>
      <c r="G132" s="5" t="s">
        <v>184</v>
      </c>
      <c r="H132" s="5" t="s">
        <v>185</v>
      </c>
      <c r="I132" s="5"/>
      <c r="J132" s="5"/>
      <c r="K132" s="5">
        <v>206</v>
      </c>
      <c r="L132" s="5">
        <v>20</v>
      </c>
      <c r="M132" s="5">
        <v>3</v>
      </c>
      <c r="N132" s="5" t="s">
        <v>3</v>
      </c>
      <c r="O132" s="5">
        <v>2</v>
      </c>
      <c r="P132" s="5"/>
      <c r="Q132" s="5"/>
      <c r="R132" s="5"/>
      <c r="S132" s="5"/>
      <c r="T132" s="5"/>
      <c r="U132" s="5"/>
      <c r="V132" s="5"/>
      <c r="W132" s="5">
        <v>0</v>
      </c>
      <c r="X132" s="5">
        <v>1</v>
      </c>
      <c r="Y132" s="5">
        <v>0</v>
      </c>
      <c r="Z132" s="5"/>
      <c r="AA132" s="5"/>
      <c r="AB132" s="5"/>
    </row>
    <row r="133" spans="1:206" x14ac:dyDescent="0.2">
      <c r="A133" s="5">
        <v>50</v>
      </c>
      <c r="B133" s="5">
        <v>0</v>
      </c>
      <c r="C133" s="5">
        <v>0</v>
      </c>
      <c r="D133" s="5">
        <v>1</v>
      </c>
      <c r="E133" s="5">
        <v>207</v>
      </c>
      <c r="F133" s="5">
        <f>ROUND(Source!U111,O133)</f>
        <v>23.211936000000001</v>
      </c>
      <c r="G133" s="5" t="s">
        <v>186</v>
      </c>
      <c r="H133" s="5" t="s">
        <v>187</v>
      </c>
      <c r="I133" s="5"/>
      <c r="J133" s="5"/>
      <c r="K133" s="5">
        <v>207</v>
      </c>
      <c r="L133" s="5">
        <v>21</v>
      </c>
      <c r="M133" s="5">
        <v>3</v>
      </c>
      <c r="N133" s="5" t="s">
        <v>3</v>
      </c>
      <c r="O133" s="5">
        <v>7</v>
      </c>
      <c r="P133" s="5"/>
      <c r="Q133" s="5"/>
      <c r="R133" s="5"/>
      <c r="S133" s="5"/>
      <c r="T133" s="5"/>
      <c r="U133" s="5"/>
      <c r="V133" s="5"/>
      <c r="W133" s="5">
        <v>23.211936000000001</v>
      </c>
      <c r="X133" s="5">
        <v>1</v>
      </c>
      <c r="Y133" s="5">
        <v>23.211936000000001</v>
      </c>
      <c r="Z133" s="5"/>
      <c r="AA133" s="5"/>
      <c r="AB133" s="5"/>
    </row>
    <row r="134" spans="1:206" x14ac:dyDescent="0.2">
      <c r="A134" s="5">
        <v>50</v>
      </c>
      <c r="B134" s="5">
        <v>0</v>
      </c>
      <c r="C134" s="5">
        <v>0</v>
      </c>
      <c r="D134" s="5">
        <v>1</v>
      </c>
      <c r="E134" s="5">
        <v>208</v>
      </c>
      <c r="F134" s="5">
        <f>ROUND(Source!V111,O134)</f>
        <v>0.13675300000000001</v>
      </c>
      <c r="G134" s="5" t="s">
        <v>188</v>
      </c>
      <c r="H134" s="5" t="s">
        <v>189</v>
      </c>
      <c r="I134" s="5"/>
      <c r="J134" s="5"/>
      <c r="K134" s="5">
        <v>208</v>
      </c>
      <c r="L134" s="5">
        <v>22</v>
      </c>
      <c r="M134" s="5">
        <v>3</v>
      </c>
      <c r="N134" s="5" t="s">
        <v>3</v>
      </c>
      <c r="O134" s="5">
        <v>7</v>
      </c>
      <c r="P134" s="5"/>
      <c r="Q134" s="5"/>
      <c r="R134" s="5"/>
      <c r="S134" s="5"/>
      <c r="T134" s="5"/>
      <c r="U134" s="5"/>
      <c r="V134" s="5"/>
      <c r="W134" s="5">
        <v>0.13675300000000001</v>
      </c>
      <c r="X134" s="5">
        <v>1</v>
      </c>
      <c r="Y134" s="5">
        <v>0.13675300000000001</v>
      </c>
      <c r="Z134" s="5"/>
      <c r="AA134" s="5"/>
      <c r="AB134" s="5"/>
    </row>
    <row r="135" spans="1:206" x14ac:dyDescent="0.2">
      <c r="A135" s="5">
        <v>50</v>
      </c>
      <c r="B135" s="5">
        <v>0</v>
      </c>
      <c r="C135" s="5">
        <v>0</v>
      </c>
      <c r="D135" s="5">
        <v>1</v>
      </c>
      <c r="E135" s="5">
        <v>209</v>
      </c>
      <c r="F135" s="5">
        <f>ROUND(Source!W111,O135)</f>
        <v>0</v>
      </c>
      <c r="G135" s="5" t="s">
        <v>190</v>
      </c>
      <c r="H135" s="5" t="s">
        <v>191</v>
      </c>
      <c r="I135" s="5"/>
      <c r="J135" s="5"/>
      <c r="K135" s="5">
        <v>209</v>
      </c>
      <c r="L135" s="5">
        <v>23</v>
      </c>
      <c r="M135" s="5">
        <v>3</v>
      </c>
      <c r="N135" s="5" t="s">
        <v>3</v>
      </c>
      <c r="O135" s="5">
        <v>2</v>
      </c>
      <c r="P135" s="5"/>
      <c r="Q135" s="5"/>
      <c r="R135" s="5"/>
      <c r="S135" s="5"/>
      <c r="T135" s="5"/>
      <c r="U135" s="5"/>
      <c r="V135" s="5"/>
      <c r="W135" s="5">
        <v>0</v>
      </c>
      <c r="X135" s="5">
        <v>1</v>
      </c>
      <c r="Y135" s="5">
        <v>0</v>
      </c>
      <c r="Z135" s="5"/>
      <c r="AA135" s="5"/>
      <c r="AB135" s="5"/>
    </row>
    <row r="136" spans="1:206" x14ac:dyDescent="0.2">
      <c r="A136" s="5">
        <v>50</v>
      </c>
      <c r="B136" s="5">
        <v>0</v>
      </c>
      <c r="C136" s="5">
        <v>0</v>
      </c>
      <c r="D136" s="5">
        <v>1</v>
      </c>
      <c r="E136" s="5">
        <v>233</v>
      </c>
      <c r="F136" s="5">
        <f>ROUND(Source!BD111,O136)</f>
        <v>0</v>
      </c>
      <c r="G136" s="5" t="s">
        <v>192</v>
      </c>
      <c r="H136" s="5" t="s">
        <v>193</v>
      </c>
      <c r="I136" s="5"/>
      <c r="J136" s="5"/>
      <c r="K136" s="5">
        <v>233</v>
      </c>
      <c r="L136" s="5">
        <v>24</v>
      </c>
      <c r="M136" s="5">
        <v>3</v>
      </c>
      <c r="N136" s="5" t="s">
        <v>3</v>
      </c>
      <c r="O136" s="5">
        <v>2</v>
      </c>
      <c r="P136" s="5"/>
      <c r="Q136" s="5"/>
      <c r="R136" s="5"/>
      <c r="S136" s="5"/>
      <c r="T136" s="5"/>
      <c r="U136" s="5"/>
      <c r="V136" s="5"/>
      <c r="W136" s="5">
        <v>0</v>
      </c>
      <c r="X136" s="5">
        <v>1</v>
      </c>
      <c r="Y136" s="5">
        <v>0</v>
      </c>
      <c r="Z136" s="5"/>
      <c r="AA136" s="5"/>
      <c r="AB136" s="5"/>
    </row>
    <row r="137" spans="1:206" x14ac:dyDescent="0.2">
      <c r="A137" s="5">
        <v>50</v>
      </c>
      <c r="B137" s="5">
        <v>0</v>
      </c>
      <c r="C137" s="5">
        <v>0</v>
      </c>
      <c r="D137" s="5">
        <v>1</v>
      </c>
      <c r="E137" s="5">
        <v>210</v>
      </c>
      <c r="F137" s="5">
        <f>ROUND(Source!X111,O137)</f>
        <v>15809.95</v>
      </c>
      <c r="G137" s="5" t="s">
        <v>194</v>
      </c>
      <c r="H137" s="5" t="s">
        <v>195</v>
      </c>
      <c r="I137" s="5"/>
      <c r="J137" s="5"/>
      <c r="K137" s="5">
        <v>210</v>
      </c>
      <c r="L137" s="5">
        <v>25</v>
      </c>
      <c r="M137" s="5">
        <v>3</v>
      </c>
      <c r="N137" s="5" t="s">
        <v>3</v>
      </c>
      <c r="O137" s="5">
        <v>2</v>
      </c>
      <c r="P137" s="5"/>
      <c r="Q137" s="5"/>
      <c r="R137" s="5"/>
      <c r="S137" s="5"/>
      <c r="T137" s="5"/>
      <c r="U137" s="5"/>
      <c r="V137" s="5"/>
      <c r="W137" s="5">
        <v>15809.95</v>
      </c>
      <c r="X137" s="5">
        <v>1</v>
      </c>
      <c r="Y137" s="5">
        <v>15809.95</v>
      </c>
      <c r="Z137" s="5"/>
      <c r="AA137" s="5"/>
      <c r="AB137" s="5"/>
    </row>
    <row r="138" spans="1:206" x14ac:dyDescent="0.2">
      <c r="A138" s="5">
        <v>50</v>
      </c>
      <c r="B138" s="5">
        <v>0</v>
      </c>
      <c r="C138" s="5">
        <v>0</v>
      </c>
      <c r="D138" s="5">
        <v>1</v>
      </c>
      <c r="E138" s="5">
        <v>211</v>
      </c>
      <c r="F138" s="5">
        <f>ROUND(Source!Y111,O138)</f>
        <v>8669.5400000000009</v>
      </c>
      <c r="G138" s="5" t="s">
        <v>196</v>
      </c>
      <c r="H138" s="5" t="s">
        <v>197</v>
      </c>
      <c r="I138" s="5"/>
      <c r="J138" s="5"/>
      <c r="K138" s="5">
        <v>211</v>
      </c>
      <c r="L138" s="5">
        <v>26</v>
      </c>
      <c r="M138" s="5">
        <v>3</v>
      </c>
      <c r="N138" s="5" t="s">
        <v>3</v>
      </c>
      <c r="O138" s="5">
        <v>2</v>
      </c>
      <c r="P138" s="5"/>
      <c r="Q138" s="5"/>
      <c r="R138" s="5"/>
      <c r="S138" s="5"/>
      <c r="T138" s="5"/>
      <c r="U138" s="5"/>
      <c r="V138" s="5"/>
      <c r="W138" s="5">
        <v>8669.5400000000009</v>
      </c>
      <c r="X138" s="5">
        <v>1</v>
      </c>
      <c r="Y138" s="5">
        <v>8669.5400000000009</v>
      </c>
      <c r="Z138" s="5"/>
      <c r="AA138" s="5"/>
      <c r="AB138" s="5"/>
    </row>
    <row r="139" spans="1:206" x14ac:dyDescent="0.2">
      <c r="A139" s="5">
        <v>50</v>
      </c>
      <c r="B139" s="5">
        <v>0</v>
      </c>
      <c r="C139" s="5">
        <v>0</v>
      </c>
      <c r="D139" s="5">
        <v>1</v>
      </c>
      <c r="E139" s="5">
        <v>224</v>
      </c>
      <c r="F139" s="5">
        <f>ROUND(Source!AR111,O139)</f>
        <v>52109.71</v>
      </c>
      <c r="G139" s="5" t="s">
        <v>198</v>
      </c>
      <c r="H139" s="5" t="s">
        <v>199</v>
      </c>
      <c r="I139" s="5"/>
      <c r="J139" s="5"/>
      <c r="K139" s="5">
        <v>224</v>
      </c>
      <c r="L139" s="5">
        <v>27</v>
      </c>
      <c r="M139" s="5">
        <v>3</v>
      </c>
      <c r="N139" s="5" t="s">
        <v>3</v>
      </c>
      <c r="O139" s="5">
        <v>2</v>
      </c>
      <c r="P139" s="5"/>
      <c r="Q139" s="5"/>
      <c r="R139" s="5"/>
      <c r="S139" s="5"/>
      <c r="T139" s="5"/>
      <c r="U139" s="5"/>
      <c r="V139" s="5"/>
      <c r="W139" s="5">
        <v>52109.71</v>
      </c>
      <c r="X139" s="5">
        <v>1</v>
      </c>
      <c r="Y139" s="5">
        <v>52109.71</v>
      </c>
      <c r="Z139" s="5"/>
      <c r="AA139" s="5"/>
      <c r="AB139" s="5"/>
    </row>
    <row r="141" spans="1:206" x14ac:dyDescent="0.2">
      <c r="A141" s="1">
        <v>5</v>
      </c>
      <c r="B141" s="1">
        <v>1</v>
      </c>
      <c r="C141" s="1"/>
      <c r="D141" s="1">
        <f>ROW(A161)</f>
        <v>161</v>
      </c>
      <c r="E141" s="1"/>
      <c r="F141" s="1" t="s">
        <v>206</v>
      </c>
      <c r="G141" s="1" t="s">
        <v>225</v>
      </c>
      <c r="H141" s="1" t="s">
        <v>3</v>
      </c>
      <c r="I141" s="1">
        <v>0</v>
      </c>
      <c r="J141" s="1"/>
      <c r="K141" s="1">
        <v>-1</v>
      </c>
      <c r="L141" s="1"/>
      <c r="M141" s="1" t="s">
        <v>3</v>
      </c>
      <c r="N141" s="1"/>
      <c r="O141" s="1"/>
      <c r="P141" s="1"/>
      <c r="Q141" s="1"/>
      <c r="R141" s="1"/>
      <c r="S141" s="1">
        <v>0</v>
      </c>
      <c r="T141" s="1"/>
      <c r="U141" s="1" t="s">
        <v>3</v>
      </c>
      <c r="V141" s="1">
        <v>0</v>
      </c>
      <c r="W141" s="1"/>
      <c r="X141" s="1"/>
      <c r="Y141" s="1"/>
      <c r="Z141" s="1"/>
      <c r="AA141" s="1"/>
      <c r="AB141" s="1" t="s">
        <v>3</v>
      </c>
      <c r="AC141" s="1" t="s">
        <v>3</v>
      </c>
      <c r="AD141" s="1" t="s">
        <v>3</v>
      </c>
      <c r="AE141" s="1" t="s">
        <v>3</v>
      </c>
      <c r="AF141" s="1" t="s">
        <v>3</v>
      </c>
      <c r="AG141" s="1" t="s">
        <v>3</v>
      </c>
      <c r="AH141" s="1"/>
      <c r="AI141" s="1"/>
      <c r="AJ141" s="1"/>
      <c r="AK141" s="1"/>
      <c r="AL141" s="1"/>
      <c r="AM141" s="1"/>
      <c r="AN141" s="1"/>
      <c r="AO141" s="1"/>
      <c r="AP141" s="1" t="s">
        <v>3</v>
      </c>
      <c r="AQ141" s="1" t="s">
        <v>3</v>
      </c>
      <c r="AR141" s="1" t="s">
        <v>3</v>
      </c>
      <c r="AS141" s="1"/>
      <c r="AT141" s="1"/>
      <c r="AU141" s="1"/>
      <c r="AV141" s="1"/>
      <c r="AW141" s="1"/>
      <c r="AX141" s="1"/>
      <c r="AY141" s="1"/>
      <c r="AZ141" s="1" t="s">
        <v>3</v>
      </c>
      <c r="BA141" s="1"/>
      <c r="BB141" s="1" t="s">
        <v>3</v>
      </c>
      <c r="BC141" s="1" t="s">
        <v>3</v>
      </c>
      <c r="BD141" s="1" t="s">
        <v>3</v>
      </c>
      <c r="BE141" s="1" t="s">
        <v>3</v>
      </c>
      <c r="BF141" s="1" t="s">
        <v>3</v>
      </c>
      <c r="BG141" s="1" t="s">
        <v>3</v>
      </c>
      <c r="BH141" s="1" t="s">
        <v>3</v>
      </c>
      <c r="BI141" s="1" t="s">
        <v>3</v>
      </c>
      <c r="BJ141" s="1" t="s">
        <v>3</v>
      </c>
      <c r="BK141" s="1" t="s">
        <v>3</v>
      </c>
      <c r="BL141" s="1" t="s">
        <v>3</v>
      </c>
      <c r="BM141" s="1" t="s">
        <v>3</v>
      </c>
      <c r="BN141" s="1" t="s">
        <v>3</v>
      </c>
      <c r="BO141" s="1" t="s">
        <v>3</v>
      </c>
      <c r="BP141" s="1" t="s">
        <v>3</v>
      </c>
      <c r="BQ141" s="1"/>
      <c r="BR141" s="1"/>
      <c r="BS141" s="1"/>
      <c r="BT141" s="1"/>
      <c r="BU141" s="1"/>
      <c r="BV141" s="1"/>
      <c r="BW141" s="1"/>
      <c r="BX141" s="1">
        <v>0</v>
      </c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>
        <v>0</v>
      </c>
    </row>
    <row r="143" spans="1:206" x14ac:dyDescent="0.2">
      <c r="A143" s="3">
        <v>52</v>
      </c>
      <c r="B143" s="3">
        <f t="shared" ref="B143:G143" si="93">B161</f>
        <v>1</v>
      </c>
      <c r="C143" s="3">
        <f t="shared" si="93"/>
        <v>5</v>
      </c>
      <c r="D143" s="3">
        <f t="shared" si="93"/>
        <v>141</v>
      </c>
      <c r="E143" s="3">
        <f t="shared" si="93"/>
        <v>0</v>
      </c>
      <c r="F143" s="3" t="str">
        <f t="shared" si="93"/>
        <v>Новый подраздел</v>
      </c>
      <c r="G143" s="3" t="str">
        <f t="shared" si="93"/>
        <v>Раздевалка женская</v>
      </c>
      <c r="H143" s="3"/>
      <c r="I143" s="3"/>
      <c r="J143" s="3"/>
      <c r="K143" s="3"/>
      <c r="L143" s="3"/>
      <c r="M143" s="3"/>
      <c r="N143" s="3"/>
      <c r="O143" s="3">
        <f t="shared" ref="O143:AT143" si="94">O161</f>
        <v>30751.07</v>
      </c>
      <c r="P143" s="3">
        <f t="shared" si="94"/>
        <v>10874.55</v>
      </c>
      <c r="Q143" s="3">
        <f t="shared" si="94"/>
        <v>53.85</v>
      </c>
      <c r="R143" s="3">
        <f t="shared" si="94"/>
        <v>144.19999999999999</v>
      </c>
      <c r="S143" s="3">
        <f t="shared" si="94"/>
        <v>19678.47</v>
      </c>
      <c r="T143" s="3">
        <f t="shared" si="94"/>
        <v>0</v>
      </c>
      <c r="U143" s="3">
        <f t="shared" si="94"/>
        <v>29.567741600000002</v>
      </c>
      <c r="V143" s="3">
        <f t="shared" si="94"/>
        <v>0.21000059999999998</v>
      </c>
      <c r="W143" s="3">
        <f t="shared" si="94"/>
        <v>0</v>
      </c>
      <c r="X143" s="3">
        <f t="shared" si="94"/>
        <v>19176.68</v>
      </c>
      <c r="Y143" s="3">
        <f t="shared" si="94"/>
        <v>10402.459999999999</v>
      </c>
      <c r="Z143" s="3">
        <f t="shared" si="94"/>
        <v>0</v>
      </c>
      <c r="AA143" s="3">
        <f t="shared" si="94"/>
        <v>0</v>
      </c>
      <c r="AB143" s="3">
        <f t="shared" si="94"/>
        <v>30751.07</v>
      </c>
      <c r="AC143" s="3">
        <f t="shared" si="94"/>
        <v>10874.55</v>
      </c>
      <c r="AD143" s="3">
        <f t="shared" si="94"/>
        <v>53.85</v>
      </c>
      <c r="AE143" s="3">
        <f t="shared" si="94"/>
        <v>144.19999999999999</v>
      </c>
      <c r="AF143" s="3">
        <f t="shared" si="94"/>
        <v>19678.47</v>
      </c>
      <c r="AG143" s="3">
        <f t="shared" si="94"/>
        <v>0</v>
      </c>
      <c r="AH143" s="3">
        <f t="shared" si="94"/>
        <v>29.567741600000002</v>
      </c>
      <c r="AI143" s="3">
        <f t="shared" si="94"/>
        <v>0.21000059999999998</v>
      </c>
      <c r="AJ143" s="3">
        <f t="shared" si="94"/>
        <v>0</v>
      </c>
      <c r="AK143" s="3">
        <f t="shared" si="94"/>
        <v>19176.68</v>
      </c>
      <c r="AL143" s="3">
        <f t="shared" si="94"/>
        <v>10402.459999999999</v>
      </c>
      <c r="AM143" s="3">
        <f t="shared" si="94"/>
        <v>0</v>
      </c>
      <c r="AN143" s="3">
        <f t="shared" si="94"/>
        <v>0</v>
      </c>
      <c r="AO143" s="3">
        <f t="shared" si="94"/>
        <v>0</v>
      </c>
      <c r="AP143" s="3">
        <f t="shared" si="94"/>
        <v>0</v>
      </c>
      <c r="AQ143" s="3">
        <f t="shared" si="94"/>
        <v>0</v>
      </c>
      <c r="AR143" s="3">
        <f t="shared" si="94"/>
        <v>60330.21</v>
      </c>
      <c r="AS143" s="3">
        <f t="shared" si="94"/>
        <v>60330.21</v>
      </c>
      <c r="AT143" s="3">
        <f t="shared" si="94"/>
        <v>0</v>
      </c>
      <c r="AU143" s="3">
        <f t="shared" ref="AU143:BZ143" si="95">AU161</f>
        <v>0</v>
      </c>
      <c r="AV143" s="3">
        <f t="shared" si="95"/>
        <v>10874.55</v>
      </c>
      <c r="AW143" s="3">
        <f t="shared" si="95"/>
        <v>10874.55</v>
      </c>
      <c r="AX143" s="3">
        <f t="shared" si="95"/>
        <v>0</v>
      </c>
      <c r="AY143" s="3">
        <f t="shared" si="95"/>
        <v>10874.55</v>
      </c>
      <c r="AZ143" s="3">
        <f t="shared" si="95"/>
        <v>0</v>
      </c>
      <c r="BA143" s="3">
        <f t="shared" si="95"/>
        <v>0</v>
      </c>
      <c r="BB143" s="3">
        <f t="shared" si="95"/>
        <v>0</v>
      </c>
      <c r="BC143" s="3">
        <f t="shared" si="95"/>
        <v>0</v>
      </c>
      <c r="BD143" s="3">
        <f t="shared" si="95"/>
        <v>0</v>
      </c>
      <c r="BE143" s="3">
        <f t="shared" si="95"/>
        <v>0</v>
      </c>
      <c r="BF143" s="3">
        <f t="shared" si="95"/>
        <v>0</v>
      </c>
      <c r="BG143" s="3">
        <f t="shared" si="95"/>
        <v>0</v>
      </c>
      <c r="BH143" s="3">
        <f t="shared" si="95"/>
        <v>0</v>
      </c>
      <c r="BI143" s="3">
        <f t="shared" si="95"/>
        <v>0</v>
      </c>
      <c r="BJ143" s="3">
        <f t="shared" si="95"/>
        <v>0</v>
      </c>
      <c r="BK143" s="3">
        <f t="shared" si="95"/>
        <v>0</v>
      </c>
      <c r="BL143" s="3">
        <f t="shared" si="95"/>
        <v>0</v>
      </c>
      <c r="BM143" s="3">
        <f t="shared" si="95"/>
        <v>0</v>
      </c>
      <c r="BN143" s="3">
        <f t="shared" si="95"/>
        <v>0</v>
      </c>
      <c r="BO143" s="3">
        <f t="shared" si="95"/>
        <v>0</v>
      </c>
      <c r="BP143" s="3">
        <f t="shared" si="95"/>
        <v>0</v>
      </c>
      <c r="BQ143" s="3">
        <f t="shared" si="95"/>
        <v>0</v>
      </c>
      <c r="BR143" s="3">
        <f t="shared" si="95"/>
        <v>0</v>
      </c>
      <c r="BS143" s="3">
        <f t="shared" si="95"/>
        <v>0</v>
      </c>
      <c r="BT143" s="3">
        <f t="shared" si="95"/>
        <v>0</v>
      </c>
      <c r="BU143" s="3">
        <f t="shared" si="95"/>
        <v>0</v>
      </c>
      <c r="BV143" s="3">
        <f t="shared" si="95"/>
        <v>0</v>
      </c>
      <c r="BW143" s="3">
        <f t="shared" si="95"/>
        <v>0</v>
      </c>
      <c r="BX143" s="3">
        <f t="shared" si="95"/>
        <v>0</v>
      </c>
      <c r="BY143" s="3">
        <f t="shared" si="95"/>
        <v>0</v>
      </c>
      <c r="BZ143" s="3">
        <f t="shared" si="95"/>
        <v>0</v>
      </c>
      <c r="CA143" s="3">
        <f t="shared" ref="CA143:DF143" si="96">CA161</f>
        <v>60330.21</v>
      </c>
      <c r="CB143" s="3">
        <f t="shared" si="96"/>
        <v>60330.21</v>
      </c>
      <c r="CC143" s="3">
        <f t="shared" si="96"/>
        <v>0</v>
      </c>
      <c r="CD143" s="3">
        <f t="shared" si="96"/>
        <v>0</v>
      </c>
      <c r="CE143" s="3">
        <f t="shared" si="96"/>
        <v>10874.55</v>
      </c>
      <c r="CF143" s="3">
        <f t="shared" si="96"/>
        <v>10874.55</v>
      </c>
      <c r="CG143" s="3">
        <f t="shared" si="96"/>
        <v>0</v>
      </c>
      <c r="CH143" s="3">
        <f t="shared" si="96"/>
        <v>10874.55</v>
      </c>
      <c r="CI143" s="3">
        <f t="shared" si="96"/>
        <v>0</v>
      </c>
      <c r="CJ143" s="3">
        <f t="shared" si="96"/>
        <v>0</v>
      </c>
      <c r="CK143" s="3">
        <f t="shared" si="96"/>
        <v>0</v>
      </c>
      <c r="CL143" s="3">
        <f t="shared" si="96"/>
        <v>0</v>
      </c>
      <c r="CM143" s="3">
        <f t="shared" si="96"/>
        <v>0</v>
      </c>
      <c r="CN143" s="3">
        <f t="shared" si="96"/>
        <v>0</v>
      </c>
      <c r="CO143" s="3">
        <f t="shared" si="96"/>
        <v>0</v>
      </c>
      <c r="CP143" s="3">
        <f t="shared" si="96"/>
        <v>0</v>
      </c>
      <c r="CQ143" s="3">
        <f t="shared" si="96"/>
        <v>0</v>
      </c>
      <c r="CR143" s="3">
        <f t="shared" si="96"/>
        <v>0</v>
      </c>
      <c r="CS143" s="3">
        <f t="shared" si="96"/>
        <v>0</v>
      </c>
      <c r="CT143" s="3">
        <f t="shared" si="96"/>
        <v>0</v>
      </c>
      <c r="CU143" s="3">
        <f t="shared" si="96"/>
        <v>0</v>
      </c>
      <c r="CV143" s="3">
        <f t="shared" si="96"/>
        <v>0</v>
      </c>
      <c r="CW143" s="3">
        <f t="shared" si="96"/>
        <v>0</v>
      </c>
      <c r="CX143" s="3">
        <f t="shared" si="96"/>
        <v>0</v>
      </c>
      <c r="CY143" s="3">
        <f t="shared" si="96"/>
        <v>0</v>
      </c>
      <c r="CZ143" s="3">
        <f t="shared" si="96"/>
        <v>0</v>
      </c>
      <c r="DA143" s="3">
        <f t="shared" si="96"/>
        <v>0</v>
      </c>
      <c r="DB143" s="3">
        <f t="shared" si="96"/>
        <v>0</v>
      </c>
      <c r="DC143" s="3">
        <f t="shared" si="96"/>
        <v>0</v>
      </c>
      <c r="DD143" s="3">
        <f t="shared" si="96"/>
        <v>0</v>
      </c>
      <c r="DE143" s="3">
        <f t="shared" si="96"/>
        <v>0</v>
      </c>
      <c r="DF143" s="3">
        <f t="shared" si="96"/>
        <v>0</v>
      </c>
      <c r="DG143" s="4">
        <f t="shared" ref="DG143:EL143" si="97">DG161</f>
        <v>0</v>
      </c>
      <c r="DH143" s="4">
        <f t="shared" si="97"/>
        <v>0</v>
      </c>
      <c r="DI143" s="4">
        <f t="shared" si="97"/>
        <v>0</v>
      </c>
      <c r="DJ143" s="4">
        <f t="shared" si="97"/>
        <v>0</v>
      </c>
      <c r="DK143" s="4">
        <f t="shared" si="97"/>
        <v>0</v>
      </c>
      <c r="DL143" s="4">
        <f t="shared" si="97"/>
        <v>0</v>
      </c>
      <c r="DM143" s="4">
        <f t="shared" si="97"/>
        <v>0</v>
      </c>
      <c r="DN143" s="4">
        <f t="shared" si="97"/>
        <v>0</v>
      </c>
      <c r="DO143" s="4">
        <f t="shared" si="97"/>
        <v>0</v>
      </c>
      <c r="DP143" s="4">
        <f t="shared" si="97"/>
        <v>0</v>
      </c>
      <c r="DQ143" s="4">
        <f t="shared" si="97"/>
        <v>0</v>
      </c>
      <c r="DR143" s="4">
        <f t="shared" si="97"/>
        <v>0</v>
      </c>
      <c r="DS143" s="4">
        <f t="shared" si="97"/>
        <v>0</v>
      </c>
      <c r="DT143" s="4">
        <f t="shared" si="97"/>
        <v>0</v>
      </c>
      <c r="DU143" s="4">
        <f t="shared" si="97"/>
        <v>0</v>
      </c>
      <c r="DV143" s="4">
        <f t="shared" si="97"/>
        <v>0</v>
      </c>
      <c r="DW143" s="4">
        <f t="shared" si="97"/>
        <v>0</v>
      </c>
      <c r="DX143" s="4">
        <f t="shared" si="97"/>
        <v>0</v>
      </c>
      <c r="DY143" s="4">
        <f t="shared" si="97"/>
        <v>0</v>
      </c>
      <c r="DZ143" s="4">
        <f t="shared" si="97"/>
        <v>0</v>
      </c>
      <c r="EA143" s="4">
        <f t="shared" si="97"/>
        <v>0</v>
      </c>
      <c r="EB143" s="4">
        <f t="shared" si="97"/>
        <v>0</v>
      </c>
      <c r="EC143" s="4">
        <f t="shared" si="97"/>
        <v>0</v>
      </c>
      <c r="ED143" s="4">
        <f t="shared" si="97"/>
        <v>0</v>
      </c>
      <c r="EE143" s="4">
        <f t="shared" si="97"/>
        <v>0</v>
      </c>
      <c r="EF143" s="4">
        <f t="shared" si="97"/>
        <v>0</v>
      </c>
      <c r="EG143" s="4">
        <f t="shared" si="97"/>
        <v>0</v>
      </c>
      <c r="EH143" s="4">
        <f t="shared" si="97"/>
        <v>0</v>
      </c>
      <c r="EI143" s="4">
        <f t="shared" si="97"/>
        <v>0</v>
      </c>
      <c r="EJ143" s="4">
        <f t="shared" si="97"/>
        <v>0</v>
      </c>
      <c r="EK143" s="4">
        <f t="shared" si="97"/>
        <v>0</v>
      </c>
      <c r="EL143" s="4">
        <f t="shared" si="97"/>
        <v>0</v>
      </c>
      <c r="EM143" s="4">
        <f t="shared" ref="EM143:FR143" si="98">EM161</f>
        <v>0</v>
      </c>
      <c r="EN143" s="4">
        <f t="shared" si="98"/>
        <v>0</v>
      </c>
      <c r="EO143" s="4">
        <f t="shared" si="98"/>
        <v>0</v>
      </c>
      <c r="EP143" s="4">
        <f t="shared" si="98"/>
        <v>0</v>
      </c>
      <c r="EQ143" s="4">
        <f t="shared" si="98"/>
        <v>0</v>
      </c>
      <c r="ER143" s="4">
        <f t="shared" si="98"/>
        <v>0</v>
      </c>
      <c r="ES143" s="4">
        <f t="shared" si="98"/>
        <v>0</v>
      </c>
      <c r="ET143" s="4">
        <f t="shared" si="98"/>
        <v>0</v>
      </c>
      <c r="EU143" s="4">
        <f t="shared" si="98"/>
        <v>0</v>
      </c>
      <c r="EV143" s="4">
        <f t="shared" si="98"/>
        <v>0</v>
      </c>
      <c r="EW143" s="4">
        <f t="shared" si="98"/>
        <v>0</v>
      </c>
      <c r="EX143" s="4">
        <f t="shared" si="98"/>
        <v>0</v>
      </c>
      <c r="EY143" s="4">
        <f t="shared" si="98"/>
        <v>0</v>
      </c>
      <c r="EZ143" s="4">
        <f t="shared" si="98"/>
        <v>0</v>
      </c>
      <c r="FA143" s="4">
        <f t="shared" si="98"/>
        <v>0</v>
      </c>
      <c r="FB143" s="4">
        <f t="shared" si="98"/>
        <v>0</v>
      </c>
      <c r="FC143" s="4">
        <f t="shared" si="98"/>
        <v>0</v>
      </c>
      <c r="FD143" s="4">
        <f t="shared" si="98"/>
        <v>0</v>
      </c>
      <c r="FE143" s="4">
        <f t="shared" si="98"/>
        <v>0</v>
      </c>
      <c r="FF143" s="4">
        <f t="shared" si="98"/>
        <v>0</v>
      </c>
      <c r="FG143" s="4">
        <f t="shared" si="98"/>
        <v>0</v>
      </c>
      <c r="FH143" s="4">
        <f t="shared" si="98"/>
        <v>0</v>
      </c>
      <c r="FI143" s="4">
        <f t="shared" si="98"/>
        <v>0</v>
      </c>
      <c r="FJ143" s="4">
        <f t="shared" si="98"/>
        <v>0</v>
      </c>
      <c r="FK143" s="4">
        <f t="shared" si="98"/>
        <v>0</v>
      </c>
      <c r="FL143" s="4">
        <f t="shared" si="98"/>
        <v>0</v>
      </c>
      <c r="FM143" s="4">
        <f t="shared" si="98"/>
        <v>0</v>
      </c>
      <c r="FN143" s="4">
        <f t="shared" si="98"/>
        <v>0</v>
      </c>
      <c r="FO143" s="4">
        <f t="shared" si="98"/>
        <v>0</v>
      </c>
      <c r="FP143" s="4">
        <f t="shared" si="98"/>
        <v>0</v>
      </c>
      <c r="FQ143" s="4">
        <f t="shared" si="98"/>
        <v>0</v>
      </c>
      <c r="FR143" s="4">
        <f t="shared" si="98"/>
        <v>0</v>
      </c>
      <c r="FS143" s="4">
        <f t="shared" ref="FS143:GX143" si="99">FS161</f>
        <v>0</v>
      </c>
      <c r="FT143" s="4">
        <f t="shared" si="99"/>
        <v>0</v>
      </c>
      <c r="FU143" s="4">
        <f t="shared" si="99"/>
        <v>0</v>
      </c>
      <c r="FV143" s="4">
        <f t="shared" si="99"/>
        <v>0</v>
      </c>
      <c r="FW143" s="4">
        <f t="shared" si="99"/>
        <v>0</v>
      </c>
      <c r="FX143" s="4">
        <f t="shared" si="99"/>
        <v>0</v>
      </c>
      <c r="FY143" s="4">
        <f t="shared" si="99"/>
        <v>0</v>
      </c>
      <c r="FZ143" s="4">
        <f t="shared" si="99"/>
        <v>0</v>
      </c>
      <c r="GA143" s="4">
        <f t="shared" si="99"/>
        <v>0</v>
      </c>
      <c r="GB143" s="4">
        <f t="shared" si="99"/>
        <v>0</v>
      </c>
      <c r="GC143" s="4">
        <f t="shared" si="99"/>
        <v>0</v>
      </c>
      <c r="GD143" s="4">
        <f t="shared" si="99"/>
        <v>0</v>
      </c>
      <c r="GE143" s="4">
        <f t="shared" si="99"/>
        <v>0</v>
      </c>
      <c r="GF143" s="4">
        <f t="shared" si="99"/>
        <v>0</v>
      </c>
      <c r="GG143" s="4">
        <f t="shared" si="99"/>
        <v>0</v>
      </c>
      <c r="GH143" s="4">
        <f t="shared" si="99"/>
        <v>0</v>
      </c>
      <c r="GI143" s="4">
        <f t="shared" si="99"/>
        <v>0</v>
      </c>
      <c r="GJ143" s="4">
        <f t="shared" si="99"/>
        <v>0</v>
      </c>
      <c r="GK143" s="4">
        <f t="shared" si="99"/>
        <v>0</v>
      </c>
      <c r="GL143" s="4">
        <f t="shared" si="99"/>
        <v>0</v>
      </c>
      <c r="GM143" s="4">
        <f t="shared" si="99"/>
        <v>0</v>
      </c>
      <c r="GN143" s="4">
        <f t="shared" si="99"/>
        <v>0</v>
      </c>
      <c r="GO143" s="4">
        <f t="shared" si="99"/>
        <v>0</v>
      </c>
      <c r="GP143" s="4">
        <f t="shared" si="99"/>
        <v>0</v>
      </c>
      <c r="GQ143" s="4">
        <f t="shared" si="99"/>
        <v>0</v>
      </c>
      <c r="GR143" s="4">
        <f t="shared" si="99"/>
        <v>0</v>
      </c>
      <c r="GS143" s="4">
        <f t="shared" si="99"/>
        <v>0</v>
      </c>
      <c r="GT143" s="4">
        <f t="shared" si="99"/>
        <v>0</v>
      </c>
      <c r="GU143" s="4">
        <f t="shared" si="99"/>
        <v>0</v>
      </c>
      <c r="GV143" s="4">
        <f t="shared" si="99"/>
        <v>0</v>
      </c>
      <c r="GW143" s="4">
        <f t="shared" si="99"/>
        <v>0</v>
      </c>
      <c r="GX143" s="4">
        <f t="shared" si="99"/>
        <v>0</v>
      </c>
    </row>
    <row r="145" spans="1:255" x14ac:dyDescent="0.2">
      <c r="A145" s="2">
        <v>17</v>
      </c>
      <c r="B145" s="2">
        <v>1</v>
      </c>
      <c r="C145" s="2">
        <f>ROW(SmtRes!A152)</f>
        <v>152</v>
      </c>
      <c r="D145" s="2">
        <f>ROW(EtalonRes!A152)</f>
        <v>152</v>
      </c>
      <c r="E145" s="2" t="s">
        <v>226</v>
      </c>
      <c r="F145" s="2" t="s">
        <v>227</v>
      </c>
      <c r="G145" s="2" t="s">
        <v>228</v>
      </c>
      <c r="H145" s="2" t="s">
        <v>20</v>
      </c>
      <c r="I145" s="2">
        <f>ROUND((6.6*2.74-2-3.8*0.85+3*2-2+1.8*1.8)/100,7)</f>
        <v>0.20094000000000001</v>
      </c>
      <c r="J145" s="2">
        <v>0</v>
      </c>
      <c r="K145" s="2">
        <f>ROUND((6.6*2.74-2-3.8*0.85+3*2-2+1.8*1.8)/100,7)</f>
        <v>0.20094000000000001</v>
      </c>
      <c r="L145" s="2"/>
      <c r="M145" s="2"/>
      <c r="N145" s="2"/>
      <c r="O145" s="2">
        <f t="shared" ref="O145:O159" si="100">ROUND(CP145,2)</f>
        <v>5543.14</v>
      </c>
      <c r="P145" s="2">
        <f>SUMIF(SmtRes!AQ141:'SmtRes'!AQ152,"=1",SmtRes!DF141:'SmtRes'!DF152)</f>
        <v>2039.2499999999998</v>
      </c>
      <c r="Q145" s="2">
        <f>SUMIF(SmtRes!AQ141:'SmtRes'!AQ152,"=1",SmtRes!DG141:'SmtRes'!DG152)</f>
        <v>7.75</v>
      </c>
      <c r="R145" s="2">
        <f>SUMIF(SmtRes!AQ141:'SmtRes'!AQ152,"=1",SmtRes!DH141:'SmtRes'!DH152)</f>
        <v>21.86</v>
      </c>
      <c r="S145" s="2">
        <f>SUMIF(SmtRes!AQ141:'SmtRes'!AQ152,"=1",SmtRes!DI141:'SmtRes'!DI152)</f>
        <v>3474.28</v>
      </c>
      <c r="T145" s="2">
        <f t="shared" ref="T145:T159" si="101">ROUND(CU145*I145,2)</f>
        <v>0</v>
      </c>
      <c r="U145" s="2">
        <f>SUMIF(SmtRes!AQ141:'SmtRes'!AQ152,"=1",SmtRes!CV141:'SmtRes'!CV152)</f>
        <v>5.2847220000000004</v>
      </c>
      <c r="V145" s="2">
        <f>SUMIF(SmtRes!AQ141:'SmtRes'!AQ152,"=1",SmtRes!CW141:'SmtRes'!CW152)</f>
        <v>3.2150400000000003E-2</v>
      </c>
      <c r="W145" s="2">
        <f t="shared" ref="W145:W159" si="102">ROUND(CX145*I145,2)</f>
        <v>0</v>
      </c>
      <c r="X145" s="2">
        <f t="shared" ref="X145:X159" si="103">ROUND(CY145,2)</f>
        <v>3146.53</v>
      </c>
      <c r="Y145" s="2">
        <f t="shared" ref="Y145:Y159" si="104">ROUND(CZ145,2)</f>
        <v>1608.22</v>
      </c>
      <c r="Z145" s="2"/>
      <c r="AA145" s="2">
        <v>94104265</v>
      </c>
      <c r="AB145" s="2">
        <f t="shared" ref="AB145:AB159" si="105">ROUND((AC145+AD145+AF145),6)</f>
        <v>24876.554155999998</v>
      </c>
      <c r="AC145" s="2">
        <f>ROUND((SUM(SmtRes!BQ141:'SmtRes'!BQ152)),6)</f>
        <v>7549.9809560000003</v>
      </c>
      <c r="AD145" s="2">
        <f>ROUND((((SUM(SmtRes!BR141:'SmtRes'!BR152))-(SUM(SmtRes!BS141:'SmtRes'!BS152)))+AE145),6)</f>
        <v>36.427199999999999</v>
      </c>
      <c r="AE145" s="2">
        <f>ROUND((SUM(SmtRes!BS141:'SmtRes'!BS152)),6)</f>
        <v>108.78879999999999</v>
      </c>
      <c r="AF145" s="2">
        <f>ROUND((SUM(SmtRes!BT141:'SmtRes'!BT152)),6)</f>
        <v>17290.146000000001</v>
      </c>
      <c r="AG145" s="2">
        <f t="shared" ref="AG145:AG159" si="106">ROUND((AP145),6)</f>
        <v>0</v>
      </c>
      <c r="AH145" s="2">
        <f>(SUM(SmtRes!BU141:'SmtRes'!BU152))</f>
        <v>26.3</v>
      </c>
      <c r="AI145" s="2">
        <f>(SUM(SmtRes!BV141:'SmtRes'!BV152))</f>
        <v>0.16</v>
      </c>
      <c r="AJ145" s="2">
        <f t="shared" ref="AJ145:AJ159" si="107">(AS145)</f>
        <v>0</v>
      </c>
      <c r="AK145" s="2">
        <v>24985.342955999997</v>
      </c>
      <c r="AL145" s="2">
        <v>7549.9809559999994</v>
      </c>
      <c r="AM145" s="2">
        <v>36.427199999999999</v>
      </c>
      <c r="AN145" s="2">
        <v>108.78880000000001</v>
      </c>
      <c r="AO145" s="2">
        <v>17290.146000000001</v>
      </c>
      <c r="AP145" s="2">
        <v>0</v>
      </c>
      <c r="AQ145" s="2">
        <v>26.3</v>
      </c>
      <c r="AR145" s="2">
        <v>0.16</v>
      </c>
      <c r="AS145" s="2">
        <v>0</v>
      </c>
      <c r="AT145" s="2">
        <v>90</v>
      </c>
      <c r="AU145" s="2">
        <v>46</v>
      </c>
      <c r="AV145" s="2">
        <v>1</v>
      </c>
      <c r="AW145" s="2">
        <v>1</v>
      </c>
      <c r="AX145" s="2"/>
      <c r="AY145" s="2"/>
      <c r="AZ145" s="2">
        <v>1</v>
      </c>
      <c r="BA145" s="2">
        <v>1</v>
      </c>
      <c r="BB145" s="2">
        <v>1</v>
      </c>
      <c r="BC145" s="2">
        <v>1</v>
      </c>
      <c r="BD145" s="2" t="s">
        <v>3</v>
      </c>
      <c r="BE145" s="2" t="s">
        <v>3</v>
      </c>
      <c r="BF145" s="2" t="s">
        <v>3</v>
      </c>
      <c r="BG145" s="2" t="s">
        <v>3</v>
      </c>
      <c r="BH145" s="2">
        <v>0</v>
      </c>
      <c r="BI145" s="2">
        <v>1</v>
      </c>
      <c r="BJ145" s="2" t="s">
        <v>229</v>
      </c>
      <c r="BK145" s="2"/>
      <c r="BL145" s="2"/>
      <c r="BM145" s="2">
        <v>62001</v>
      </c>
      <c r="BN145" s="2">
        <v>0</v>
      </c>
      <c r="BO145" s="2" t="s">
        <v>3</v>
      </c>
      <c r="BP145" s="2">
        <v>0</v>
      </c>
      <c r="BQ145" s="2">
        <v>6</v>
      </c>
      <c r="BR145" s="2">
        <v>0</v>
      </c>
      <c r="BS145" s="2">
        <v>1</v>
      </c>
      <c r="BT145" s="2">
        <v>1</v>
      </c>
      <c r="BU145" s="2">
        <v>1</v>
      </c>
      <c r="BV145" s="2">
        <v>1</v>
      </c>
      <c r="BW145" s="2">
        <v>1</v>
      </c>
      <c r="BX145" s="2">
        <v>1</v>
      </c>
      <c r="BY145" s="2" t="s">
        <v>3</v>
      </c>
      <c r="BZ145" s="2">
        <v>90</v>
      </c>
      <c r="CA145" s="2">
        <v>46</v>
      </c>
      <c r="CB145" s="2" t="s">
        <v>3</v>
      </c>
      <c r="CC145" s="2"/>
      <c r="CD145" s="2"/>
      <c r="CE145" s="2">
        <v>0</v>
      </c>
      <c r="CF145" s="2">
        <v>0</v>
      </c>
      <c r="CG145" s="2">
        <v>0</v>
      </c>
      <c r="CH145" s="2"/>
      <c r="CI145" s="2"/>
      <c r="CJ145" s="2"/>
      <c r="CK145" s="2"/>
      <c r="CL145" s="2"/>
      <c r="CM145" s="2">
        <v>0</v>
      </c>
      <c r="CN145" s="2" t="s">
        <v>3</v>
      </c>
      <c r="CO145" s="2">
        <v>0</v>
      </c>
      <c r="CP145" s="2">
        <f t="shared" ref="CP145:CP159" si="108">(P145+Q145+S145+R145)</f>
        <v>5543.1399999999994</v>
      </c>
      <c r="CQ145" s="2">
        <f>SUMIF(SmtRes!AQ141:'SmtRes'!AQ152,"=1",SmtRes!AA141:'SmtRes'!AA152)</f>
        <v>45508.39</v>
      </c>
      <c r="CR145" s="2">
        <f>SUMIF(SmtRes!AQ141:'SmtRes'!AQ152,"=1",SmtRes!AB141:'SmtRes'!AB152)</f>
        <v>603.51</v>
      </c>
      <c r="CS145" s="2">
        <f>SUMIF(SmtRes!AQ141:'SmtRes'!AQ152,"=1",SmtRes!AC141:'SmtRes'!AC152)</f>
        <v>1380.3200000000002</v>
      </c>
      <c r="CT145" s="2">
        <f>SUMIF(SmtRes!AQ141:'SmtRes'!AQ152,"=1",SmtRes!AD141:'SmtRes'!AD152)</f>
        <v>657.42</v>
      </c>
      <c r="CU145" s="2">
        <f t="shared" ref="CU145:CU159" si="109">AG145</f>
        <v>0</v>
      </c>
      <c r="CV145" s="2">
        <f>SUMIF(SmtRes!AQ141:'SmtRes'!AQ152,"=1",SmtRes!BU141:'SmtRes'!BU152)</f>
        <v>26.3</v>
      </c>
      <c r="CW145" s="2">
        <f>SUMIF(SmtRes!AQ141:'SmtRes'!AQ152,"=1",SmtRes!BV141:'SmtRes'!BV152)</f>
        <v>0.16</v>
      </c>
      <c r="CX145" s="2">
        <f t="shared" ref="CX145:CX159" si="110">AJ145</f>
        <v>0</v>
      </c>
      <c r="CY145" s="2">
        <f t="shared" ref="CY145:CY159" si="111">(((S145+R145)*AT145)/100)</f>
        <v>3146.5260000000003</v>
      </c>
      <c r="CZ145" s="2">
        <f t="shared" ref="CZ145:CZ159" si="112">(((S145+R145)*AU145)/100)</f>
        <v>1608.2244000000001</v>
      </c>
      <c r="DA145" s="2"/>
      <c r="DB145" s="2"/>
      <c r="DC145" s="2" t="s">
        <v>3</v>
      </c>
      <c r="DD145" s="2" t="s">
        <v>3</v>
      </c>
      <c r="DE145" s="2" t="s">
        <v>3</v>
      </c>
      <c r="DF145" s="2" t="s">
        <v>3</v>
      </c>
      <c r="DG145" s="2" t="s">
        <v>3</v>
      </c>
      <c r="DH145" s="2" t="s">
        <v>3</v>
      </c>
      <c r="DI145" s="2" t="s">
        <v>3</v>
      </c>
      <c r="DJ145" s="2" t="s">
        <v>3</v>
      </c>
      <c r="DK145" s="2" t="s">
        <v>3</v>
      </c>
      <c r="DL145" s="2" t="s">
        <v>3</v>
      </c>
      <c r="DM145" s="2" t="s">
        <v>3</v>
      </c>
      <c r="DN145" s="2">
        <v>0</v>
      </c>
      <c r="DO145" s="2">
        <v>0</v>
      </c>
      <c r="DP145" s="2">
        <v>1</v>
      </c>
      <c r="DQ145" s="2">
        <v>1</v>
      </c>
      <c r="DR145" s="2"/>
      <c r="DS145" s="2"/>
      <c r="DT145" s="2"/>
      <c r="DU145" s="2">
        <v>1005</v>
      </c>
      <c r="DV145" s="2" t="s">
        <v>20</v>
      </c>
      <c r="DW145" s="2" t="s">
        <v>20</v>
      </c>
      <c r="DX145" s="2">
        <v>100</v>
      </c>
      <c r="DY145" s="2"/>
      <c r="DZ145" s="2" t="s">
        <v>3</v>
      </c>
      <c r="EA145" s="2" t="s">
        <v>3</v>
      </c>
      <c r="EB145" s="2" t="s">
        <v>3</v>
      </c>
      <c r="EC145" s="2" t="s">
        <v>3</v>
      </c>
      <c r="ED145" s="2"/>
      <c r="EE145" s="2">
        <v>89977076</v>
      </c>
      <c r="EF145" s="2">
        <v>6</v>
      </c>
      <c r="EG145" s="2" t="s">
        <v>22</v>
      </c>
      <c r="EH145" s="2">
        <v>96</v>
      </c>
      <c r="EI145" s="2" t="s">
        <v>121</v>
      </c>
      <c r="EJ145" s="2">
        <v>1</v>
      </c>
      <c r="EK145" s="2">
        <v>62001</v>
      </c>
      <c r="EL145" s="2" t="s">
        <v>121</v>
      </c>
      <c r="EM145" s="2" t="s">
        <v>122</v>
      </c>
      <c r="EN145" s="2"/>
      <c r="EO145" s="2" t="s">
        <v>3</v>
      </c>
      <c r="EP145" s="2"/>
      <c r="EQ145" s="2">
        <v>0</v>
      </c>
      <c r="ER145" s="2">
        <v>0</v>
      </c>
      <c r="ES145" s="2">
        <v>0</v>
      </c>
      <c r="ET145" s="2">
        <v>0</v>
      </c>
      <c r="EU145" s="2">
        <v>0</v>
      </c>
      <c r="EV145" s="2">
        <v>0</v>
      </c>
      <c r="EW145" s="2">
        <v>26.3</v>
      </c>
      <c r="EX145" s="2">
        <v>0.16</v>
      </c>
      <c r="EY145" s="2">
        <v>0</v>
      </c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>
        <v>0</v>
      </c>
      <c r="FR145" s="2">
        <v>0</v>
      </c>
      <c r="FS145" s="2">
        <v>0</v>
      </c>
      <c r="FT145" s="2"/>
      <c r="FU145" s="2"/>
      <c r="FV145" s="2"/>
      <c r="FW145" s="2"/>
      <c r="FX145" s="2">
        <v>90</v>
      </c>
      <c r="FY145" s="2">
        <v>46</v>
      </c>
      <c r="FZ145" s="2"/>
      <c r="GA145" s="2" t="s">
        <v>3</v>
      </c>
      <c r="GB145" s="2"/>
      <c r="GC145" s="2"/>
      <c r="GD145" s="2">
        <v>1</v>
      </c>
      <c r="GE145" s="2"/>
      <c r="GF145" s="2">
        <v>515232886</v>
      </c>
      <c r="GG145" s="2">
        <v>2</v>
      </c>
      <c r="GH145" s="2">
        <v>1</v>
      </c>
      <c r="GI145" s="2">
        <v>-2</v>
      </c>
      <c r="GJ145" s="2">
        <v>0</v>
      </c>
      <c r="GK145" s="2">
        <v>0</v>
      </c>
      <c r="GL145" s="2">
        <f t="shared" ref="GL145:GL159" si="113">ROUND(IF(AND(BH145=3,BI145=3,FS145&lt;&gt;0),P145,0),2)</f>
        <v>0</v>
      </c>
      <c r="GM145" s="2">
        <f t="shared" ref="GM145:GM159" si="114">ROUND(O145+X145+Y145,2)+GX145</f>
        <v>10297.89</v>
      </c>
      <c r="GN145" s="2">
        <f t="shared" ref="GN145:GN159" si="115">IF(OR(BI145=0,BI145=1),GM145-GX145,0)</f>
        <v>10297.89</v>
      </c>
      <c r="GO145" s="2">
        <f t="shared" ref="GO145:GO159" si="116">IF(BI145=2,GM145-GX145,0)</f>
        <v>0</v>
      </c>
      <c r="GP145" s="2">
        <f t="shared" ref="GP145:GP159" si="117">IF(BI145=4,GM145-GX145,0)</f>
        <v>0</v>
      </c>
      <c r="GQ145" s="2"/>
      <c r="GR145" s="2">
        <v>0</v>
      </c>
      <c r="GS145" s="2">
        <v>3</v>
      </c>
      <c r="GT145" s="2">
        <v>0</v>
      </c>
      <c r="GU145" s="2" t="s">
        <v>3</v>
      </c>
      <c r="GV145" s="2">
        <f t="shared" ref="GV145:GV159" si="118">ROUND((GT145),6)</f>
        <v>0</v>
      </c>
      <c r="GW145" s="2">
        <v>1</v>
      </c>
      <c r="GX145" s="2">
        <f t="shared" ref="GX145:GX159" si="119">ROUND(HC145*I145,2)</f>
        <v>0</v>
      </c>
      <c r="GY145" s="2"/>
      <c r="GZ145" s="2"/>
      <c r="HA145" s="2">
        <v>0</v>
      </c>
      <c r="HB145" s="2">
        <v>0</v>
      </c>
      <c r="HC145" s="2">
        <f t="shared" ref="HC145:HC159" si="120">GV145*GW145</f>
        <v>0</v>
      </c>
      <c r="HD145" s="2"/>
      <c r="HE145" s="2" t="s">
        <v>3</v>
      </c>
      <c r="HF145" s="2" t="s">
        <v>3</v>
      </c>
      <c r="HG145" s="2"/>
      <c r="HH145" s="2"/>
      <c r="HI145" s="2"/>
      <c r="HJ145" s="2"/>
      <c r="HK145" s="2"/>
      <c r="HL145" s="2"/>
      <c r="HM145" s="2" t="s">
        <v>3</v>
      </c>
      <c r="HN145" s="2" t="s">
        <v>123</v>
      </c>
      <c r="HO145" s="2" t="s">
        <v>124</v>
      </c>
      <c r="HP145" s="2" t="s">
        <v>121</v>
      </c>
      <c r="HQ145" s="2" t="s">
        <v>121</v>
      </c>
      <c r="HR145" s="2"/>
      <c r="HS145" s="2">
        <v>0</v>
      </c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>
        <v>0</v>
      </c>
      <c r="IL145" s="2"/>
      <c r="IM145" s="2"/>
      <c r="IN145" s="2"/>
      <c r="IO145" s="2"/>
      <c r="IP145" s="2"/>
      <c r="IQ145" s="2"/>
      <c r="IR145" s="2"/>
      <c r="IS145" s="2"/>
      <c r="IT145" s="2"/>
      <c r="IU145" s="2"/>
    </row>
    <row r="146" spans="1:255" x14ac:dyDescent="0.2">
      <c r="A146" s="2">
        <v>18</v>
      </c>
      <c r="B146" s="2">
        <v>1</v>
      </c>
      <c r="C146" s="2">
        <v>151</v>
      </c>
      <c r="D146" s="2"/>
      <c r="E146" s="2" t="s">
        <v>230</v>
      </c>
      <c r="F146" s="2" t="s">
        <v>231</v>
      </c>
      <c r="G146" s="2" t="s">
        <v>232</v>
      </c>
      <c r="H146" s="2" t="s">
        <v>30</v>
      </c>
      <c r="I146" s="2">
        <f>I145*J146</f>
        <v>1.3462999999999998E-2</v>
      </c>
      <c r="J146" s="2">
        <v>6.7000099532198654E-2</v>
      </c>
      <c r="K146" s="2">
        <v>6.7000000000000004E-2</v>
      </c>
      <c r="L146" s="2"/>
      <c r="M146" s="2"/>
      <c r="N146" s="2"/>
      <c r="O146" s="2">
        <f t="shared" si="100"/>
        <v>2065.42</v>
      </c>
      <c r="P146" s="2">
        <f>ROUND(CQ146*I146,2)</f>
        <v>2065.42</v>
      </c>
      <c r="Q146" s="2">
        <f>ROUND(CR146*I146,2)</f>
        <v>0</v>
      </c>
      <c r="R146" s="2">
        <f>ROUND(CS146*I146,2)</f>
        <v>0</v>
      </c>
      <c r="S146" s="2">
        <f>ROUND(CT146*I146,2)</f>
        <v>0</v>
      </c>
      <c r="T146" s="2">
        <f t="shared" si="101"/>
        <v>0</v>
      </c>
      <c r="U146" s="2">
        <f>ROUND(CV146*I146,7)</f>
        <v>0</v>
      </c>
      <c r="V146" s="2">
        <f>ROUND(CW146*I146,7)</f>
        <v>0</v>
      </c>
      <c r="W146" s="2">
        <f t="shared" si="102"/>
        <v>0</v>
      </c>
      <c r="X146" s="2">
        <f t="shared" si="103"/>
        <v>0</v>
      </c>
      <c r="Y146" s="2">
        <f t="shared" si="104"/>
        <v>0</v>
      </c>
      <c r="Z146" s="2"/>
      <c r="AA146" s="2">
        <v>94104265</v>
      </c>
      <c r="AB146" s="2">
        <f t="shared" si="105"/>
        <v>87665.56</v>
      </c>
      <c r="AC146" s="2">
        <f>ROUND((ES146),6)</f>
        <v>87665.56</v>
      </c>
      <c r="AD146" s="2">
        <f>ROUND((((ET146)-(EU146))+AE146),6)</f>
        <v>0</v>
      </c>
      <c r="AE146" s="2">
        <f>ROUND((EU146),6)</f>
        <v>0</v>
      </c>
      <c r="AF146" s="2">
        <f>ROUND((EV146),6)</f>
        <v>0</v>
      </c>
      <c r="AG146" s="2">
        <f t="shared" si="106"/>
        <v>0</v>
      </c>
      <c r="AH146" s="2">
        <f>(EW146)</f>
        <v>0</v>
      </c>
      <c r="AI146" s="2">
        <f>(EX146)</f>
        <v>0</v>
      </c>
      <c r="AJ146" s="2">
        <f t="shared" si="107"/>
        <v>0</v>
      </c>
      <c r="AK146" s="2">
        <v>87665.56</v>
      </c>
      <c r="AL146" s="2">
        <v>87665.56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90</v>
      </c>
      <c r="AU146" s="2">
        <v>46</v>
      </c>
      <c r="AV146" s="2">
        <v>1</v>
      </c>
      <c r="AW146" s="2">
        <v>1</v>
      </c>
      <c r="AX146" s="2"/>
      <c r="AY146" s="2"/>
      <c r="AZ146" s="2">
        <v>1</v>
      </c>
      <c r="BA146" s="2">
        <v>1</v>
      </c>
      <c r="BB146" s="2">
        <v>1</v>
      </c>
      <c r="BC146" s="2">
        <v>1.75</v>
      </c>
      <c r="BD146" s="2" t="s">
        <v>3</v>
      </c>
      <c r="BE146" s="2" t="s">
        <v>3</v>
      </c>
      <c r="BF146" s="2" t="s">
        <v>3</v>
      </c>
      <c r="BG146" s="2" t="s">
        <v>3</v>
      </c>
      <c r="BH146" s="2">
        <v>3</v>
      </c>
      <c r="BI146" s="2">
        <v>1</v>
      </c>
      <c r="BJ146" s="2" t="s">
        <v>233</v>
      </c>
      <c r="BK146" s="2"/>
      <c r="BL146" s="2"/>
      <c r="BM146" s="2">
        <v>62001</v>
      </c>
      <c r="BN146" s="2">
        <v>0</v>
      </c>
      <c r="BO146" s="2" t="s">
        <v>231</v>
      </c>
      <c r="BP146" s="2">
        <v>1</v>
      </c>
      <c r="BQ146" s="2">
        <v>6</v>
      </c>
      <c r="BR146" s="2">
        <v>0</v>
      </c>
      <c r="BS146" s="2">
        <v>1</v>
      </c>
      <c r="BT146" s="2">
        <v>1</v>
      </c>
      <c r="BU146" s="2">
        <v>1</v>
      </c>
      <c r="BV146" s="2">
        <v>1</v>
      </c>
      <c r="BW146" s="2">
        <v>1</v>
      </c>
      <c r="BX146" s="2">
        <v>1</v>
      </c>
      <c r="BY146" s="2" t="s">
        <v>3</v>
      </c>
      <c r="BZ146" s="2">
        <v>90</v>
      </c>
      <c r="CA146" s="2">
        <v>46</v>
      </c>
      <c r="CB146" s="2" t="s">
        <v>3</v>
      </c>
      <c r="CC146" s="2"/>
      <c r="CD146" s="2"/>
      <c r="CE146" s="2">
        <v>0</v>
      </c>
      <c r="CF146" s="2">
        <v>0</v>
      </c>
      <c r="CG146" s="2">
        <v>0</v>
      </c>
      <c r="CH146" s="2"/>
      <c r="CI146" s="2"/>
      <c r="CJ146" s="2"/>
      <c r="CK146" s="2"/>
      <c r="CL146" s="2"/>
      <c r="CM146" s="2">
        <v>0</v>
      </c>
      <c r="CN146" s="2" t="s">
        <v>3</v>
      </c>
      <c r="CO146" s="2">
        <v>0</v>
      </c>
      <c r="CP146" s="2">
        <f t="shared" si="108"/>
        <v>2065.42</v>
      </c>
      <c r="CQ146" s="2">
        <f>ROUND(AL146*BC146,2)</f>
        <v>153414.73000000001</v>
      </c>
      <c r="CR146" s="2">
        <f>ROUND(AM146*BB146,2)</f>
        <v>0</v>
      </c>
      <c r="CS146" s="2">
        <f>ROUND(AN146*BS146,2)</f>
        <v>0</v>
      </c>
      <c r="CT146" s="2">
        <f>ROUND(AO146*BA146,2)</f>
        <v>0</v>
      </c>
      <c r="CU146" s="2">
        <f t="shared" si="109"/>
        <v>0</v>
      </c>
      <c r="CV146" s="2">
        <f>AH146</f>
        <v>0</v>
      </c>
      <c r="CW146" s="2">
        <f>AI146</f>
        <v>0</v>
      </c>
      <c r="CX146" s="2">
        <f t="shared" si="110"/>
        <v>0</v>
      </c>
      <c r="CY146" s="2">
        <f t="shared" si="111"/>
        <v>0</v>
      </c>
      <c r="CZ146" s="2">
        <f t="shared" si="112"/>
        <v>0</v>
      </c>
      <c r="DA146" s="2"/>
      <c r="DB146" s="2"/>
      <c r="DC146" s="2" t="s">
        <v>3</v>
      </c>
      <c r="DD146" s="2" t="s">
        <v>3</v>
      </c>
      <c r="DE146" s="2" t="s">
        <v>3</v>
      </c>
      <c r="DF146" s="2" t="s">
        <v>3</v>
      </c>
      <c r="DG146" s="2" t="s">
        <v>3</v>
      </c>
      <c r="DH146" s="2" t="s">
        <v>3</v>
      </c>
      <c r="DI146" s="2" t="s">
        <v>3</v>
      </c>
      <c r="DJ146" s="2" t="s">
        <v>3</v>
      </c>
      <c r="DK146" s="2" t="s">
        <v>3</v>
      </c>
      <c r="DL146" s="2" t="s">
        <v>3</v>
      </c>
      <c r="DM146" s="2" t="s">
        <v>3</v>
      </c>
      <c r="DN146" s="2">
        <v>0</v>
      </c>
      <c r="DO146" s="2">
        <v>0</v>
      </c>
      <c r="DP146" s="2">
        <v>1</v>
      </c>
      <c r="DQ146" s="2">
        <v>1</v>
      </c>
      <c r="DR146" s="2"/>
      <c r="DS146" s="2"/>
      <c r="DT146" s="2"/>
      <c r="DU146" s="2">
        <v>1009</v>
      </c>
      <c r="DV146" s="2" t="s">
        <v>30</v>
      </c>
      <c r="DW146" s="2" t="s">
        <v>30</v>
      </c>
      <c r="DX146" s="2">
        <v>1000</v>
      </c>
      <c r="DY146" s="2"/>
      <c r="DZ146" s="2" t="s">
        <v>3</v>
      </c>
      <c r="EA146" s="2" t="s">
        <v>3</v>
      </c>
      <c r="EB146" s="2" t="s">
        <v>3</v>
      </c>
      <c r="EC146" s="2" t="s">
        <v>3</v>
      </c>
      <c r="ED146" s="2"/>
      <c r="EE146" s="2">
        <v>89977076</v>
      </c>
      <c r="EF146" s="2">
        <v>6</v>
      </c>
      <c r="EG146" s="2" t="s">
        <v>22</v>
      </c>
      <c r="EH146" s="2">
        <v>96</v>
      </c>
      <c r="EI146" s="2" t="s">
        <v>121</v>
      </c>
      <c r="EJ146" s="2">
        <v>1</v>
      </c>
      <c r="EK146" s="2">
        <v>62001</v>
      </c>
      <c r="EL146" s="2" t="s">
        <v>121</v>
      </c>
      <c r="EM146" s="2" t="s">
        <v>122</v>
      </c>
      <c r="EN146" s="2"/>
      <c r="EO146" s="2" t="s">
        <v>3</v>
      </c>
      <c r="EP146" s="2"/>
      <c r="EQ146" s="2">
        <v>0</v>
      </c>
      <c r="ER146" s="2">
        <v>87665.56</v>
      </c>
      <c r="ES146" s="2">
        <v>87665.56</v>
      </c>
      <c r="ET146" s="2">
        <v>0</v>
      </c>
      <c r="EU146" s="2">
        <v>0</v>
      </c>
      <c r="EV146" s="2">
        <v>0</v>
      </c>
      <c r="EW146" s="2">
        <v>0</v>
      </c>
      <c r="EX146" s="2">
        <v>0</v>
      </c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>
        <v>0</v>
      </c>
      <c r="FR146" s="2">
        <v>0</v>
      </c>
      <c r="FS146" s="2">
        <v>0</v>
      </c>
      <c r="FT146" s="2"/>
      <c r="FU146" s="2"/>
      <c r="FV146" s="2"/>
      <c r="FW146" s="2"/>
      <c r="FX146" s="2">
        <v>90</v>
      </c>
      <c r="FY146" s="2">
        <v>46</v>
      </c>
      <c r="FZ146" s="2"/>
      <c r="GA146" s="2" t="s">
        <v>3</v>
      </c>
      <c r="GB146" s="2"/>
      <c r="GC146" s="2"/>
      <c r="GD146" s="2">
        <v>1</v>
      </c>
      <c r="GE146" s="2"/>
      <c r="GF146" s="2">
        <v>88817008</v>
      </c>
      <c r="GG146" s="2">
        <v>2</v>
      </c>
      <c r="GH146" s="2">
        <v>1</v>
      </c>
      <c r="GI146" s="2">
        <v>2</v>
      </c>
      <c r="GJ146" s="2">
        <v>0</v>
      </c>
      <c r="GK146" s="2">
        <v>0</v>
      </c>
      <c r="GL146" s="2">
        <f t="shared" si="113"/>
        <v>0</v>
      </c>
      <c r="GM146" s="2">
        <f t="shared" si="114"/>
        <v>2065.42</v>
      </c>
      <c r="GN146" s="2">
        <f t="shared" si="115"/>
        <v>2065.42</v>
      </c>
      <c r="GO146" s="2">
        <f t="shared" si="116"/>
        <v>0</v>
      </c>
      <c r="GP146" s="2">
        <f t="shared" si="117"/>
        <v>0</v>
      </c>
      <c r="GQ146" s="2"/>
      <c r="GR146" s="2">
        <v>0</v>
      </c>
      <c r="GS146" s="2">
        <v>3</v>
      </c>
      <c r="GT146" s="2">
        <v>0</v>
      </c>
      <c r="GU146" s="2" t="s">
        <v>3</v>
      </c>
      <c r="GV146" s="2">
        <f t="shared" si="118"/>
        <v>0</v>
      </c>
      <c r="GW146" s="2">
        <v>1</v>
      </c>
      <c r="GX146" s="2">
        <f t="shared" si="119"/>
        <v>0</v>
      </c>
      <c r="GY146" s="2"/>
      <c r="GZ146" s="2"/>
      <c r="HA146" s="2">
        <v>0</v>
      </c>
      <c r="HB146" s="2">
        <v>0</v>
      </c>
      <c r="HC146" s="2">
        <f t="shared" si="120"/>
        <v>0</v>
      </c>
      <c r="HD146" s="2"/>
      <c r="HE146" s="2" t="s">
        <v>3</v>
      </c>
      <c r="HF146" s="2" t="s">
        <v>3</v>
      </c>
      <c r="HG146" s="2"/>
      <c r="HH146" s="2"/>
      <c r="HI146" s="2"/>
      <c r="HJ146" s="2"/>
      <c r="HK146" s="2"/>
      <c r="HL146" s="2"/>
      <c r="HM146" s="2" t="s">
        <v>3</v>
      </c>
      <c r="HN146" s="2" t="s">
        <v>123</v>
      </c>
      <c r="HO146" s="2" t="s">
        <v>124</v>
      </c>
      <c r="HP146" s="2" t="s">
        <v>121</v>
      </c>
      <c r="HQ146" s="2" t="s">
        <v>121</v>
      </c>
      <c r="HR146" s="2"/>
      <c r="HS146" s="2">
        <v>0</v>
      </c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>
        <v>0</v>
      </c>
      <c r="IL146" s="2"/>
      <c r="IM146" s="2"/>
      <c r="IN146" s="2"/>
      <c r="IO146" s="2"/>
      <c r="IP146" s="2"/>
      <c r="IQ146" s="2"/>
      <c r="IR146" s="2"/>
      <c r="IS146" s="2"/>
      <c r="IT146" s="2"/>
      <c r="IU146" s="2"/>
    </row>
    <row r="147" spans="1:255" x14ac:dyDescent="0.2">
      <c r="A147" s="2">
        <v>17</v>
      </c>
      <c r="B147" s="2">
        <v>1</v>
      </c>
      <c r="C147" s="2">
        <f>ROW(SmtRes!A156)</f>
        <v>156</v>
      </c>
      <c r="D147" s="2">
        <f>ROW(EtalonRes!A156)</f>
        <v>156</v>
      </c>
      <c r="E147" s="2" t="s">
        <v>234</v>
      </c>
      <c r="F147" s="2" t="s">
        <v>18</v>
      </c>
      <c r="G147" s="2" t="s">
        <v>19</v>
      </c>
      <c r="H147" s="2" t="s">
        <v>20</v>
      </c>
      <c r="I147" s="2">
        <f>ROUND((2.2*1.2*1.2)/100,7)</f>
        <v>3.168E-2</v>
      </c>
      <c r="J147" s="2">
        <v>0</v>
      </c>
      <c r="K147" s="2">
        <f>ROUND((2.2*1.2*1.2)/100,7)</f>
        <v>3.168E-2</v>
      </c>
      <c r="L147" s="2"/>
      <c r="M147" s="2"/>
      <c r="N147" s="2"/>
      <c r="O147" s="2">
        <f t="shared" si="100"/>
        <v>1610.02</v>
      </c>
      <c r="P147" s="2">
        <f>SUMIF(SmtRes!AQ153:'SmtRes'!AQ156,"=1",SmtRes!DF153:'SmtRes'!DF156)</f>
        <v>0</v>
      </c>
      <c r="Q147" s="2">
        <f>SUMIF(SmtRes!AQ153:'SmtRes'!AQ156,"=1",SmtRes!DG153:'SmtRes'!DG156)</f>
        <v>1.47</v>
      </c>
      <c r="R147" s="2">
        <f>SUMIF(SmtRes!AQ153:'SmtRes'!AQ156,"=1",SmtRes!DH153:'SmtRes'!DH156)</f>
        <v>16.25</v>
      </c>
      <c r="S147" s="2">
        <f>SUMIF(SmtRes!AQ153:'SmtRes'!AQ156,"=1",SmtRes!DI153:'SmtRes'!DI156)</f>
        <v>1592.3</v>
      </c>
      <c r="T147" s="2">
        <f t="shared" si="101"/>
        <v>0</v>
      </c>
      <c r="U147" s="2">
        <f>SUMIF(SmtRes!AQ153:'SmtRes'!AQ156,"=1",SmtRes!CV153:'SmtRes'!CV156)</f>
        <v>2.4944831999999999</v>
      </c>
      <c r="V147" s="2">
        <f>SUMIF(SmtRes!AQ153:'SmtRes'!AQ156,"=1",SmtRes!CW153:'SmtRes'!CW156)</f>
        <v>2.5027199999999999E-2</v>
      </c>
      <c r="W147" s="2">
        <f t="shared" si="102"/>
        <v>0</v>
      </c>
      <c r="X147" s="2">
        <f t="shared" si="103"/>
        <v>1431.61</v>
      </c>
      <c r="Y147" s="2">
        <f t="shared" si="104"/>
        <v>788.19</v>
      </c>
      <c r="Z147" s="2"/>
      <c r="AA147" s="2">
        <v>94104265</v>
      </c>
      <c r="AB147" s="2">
        <f t="shared" si="105"/>
        <v>50291.587</v>
      </c>
      <c r="AC147" s="2">
        <f>ROUND((0),6)</f>
        <v>0</v>
      </c>
      <c r="AD147" s="2">
        <f>ROUND((((SUM(SmtRes!BR153:'SmtRes'!BR156))-(SUM(SmtRes!BS153:'SmtRes'!BS156)))+AE147),6)</f>
        <v>29.482800000000001</v>
      </c>
      <c r="AE147" s="2">
        <f>ROUND((SUM(SmtRes!BS153:'SmtRes'!BS156)),6)</f>
        <v>512.89959999999996</v>
      </c>
      <c r="AF147" s="2">
        <f>ROUND((SUM(SmtRes!BT153:'SmtRes'!BT156)),6)</f>
        <v>50262.104200000002</v>
      </c>
      <c r="AG147" s="2">
        <f t="shared" si="106"/>
        <v>0</v>
      </c>
      <c r="AH147" s="2">
        <f>(SUM(SmtRes!BU153:'SmtRes'!BU156))</f>
        <v>78.739999999999995</v>
      </c>
      <c r="AI147" s="2">
        <f>(SUM(SmtRes!BV153:'SmtRes'!BV156))</f>
        <v>0.79</v>
      </c>
      <c r="AJ147" s="2">
        <f t="shared" si="107"/>
        <v>0</v>
      </c>
      <c r="AK147" s="2">
        <v>50804.486599999997</v>
      </c>
      <c r="AL147" s="2">
        <v>0</v>
      </c>
      <c r="AM147" s="2">
        <v>29.482800000000001</v>
      </c>
      <c r="AN147" s="2">
        <v>512.89960000000008</v>
      </c>
      <c r="AO147" s="2">
        <v>50262.104200000002</v>
      </c>
      <c r="AP147" s="2">
        <v>0</v>
      </c>
      <c r="AQ147" s="2">
        <v>78.739999999999995</v>
      </c>
      <c r="AR147" s="2">
        <v>0.79</v>
      </c>
      <c r="AS147" s="2">
        <v>0</v>
      </c>
      <c r="AT147" s="2">
        <v>89</v>
      </c>
      <c r="AU147" s="2">
        <v>49</v>
      </c>
      <c r="AV147" s="2">
        <v>1</v>
      </c>
      <c r="AW147" s="2">
        <v>1</v>
      </c>
      <c r="AX147" s="2"/>
      <c r="AY147" s="2"/>
      <c r="AZ147" s="2">
        <v>1</v>
      </c>
      <c r="BA147" s="2">
        <v>1</v>
      </c>
      <c r="BB147" s="2">
        <v>1</v>
      </c>
      <c r="BC147" s="2">
        <v>1</v>
      </c>
      <c r="BD147" s="2" t="s">
        <v>3</v>
      </c>
      <c r="BE147" s="2" t="s">
        <v>3</v>
      </c>
      <c r="BF147" s="2" t="s">
        <v>3</v>
      </c>
      <c r="BG147" s="2" t="s">
        <v>3</v>
      </c>
      <c r="BH147" s="2">
        <v>0</v>
      </c>
      <c r="BI147" s="2">
        <v>1</v>
      </c>
      <c r="BJ147" s="2" t="s">
        <v>21</v>
      </c>
      <c r="BK147" s="2"/>
      <c r="BL147" s="2"/>
      <c r="BM147" s="2">
        <v>57001</v>
      </c>
      <c r="BN147" s="2">
        <v>0</v>
      </c>
      <c r="BO147" s="2" t="s">
        <v>3</v>
      </c>
      <c r="BP147" s="2">
        <v>0</v>
      </c>
      <c r="BQ147" s="2">
        <v>6</v>
      </c>
      <c r="BR147" s="2">
        <v>0</v>
      </c>
      <c r="BS147" s="2">
        <v>1</v>
      </c>
      <c r="BT147" s="2">
        <v>1</v>
      </c>
      <c r="BU147" s="2">
        <v>1</v>
      </c>
      <c r="BV147" s="2">
        <v>1</v>
      </c>
      <c r="BW147" s="2">
        <v>1</v>
      </c>
      <c r="BX147" s="2">
        <v>1</v>
      </c>
      <c r="BY147" s="2" t="s">
        <v>3</v>
      </c>
      <c r="BZ147" s="2">
        <v>89</v>
      </c>
      <c r="CA147" s="2">
        <v>49</v>
      </c>
      <c r="CB147" s="2" t="s">
        <v>3</v>
      </c>
      <c r="CC147" s="2"/>
      <c r="CD147" s="2"/>
      <c r="CE147" s="2">
        <v>0</v>
      </c>
      <c r="CF147" s="2">
        <v>0</v>
      </c>
      <c r="CG147" s="2">
        <v>0</v>
      </c>
      <c r="CH147" s="2"/>
      <c r="CI147" s="2"/>
      <c r="CJ147" s="2"/>
      <c r="CK147" s="2"/>
      <c r="CL147" s="2"/>
      <c r="CM147" s="2">
        <v>0</v>
      </c>
      <c r="CN147" s="2" t="s">
        <v>3</v>
      </c>
      <c r="CO147" s="2">
        <v>0</v>
      </c>
      <c r="CP147" s="2">
        <f t="shared" si="108"/>
        <v>1610.02</v>
      </c>
      <c r="CQ147" s="2">
        <f>SUMIF(SmtRes!AQ153:'SmtRes'!AQ156,"=1",SmtRes!AA153:'SmtRes'!AA156)</f>
        <v>0</v>
      </c>
      <c r="CR147" s="2">
        <f>SUMIF(SmtRes!AQ153:'SmtRes'!AQ156,"=1",SmtRes!AB153:'SmtRes'!AB156)</f>
        <v>58.59</v>
      </c>
      <c r="CS147" s="2">
        <f>SUMIF(SmtRes!AQ153:'SmtRes'!AQ156,"=1",SmtRes!AC153:'SmtRes'!AC156)</f>
        <v>649.24</v>
      </c>
      <c r="CT147" s="2">
        <f>SUMIF(SmtRes!AQ153:'SmtRes'!AQ156,"=1",SmtRes!AD153:'SmtRes'!AD156)</f>
        <v>638.33000000000004</v>
      </c>
      <c r="CU147" s="2">
        <f t="shared" si="109"/>
        <v>0</v>
      </c>
      <c r="CV147" s="2">
        <f>SUMIF(SmtRes!AQ153:'SmtRes'!AQ156,"=1",SmtRes!BU153:'SmtRes'!BU156)</f>
        <v>78.739999999999995</v>
      </c>
      <c r="CW147" s="2">
        <f>SUMIF(SmtRes!AQ153:'SmtRes'!AQ156,"=1",SmtRes!BV153:'SmtRes'!BV156)</f>
        <v>0.79</v>
      </c>
      <c r="CX147" s="2">
        <f t="shared" si="110"/>
        <v>0</v>
      </c>
      <c r="CY147" s="2">
        <f t="shared" si="111"/>
        <v>1431.6094999999998</v>
      </c>
      <c r="CZ147" s="2">
        <f t="shared" si="112"/>
        <v>788.18949999999995</v>
      </c>
      <c r="DA147" s="2"/>
      <c r="DB147" s="2"/>
      <c r="DC147" s="2" t="s">
        <v>3</v>
      </c>
      <c r="DD147" s="2" t="s">
        <v>3</v>
      </c>
      <c r="DE147" s="2" t="s">
        <v>3</v>
      </c>
      <c r="DF147" s="2" t="s">
        <v>3</v>
      </c>
      <c r="DG147" s="2" t="s">
        <v>3</v>
      </c>
      <c r="DH147" s="2" t="s">
        <v>3</v>
      </c>
      <c r="DI147" s="2" t="s">
        <v>3</v>
      </c>
      <c r="DJ147" s="2" t="s">
        <v>3</v>
      </c>
      <c r="DK147" s="2" t="s">
        <v>3</v>
      </c>
      <c r="DL147" s="2" t="s">
        <v>3</v>
      </c>
      <c r="DM147" s="2" t="s">
        <v>3</v>
      </c>
      <c r="DN147" s="2">
        <v>0</v>
      </c>
      <c r="DO147" s="2">
        <v>0</v>
      </c>
      <c r="DP147" s="2">
        <v>1</v>
      </c>
      <c r="DQ147" s="2">
        <v>1</v>
      </c>
      <c r="DR147" s="2"/>
      <c r="DS147" s="2"/>
      <c r="DT147" s="2"/>
      <c r="DU147" s="2">
        <v>1005</v>
      </c>
      <c r="DV147" s="2" t="s">
        <v>20</v>
      </c>
      <c r="DW147" s="2" t="s">
        <v>20</v>
      </c>
      <c r="DX147" s="2">
        <v>100</v>
      </c>
      <c r="DY147" s="2"/>
      <c r="DZ147" s="2" t="s">
        <v>3</v>
      </c>
      <c r="EA147" s="2" t="s">
        <v>3</v>
      </c>
      <c r="EB147" s="2" t="s">
        <v>3</v>
      </c>
      <c r="EC147" s="2" t="s">
        <v>3</v>
      </c>
      <c r="ED147" s="2"/>
      <c r="EE147" s="2">
        <v>89977071</v>
      </c>
      <c r="EF147" s="2">
        <v>6</v>
      </c>
      <c r="EG147" s="2" t="s">
        <v>22</v>
      </c>
      <c r="EH147" s="2">
        <v>11</v>
      </c>
      <c r="EI147" s="2" t="s">
        <v>23</v>
      </c>
      <c r="EJ147" s="2">
        <v>1</v>
      </c>
      <c r="EK147" s="2">
        <v>57001</v>
      </c>
      <c r="EL147" s="2" t="s">
        <v>23</v>
      </c>
      <c r="EM147" s="2" t="s">
        <v>24</v>
      </c>
      <c r="EN147" s="2"/>
      <c r="EO147" s="2" t="s">
        <v>3</v>
      </c>
      <c r="EP147" s="2"/>
      <c r="EQ147" s="2">
        <v>0</v>
      </c>
      <c r="ER147" s="2">
        <v>0</v>
      </c>
      <c r="ES147" s="2">
        <v>0</v>
      </c>
      <c r="ET147" s="2">
        <v>0</v>
      </c>
      <c r="EU147" s="2">
        <v>0</v>
      </c>
      <c r="EV147" s="2">
        <v>0</v>
      </c>
      <c r="EW147" s="2">
        <v>78.739999999999995</v>
      </c>
      <c r="EX147" s="2">
        <v>0.79</v>
      </c>
      <c r="EY147" s="2">
        <v>0</v>
      </c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>
        <v>0</v>
      </c>
      <c r="FR147" s="2">
        <v>0</v>
      </c>
      <c r="FS147" s="2">
        <v>0</v>
      </c>
      <c r="FT147" s="2"/>
      <c r="FU147" s="2"/>
      <c r="FV147" s="2"/>
      <c r="FW147" s="2"/>
      <c r="FX147" s="2">
        <v>89</v>
      </c>
      <c r="FY147" s="2">
        <v>49</v>
      </c>
      <c r="FZ147" s="2"/>
      <c r="GA147" s="2" t="s">
        <v>3</v>
      </c>
      <c r="GB147" s="2"/>
      <c r="GC147" s="2"/>
      <c r="GD147" s="2">
        <v>1</v>
      </c>
      <c r="GE147" s="2"/>
      <c r="GF147" s="2">
        <v>-841444139</v>
      </c>
      <c r="GG147" s="2">
        <v>2</v>
      </c>
      <c r="GH147" s="2">
        <v>1</v>
      </c>
      <c r="GI147" s="2">
        <v>-2</v>
      </c>
      <c r="GJ147" s="2">
        <v>0</v>
      </c>
      <c r="GK147" s="2">
        <v>0</v>
      </c>
      <c r="GL147" s="2">
        <f t="shared" si="113"/>
        <v>0</v>
      </c>
      <c r="GM147" s="2">
        <f t="shared" si="114"/>
        <v>3829.82</v>
      </c>
      <c r="GN147" s="2">
        <f t="shared" si="115"/>
        <v>3829.82</v>
      </c>
      <c r="GO147" s="2">
        <f t="shared" si="116"/>
        <v>0</v>
      </c>
      <c r="GP147" s="2">
        <f t="shared" si="117"/>
        <v>0</v>
      </c>
      <c r="GQ147" s="2"/>
      <c r="GR147" s="2">
        <v>0</v>
      </c>
      <c r="GS147" s="2">
        <v>3</v>
      </c>
      <c r="GT147" s="2">
        <v>0</v>
      </c>
      <c r="GU147" s="2" t="s">
        <v>3</v>
      </c>
      <c r="GV147" s="2">
        <f t="shared" si="118"/>
        <v>0</v>
      </c>
      <c r="GW147" s="2">
        <v>1</v>
      </c>
      <c r="GX147" s="2">
        <f t="shared" si="119"/>
        <v>0</v>
      </c>
      <c r="GY147" s="2"/>
      <c r="GZ147" s="2"/>
      <c r="HA147" s="2">
        <v>0</v>
      </c>
      <c r="HB147" s="2">
        <v>0</v>
      </c>
      <c r="HC147" s="2">
        <f t="shared" si="120"/>
        <v>0</v>
      </c>
      <c r="HD147" s="2"/>
      <c r="HE147" s="2" t="s">
        <v>3</v>
      </c>
      <c r="HF147" s="2" t="s">
        <v>3</v>
      </c>
      <c r="HG147" s="2"/>
      <c r="HH147" s="2"/>
      <c r="HI147" s="2"/>
      <c r="HJ147" s="2"/>
      <c r="HK147" s="2"/>
      <c r="HL147" s="2"/>
      <c r="HM147" s="2" t="s">
        <v>3</v>
      </c>
      <c r="HN147" s="2" t="s">
        <v>25</v>
      </c>
      <c r="HO147" s="2" t="s">
        <v>26</v>
      </c>
      <c r="HP147" s="2" t="s">
        <v>23</v>
      </c>
      <c r="HQ147" s="2" t="s">
        <v>23</v>
      </c>
      <c r="HR147" s="2"/>
      <c r="HS147" s="2">
        <v>0</v>
      </c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>
        <v>0</v>
      </c>
      <c r="IL147" s="2"/>
      <c r="IM147" s="2"/>
      <c r="IN147" s="2"/>
      <c r="IO147" s="2"/>
      <c r="IP147" s="2"/>
      <c r="IQ147" s="2"/>
      <c r="IR147" s="2"/>
      <c r="IS147" s="2"/>
      <c r="IT147" s="2"/>
      <c r="IU147" s="2"/>
    </row>
    <row r="148" spans="1:255" x14ac:dyDescent="0.2">
      <c r="A148" s="2">
        <v>18</v>
      </c>
      <c r="B148" s="2">
        <v>1</v>
      </c>
      <c r="C148" s="2">
        <v>156</v>
      </c>
      <c r="D148" s="2"/>
      <c r="E148" s="2" t="s">
        <v>235</v>
      </c>
      <c r="F148" s="2" t="s">
        <v>28</v>
      </c>
      <c r="G148" s="2" t="s">
        <v>29</v>
      </c>
      <c r="H148" s="2" t="s">
        <v>30</v>
      </c>
      <c r="I148" s="2">
        <f>I147*J148</f>
        <v>0.13622400000000001</v>
      </c>
      <c r="J148" s="2">
        <v>4.3000000000000007</v>
      </c>
      <c r="K148" s="2">
        <v>4.3</v>
      </c>
      <c r="L148" s="2"/>
      <c r="M148" s="2"/>
      <c r="N148" s="2"/>
      <c r="O148" s="2">
        <f t="shared" si="100"/>
        <v>0</v>
      </c>
      <c r="P148" s="2">
        <f>ROUND(CQ148*I148,2)</f>
        <v>0</v>
      </c>
      <c r="Q148" s="2">
        <f>ROUND(CR148*I148,2)</f>
        <v>0</v>
      </c>
      <c r="R148" s="2">
        <f>ROUND(CS148*I148,2)</f>
        <v>0</v>
      </c>
      <c r="S148" s="2">
        <f>ROUND(CT148*I148,2)</f>
        <v>0</v>
      </c>
      <c r="T148" s="2">
        <f t="shared" si="101"/>
        <v>0</v>
      </c>
      <c r="U148" s="2">
        <f>ROUND(CV148*I148,7)</f>
        <v>0</v>
      </c>
      <c r="V148" s="2">
        <f>ROUND(CW148*I148,7)</f>
        <v>0</v>
      </c>
      <c r="W148" s="2">
        <f t="shared" si="102"/>
        <v>0</v>
      </c>
      <c r="X148" s="2">
        <f t="shared" si="103"/>
        <v>0</v>
      </c>
      <c r="Y148" s="2">
        <f t="shared" si="104"/>
        <v>0</v>
      </c>
      <c r="Z148" s="2"/>
      <c r="AA148" s="2">
        <v>94104265</v>
      </c>
      <c r="AB148" s="2">
        <f t="shared" si="105"/>
        <v>0</v>
      </c>
      <c r="AC148" s="2">
        <f>ROUND((ES148),6)</f>
        <v>0</v>
      </c>
      <c r="AD148" s="2">
        <f>ROUND((((ET148)-(EU148))+AE148),6)</f>
        <v>0</v>
      </c>
      <c r="AE148" s="2">
        <f>ROUND((EU148),6)</f>
        <v>0</v>
      </c>
      <c r="AF148" s="2">
        <f>ROUND((EV148),6)</f>
        <v>0</v>
      </c>
      <c r="AG148" s="2">
        <f t="shared" si="106"/>
        <v>0</v>
      </c>
      <c r="AH148" s="2">
        <f>(EW148)</f>
        <v>0</v>
      </c>
      <c r="AI148" s="2">
        <f>(EX148)</f>
        <v>0</v>
      </c>
      <c r="AJ148" s="2">
        <f t="shared" si="107"/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89</v>
      </c>
      <c r="AU148" s="2">
        <v>49</v>
      </c>
      <c r="AV148" s="2">
        <v>1</v>
      </c>
      <c r="AW148" s="2">
        <v>1</v>
      </c>
      <c r="AX148" s="2"/>
      <c r="AY148" s="2"/>
      <c r="AZ148" s="2">
        <v>1</v>
      </c>
      <c r="BA148" s="2">
        <v>1</v>
      </c>
      <c r="BB148" s="2">
        <v>1</v>
      </c>
      <c r="BC148" s="2">
        <v>1</v>
      </c>
      <c r="BD148" s="2" t="s">
        <v>3</v>
      </c>
      <c r="BE148" s="2" t="s">
        <v>3</v>
      </c>
      <c r="BF148" s="2" t="s">
        <v>3</v>
      </c>
      <c r="BG148" s="2" t="s">
        <v>3</v>
      </c>
      <c r="BH148" s="2">
        <v>3</v>
      </c>
      <c r="BI148" s="2">
        <v>1</v>
      </c>
      <c r="BJ148" s="2" t="s">
        <v>3</v>
      </c>
      <c r="BK148" s="2"/>
      <c r="BL148" s="2"/>
      <c r="BM148" s="2">
        <v>57001</v>
      </c>
      <c r="BN148" s="2">
        <v>0</v>
      </c>
      <c r="BO148" s="2" t="s">
        <v>3</v>
      </c>
      <c r="BP148" s="2">
        <v>0</v>
      </c>
      <c r="BQ148" s="2">
        <v>6</v>
      </c>
      <c r="BR148" s="2">
        <v>0</v>
      </c>
      <c r="BS148" s="2">
        <v>1</v>
      </c>
      <c r="BT148" s="2">
        <v>1</v>
      </c>
      <c r="BU148" s="2">
        <v>1</v>
      </c>
      <c r="BV148" s="2">
        <v>1</v>
      </c>
      <c r="BW148" s="2">
        <v>1</v>
      </c>
      <c r="BX148" s="2">
        <v>1</v>
      </c>
      <c r="BY148" s="2" t="s">
        <v>3</v>
      </c>
      <c r="BZ148" s="2">
        <v>89</v>
      </c>
      <c r="CA148" s="2">
        <v>49</v>
      </c>
      <c r="CB148" s="2" t="s">
        <v>3</v>
      </c>
      <c r="CC148" s="2"/>
      <c r="CD148" s="2"/>
      <c r="CE148" s="2">
        <v>0</v>
      </c>
      <c r="CF148" s="2">
        <v>0</v>
      </c>
      <c r="CG148" s="2">
        <v>0</v>
      </c>
      <c r="CH148" s="2"/>
      <c r="CI148" s="2"/>
      <c r="CJ148" s="2"/>
      <c r="CK148" s="2"/>
      <c r="CL148" s="2"/>
      <c r="CM148" s="2">
        <v>0</v>
      </c>
      <c r="CN148" s="2" t="s">
        <v>3</v>
      </c>
      <c r="CO148" s="2">
        <v>0</v>
      </c>
      <c r="CP148" s="2">
        <f t="shared" si="108"/>
        <v>0</v>
      </c>
      <c r="CQ148" s="2">
        <f>ROUND(AL148*BC148,2)</f>
        <v>0</v>
      </c>
      <c r="CR148" s="2">
        <f>ROUND(AM148*BB148,2)</f>
        <v>0</v>
      </c>
      <c r="CS148" s="2">
        <f>ROUND(AN148*BS148,2)</f>
        <v>0</v>
      </c>
      <c r="CT148" s="2">
        <f>ROUND(AO148*BA148,2)</f>
        <v>0</v>
      </c>
      <c r="CU148" s="2">
        <f t="shared" si="109"/>
        <v>0</v>
      </c>
      <c r="CV148" s="2">
        <f>AH148</f>
        <v>0</v>
      </c>
      <c r="CW148" s="2">
        <f>AI148</f>
        <v>0</v>
      </c>
      <c r="CX148" s="2">
        <f t="shared" si="110"/>
        <v>0</v>
      </c>
      <c r="CY148" s="2">
        <f t="shared" si="111"/>
        <v>0</v>
      </c>
      <c r="CZ148" s="2">
        <f t="shared" si="112"/>
        <v>0</v>
      </c>
      <c r="DA148" s="2"/>
      <c r="DB148" s="2"/>
      <c r="DC148" s="2" t="s">
        <v>3</v>
      </c>
      <c r="DD148" s="2" t="s">
        <v>3</v>
      </c>
      <c r="DE148" s="2" t="s">
        <v>3</v>
      </c>
      <c r="DF148" s="2" t="s">
        <v>3</v>
      </c>
      <c r="DG148" s="2" t="s">
        <v>3</v>
      </c>
      <c r="DH148" s="2" t="s">
        <v>3</v>
      </c>
      <c r="DI148" s="2" t="s">
        <v>3</v>
      </c>
      <c r="DJ148" s="2" t="s">
        <v>3</v>
      </c>
      <c r="DK148" s="2" t="s">
        <v>3</v>
      </c>
      <c r="DL148" s="2" t="s">
        <v>3</v>
      </c>
      <c r="DM148" s="2" t="s">
        <v>3</v>
      </c>
      <c r="DN148" s="2">
        <v>0</v>
      </c>
      <c r="DO148" s="2">
        <v>0</v>
      </c>
      <c r="DP148" s="2">
        <v>1</v>
      </c>
      <c r="DQ148" s="2">
        <v>1</v>
      </c>
      <c r="DR148" s="2"/>
      <c r="DS148" s="2"/>
      <c r="DT148" s="2"/>
      <c r="DU148" s="2">
        <v>1009</v>
      </c>
      <c r="DV148" s="2" t="s">
        <v>30</v>
      </c>
      <c r="DW148" s="2" t="s">
        <v>30</v>
      </c>
      <c r="DX148" s="2">
        <v>1000</v>
      </c>
      <c r="DY148" s="2"/>
      <c r="DZ148" s="2" t="s">
        <v>3</v>
      </c>
      <c r="EA148" s="2" t="s">
        <v>3</v>
      </c>
      <c r="EB148" s="2" t="s">
        <v>3</v>
      </c>
      <c r="EC148" s="2" t="s">
        <v>3</v>
      </c>
      <c r="ED148" s="2"/>
      <c r="EE148" s="2">
        <v>89977071</v>
      </c>
      <c r="EF148" s="2">
        <v>6</v>
      </c>
      <c r="EG148" s="2" t="s">
        <v>22</v>
      </c>
      <c r="EH148" s="2">
        <v>11</v>
      </c>
      <c r="EI148" s="2" t="s">
        <v>23</v>
      </c>
      <c r="EJ148" s="2">
        <v>1</v>
      </c>
      <c r="EK148" s="2">
        <v>57001</v>
      </c>
      <c r="EL148" s="2" t="s">
        <v>23</v>
      </c>
      <c r="EM148" s="2" t="s">
        <v>24</v>
      </c>
      <c r="EN148" s="2"/>
      <c r="EO148" s="2" t="s">
        <v>3</v>
      </c>
      <c r="EP148" s="2"/>
      <c r="EQ148" s="2">
        <v>0</v>
      </c>
      <c r="ER148" s="2">
        <v>0</v>
      </c>
      <c r="ES148" s="2">
        <v>0</v>
      </c>
      <c r="ET148" s="2">
        <v>0</v>
      </c>
      <c r="EU148" s="2">
        <v>0</v>
      </c>
      <c r="EV148" s="2">
        <v>0</v>
      </c>
      <c r="EW148" s="2">
        <v>0</v>
      </c>
      <c r="EX148" s="2">
        <v>0</v>
      </c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>
        <v>0</v>
      </c>
      <c r="FR148" s="2">
        <v>0</v>
      </c>
      <c r="FS148" s="2">
        <v>0</v>
      </c>
      <c r="FT148" s="2"/>
      <c r="FU148" s="2"/>
      <c r="FV148" s="2"/>
      <c r="FW148" s="2"/>
      <c r="FX148" s="2">
        <v>89</v>
      </c>
      <c r="FY148" s="2">
        <v>49</v>
      </c>
      <c r="FZ148" s="2"/>
      <c r="GA148" s="2" t="s">
        <v>3</v>
      </c>
      <c r="GB148" s="2"/>
      <c r="GC148" s="2"/>
      <c r="GD148" s="2">
        <v>1</v>
      </c>
      <c r="GE148" s="2"/>
      <c r="GF148" s="2">
        <v>2102561428</v>
      </c>
      <c r="GG148" s="2">
        <v>2</v>
      </c>
      <c r="GH148" s="2">
        <v>1</v>
      </c>
      <c r="GI148" s="2">
        <v>-2</v>
      </c>
      <c r="GJ148" s="2">
        <v>0</v>
      </c>
      <c r="GK148" s="2">
        <v>0</v>
      </c>
      <c r="GL148" s="2">
        <f t="shared" si="113"/>
        <v>0</v>
      </c>
      <c r="GM148" s="2">
        <f t="shared" si="114"/>
        <v>0</v>
      </c>
      <c r="GN148" s="2">
        <f t="shared" si="115"/>
        <v>0</v>
      </c>
      <c r="GO148" s="2">
        <f t="shared" si="116"/>
        <v>0</v>
      </c>
      <c r="GP148" s="2">
        <f t="shared" si="117"/>
        <v>0</v>
      </c>
      <c r="GQ148" s="2"/>
      <c r="GR148" s="2">
        <v>0</v>
      </c>
      <c r="GS148" s="2">
        <v>3</v>
      </c>
      <c r="GT148" s="2">
        <v>0</v>
      </c>
      <c r="GU148" s="2" t="s">
        <v>3</v>
      </c>
      <c r="GV148" s="2">
        <f t="shared" si="118"/>
        <v>0</v>
      </c>
      <c r="GW148" s="2">
        <v>1</v>
      </c>
      <c r="GX148" s="2">
        <f t="shared" si="119"/>
        <v>0</v>
      </c>
      <c r="GY148" s="2"/>
      <c r="GZ148" s="2"/>
      <c r="HA148" s="2">
        <v>0</v>
      </c>
      <c r="HB148" s="2">
        <v>0</v>
      </c>
      <c r="HC148" s="2">
        <f t="shared" si="120"/>
        <v>0</v>
      </c>
      <c r="HD148" s="2"/>
      <c r="HE148" s="2" t="s">
        <v>3</v>
      </c>
      <c r="HF148" s="2" t="s">
        <v>3</v>
      </c>
      <c r="HG148" s="2"/>
      <c r="HH148" s="2"/>
      <c r="HI148" s="2"/>
      <c r="HJ148" s="2"/>
      <c r="HK148" s="2"/>
      <c r="HL148" s="2"/>
      <c r="HM148" s="2" t="s">
        <v>3</v>
      </c>
      <c r="HN148" s="2" t="s">
        <v>25</v>
      </c>
      <c r="HO148" s="2" t="s">
        <v>26</v>
      </c>
      <c r="HP148" s="2" t="s">
        <v>23</v>
      </c>
      <c r="HQ148" s="2" t="s">
        <v>23</v>
      </c>
      <c r="HR148" s="2"/>
      <c r="HS148" s="2">
        <v>0</v>
      </c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>
        <v>0</v>
      </c>
      <c r="IL148" s="2"/>
      <c r="IM148" s="2"/>
      <c r="IN148" s="2"/>
      <c r="IO148" s="2"/>
      <c r="IP148" s="2"/>
      <c r="IQ148" s="2"/>
      <c r="IR148" s="2"/>
      <c r="IS148" s="2"/>
      <c r="IT148" s="2"/>
      <c r="IU148" s="2"/>
    </row>
    <row r="149" spans="1:255" x14ac:dyDescent="0.2">
      <c r="A149" s="2">
        <v>17</v>
      </c>
      <c r="B149" s="2">
        <v>1</v>
      </c>
      <c r="C149" s="2">
        <f>ROW(SmtRes!A160)</f>
        <v>160</v>
      </c>
      <c r="D149" s="2">
        <f>ROW(EtalonRes!A160)</f>
        <v>160</v>
      </c>
      <c r="E149" s="2" t="s">
        <v>236</v>
      </c>
      <c r="F149" s="2" t="s">
        <v>237</v>
      </c>
      <c r="G149" s="2" t="s">
        <v>238</v>
      </c>
      <c r="H149" s="2" t="s">
        <v>101</v>
      </c>
      <c r="I149" s="2">
        <f>ROUND(21/100,7)</f>
        <v>0.21</v>
      </c>
      <c r="J149" s="2">
        <v>0</v>
      </c>
      <c r="K149" s="2">
        <f>ROUND(21/100,7)</f>
        <v>0.21</v>
      </c>
      <c r="L149" s="2"/>
      <c r="M149" s="2"/>
      <c r="N149" s="2"/>
      <c r="O149" s="2">
        <f t="shared" si="100"/>
        <v>2010.2</v>
      </c>
      <c r="P149" s="2">
        <f>SUMIF(SmtRes!AQ157:'SmtRes'!AQ160,"=1",SmtRes!DF157:'SmtRes'!DF160)</f>
        <v>0</v>
      </c>
      <c r="Q149" s="2">
        <f>SUMIF(SmtRes!AQ157:'SmtRes'!AQ160,"=1",SmtRes!DG157:'SmtRes'!DG160)</f>
        <v>0.17</v>
      </c>
      <c r="R149" s="2">
        <f>SUMIF(SmtRes!AQ157:'SmtRes'!AQ160,"=1",SmtRes!DH157:'SmtRes'!DH160)</f>
        <v>1.91</v>
      </c>
      <c r="S149" s="2">
        <f>SUMIF(SmtRes!AQ157:'SmtRes'!AQ160,"=1",SmtRes!DI157:'SmtRes'!DI160)</f>
        <v>2008.12</v>
      </c>
      <c r="T149" s="2">
        <f t="shared" si="101"/>
        <v>0</v>
      </c>
      <c r="U149" s="2">
        <f>SUMIF(SmtRes!AQ157:'SmtRes'!AQ160,"=1",SmtRes!CV157:'SmtRes'!CV160)</f>
        <v>3.3767999999999998</v>
      </c>
      <c r="V149" s="2">
        <f>SUMIF(SmtRes!AQ157:'SmtRes'!AQ160,"=1",SmtRes!CW157:'SmtRes'!CW160)</f>
        <v>2.9399999999999999E-3</v>
      </c>
      <c r="W149" s="2">
        <f t="shared" si="102"/>
        <v>0</v>
      </c>
      <c r="X149" s="2">
        <f t="shared" si="103"/>
        <v>1788.93</v>
      </c>
      <c r="Y149" s="2">
        <f t="shared" si="104"/>
        <v>984.91</v>
      </c>
      <c r="Z149" s="2"/>
      <c r="AA149" s="2">
        <v>94104265</v>
      </c>
      <c r="AB149" s="2">
        <f t="shared" si="105"/>
        <v>9562.9768800000002</v>
      </c>
      <c r="AC149" s="2">
        <f>ROUND((0),6)</f>
        <v>0</v>
      </c>
      <c r="AD149" s="2">
        <f>ROUND((((SUM(SmtRes!BR157:'SmtRes'!BR160))-(SUM(SmtRes!BS157:'SmtRes'!BS160)))+AE149),6)</f>
        <v>0.52248000000000006</v>
      </c>
      <c r="AE149" s="2">
        <f>ROUND((SUM(SmtRes!BS157:'SmtRes'!BS160)),6)</f>
        <v>9.0893599999999992</v>
      </c>
      <c r="AF149" s="2">
        <f>ROUND((SUM(SmtRes!BT157:'SmtRes'!BT160)),6)</f>
        <v>9562.4544000000005</v>
      </c>
      <c r="AG149" s="2">
        <f t="shared" si="106"/>
        <v>0</v>
      </c>
      <c r="AH149" s="2">
        <f>(SUM(SmtRes!BU157:'SmtRes'!BU160))</f>
        <v>16.079999999999998</v>
      </c>
      <c r="AI149" s="2">
        <f>(SUM(SmtRes!BV157:'SmtRes'!BV160))</f>
        <v>1.4E-2</v>
      </c>
      <c r="AJ149" s="2">
        <f t="shared" si="107"/>
        <v>0</v>
      </c>
      <c r="AK149" s="2">
        <v>9572.0662399999983</v>
      </c>
      <c r="AL149" s="2">
        <v>0</v>
      </c>
      <c r="AM149" s="2">
        <v>0.52248000000000006</v>
      </c>
      <c r="AN149" s="2">
        <v>9.089360000000001</v>
      </c>
      <c r="AO149" s="2">
        <v>9562.4543999999987</v>
      </c>
      <c r="AP149" s="2">
        <v>0</v>
      </c>
      <c r="AQ149" s="2">
        <v>16.079999999999998</v>
      </c>
      <c r="AR149" s="2">
        <v>1.4E-2</v>
      </c>
      <c r="AS149" s="2">
        <v>0</v>
      </c>
      <c r="AT149" s="2">
        <v>89</v>
      </c>
      <c r="AU149" s="2">
        <v>49</v>
      </c>
      <c r="AV149" s="2">
        <v>1</v>
      </c>
      <c r="AW149" s="2">
        <v>1</v>
      </c>
      <c r="AX149" s="2"/>
      <c r="AY149" s="2"/>
      <c r="AZ149" s="2">
        <v>1</v>
      </c>
      <c r="BA149" s="2">
        <v>1</v>
      </c>
      <c r="BB149" s="2">
        <v>1</v>
      </c>
      <c r="BC149" s="2">
        <v>1</v>
      </c>
      <c r="BD149" s="2" t="s">
        <v>3</v>
      </c>
      <c r="BE149" s="2" t="s">
        <v>3</v>
      </c>
      <c r="BF149" s="2" t="s">
        <v>3</v>
      </c>
      <c r="BG149" s="2" t="s">
        <v>3</v>
      </c>
      <c r="BH149" s="2">
        <v>0</v>
      </c>
      <c r="BI149" s="2">
        <v>1</v>
      </c>
      <c r="BJ149" s="2" t="s">
        <v>239</v>
      </c>
      <c r="BK149" s="2"/>
      <c r="BL149" s="2"/>
      <c r="BM149" s="2">
        <v>57001</v>
      </c>
      <c r="BN149" s="2">
        <v>0</v>
      </c>
      <c r="BO149" s="2" t="s">
        <v>3</v>
      </c>
      <c r="BP149" s="2">
        <v>0</v>
      </c>
      <c r="BQ149" s="2">
        <v>6</v>
      </c>
      <c r="BR149" s="2">
        <v>0</v>
      </c>
      <c r="BS149" s="2">
        <v>1</v>
      </c>
      <c r="BT149" s="2">
        <v>1</v>
      </c>
      <c r="BU149" s="2">
        <v>1</v>
      </c>
      <c r="BV149" s="2">
        <v>1</v>
      </c>
      <c r="BW149" s="2">
        <v>1</v>
      </c>
      <c r="BX149" s="2">
        <v>1</v>
      </c>
      <c r="BY149" s="2" t="s">
        <v>3</v>
      </c>
      <c r="BZ149" s="2">
        <v>89</v>
      </c>
      <c r="CA149" s="2">
        <v>49</v>
      </c>
      <c r="CB149" s="2" t="s">
        <v>3</v>
      </c>
      <c r="CC149" s="2"/>
      <c r="CD149" s="2"/>
      <c r="CE149" s="2">
        <v>0</v>
      </c>
      <c r="CF149" s="2">
        <v>0</v>
      </c>
      <c r="CG149" s="2">
        <v>0</v>
      </c>
      <c r="CH149" s="2"/>
      <c r="CI149" s="2"/>
      <c r="CJ149" s="2"/>
      <c r="CK149" s="2"/>
      <c r="CL149" s="2"/>
      <c r="CM149" s="2">
        <v>0</v>
      </c>
      <c r="CN149" s="2" t="s">
        <v>3</v>
      </c>
      <c r="CO149" s="2">
        <v>0</v>
      </c>
      <c r="CP149" s="2">
        <f t="shared" si="108"/>
        <v>2010.2</v>
      </c>
      <c r="CQ149" s="2">
        <f>SUMIF(SmtRes!AQ157:'SmtRes'!AQ160,"=1",SmtRes!AA157:'SmtRes'!AA160)</f>
        <v>0</v>
      </c>
      <c r="CR149" s="2">
        <f>SUMIF(SmtRes!AQ157:'SmtRes'!AQ160,"=1",SmtRes!AB157:'SmtRes'!AB160)</f>
        <v>58.59</v>
      </c>
      <c r="CS149" s="2">
        <f>SUMIF(SmtRes!AQ157:'SmtRes'!AQ160,"=1",SmtRes!AC157:'SmtRes'!AC160)</f>
        <v>649.24</v>
      </c>
      <c r="CT149" s="2">
        <f>SUMIF(SmtRes!AQ157:'SmtRes'!AQ160,"=1",SmtRes!AD157:'SmtRes'!AD160)</f>
        <v>594.67999999999995</v>
      </c>
      <c r="CU149" s="2">
        <f t="shared" si="109"/>
        <v>0</v>
      </c>
      <c r="CV149" s="2">
        <f>SUMIF(SmtRes!AQ157:'SmtRes'!AQ160,"=1",SmtRes!BU157:'SmtRes'!BU160)</f>
        <v>16.079999999999998</v>
      </c>
      <c r="CW149" s="2">
        <f>SUMIF(SmtRes!AQ157:'SmtRes'!AQ160,"=1",SmtRes!BV157:'SmtRes'!BV160)</f>
        <v>1.4E-2</v>
      </c>
      <c r="CX149" s="2">
        <f t="shared" si="110"/>
        <v>0</v>
      </c>
      <c r="CY149" s="2">
        <f t="shared" si="111"/>
        <v>1788.9266999999998</v>
      </c>
      <c r="CZ149" s="2">
        <f t="shared" si="112"/>
        <v>984.91470000000004</v>
      </c>
      <c r="DA149" s="2"/>
      <c r="DB149" s="2"/>
      <c r="DC149" s="2" t="s">
        <v>3</v>
      </c>
      <c r="DD149" s="2" t="s">
        <v>3</v>
      </c>
      <c r="DE149" s="2" t="s">
        <v>3</v>
      </c>
      <c r="DF149" s="2" t="s">
        <v>3</v>
      </c>
      <c r="DG149" s="2" t="s">
        <v>3</v>
      </c>
      <c r="DH149" s="2" t="s">
        <v>3</v>
      </c>
      <c r="DI149" s="2" t="s">
        <v>3</v>
      </c>
      <c r="DJ149" s="2" t="s">
        <v>3</v>
      </c>
      <c r="DK149" s="2" t="s">
        <v>3</v>
      </c>
      <c r="DL149" s="2" t="s">
        <v>3</v>
      </c>
      <c r="DM149" s="2" t="s">
        <v>3</v>
      </c>
      <c r="DN149" s="2">
        <v>0</v>
      </c>
      <c r="DO149" s="2">
        <v>0</v>
      </c>
      <c r="DP149" s="2">
        <v>1</v>
      </c>
      <c r="DQ149" s="2">
        <v>1</v>
      </c>
      <c r="DR149" s="2"/>
      <c r="DS149" s="2"/>
      <c r="DT149" s="2"/>
      <c r="DU149" s="2">
        <v>1003</v>
      </c>
      <c r="DV149" s="2" t="s">
        <v>101</v>
      </c>
      <c r="DW149" s="2" t="s">
        <v>101</v>
      </c>
      <c r="DX149" s="2">
        <v>100</v>
      </c>
      <c r="DY149" s="2"/>
      <c r="DZ149" s="2" t="s">
        <v>3</v>
      </c>
      <c r="EA149" s="2" t="s">
        <v>3</v>
      </c>
      <c r="EB149" s="2" t="s">
        <v>3</v>
      </c>
      <c r="EC149" s="2" t="s">
        <v>3</v>
      </c>
      <c r="ED149" s="2"/>
      <c r="EE149" s="2">
        <v>89977071</v>
      </c>
      <c r="EF149" s="2">
        <v>6</v>
      </c>
      <c r="EG149" s="2" t="s">
        <v>22</v>
      </c>
      <c r="EH149" s="2">
        <v>11</v>
      </c>
      <c r="EI149" s="2" t="s">
        <v>23</v>
      </c>
      <c r="EJ149" s="2">
        <v>1</v>
      </c>
      <c r="EK149" s="2">
        <v>57001</v>
      </c>
      <c r="EL149" s="2" t="s">
        <v>23</v>
      </c>
      <c r="EM149" s="2" t="s">
        <v>24</v>
      </c>
      <c r="EN149" s="2"/>
      <c r="EO149" s="2" t="s">
        <v>3</v>
      </c>
      <c r="EP149" s="2"/>
      <c r="EQ149" s="2">
        <v>0</v>
      </c>
      <c r="ER149" s="2">
        <v>0</v>
      </c>
      <c r="ES149" s="2">
        <v>0</v>
      </c>
      <c r="ET149" s="2">
        <v>0</v>
      </c>
      <c r="EU149" s="2">
        <v>0</v>
      </c>
      <c r="EV149" s="2">
        <v>0</v>
      </c>
      <c r="EW149" s="2">
        <v>16.079999999999998</v>
      </c>
      <c r="EX149" s="2">
        <v>0.01</v>
      </c>
      <c r="EY149" s="2">
        <v>0</v>
      </c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>
        <v>0</v>
      </c>
      <c r="FR149" s="2">
        <v>0</v>
      </c>
      <c r="FS149" s="2">
        <v>0</v>
      </c>
      <c r="FT149" s="2"/>
      <c r="FU149" s="2"/>
      <c r="FV149" s="2"/>
      <c r="FW149" s="2"/>
      <c r="FX149" s="2">
        <v>89</v>
      </c>
      <c r="FY149" s="2">
        <v>49</v>
      </c>
      <c r="FZ149" s="2"/>
      <c r="GA149" s="2" t="s">
        <v>3</v>
      </c>
      <c r="GB149" s="2"/>
      <c r="GC149" s="2"/>
      <c r="GD149" s="2">
        <v>1</v>
      </c>
      <c r="GE149" s="2"/>
      <c r="GF149" s="2">
        <v>326205097</v>
      </c>
      <c r="GG149" s="2">
        <v>2</v>
      </c>
      <c r="GH149" s="2">
        <v>1</v>
      </c>
      <c r="GI149" s="2">
        <v>-2</v>
      </c>
      <c r="GJ149" s="2">
        <v>0</v>
      </c>
      <c r="GK149" s="2">
        <v>0</v>
      </c>
      <c r="GL149" s="2">
        <f t="shared" si="113"/>
        <v>0</v>
      </c>
      <c r="GM149" s="2">
        <f t="shared" si="114"/>
        <v>4784.04</v>
      </c>
      <c r="GN149" s="2">
        <f t="shared" si="115"/>
        <v>4784.04</v>
      </c>
      <c r="GO149" s="2">
        <f t="shared" si="116"/>
        <v>0</v>
      </c>
      <c r="GP149" s="2">
        <f t="shared" si="117"/>
        <v>0</v>
      </c>
      <c r="GQ149" s="2"/>
      <c r="GR149" s="2">
        <v>0</v>
      </c>
      <c r="GS149" s="2">
        <v>3</v>
      </c>
      <c r="GT149" s="2">
        <v>0</v>
      </c>
      <c r="GU149" s="2" t="s">
        <v>3</v>
      </c>
      <c r="GV149" s="2">
        <f t="shared" si="118"/>
        <v>0</v>
      </c>
      <c r="GW149" s="2">
        <v>1</v>
      </c>
      <c r="GX149" s="2">
        <f t="shared" si="119"/>
        <v>0</v>
      </c>
      <c r="GY149" s="2"/>
      <c r="GZ149" s="2"/>
      <c r="HA149" s="2">
        <v>0</v>
      </c>
      <c r="HB149" s="2">
        <v>0</v>
      </c>
      <c r="HC149" s="2">
        <f t="shared" si="120"/>
        <v>0</v>
      </c>
      <c r="HD149" s="2"/>
      <c r="HE149" s="2" t="s">
        <v>3</v>
      </c>
      <c r="HF149" s="2" t="s">
        <v>3</v>
      </c>
      <c r="HG149" s="2"/>
      <c r="HH149" s="2"/>
      <c r="HI149" s="2"/>
      <c r="HJ149" s="2"/>
      <c r="HK149" s="2"/>
      <c r="HL149" s="2"/>
      <c r="HM149" s="2" t="s">
        <v>3</v>
      </c>
      <c r="HN149" s="2" t="s">
        <v>25</v>
      </c>
      <c r="HO149" s="2" t="s">
        <v>26</v>
      </c>
      <c r="HP149" s="2" t="s">
        <v>23</v>
      </c>
      <c r="HQ149" s="2" t="s">
        <v>23</v>
      </c>
      <c r="HR149" s="2"/>
      <c r="HS149" s="2">
        <v>0</v>
      </c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>
        <v>0</v>
      </c>
      <c r="IL149" s="2"/>
      <c r="IM149" s="2"/>
      <c r="IN149" s="2"/>
      <c r="IO149" s="2"/>
      <c r="IP149" s="2"/>
      <c r="IQ149" s="2"/>
      <c r="IR149" s="2"/>
      <c r="IS149" s="2"/>
      <c r="IT149" s="2"/>
      <c r="IU149" s="2"/>
    </row>
    <row r="150" spans="1:255" x14ac:dyDescent="0.2">
      <c r="A150" s="2">
        <v>18</v>
      </c>
      <c r="B150" s="2">
        <v>1</v>
      </c>
      <c r="C150" s="2">
        <v>160</v>
      </c>
      <c r="D150" s="2"/>
      <c r="E150" s="2" t="s">
        <v>240</v>
      </c>
      <c r="F150" s="2" t="s">
        <v>28</v>
      </c>
      <c r="G150" s="2" t="s">
        <v>29</v>
      </c>
      <c r="H150" s="2" t="s">
        <v>30</v>
      </c>
      <c r="I150" s="2">
        <f>I149*J150</f>
        <v>2.52E-2</v>
      </c>
      <c r="J150" s="2">
        <v>0.12000000000000001</v>
      </c>
      <c r="K150" s="2">
        <v>0.12</v>
      </c>
      <c r="L150" s="2"/>
      <c r="M150" s="2"/>
      <c r="N150" s="2"/>
      <c r="O150" s="2">
        <f t="shared" si="100"/>
        <v>0</v>
      </c>
      <c r="P150" s="2">
        <f>ROUND(CQ150*I150,2)</f>
        <v>0</v>
      </c>
      <c r="Q150" s="2">
        <f>ROUND(CR150*I150,2)</f>
        <v>0</v>
      </c>
      <c r="R150" s="2">
        <f>ROUND(CS150*I150,2)</f>
        <v>0</v>
      </c>
      <c r="S150" s="2">
        <f>ROUND(CT150*I150,2)</f>
        <v>0</v>
      </c>
      <c r="T150" s="2">
        <f t="shared" si="101"/>
        <v>0</v>
      </c>
      <c r="U150" s="2">
        <f>ROUND(CV150*I150,7)</f>
        <v>0</v>
      </c>
      <c r="V150" s="2">
        <f>ROUND(CW150*I150,7)</f>
        <v>0</v>
      </c>
      <c r="W150" s="2">
        <f t="shared" si="102"/>
        <v>0</v>
      </c>
      <c r="X150" s="2">
        <f t="shared" si="103"/>
        <v>0</v>
      </c>
      <c r="Y150" s="2">
        <f t="shared" si="104"/>
        <v>0</v>
      </c>
      <c r="Z150" s="2"/>
      <c r="AA150" s="2">
        <v>94104265</v>
      </c>
      <c r="AB150" s="2">
        <f t="shared" si="105"/>
        <v>0</v>
      </c>
      <c r="AC150" s="2">
        <f>ROUND((ES150),6)</f>
        <v>0</v>
      </c>
      <c r="AD150" s="2">
        <f>ROUND((((ET150)-(EU150))+AE150),6)</f>
        <v>0</v>
      </c>
      <c r="AE150" s="2">
        <f>ROUND((EU150),6)</f>
        <v>0</v>
      </c>
      <c r="AF150" s="2">
        <f>ROUND((EV150),6)</f>
        <v>0</v>
      </c>
      <c r="AG150" s="2">
        <f t="shared" si="106"/>
        <v>0</v>
      </c>
      <c r="AH150" s="2">
        <f>(EW150)</f>
        <v>0</v>
      </c>
      <c r="AI150" s="2">
        <f>(EX150)</f>
        <v>0</v>
      </c>
      <c r="AJ150" s="2">
        <f t="shared" si="107"/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89</v>
      </c>
      <c r="AU150" s="2">
        <v>49</v>
      </c>
      <c r="AV150" s="2">
        <v>1</v>
      </c>
      <c r="AW150" s="2">
        <v>1</v>
      </c>
      <c r="AX150" s="2"/>
      <c r="AY150" s="2"/>
      <c r="AZ150" s="2">
        <v>1</v>
      </c>
      <c r="BA150" s="2">
        <v>1</v>
      </c>
      <c r="BB150" s="2">
        <v>1</v>
      </c>
      <c r="BC150" s="2">
        <v>1</v>
      </c>
      <c r="BD150" s="2" t="s">
        <v>3</v>
      </c>
      <c r="BE150" s="2" t="s">
        <v>3</v>
      </c>
      <c r="BF150" s="2" t="s">
        <v>3</v>
      </c>
      <c r="BG150" s="2" t="s">
        <v>3</v>
      </c>
      <c r="BH150" s="2">
        <v>3</v>
      </c>
      <c r="BI150" s="2">
        <v>1</v>
      </c>
      <c r="BJ150" s="2" t="s">
        <v>3</v>
      </c>
      <c r="BK150" s="2"/>
      <c r="BL150" s="2"/>
      <c r="BM150" s="2">
        <v>57001</v>
      </c>
      <c r="BN150" s="2">
        <v>0</v>
      </c>
      <c r="BO150" s="2" t="s">
        <v>3</v>
      </c>
      <c r="BP150" s="2">
        <v>0</v>
      </c>
      <c r="BQ150" s="2">
        <v>6</v>
      </c>
      <c r="BR150" s="2">
        <v>0</v>
      </c>
      <c r="BS150" s="2">
        <v>1</v>
      </c>
      <c r="BT150" s="2">
        <v>1</v>
      </c>
      <c r="BU150" s="2">
        <v>1</v>
      </c>
      <c r="BV150" s="2">
        <v>1</v>
      </c>
      <c r="BW150" s="2">
        <v>1</v>
      </c>
      <c r="BX150" s="2">
        <v>1</v>
      </c>
      <c r="BY150" s="2" t="s">
        <v>3</v>
      </c>
      <c r="BZ150" s="2">
        <v>89</v>
      </c>
      <c r="CA150" s="2">
        <v>49</v>
      </c>
      <c r="CB150" s="2" t="s">
        <v>3</v>
      </c>
      <c r="CC150" s="2"/>
      <c r="CD150" s="2"/>
      <c r="CE150" s="2">
        <v>0</v>
      </c>
      <c r="CF150" s="2">
        <v>0</v>
      </c>
      <c r="CG150" s="2">
        <v>0</v>
      </c>
      <c r="CH150" s="2"/>
      <c r="CI150" s="2"/>
      <c r="CJ150" s="2"/>
      <c r="CK150" s="2"/>
      <c r="CL150" s="2"/>
      <c r="CM150" s="2">
        <v>0</v>
      </c>
      <c r="CN150" s="2" t="s">
        <v>3</v>
      </c>
      <c r="CO150" s="2">
        <v>0</v>
      </c>
      <c r="CP150" s="2">
        <f t="shared" si="108"/>
        <v>0</v>
      </c>
      <c r="CQ150" s="2">
        <f>ROUND(AL150*BC150,2)</f>
        <v>0</v>
      </c>
      <c r="CR150" s="2">
        <f>ROUND(AM150*BB150,2)</f>
        <v>0</v>
      </c>
      <c r="CS150" s="2">
        <f>ROUND(AN150*BS150,2)</f>
        <v>0</v>
      </c>
      <c r="CT150" s="2">
        <f>ROUND(AO150*BA150,2)</f>
        <v>0</v>
      </c>
      <c r="CU150" s="2">
        <f t="shared" si="109"/>
        <v>0</v>
      </c>
      <c r="CV150" s="2">
        <f>AH150</f>
        <v>0</v>
      </c>
      <c r="CW150" s="2">
        <f>AI150</f>
        <v>0</v>
      </c>
      <c r="CX150" s="2">
        <f t="shared" si="110"/>
        <v>0</v>
      </c>
      <c r="CY150" s="2">
        <f t="shared" si="111"/>
        <v>0</v>
      </c>
      <c r="CZ150" s="2">
        <f t="shared" si="112"/>
        <v>0</v>
      </c>
      <c r="DA150" s="2"/>
      <c r="DB150" s="2"/>
      <c r="DC150" s="2" t="s">
        <v>3</v>
      </c>
      <c r="DD150" s="2" t="s">
        <v>3</v>
      </c>
      <c r="DE150" s="2" t="s">
        <v>3</v>
      </c>
      <c r="DF150" s="2" t="s">
        <v>3</v>
      </c>
      <c r="DG150" s="2" t="s">
        <v>3</v>
      </c>
      <c r="DH150" s="2" t="s">
        <v>3</v>
      </c>
      <c r="DI150" s="2" t="s">
        <v>3</v>
      </c>
      <c r="DJ150" s="2" t="s">
        <v>3</v>
      </c>
      <c r="DK150" s="2" t="s">
        <v>3</v>
      </c>
      <c r="DL150" s="2" t="s">
        <v>3</v>
      </c>
      <c r="DM150" s="2" t="s">
        <v>3</v>
      </c>
      <c r="DN150" s="2">
        <v>0</v>
      </c>
      <c r="DO150" s="2">
        <v>0</v>
      </c>
      <c r="DP150" s="2">
        <v>1</v>
      </c>
      <c r="DQ150" s="2">
        <v>1</v>
      </c>
      <c r="DR150" s="2"/>
      <c r="DS150" s="2"/>
      <c r="DT150" s="2"/>
      <c r="DU150" s="2">
        <v>1009</v>
      </c>
      <c r="DV150" s="2" t="s">
        <v>30</v>
      </c>
      <c r="DW150" s="2" t="s">
        <v>30</v>
      </c>
      <c r="DX150" s="2">
        <v>1000</v>
      </c>
      <c r="DY150" s="2"/>
      <c r="DZ150" s="2" t="s">
        <v>3</v>
      </c>
      <c r="EA150" s="2" t="s">
        <v>3</v>
      </c>
      <c r="EB150" s="2" t="s">
        <v>3</v>
      </c>
      <c r="EC150" s="2" t="s">
        <v>3</v>
      </c>
      <c r="ED150" s="2"/>
      <c r="EE150" s="2">
        <v>89977071</v>
      </c>
      <c r="EF150" s="2">
        <v>6</v>
      </c>
      <c r="EG150" s="2" t="s">
        <v>22</v>
      </c>
      <c r="EH150" s="2">
        <v>11</v>
      </c>
      <c r="EI150" s="2" t="s">
        <v>23</v>
      </c>
      <c r="EJ150" s="2">
        <v>1</v>
      </c>
      <c r="EK150" s="2">
        <v>57001</v>
      </c>
      <c r="EL150" s="2" t="s">
        <v>23</v>
      </c>
      <c r="EM150" s="2" t="s">
        <v>24</v>
      </c>
      <c r="EN150" s="2"/>
      <c r="EO150" s="2" t="s">
        <v>3</v>
      </c>
      <c r="EP150" s="2"/>
      <c r="EQ150" s="2">
        <v>0</v>
      </c>
      <c r="ER150" s="2">
        <v>0</v>
      </c>
      <c r="ES150" s="2">
        <v>0</v>
      </c>
      <c r="ET150" s="2">
        <v>0</v>
      </c>
      <c r="EU150" s="2">
        <v>0</v>
      </c>
      <c r="EV150" s="2">
        <v>0</v>
      </c>
      <c r="EW150" s="2">
        <v>0</v>
      </c>
      <c r="EX150" s="2">
        <v>0</v>
      </c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>
        <v>0</v>
      </c>
      <c r="FR150" s="2">
        <v>0</v>
      </c>
      <c r="FS150" s="2">
        <v>0</v>
      </c>
      <c r="FT150" s="2"/>
      <c r="FU150" s="2"/>
      <c r="FV150" s="2"/>
      <c r="FW150" s="2"/>
      <c r="FX150" s="2">
        <v>89</v>
      </c>
      <c r="FY150" s="2">
        <v>49</v>
      </c>
      <c r="FZ150" s="2"/>
      <c r="GA150" s="2" t="s">
        <v>3</v>
      </c>
      <c r="GB150" s="2"/>
      <c r="GC150" s="2"/>
      <c r="GD150" s="2">
        <v>1</v>
      </c>
      <c r="GE150" s="2"/>
      <c r="GF150" s="2">
        <v>2102561428</v>
      </c>
      <c r="GG150" s="2">
        <v>2</v>
      </c>
      <c r="GH150" s="2">
        <v>1</v>
      </c>
      <c r="GI150" s="2">
        <v>-2</v>
      </c>
      <c r="GJ150" s="2">
        <v>0</v>
      </c>
      <c r="GK150" s="2">
        <v>0</v>
      </c>
      <c r="GL150" s="2">
        <f t="shared" si="113"/>
        <v>0</v>
      </c>
      <c r="GM150" s="2">
        <f t="shared" si="114"/>
        <v>0</v>
      </c>
      <c r="GN150" s="2">
        <f t="shared" si="115"/>
        <v>0</v>
      </c>
      <c r="GO150" s="2">
        <f t="shared" si="116"/>
        <v>0</v>
      </c>
      <c r="GP150" s="2">
        <f t="shared" si="117"/>
        <v>0</v>
      </c>
      <c r="GQ150" s="2"/>
      <c r="GR150" s="2">
        <v>0</v>
      </c>
      <c r="GS150" s="2">
        <v>3</v>
      </c>
      <c r="GT150" s="2">
        <v>0</v>
      </c>
      <c r="GU150" s="2" t="s">
        <v>3</v>
      </c>
      <c r="GV150" s="2">
        <f t="shared" si="118"/>
        <v>0</v>
      </c>
      <c r="GW150" s="2">
        <v>1</v>
      </c>
      <c r="GX150" s="2">
        <f t="shared" si="119"/>
        <v>0</v>
      </c>
      <c r="GY150" s="2"/>
      <c r="GZ150" s="2"/>
      <c r="HA150" s="2">
        <v>0</v>
      </c>
      <c r="HB150" s="2">
        <v>0</v>
      </c>
      <c r="HC150" s="2">
        <f t="shared" si="120"/>
        <v>0</v>
      </c>
      <c r="HD150" s="2"/>
      <c r="HE150" s="2" t="s">
        <v>3</v>
      </c>
      <c r="HF150" s="2" t="s">
        <v>3</v>
      </c>
      <c r="HG150" s="2"/>
      <c r="HH150" s="2"/>
      <c r="HI150" s="2"/>
      <c r="HJ150" s="2"/>
      <c r="HK150" s="2"/>
      <c r="HL150" s="2"/>
      <c r="HM150" s="2" t="s">
        <v>3</v>
      </c>
      <c r="HN150" s="2" t="s">
        <v>25</v>
      </c>
      <c r="HO150" s="2" t="s">
        <v>26</v>
      </c>
      <c r="HP150" s="2" t="s">
        <v>23</v>
      </c>
      <c r="HQ150" s="2" t="s">
        <v>23</v>
      </c>
      <c r="HR150" s="2"/>
      <c r="HS150" s="2">
        <v>0</v>
      </c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>
        <v>0</v>
      </c>
      <c r="IL150" s="2"/>
      <c r="IM150" s="2"/>
      <c r="IN150" s="2"/>
      <c r="IO150" s="2"/>
      <c r="IP150" s="2"/>
      <c r="IQ150" s="2"/>
      <c r="IR150" s="2"/>
      <c r="IS150" s="2"/>
      <c r="IT150" s="2"/>
      <c r="IU150" s="2"/>
    </row>
    <row r="151" spans="1:255" ht="409.5" x14ac:dyDescent="0.2">
      <c r="A151" s="2">
        <v>17</v>
      </c>
      <c r="B151" s="2">
        <v>1</v>
      </c>
      <c r="C151" s="2">
        <f>ROW(SmtRes!A173)</f>
        <v>173</v>
      </c>
      <c r="D151" s="2">
        <f>ROW(EtalonRes!A173)</f>
        <v>173</v>
      </c>
      <c r="E151" s="2" t="s">
        <v>241</v>
      </c>
      <c r="F151" s="2" t="s">
        <v>78</v>
      </c>
      <c r="G151" s="2" t="s">
        <v>79</v>
      </c>
      <c r="H151" s="2" t="s">
        <v>20</v>
      </c>
      <c r="I151" s="2">
        <f>ROUND(3.168/100,7)</f>
        <v>3.168E-2</v>
      </c>
      <c r="J151" s="2">
        <v>0</v>
      </c>
      <c r="K151" s="2">
        <f>ROUND(3.168/100,7)</f>
        <v>3.168E-2</v>
      </c>
      <c r="L151" s="2"/>
      <c r="M151" s="2"/>
      <c r="N151" s="2"/>
      <c r="O151" s="2">
        <f t="shared" si="100"/>
        <v>7605.04</v>
      </c>
      <c r="P151" s="2">
        <f>SUMIF(SmtRes!AQ161:'SmtRes'!AQ173,"=1",SmtRes!DF161:'SmtRes'!DF173)</f>
        <v>31.2</v>
      </c>
      <c r="Q151" s="2">
        <f>SUMIF(SmtRes!AQ161:'SmtRes'!AQ173,"=1",SmtRes!DG161:'SmtRes'!DG173)</f>
        <v>1.4</v>
      </c>
      <c r="R151" s="2">
        <f>SUMIF(SmtRes!AQ161:'SmtRes'!AQ173,"=1",SmtRes!DH161:'SmtRes'!DH173)</f>
        <v>44.910000000000004</v>
      </c>
      <c r="S151" s="2">
        <f>SUMIF(SmtRes!AQ161:'SmtRes'!AQ173,"=1",SmtRes!DI161:'SmtRes'!DI173)</f>
        <v>7527.53</v>
      </c>
      <c r="T151" s="2">
        <f t="shared" si="101"/>
        <v>0</v>
      </c>
      <c r="U151" s="2">
        <f>SUMIF(SmtRes!AQ161:'SmtRes'!AQ173,"=1",SmtRes!CV161:'SmtRes'!CV173)</f>
        <v>11.3092214</v>
      </c>
      <c r="V151" s="2">
        <f>SUMIF(SmtRes!AQ161:'SmtRes'!AQ173,"=1",SmtRes!CW161:'SmtRes'!CW173)</f>
        <v>6.8507999999999986E-2</v>
      </c>
      <c r="W151" s="2">
        <f t="shared" si="102"/>
        <v>0</v>
      </c>
      <c r="X151" s="2">
        <f t="shared" si="103"/>
        <v>7633.02</v>
      </c>
      <c r="Y151" s="2">
        <f t="shared" si="104"/>
        <v>4183.7700000000004</v>
      </c>
      <c r="Z151" s="2"/>
      <c r="AA151" s="2">
        <v>94104265</v>
      </c>
      <c r="AB151" s="2">
        <f t="shared" si="105"/>
        <v>238625.754055</v>
      </c>
      <c r="AC151" s="2">
        <f>ROUND((SUM(SmtRes!BQ161:'SmtRes'!BQ173)),6)</f>
        <v>976.49429999999995</v>
      </c>
      <c r="AD151" s="2">
        <f>ROUND((((SUM(SmtRes!BR161:'SmtRes'!BR173))-(SUM(SmtRes!BS161:'SmtRes'!BS173)))+AE151),6)</f>
        <v>37.805124999999997</v>
      </c>
      <c r="AE151" s="2">
        <f>ROUND((SUM(SmtRes!BS161:'SmtRes'!BS173)),6)</f>
        <v>1417.4845</v>
      </c>
      <c r="AF151" s="2">
        <f>ROUND((SUM(SmtRes!BT161:'SmtRes'!BT173)),6)</f>
        <v>237611.45462999999</v>
      </c>
      <c r="AG151" s="2">
        <f t="shared" si="106"/>
        <v>0</v>
      </c>
      <c r="AH151" s="2">
        <f>(SUM(SmtRes!BU161:'SmtRes'!BU173))</f>
        <v>356.983</v>
      </c>
      <c r="AI151" s="2">
        <f>(SUM(SmtRes!BV161:'SmtRes'!BV173))</f>
        <v>2.1625000000000001</v>
      </c>
      <c r="AJ151" s="2">
        <f t="shared" si="107"/>
        <v>0</v>
      </c>
      <c r="AK151" s="2">
        <v>208759.38220000002</v>
      </c>
      <c r="AL151" s="2">
        <v>976.49429999999995</v>
      </c>
      <c r="AM151" s="2">
        <v>30.244099999999996</v>
      </c>
      <c r="AN151" s="2">
        <v>1133.9875999999999</v>
      </c>
      <c r="AO151" s="2">
        <v>206618.65620000003</v>
      </c>
      <c r="AP151" s="2">
        <v>0</v>
      </c>
      <c r="AQ151" s="2">
        <v>310.42</v>
      </c>
      <c r="AR151" s="2">
        <v>1.73</v>
      </c>
      <c r="AS151" s="2">
        <v>0</v>
      </c>
      <c r="AT151" s="2">
        <v>100.8</v>
      </c>
      <c r="AU151" s="2">
        <v>55.25</v>
      </c>
      <c r="AV151" s="2">
        <v>1</v>
      </c>
      <c r="AW151" s="2">
        <v>1</v>
      </c>
      <c r="AX151" s="2"/>
      <c r="AY151" s="2"/>
      <c r="AZ151" s="2">
        <v>1</v>
      </c>
      <c r="BA151" s="2">
        <v>1</v>
      </c>
      <c r="BB151" s="2">
        <v>1</v>
      </c>
      <c r="BC151" s="2">
        <v>1</v>
      </c>
      <c r="BD151" s="2" t="s">
        <v>3</v>
      </c>
      <c r="BE151" s="2" t="s">
        <v>3</v>
      </c>
      <c r="BF151" s="2" t="s">
        <v>3</v>
      </c>
      <c r="BG151" s="2" t="s">
        <v>3</v>
      </c>
      <c r="BH151" s="2">
        <v>0</v>
      </c>
      <c r="BI151" s="2">
        <v>1</v>
      </c>
      <c r="BJ151" s="2" t="s">
        <v>80</v>
      </c>
      <c r="BK151" s="2"/>
      <c r="BL151" s="2"/>
      <c r="BM151" s="2">
        <v>11001</v>
      </c>
      <c r="BN151" s="2">
        <v>0</v>
      </c>
      <c r="BO151" s="2" t="s">
        <v>3</v>
      </c>
      <c r="BP151" s="2">
        <v>0</v>
      </c>
      <c r="BQ151" s="2">
        <v>2</v>
      </c>
      <c r="BR151" s="2">
        <v>0</v>
      </c>
      <c r="BS151" s="2">
        <v>1</v>
      </c>
      <c r="BT151" s="2">
        <v>1</v>
      </c>
      <c r="BU151" s="2">
        <v>1</v>
      </c>
      <c r="BV151" s="2">
        <v>1</v>
      </c>
      <c r="BW151" s="2">
        <v>1</v>
      </c>
      <c r="BX151" s="2">
        <v>1</v>
      </c>
      <c r="BY151" s="2" t="s">
        <v>3</v>
      </c>
      <c r="BZ151" s="2">
        <v>112</v>
      </c>
      <c r="CA151" s="2">
        <v>65</v>
      </c>
      <c r="CB151" s="2" t="s">
        <v>3</v>
      </c>
      <c r="CC151" s="2"/>
      <c r="CD151" s="2"/>
      <c r="CE151" s="2">
        <v>0</v>
      </c>
      <c r="CF151" s="2">
        <v>0</v>
      </c>
      <c r="CG151" s="2">
        <v>0</v>
      </c>
      <c r="CH151" s="2"/>
      <c r="CI151" s="2"/>
      <c r="CJ151" s="2"/>
      <c r="CK151" s="2"/>
      <c r="CL151" s="2"/>
      <c r="CM151" s="2">
        <v>0</v>
      </c>
      <c r="CN151" s="7" t="s">
        <v>681</v>
      </c>
      <c r="CO151" s="2">
        <v>0</v>
      </c>
      <c r="CP151" s="2">
        <f t="shared" si="108"/>
        <v>7605.04</v>
      </c>
      <c r="CQ151" s="2">
        <f>SUMIF(SmtRes!AQ161:'SmtRes'!AQ173,"=1",SmtRes!AA161:'SmtRes'!AA173)</f>
        <v>73950.559999999998</v>
      </c>
      <c r="CR151" s="2">
        <f>SUMIF(SmtRes!AQ161:'SmtRes'!AQ173,"=1",SmtRes!AB161:'SmtRes'!AB173)</f>
        <v>2506.91</v>
      </c>
      <c r="CS151" s="2">
        <f>SUMIF(SmtRes!AQ161:'SmtRes'!AQ173,"=1",SmtRes!AC161:'SmtRes'!AC173)</f>
        <v>3344.3999999999996</v>
      </c>
      <c r="CT151" s="2">
        <f>SUMIF(SmtRes!AQ161:'SmtRes'!AQ173,"=1",SmtRes!AD161:'SmtRes'!AD173)</f>
        <v>665.61</v>
      </c>
      <c r="CU151" s="2">
        <f t="shared" si="109"/>
        <v>0</v>
      </c>
      <c r="CV151" s="2">
        <f>SUMIF(SmtRes!AQ161:'SmtRes'!AQ173,"=1",SmtRes!BU161:'SmtRes'!BU173)</f>
        <v>356.983</v>
      </c>
      <c r="CW151" s="2">
        <f>SUMIF(SmtRes!AQ161:'SmtRes'!AQ173,"=1",SmtRes!BV161:'SmtRes'!BV173)</f>
        <v>2.1625000000000001</v>
      </c>
      <c r="CX151" s="2">
        <f t="shared" si="110"/>
        <v>0</v>
      </c>
      <c r="CY151" s="2">
        <f t="shared" si="111"/>
        <v>7633.0195199999989</v>
      </c>
      <c r="CZ151" s="2">
        <f t="shared" si="112"/>
        <v>4183.7731000000003</v>
      </c>
      <c r="DA151" s="2"/>
      <c r="DB151" s="2">
        <v>1</v>
      </c>
      <c r="DC151" s="2" t="s">
        <v>3</v>
      </c>
      <c r="DD151" s="2" t="s">
        <v>3</v>
      </c>
      <c r="DE151" s="2" t="s">
        <v>242</v>
      </c>
      <c r="DF151" s="2" t="s">
        <v>242</v>
      </c>
      <c r="DG151" s="2" t="s">
        <v>243</v>
      </c>
      <c r="DH151" s="2" t="s">
        <v>3</v>
      </c>
      <c r="DI151" s="2" t="s">
        <v>243</v>
      </c>
      <c r="DJ151" s="2" t="s">
        <v>242</v>
      </c>
      <c r="DK151" s="2" t="s">
        <v>3</v>
      </c>
      <c r="DL151" s="2" t="s">
        <v>244</v>
      </c>
      <c r="DM151" s="2" t="s">
        <v>245</v>
      </c>
      <c r="DN151" s="2">
        <v>0</v>
      </c>
      <c r="DO151" s="2">
        <v>0</v>
      </c>
      <c r="DP151" s="2">
        <v>1</v>
      </c>
      <c r="DQ151" s="2">
        <v>1</v>
      </c>
      <c r="DR151" s="2"/>
      <c r="DS151" s="2"/>
      <c r="DT151" s="2"/>
      <c r="DU151" s="2">
        <v>1005</v>
      </c>
      <c r="DV151" s="2" t="s">
        <v>20</v>
      </c>
      <c r="DW151" s="2" t="s">
        <v>20</v>
      </c>
      <c r="DX151" s="2">
        <v>100</v>
      </c>
      <c r="DY151" s="2"/>
      <c r="DZ151" s="2" t="s">
        <v>3</v>
      </c>
      <c r="EA151" s="2" t="s">
        <v>3</v>
      </c>
      <c r="EB151" s="2" t="s">
        <v>3</v>
      </c>
      <c r="EC151" s="2" t="s">
        <v>3</v>
      </c>
      <c r="ED151" s="2"/>
      <c r="EE151" s="2">
        <v>89976994</v>
      </c>
      <c r="EF151" s="2">
        <v>2</v>
      </c>
      <c r="EG151" s="2" t="s">
        <v>44</v>
      </c>
      <c r="EH151" s="2">
        <v>11</v>
      </c>
      <c r="EI151" s="2" t="s">
        <v>23</v>
      </c>
      <c r="EJ151" s="2">
        <v>1</v>
      </c>
      <c r="EK151" s="2">
        <v>11001</v>
      </c>
      <c r="EL151" s="2" t="s">
        <v>23</v>
      </c>
      <c r="EM151" s="2" t="s">
        <v>74</v>
      </c>
      <c r="EN151" s="2"/>
      <c r="EO151" s="2" t="s">
        <v>246</v>
      </c>
      <c r="EP151" s="2"/>
      <c r="EQ151" s="2">
        <v>0</v>
      </c>
      <c r="ER151" s="2">
        <v>0</v>
      </c>
      <c r="ES151" s="2">
        <v>0</v>
      </c>
      <c r="ET151" s="2">
        <v>0</v>
      </c>
      <c r="EU151" s="2">
        <v>0</v>
      </c>
      <c r="EV151" s="2">
        <v>0</v>
      </c>
      <c r="EW151" s="2">
        <v>310.42</v>
      </c>
      <c r="EX151" s="2">
        <v>1.73</v>
      </c>
      <c r="EY151" s="2">
        <v>0</v>
      </c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>
        <v>0</v>
      </c>
      <c r="FR151" s="2">
        <v>0</v>
      </c>
      <c r="FS151" s="2">
        <v>0</v>
      </c>
      <c r="FT151" s="2"/>
      <c r="FU151" s="2"/>
      <c r="FV151" s="2"/>
      <c r="FW151" s="2"/>
      <c r="FX151" s="2">
        <v>100.8</v>
      </c>
      <c r="FY151" s="2">
        <v>55.25</v>
      </c>
      <c r="FZ151" s="2"/>
      <c r="GA151" s="2" t="s">
        <v>3</v>
      </c>
      <c r="GB151" s="2"/>
      <c r="GC151" s="2"/>
      <c r="GD151" s="2">
        <v>1</v>
      </c>
      <c r="GE151" s="2"/>
      <c r="GF151" s="2">
        <v>-1499530149</v>
      </c>
      <c r="GG151" s="2">
        <v>2</v>
      </c>
      <c r="GH151" s="2">
        <v>1</v>
      </c>
      <c r="GI151" s="2">
        <v>-2</v>
      </c>
      <c r="GJ151" s="2">
        <v>0</v>
      </c>
      <c r="GK151" s="2">
        <v>0</v>
      </c>
      <c r="GL151" s="2">
        <f t="shared" si="113"/>
        <v>0</v>
      </c>
      <c r="GM151" s="2">
        <f t="shared" si="114"/>
        <v>19421.830000000002</v>
      </c>
      <c r="GN151" s="2">
        <f t="shared" si="115"/>
        <v>19421.830000000002</v>
      </c>
      <c r="GO151" s="2">
        <f t="shared" si="116"/>
        <v>0</v>
      </c>
      <c r="GP151" s="2">
        <f t="shared" si="117"/>
        <v>0</v>
      </c>
      <c r="GQ151" s="2"/>
      <c r="GR151" s="2">
        <v>0</v>
      </c>
      <c r="GS151" s="2">
        <v>3</v>
      </c>
      <c r="GT151" s="2">
        <v>0</v>
      </c>
      <c r="GU151" s="2" t="s">
        <v>3</v>
      </c>
      <c r="GV151" s="2">
        <f t="shared" si="118"/>
        <v>0</v>
      </c>
      <c r="GW151" s="2">
        <v>1</v>
      </c>
      <c r="GX151" s="2">
        <f t="shared" si="119"/>
        <v>0</v>
      </c>
      <c r="GY151" s="2"/>
      <c r="GZ151" s="2"/>
      <c r="HA151" s="2">
        <v>0</v>
      </c>
      <c r="HB151" s="2">
        <v>0</v>
      </c>
      <c r="HC151" s="2">
        <f t="shared" si="120"/>
        <v>0</v>
      </c>
      <c r="HD151" s="2"/>
      <c r="HE151" s="2" t="s">
        <v>3</v>
      </c>
      <c r="HF151" s="2" t="s">
        <v>3</v>
      </c>
      <c r="HG151" s="2"/>
      <c r="HH151" s="2"/>
      <c r="HI151" s="2"/>
      <c r="HJ151" s="2"/>
      <c r="HK151" s="2"/>
      <c r="HL151" s="2"/>
      <c r="HM151" s="2" t="s">
        <v>3</v>
      </c>
      <c r="HN151" s="2" t="s">
        <v>75</v>
      </c>
      <c r="HO151" s="2" t="s">
        <v>76</v>
      </c>
      <c r="HP151" s="2" t="s">
        <v>23</v>
      </c>
      <c r="HQ151" s="2" t="s">
        <v>23</v>
      </c>
      <c r="HR151" s="2"/>
      <c r="HS151" s="2">
        <v>0</v>
      </c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>
        <v>0</v>
      </c>
      <c r="IL151" s="2"/>
      <c r="IM151" s="2"/>
      <c r="IN151" s="2"/>
      <c r="IO151" s="2"/>
      <c r="IP151" s="2"/>
      <c r="IQ151" s="2"/>
      <c r="IR151" s="2"/>
      <c r="IS151" s="2"/>
      <c r="IT151" s="2"/>
      <c r="IU151" s="2"/>
    </row>
    <row r="152" spans="1:255" x14ac:dyDescent="0.2">
      <c r="A152" s="2">
        <v>18</v>
      </c>
      <c r="B152" s="2">
        <v>1</v>
      </c>
      <c r="C152" s="2">
        <v>170</v>
      </c>
      <c r="D152" s="2"/>
      <c r="E152" s="2" t="s">
        <v>247</v>
      </c>
      <c r="F152" s="2" t="s">
        <v>82</v>
      </c>
      <c r="G152" s="2" t="s">
        <v>83</v>
      </c>
      <c r="H152" s="2" t="s">
        <v>60</v>
      </c>
      <c r="I152" s="2">
        <f>I151*J152</f>
        <v>3.23136</v>
      </c>
      <c r="J152" s="2">
        <v>102</v>
      </c>
      <c r="K152" s="2">
        <v>102</v>
      </c>
      <c r="L152" s="2"/>
      <c r="M152" s="2"/>
      <c r="N152" s="2"/>
      <c r="O152" s="2">
        <f t="shared" si="100"/>
        <v>2935.34</v>
      </c>
      <c r="P152" s="2">
        <f>ROUND(CQ152*I152,2)</f>
        <v>2935.34</v>
      </c>
      <c r="Q152" s="2">
        <f>ROUND(CR152*I152,2)</f>
        <v>0</v>
      </c>
      <c r="R152" s="2">
        <f>ROUND(CS152*I152,2)</f>
        <v>0</v>
      </c>
      <c r="S152" s="2">
        <f>ROUND(CT152*I152,2)</f>
        <v>0</v>
      </c>
      <c r="T152" s="2">
        <f t="shared" si="101"/>
        <v>0</v>
      </c>
      <c r="U152" s="2">
        <f>ROUND(CV152*I152,7)</f>
        <v>0</v>
      </c>
      <c r="V152" s="2">
        <f>ROUND(CW152*I152,7)</f>
        <v>0</v>
      </c>
      <c r="W152" s="2">
        <f t="shared" si="102"/>
        <v>0</v>
      </c>
      <c r="X152" s="2">
        <f t="shared" si="103"/>
        <v>0</v>
      </c>
      <c r="Y152" s="2">
        <f t="shared" si="104"/>
        <v>0</v>
      </c>
      <c r="Z152" s="2"/>
      <c r="AA152" s="2">
        <v>94104265</v>
      </c>
      <c r="AB152" s="2">
        <f t="shared" si="105"/>
        <v>908.39</v>
      </c>
      <c r="AC152" s="2">
        <f>ROUND((ES152),6)</f>
        <v>908.39</v>
      </c>
      <c r="AD152" s="2">
        <f>ROUND((((ET152)-(EU152))+AE152),6)</f>
        <v>0</v>
      </c>
      <c r="AE152" s="2">
        <f t="shared" ref="AE152:AF155" si="121">ROUND((EU152),6)</f>
        <v>0</v>
      </c>
      <c r="AF152" s="2">
        <f t="shared" si="121"/>
        <v>0</v>
      </c>
      <c r="AG152" s="2">
        <f t="shared" si="106"/>
        <v>0</v>
      </c>
      <c r="AH152" s="2">
        <f t="shared" ref="AH152:AI155" si="122">(EW152)</f>
        <v>0</v>
      </c>
      <c r="AI152" s="2">
        <f t="shared" si="122"/>
        <v>0</v>
      </c>
      <c r="AJ152" s="2">
        <f t="shared" si="107"/>
        <v>0</v>
      </c>
      <c r="AK152" s="2">
        <v>908.39</v>
      </c>
      <c r="AL152" s="2">
        <v>908.39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112</v>
      </c>
      <c r="AU152" s="2">
        <v>65</v>
      </c>
      <c r="AV152" s="2">
        <v>1</v>
      </c>
      <c r="AW152" s="2">
        <v>1</v>
      </c>
      <c r="AX152" s="2"/>
      <c r="AY152" s="2"/>
      <c r="AZ152" s="2">
        <v>1</v>
      </c>
      <c r="BA152" s="2">
        <v>1</v>
      </c>
      <c r="BB152" s="2">
        <v>1</v>
      </c>
      <c r="BC152" s="2">
        <v>1</v>
      </c>
      <c r="BD152" s="2" t="s">
        <v>3</v>
      </c>
      <c r="BE152" s="2" t="s">
        <v>3</v>
      </c>
      <c r="BF152" s="2" t="s">
        <v>3</v>
      </c>
      <c r="BG152" s="2" t="s">
        <v>3</v>
      </c>
      <c r="BH152" s="2">
        <v>3</v>
      </c>
      <c r="BI152" s="2">
        <v>1</v>
      </c>
      <c r="BJ152" s="2" t="s">
        <v>84</v>
      </c>
      <c r="BK152" s="2"/>
      <c r="BL152" s="2"/>
      <c r="BM152" s="2">
        <v>11001</v>
      </c>
      <c r="BN152" s="2">
        <v>0</v>
      </c>
      <c r="BO152" s="2" t="s">
        <v>3</v>
      </c>
      <c r="BP152" s="2">
        <v>0</v>
      </c>
      <c r="BQ152" s="2">
        <v>2</v>
      </c>
      <c r="BR152" s="2">
        <v>0</v>
      </c>
      <c r="BS152" s="2">
        <v>1</v>
      </c>
      <c r="BT152" s="2">
        <v>1</v>
      </c>
      <c r="BU152" s="2">
        <v>1</v>
      </c>
      <c r="BV152" s="2">
        <v>1</v>
      </c>
      <c r="BW152" s="2">
        <v>1</v>
      </c>
      <c r="BX152" s="2">
        <v>1</v>
      </c>
      <c r="BY152" s="2" t="s">
        <v>3</v>
      </c>
      <c r="BZ152" s="2">
        <v>112</v>
      </c>
      <c r="CA152" s="2">
        <v>65</v>
      </c>
      <c r="CB152" s="2" t="s">
        <v>3</v>
      </c>
      <c r="CC152" s="2"/>
      <c r="CD152" s="2"/>
      <c r="CE152" s="2">
        <v>0</v>
      </c>
      <c r="CF152" s="2">
        <v>0</v>
      </c>
      <c r="CG152" s="2">
        <v>0</v>
      </c>
      <c r="CH152" s="2"/>
      <c r="CI152" s="2"/>
      <c r="CJ152" s="2"/>
      <c r="CK152" s="2"/>
      <c r="CL152" s="2"/>
      <c r="CM152" s="2">
        <v>0</v>
      </c>
      <c r="CN152" s="2" t="s">
        <v>3</v>
      </c>
      <c r="CO152" s="2">
        <v>0</v>
      </c>
      <c r="CP152" s="2">
        <f t="shared" si="108"/>
        <v>2935.34</v>
      </c>
      <c r="CQ152" s="2">
        <f>ROUND(AL152*BC152,2)</f>
        <v>908.39</v>
      </c>
      <c r="CR152" s="2">
        <f>ROUND(AM152*BB152,2)</f>
        <v>0</v>
      </c>
      <c r="CS152" s="2">
        <f>ROUND(AN152*BS152,2)</f>
        <v>0</v>
      </c>
      <c r="CT152" s="2">
        <f>ROUND(AO152*BA152,2)</f>
        <v>0</v>
      </c>
      <c r="CU152" s="2">
        <f t="shared" si="109"/>
        <v>0</v>
      </c>
      <c r="CV152" s="2">
        <f t="shared" ref="CV152:CW155" si="123">AH152</f>
        <v>0</v>
      </c>
      <c r="CW152" s="2">
        <f t="shared" si="123"/>
        <v>0</v>
      </c>
      <c r="CX152" s="2">
        <f t="shared" si="110"/>
        <v>0</v>
      </c>
      <c r="CY152" s="2">
        <f t="shared" si="111"/>
        <v>0</v>
      </c>
      <c r="CZ152" s="2">
        <f t="shared" si="112"/>
        <v>0</v>
      </c>
      <c r="DA152" s="2"/>
      <c r="DB152" s="2"/>
      <c r="DC152" s="2" t="s">
        <v>3</v>
      </c>
      <c r="DD152" s="2" t="s">
        <v>3</v>
      </c>
      <c r="DE152" s="2" t="s">
        <v>3</v>
      </c>
      <c r="DF152" s="2" t="s">
        <v>3</v>
      </c>
      <c r="DG152" s="2" t="s">
        <v>3</v>
      </c>
      <c r="DH152" s="2" t="s">
        <v>3</v>
      </c>
      <c r="DI152" s="2" t="s">
        <v>3</v>
      </c>
      <c r="DJ152" s="2" t="s">
        <v>3</v>
      </c>
      <c r="DK152" s="2" t="s">
        <v>3</v>
      </c>
      <c r="DL152" s="2" t="s">
        <v>3</v>
      </c>
      <c r="DM152" s="2" t="s">
        <v>3</v>
      </c>
      <c r="DN152" s="2">
        <v>0</v>
      </c>
      <c r="DO152" s="2">
        <v>0</v>
      </c>
      <c r="DP152" s="2">
        <v>1</v>
      </c>
      <c r="DQ152" s="2">
        <v>1</v>
      </c>
      <c r="DR152" s="2"/>
      <c r="DS152" s="2"/>
      <c r="DT152" s="2"/>
      <c r="DU152" s="2">
        <v>1005</v>
      </c>
      <c r="DV152" s="2" t="s">
        <v>60</v>
      </c>
      <c r="DW152" s="2" t="s">
        <v>60</v>
      </c>
      <c r="DX152" s="2">
        <v>1</v>
      </c>
      <c r="DY152" s="2"/>
      <c r="DZ152" s="2" t="s">
        <v>3</v>
      </c>
      <c r="EA152" s="2" t="s">
        <v>3</v>
      </c>
      <c r="EB152" s="2" t="s">
        <v>3</v>
      </c>
      <c r="EC152" s="2" t="s">
        <v>3</v>
      </c>
      <c r="ED152" s="2"/>
      <c r="EE152" s="2">
        <v>89976994</v>
      </c>
      <c r="EF152" s="2">
        <v>2</v>
      </c>
      <c r="EG152" s="2" t="s">
        <v>44</v>
      </c>
      <c r="EH152" s="2">
        <v>11</v>
      </c>
      <c r="EI152" s="2" t="s">
        <v>23</v>
      </c>
      <c r="EJ152" s="2">
        <v>1</v>
      </c>
      <c r="EK152" s="2">
        <v>11001</v>
      </c>
      <c r="EL152" s="2" t="s">
        <v>23</v>
      </c>
      <c r="EM152" s="2" t="s">
        <v>74</v>
      </c>
      <c r="EN152" s="2"/>
      <c r="EO152" s="2" t="s">
        <v>3</v>
      </c>
      <c r="EP152" s="2"/>
      <c r="EQ152" s="2">
        <v>0</v>
      </c>
      <c r="ER152" s="2">
        <v>908.39</v>
      </c>
      <c r="ES152" s="2">
        <v>908.39</v>
      </c>
      <c r="ET152" s="2">
        <v>0</v>
      </c>
      <c r="EU152" s="2">
        <v>0</v>
      </c>
      <c r="EV152" s="2">
        <v>0</v>
      </c>
      <c r="EW152" s="2">
        <v>0</v>
      </c>
      <c r="EX152" s="2">
        <v>0</v>
      </c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>
        <v>0</v>
      </c>
      <c r="FR152" s="2">
        <v>0</v>
      </c>
      <c r="FS152" s="2">
        <v>0</v>
      </c>
      <c r="FT152" s="2"/>
      <c r="FU152" s="2"/>
      <c r="FV152" s="2"/>
      <c r="FW152" s="2"/>
      <c r="FX152" s="2">
        <v>112</v>
      </c>
      <c r="FY152" s="2">
        <v>65</v>
      </c>
      <c r="FZ152" s="2"/>
      <c r="GA152" s="2" t="s">
        <v>3</v>
      </c>
      <c r="GB152" s="2"/>
      <c r="GC152" s="2"/>
      <c r="GD152" s="2">
        <v>1</v>
      </c>
      <c r="GE152" s="2">
        <v>603.37</v>
      </c>
      <c r="GF152" s="2">
        <v>-1611852378</v>
      </c>
      <c r="GG152" s="2">
        <v>2</v>
      </c>
      <c r="GH152" s="2">
        <v>1</v>
      </c>
      <c r="GI152" s="2">
        <v>-2</v>
      </c>
      <c r="GJ152" s="2">
        <v>0</v>
      </c>
      <c r="GK152" s="2">
        <v>0</v>
      </c>
      <c r="GL152" s="2">
        <f t="shared" si="113"/>
        <v>0</v>
      </c>
      <c r="GM152" s="2">
        <f t="shared" si="114"/>
        <v>2935.34</v>
      </c>
      <c r="GN152" s="2">
        <f t="shared" si="115"/>
        <v>2935.34</v>
      </c>
      <c r="GO152" s="2">
        <f t="shared" si="116"/>
        <v>0</v>
      </c>
      <c r="GP152" s="2">
        <f t="shared" si="117"/>
        <v>0</v>
      </c>
      <c r="GQ152" s="2"/>
      <c r="GR152" s="2">
        <v>3</v>
      </c>
      <c r="GS152" s="2">
        <v>3</v>
      </c>
      <c r="GT152" s="2">
        <v>0</v>
      </c>
      <c r="GU152" s="2" t="s">
        <v>3</v>
      </c>
      <c r="GV152" s="2">
        <f t="shared" si="118"/>
        <v>0</v>
      </c>
      <c r="GW152" s="2">
        <v>1</v>
      </c>
      <c r="GX152" s="2">
        <f t="shared" si="119"/>
        <v>0</v>
      </c>
      <c r="GY152" s="2"/>
      <c r="GZ152" s="2"/>
      <c r="HA152" s="2">
        <v>0</v>
      </c>
      <c r="HB152" s="2">
        <v>0</v>
      </c>
      <c r="HC152" s="2">
        <f t="shared" si="120"/>
        <v>0</v>
      </c>
      <c r="HD152" s="2"/>
      <c r="HE152" s="2" t="s">
        <v>3</v>
      </c>
      <c r="HF152" s="2" t="s">
        <v>3</v>
      </c>
      <c r="HG152" s="2"/>
      <c r="HH152" s="2"/>
      <c r="HI152" s="2"/>
      <c r="HJ152" s="2"/>
      <c r="HK152" s="2"/>
      <c r="HL152" s="2"/>
      <c r="HM152" s="2" t="s">
        <v>3</v>
      </c>
      <c r="HN152" s="2" t="s">
        <v>75</v>
      </c>
      <c r="HO152" s="2" t="s">
        <v>76</v>
      </c>
      <c r="HP152" s="2" t="s">
        <v>23</v>
      </c>
      <c r="HQ152" s="2" t="s">
        <v>23</v>
      </c>
      <c r="HR152" s="2"/>
      <c r="HS152" s="2">
        <v>0</v>
      </c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>
        <v>0</v>
      </c>
      <c r="IL152" s="2"/>
      <c r="IM152" s="2"/>
      <c r="IN152" s="2"/>
      <c r="IO152" s="2"/>
      <c r="IP152" s="2"/>
      <c r="IQ152" s="2"/>
      <c r="IR152" s="2"/>
      <c r="IS152" s="2"/>
      <c r="IT152" s="2"/>
      <c r="IU152" s="2"/>
    </row>
    <row r="153" spans="1:255" x14ac:dyDescent="0.2">
      <c r="A153" s="2">
        <v>18</v>
      </c>
      <c r="B153" s="2">
        <v>1</v>
      </c>
      <c r="C153" s="2">
        <v>171</v>
      </c>
      <c r="D153" s="2"/>
      <c r="E153" s="2" t="s">
        <v>248</v>
      </c>
      <c r="F153" s="2" t="s">
        <v>86</v>
      </c>
      <c r="G153" s="2" t="s">
        <v>87</v>
      </c>
      <c r="H153" s="2" t="s">
        <v>34</v>
      </c>
      <c r="I153" s="2">
        <f>I151*J153</f>
        <v>3.168E-4</v>
      </c>
      <c r="J153" s="2">
        <v>0.01</v>
      </c>
      <c r="K153" s="2">
        <v>0.01</v>
      </c>
      <c r="L153" s="2"/>
      <c r="M153" s="2"/>
      <c r="N153" s="2"/>
      <c r="O153" s="2">
        <f t="shared" si="100"/>
        <v>12.68</v>
      </c>
      <c r="P153" s="2">
        <f>ROUND(CQ153*I153,2)</f>
        <v>12.68</v>
      </c>
      <c r="Q153" s="2">
        <f>ROUND(CR153*I153,2)</f>
        <v>0</v>
      </c>
      <c r="R153" s="2">
        <f>ROUND(CS153*I153,2)</f>
        <v>0</v>
      </c>
      <c r="S153" s="2">
        <f>ROUND(CT153*I153,2)</f>
        <v>0</v>
      </c>
      <c r="T153" s="2">
        <f t="shared" si="101"/>
        <v>0</v>
      </c>
      <c r="U153" s="2">
        <f>ROUND(CV153*I153,7)</f>
        <v>0</v>
      </c>
      <c r="V153" s="2">
        <f>ROUND(CW153*I153,7)</f>
        <v>0</v>
      </c>
      <c r="W153" s="2">
        <f t="shared" si="102"/>
        <v>0</v>
      </c>
      <c r="X153" s="2">
        <f t="shared" si="103"/>
        <v>0</v>
      </c>
      <c r="Y153" s="2">
        <f t="shared" si="104"/>
        <v>0</v>
      </c>
      <c r="Z153" s="2"/>
      <c r="AA153" s="2">
        <v>94104265</v>
      </c>
      <c r="AB153" s="2">
        <f t="shared" si="105"/>
        <v>23139.16</v>
      </c>
      <c r="AC153" s="2">
        <f>ROUND((ES153),6)</f>
        <v>23139.16</v>
      </c>
      <c r="AD153" s="2">
        <f>ROUND((((ET153)-(EU153))+AE153),6)</f>
        <v>0</v>
      </c>
      <c r="AE153" s="2">
        <f t="shared" si="121"/>
        <v>0</v>
      </c>
      <c r="AF153" s="2">
        <f t="shared" si="121"/>
        <v>0</v>
      </c>
      <c r="AG153" s="2">
        <f t="shared" si="106"/>
        <v>0</v>
      </c>
      <c r="AH153" s="2">
        <f t="shared" si="122"/>
        <v>0</v>
      </c>
      <c r="AI153" s="2">
        <f t="shared" si="122"/>
        <v>0</v>
      </c>
      <c r="AJ153" s="2">
        <f t="shared" si="107"/>
        <v>0</v>
      </c>
      <c r="AK153" s="2">
        <v>23139.16</v>
      </c>
      <c r="AL153" s="2">
        <v>23139.16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112</v>
      </c>
      <c r="AU153" s="2">
        <v>65</v>
      </c>
      <c r="AV153" s="2">
        <v>1</v>
      </c>
      <c r="AW153" s="2">
        <v>1</v>
      </c>
      <c r="AX153" s="2"/>
      <c r="AY153" s="2"/>
      <c r="AZ153" s="2">
        <v>1</v>
      </c>
      <c r="BA153" s="2">
        <v>1</v>
      </c>
      <c r="BB153" s="2">
        <v>1</v>
      </c>
      <c r="BC153" s="2">
        <v>1.73</v>
      </c>
      <c r="BD153" s="2" t="s">
        <v>3</v>
      </c>
      <c r="BE153" s="2" t="s">
        <v>3</v>
      </c>
      <c r="BF153" s="2" t="s">
        <v>3</v>
      </c>
      <c r="BG153" s="2" t="s">
        <v>3</v>
      </c>
      <c r="BH153" s="2">
        <v>3</v>
      </c>
      <c r="BI153" s="2">
        <v>1</v>
      </c>
      <c r="BJ153" s="2" t="s">
        <v>88</v>
      </c>
      <c r="BK153" s="2"/>
      <c r="BL153" s="2"/>
      <c r="BM153" s="2">
        <v>11001</v>
      </c>
      <c r="BN153" s="2">
        <v>0</v>
      </c>
      <c r="BO153" s="2" t="s">
        <v>86</v>
      </c>
      <c r="BP153" s="2">
        <v>1</v>
      </c>
      <c r="BQ153" s="2">
        <v>2</v>
      </c>
      <c r="BR153" s="2">
        <v>0</v>
      </c>
      <c r="BS153" s="2">
        <v>1</v>
      </c>
      <c r="BT153" s="2">
        <v>1</v>
      </c>
      <c r="BU153" s="2">
        <v>1</v>
      </c>
      <c r="BV153" s="2">
        <v>1</v>
      </c>
      <c r="BW153" s="2">
        <v>1</v>
      </c>
      <c r="BX153" s="2">
        <v>1</v>
      </c>
      <c r="BY153" s="2" t="s">
        <v>3</v>
      </c>
      <c r="BZ153" s="2">
        <v>112</v>
      </c>
      <c r="CA153" s="2">
        <v>65</v>
      </c>
      <c r="CB153" s="2" t="s">
        <v>3</v>
      </c>
      <c r="CC153" s="2"/>
      <c r="CD153" s="2"/>
      <c r="CE153" s="2">
        <v>0</v>
      </c>
      <c r="CF153" s="2">
        <v>0</v>
      </c>
      <c r="CG153" s="2">
        <v>0</v>
      </c>
      <c r="CH153" s="2"/>
      <c r="CI153" s="2"/>
      <c r="CJ153" s="2"/>
      <c r="CK153" s="2"/>
      <c r="CL153" s="2"/>
      <c r="CM153" s="2">
        <v>0</v>
      </c>
      <c r="CN153" s="2" t="s">
        <v>3</v>
      </c>
      <c r="CO153" s="2">
        <v>0</v>
      </c>
      <c r="CP153" s="2">
        <f t="shared" si="108"/>
        <v>12.68</v>
      </c>
      <c r="CQ153" s="2">
        <f>ROUND(AL153*BC153,2)</f>
        <v>40030.75</v>
      </c>
      <c r="CR153" s="2">
        <f>ROUND(AM153*BB153,2)</f>
        <v>0</v>
      </c>
      <c r="CS153" s="2">
        <f>ROUND(AN153*BS153,2)</f>
        <v>0</v>
      </c>
      <c r="CT153" s="2">
        <f>ROUND(AO153*BA153,2)</f>
        <v>0</v>
      </c>
      <c r="CU153" s="2">
        <f t="shared" si="109"/>
        <v>0</v>
      </c>
      <c r="CV153" s="2">
        <f t="shared" si="123"/>
        <v>0</v>
      </c>
      <c r="CW153" s="2">
        <f t="shared" si="123"/>
        <v>0</v>
      </c>
      <c r="CX153" s="2">
        <f t="shared" si="110"/>
        <v>0</v>
      </c>
      <c r="CY153" s="2">
        <f t="shared" si="111"/>
        <v>0</v>
      </c>
      <c r="CZ153" s="2">
        <f t="shared" si="112"/>
        <v>0</v>
      </c>
      <c r="DA153" s="2"/>
      <c r="DB153" s="2"/>
      <c r="DC153" s="2" t="s">
        <v>3</v>
      </c>
      <c r="DD153" s="2" t="s">
        <v>3</v>
      </c>
      <c r="DE153" s="2" t="s">
        <v>3</v>
      </c>
      <c r="DF153" s="2" t="s">
        <v>3</v>
      </c>
      <c r="DG153" s="2" t="s">
        <v>3</v>
      </c>
      <c r="DH153" s="2" t="s">
        <v>3</v>
      </c>
      <c r="DI153" s="2" t="s">
        <v>3</v>
      </c>
      <c r="DJ153" s="2" t="s">
        <v>3</v>
      </c>
      <c r="DK153" s="2" t="s">
        <v>3</v>
      </c>
      <c r="DL153" s="2" t="s">
        <v>3</v>
      </c>
      <c r="DM153" s="2" t="s">
        <v>3</v>
      </c>
      <c r="DN153" s="2">
        <v>0</v>
      </c>
      <c r="DO153" s="2">
        <v>0</v>
      </c>
      <c r="DP153" s="2">
        <v>1</v>
      </c>
      <c r="DQ153" s="2">
        <v>1</v>
      </c>
      <c r="DR153" s="2"/>
      <c r="DS153" s="2"/>
      <c r="DT153" s="2"/>
      <c r="DU153" s="2">
        <v>1007</v>
      </c>
      <c r="DV153" s="2" t="s">
        <v>34</v>
      </c>
      <c r="DW153" s="2" t="s">
        <v>34</v>
      </c>
      <c r="DX153" s="2">
        <v>1</v>
      </c>
      <c r="DY153" s="2"/>
      <c r="DZ153" s="2" t="s">
        <v>3</v>
      </c>
      <c r="EA153" s="2" t="s">
        <v>3</v>
      </c>
      <c r="EB153" s="2" t="s">
        <v>3</v>
      </c>
      <c r="EC153" s="2" t="s">
        <v>3</v>
      </c>
      <c r="ED153" s="2"/>
      <c r="EE153" s="2">
        <v>89976994</v>
      </c>
      <c r="EF153" s="2">
        <v>2</v>
      </c>
      <c r="EG153" s="2" t="s">
        <v>44</v>
      </c>
      <c r="EH153" s="2">
        <v>11</v>
      </c>
      <c r="EI153" s="2" t="s">
        <v>23</v>
      </c>
      <c r="EJ153" s="2">
        <v>1</v>
      </c>
      <c r="EK153" s="2">
        <v>11001</v>
      </c>
      <c r="EL153" s="2" t="s">
        <v>23</v>
      </c>
      <c r="EM153" s="2" t="s">
        <v>74</v>
      </c>
      <c r="EN153" s="2"/>
      <c r="EO153" s="2" t="s">
        <v>3</v>
      </c>
      <c r="EP153" s="2"/>
      <c r="EQ153" s="2">
        <v>0</v>
      </c>
      <c r="ER153" s="2">
        <v>23139.16</v>
      </c>
      <c r="ES153" s="2">
        <v>23139.16</v>
      </c>
      <c r="ET153" s="2">
        <v>0</v>
      </c>
      <c r="EU153" s="2">
        <v>0</v>
      </c>
      <c r="EV153" s="2">
        <v>0</v>
      </c>
      <c r="EW153" s="2">
        <v>0</v>
      </c>
      <c r="EX153" s="2">
        <v>0</v>
      </c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>
        <v>0</v>
      </c>
      <c r="FR153" s="2">
        <v>0</v>
      </c>
      <c r="FS153" s="2">
        <v>0</v>
      </c>
      <c r="FT153" s="2"/>
      <c r="FU153" s="2"/>
      <c r="FV153" s="2"/>
      <c r="FW153" s="2"/>
      <c r="FX153" s="2">
        <v>112</v>
      </c>
      <c r="FY153" s="2">
        <v>65</v>
      </c>
      <c r="FZ153" s="2"/>
      <c r="GA153" s="2" t="s">
        <v>3</v>
      </c>
      <c r="GB153" s="2"/>
      <c r="GC153" s="2"/>
      <c r="GD153" s="2">
        <v>1</v>
      </c>
      <c r="GE153" s="2"/>
      <c r="GF153" s="2">
        <v>201633308</v>
      </c>
      <c r="GG153" s="2">
        <v>2</v>
      </c>
      <c r="GH153" s="2">
        <v>1</v>
      </c>
      <c r="GI153" s="2">
        <v>2</v>
      </c>
      <c r="GJ153" s="2">
        <v>0</v>
      </c>
      <c r="GK153" s="2">
        <v>0</v>
      </c>
      <c r="GL153" s="2">
        <f t="shared" si="113"/>
        <v>0</v>
      </c>
      <c r="GM153" s="2">
        <f t="shared" si="114"/>
        <v>12.68</v>
      </c>
      <c r="GN153" s="2">
        <f t="shared" si="115"/>
        <v>12.68</v>
      </c>
      <c r="GO153" s="2">
        <f t="shared" si="116"/>
        <v>0</v>
      </c>
      <c r="GP153" s="2">
        <f t="shared" si="117"/>
        <v>0</v>
      </c>
      <c r="GQ153" s="2"/>
      <c r="GR153" s="2">
        <v>0</v>
      </c>
      <c r="GS153" s="2">
        <v>3</v>
      </c>
      <c r="GT153" s="2">
        <v>0</v>
      </c>
      <c r="GU153" s="2" t="s">
        <v>3</v>
      </c>
      <c r="GV153" s="2">
        <f t="shared" si="118"/>
        <v>0</v>
      </c>
      <c r="GW153" s="2">
        <v>1</v>
      </c>
      <c r="GX153" s="2">
        <f t="shared" si="119"/>
        <v>0</v>
      </c>
      <c r="GY153" s="2"/>
      <c r="GZ153" s="2"/>
      <c r="HA153" s="2">
        <v>0</v>
      </c>
      <c r="HB153" s="2">
        <v>0</v>
      </c>
      <c r="HC153" s="2">
        <f t="shared" si="120"/>
        <v>0</v>
      </c>
      <c r="HD153" s="2"/>
      <c r="HE153" s="2" t="s">
        <v>3</v>
      </c>
      <c r="HF153" s="2" t="s">
        <v>3</v>
      </c>
      <c r="HG153" s="2"/>
      <c r="HH153" s="2"/>
      <c r="HI153" s="2"/>
      <c r="HJ153" s="2"/>
      <c r="HK153" s="2"/>
      <c r="HL153" s="2"/>
      <c r="HM153" s="2" t="s">
        <v>3</v>
      </c>
      <c r="HN153" s="2" t="s">
        <v>75</v>
      </c>
      <c r="HO153" s="2" t="s">
        <v>76</v>
      </c>
      <c r="HP153" s="2" t="s">
        <v>23</v>
      </c>
      <c r="HQ153" s="2" t="s">
        <v>23</v>
      </c>
      <c r="HR153" s="2"/>
      <c r="HS153" s="2">
        <v>0</v>
      </c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>
        <v>0</v>
      </c>
      <c r="IL153" s="2"/>
      <c r="IM153" s="2"/>
      <c r="IN153" s="2"/>
      <c r="IO153" s="2"/>
      <c r="IP153" s="2"/>
      <c r="IQ153" s="2"/>
      <c r="IR153" s="2"/>
      <c r="IS153" s="2"/>
      <c r="IT153" s="2"/>
      <c r="IU153" s="2"/>
    </row>
    <row r="154" spans="1:255" x14ac:dyDescent="0.2">
      <c r="A154" s="2">
        <v>18</v>
      </c>
      <c r="B154" s="2">
        <v>1</v>
      </c>
      <c r="C154" s="2">
        <v>172</v>
      </c>
      <c r="D154" s="2"/>
      <c r="E154" s="2" t="s">
        <v>249</v>
      </c>
      <c r="F154" s="2" t="s">
        <v>250</v>
      </c>
      <c r="G154" s="2" t="s">
        <v>251</v>
      </c>
      <c r="H154" s="2" t="s">
        <v>30</v>
      </c>
      <c r="I154" s="2">
        <f>I151*J154</f>
        <v>3.8016000000000001E-2</v>
      </c>
      <c r="J154" s="2">
        <v>1.2</v>
      </c>
      <c r="K154" s="2">
        <v>1.2</v>
      </c>
      <c r="L154" s="2"/>
      <c r="M154" s="2"/>
      <c r="N154" s="2"/>
      <c r="O154" s="2">
        <f t="shared" si="100"/>
        <v>1383.73</v>
      </c>
      <c r="P154" s="2">
        <f>ROUND(CQ154*I154,2)</f>
        <v>1383.73</v>
      </c>
      <c r="Q154" s="2">
        <f>ROUND(CR154*I154,2)</f>
        <v>0</v>
      </c>
      <c r="R154" s="2">
        <f>ROUND(CS154*I154,2)</f>
        <v>0</v>
      </c>
      <c r="S154" s="2">
        <f>ROUND(CT154*I154,2)</f>
        <v>0</v>
      </c>
      <c r="T154" s="2">
        <f t="shared" si="101"/>
        <v>0</v>
      </c>
      <c r="U154" s="2">
        <f>ROUND(CV154*I154,7)</f>
        <v>0</v>
      </c>
      <c r="V154" s="2">
        <f>ROUND(CW154*I154,7)</f>
        <v>0</v>
      </c>
      <c r="W154" s="2">
        <f t="shared" si="102"/>
        <v>0</v>
      </c>
      <c r="X154" s="2">
        <f t="shared" si="103"/>
        <v>0</v>
      </c>
      <c r="Y154" s="2">
        <f t="shared" si="104"/>
        <v>0</v>
      </c>
      <c r="Z154" s="2"/>
      <c r="AA154" s="2">
        <v>94104265</v>
      </c>
      <c r="AB154" s="2">
        <f t="shared" si="105"/>
        <v>36038.35</v>
      </c>
      <c r="AC154" s="2">
        <f>ROUND((ES154),6)</f>
        <v>36038.35</v>
      </c>
      <c r="AD154" s="2">
        <f>ROUND((((ET154)-(EU154))+AE154),6)</f>
        <v>0</v>
      </c>
      <c r="AE154" s="2">
        <f t="shared" si="121"/>
        <v>0</v>
      </c>
      <c r="AF154" s="2">
        <f t="shared" si="121"/>
        <v>0</v>
      </c>
      <c r="AG154" s="2">
        <f t="shared" si="106"/>
        <v>0</v>
      </c>
      <c r="AH154" s="2">
        <f t="shared" si="122"/>
        <v>0</v>
      </c>
      <c r="AI154" s="2">
        <f t="shared" si="122"/>
        <v>0</v>
      </c>
      <c r="AJ154" s="2">
        <f t="shared" si="107"/>
        <v>0</v>
      </c>
      <c r="AK154" s="2">
        <v>36038.35</v>
      </c>
      <c r="AL154" s="2">
        <v>36038.35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112</v>
      </c>
      <c r="AU154" s="2">
        <v>65</v>
      </c>
      <c r="AV154" s="2">
        <v>1</v>
      </c>
      <c r="AW154" s="2">
        <v>1</v>
      </c>
      <c r="AX154" s="2"/>
      <c r="AY154" s="2"/>
      <c r="AZ154" s="2">
        <v>1</v>
      </c>
      <c r="BA154" s="2">
        <v>1</v>
      </c>
      <c r="BB154" s="2">
        <v>1</v>
      </c>
      <c r="BC154" s="2">
        <v>1.01</v>
      </c>
      <c r="BD154" s="2" t="s">
        <v>3</v>
      </c>
      <c r="BE154" s="2" t="s">
        <v>3</v>
      </c>
      <c r="BF154" s="2" t="s">
        <v>3</v>
      </c>
      <c r="BG154" s="2" t="s">
        <v>3</v>
      </c>
      <c r="BH154" s="2">
        <v>3</v>
      </c>
      <c r="BI154" s="2">
        <v>1</v>
      </c>
      <c r="BJ154" s="2" t="s">
        <v>252</v>
      </c>
      <c r="BK154" s="2"/>
      <c r="BL154" s="2"/>
      <c r="BM154" s="2">
        <v>11001</v>
      </c>
      <c r="BN154" s="2">
        <v>0</v>
      </c>
      <c r="BO154" s="2" t="s">
        <v>250</v>
      </c>
      <c r="BP154" s="2">
        <v>1</v>
      </c>
      <c r="BQ154" s="2">
        <v>2</v>
      </c>
      <c r="BR154" s="2">
        <v>0</v>
      </c>
      <c r="BS154" s="2">
        <v>1</v>
      </c>
      <c r="BT154" s="2">
        <v>1</v>
      </c>
      <c r="BU154" s="2">
        <v>1</v>
      </c>
      <c r="BV154" s="2">
        <v>1</v>
      </c>
      <c r="BW154" s="2">
        <v>1</v>
      </c>
      <c r="BX154" s="2">
        <v>1</v>
      </c>
      <c r="BY154" s="2" t="s">
        <v>3</v>
      </c>
      <c r="BZ154" s="2">
        <v>112</v>
      </c>
      <c r="CA154" s="2">
        <v>65</v>
      </c>
      <c r="CB154" s="2" t="s">
        <v>3</v>
      </c>
      <c r="CC154" s="2"/>
      <c r="CD154" s="2"/>
      <c r="CE154" s="2">
        <v>0</v>
      </c>
      <c r="CF154" s="2">
        <v>0</v>
      </c>
      <c r="CG154" s="2">
        <v>0</v>
      </c>
      <c r="CH154" s="2"/>
      <c r="CI154" s="2"/>
      <c r="CJ154" s="2"/>
      <c r="CK154" s="2"/>
      <c r="CL154" s="2"/>
      <c r="CM154" s="2">
        <v>0</v>
      </c>
      <c r="CN154" s="2" t="s">
        <v>3</v>
      </c>
      <c r="CO154" s="2">
        <v>0</v>
      </c>
      <c r="CP154" s="2">
        <f t="shared" si="108"/>
        <v>1383.73</v>
      </c>
      <c r="CQ154" s="2">
        <f>ROUND(AL154*BC154,2)</f>
        <v>36398.730000000003</v>
      </c>
      <c r="CR154" s="2">
        <f>ROUND(AM154*BB154,2)</f>
        <v>0</v>
      </c>
      <c r="CS154" s="2">
        <f>ROUND(AN154*BS154,2)</f>
        <v>0</v>
      </c>
      <c r="CT154" s="2">
        <f>ROUND(AO154*BA154,2)</f>
        <v>0</v>
      </c>
      <c r="CU154" s="2">
        <f t="shared" si="109"/>
        <v>0</v>
      </c>
      <c r="CV154" s="2">
        <f t="shared" si="123"/>
        <v>0</v>
      </c>
      <c r="CW154" s="2">
        <f t="shared" si="123"/>
        <v>0</v>
      </c>
      <c r="CX154" s="2">
        <f t="shared" si="110"/>
        <v>0</v>
      </c>
      <c r="CY154" s="2">
        <f t="shared" si="111"/>
        <v>0</v>
      </c>
      <c r="CZ154" s="2">
        <f t="shared" si="112"/>
        <v>0</v>
      </c>
      <c r="DA154" s="2"/>
      <c r="DB154" s="2"/>
      <c r="DC154" s="2" t="s">
        <v>3</v>
      </c>
      <c r="DD154" s="2" t="s">
        <v>3</v>
      </c>
      <c r="DE154" s="2" t="s">
        <v>3</v>
      </c>
      <c r="DF154" s="2" t="s">
        <v>3</v>
      </c>
      <c r="DG154" s="2" t="s">
        <v>3</v>
      </c>
      <c r="DH154" s="2" t="s">
        <v>3</v>
      </c>
      <c r="DI154" s="2" t="s">
        <v>3</v>
      </c>
      <c r="DJ154" s="2" t="s">
        <v>3</v>
      </c>
      <c r="DK154" s="2" t="s">
        <v>3</v>
      </c>
      <c r="DL154" s="2" t="s">
        <v>3</v>
      </c>
      <c r="DM154" s="2" t="s">
        <v>3</v>
      </c>
      <c r="DN154" s="2">
        <v>0</v>
      </c>
      <c r="DO154" s="2">
        <v>0</v>
      </c>
      <c r="DP154" s="2">
        <v>1</v>
      </c>
      <c r="DQ154" s="2">
        <v>1</v>
      </c>
      <c r="DR154" s="2"/>
      <c r="DS154" s="2"/>
      <c r="DT154" s="2"/>
      <c r="DU154" s="2">
        <v>1009</v>
      </c>
      <c r="DV154" s="2" t="s">
        <v>30</v>
      </c>
      <c r="DW154" s="2" t="s">
        <v>30</v>
      </c>
      <c r="DX154" s="2">
        <v>1000</v>
      </c>
      <c r="DY154" s="2"/>
      <c r="DZ154" s="2" t="s">
        <v>3</v>
      </c>
      <c r="EA154" s="2" t="s">
        <v>3</v>
      </c>
      <c r="EB154" s="2" t="s">
        <v>3</v>
      </c>
      <c r="EC154" s="2" t="s">
        <v>3</v>
      </c>
      <c r="ED154" s="2"/>
      <c r="EE154" s="2">
        <v>89976994</v>
      </c>
      <c r="EF154" s="2">
        <v>2</v>
      </c>
      <c r="EG154" s="2" t="s">
        <v>44</v>
      </c>
      <c r="EH154" s="2">
        <v>11</v>
      </c>
      <c r="EI154" s="2" t="s">
        <v>23</v>
      </c>
      <c r="EJ154" s="2">
        <v>1</v>
      </c>
      <c r="EK154" s="2">
        <v>11001</v>
      </c>
      <c r="EL154" s="2" t="s">
        <v>23</v>
      </c>
      <c r="EM154" s="2" t="s">
        <v>74</v>
      </c>
      <c r="EN154" s="2"/>
      <c r="EO154" s="2" t="s">
        <v>3</v>
      </c>
      <c r="EP154" s="2"/>
      <c r="EQ154" s="2">
        <v>0</v>
      </c>
      <c r="ER154" s="2">
        <v>36038.35</v>
      </c>
      <c r="ES154" s="2">
        <v>36038.35</v>
      </c>
      <c r="ET154" s="2">
        <v>0</v>
      </c>
      <c r="EU154" s="2">
        <v>0</v>
      </c>
      <c r="EV154" s="2">
        <v>0</v>
      </c>
      <c r="EW154" s="2">
        <v>0</v>
      </c>
      <c r="EX154" s="2">
        <v>0</v>
      </c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>
        <v>0</v>
      </c>
      <c r="FR154" s="2">
        <v>0</v>
      </c>
      <c r="FS154" s="2">
        <v>0</v>
      </c>
      <c r="FT154" s="2"/>
      <c r="FU154" s="2"/>
      <c r="FV154" s="2"/>
      <c r="FW154" s="2"/>
      <c r="FX154" s="2">
        <v>112</v>
      </c>
      <c r="FY154" s="2">
        <v>65</v>
      </c>
      <c r="FZ154" s="2"/>
      <c r="GA154" s="2" t="s">
        <v>3</v>
      </c>
      <c r="GB154" s="2"/>
      <c r="GC154" s="2"/>
      <c r="GD154" s="2">
        <v>1</v>
      </c>
      <c r="GE154" s="2"/>
      <c r="GF154" s="2">
        <v>1538372289</v>
      </c>
      <c r="GG154" s="2">
        <v>2</v>
      </c>
      <c r="GH154" s="2">
        <v>1</v>
      </c>
      <c r="GI154" s="2">
        <v>2</v>
      </c>
      <c r="GJ154" s="2">
        <v>0</v>
      </c>
      <c r="GK154" s="2">
        <v>0</v>
      </c>
      <c r="GL154" s="2">
        <f t="shared" si="113"/>
        <v>0</v>
      </c>
      <c r="GM154" s="2">
        <f t="shared" si="114"/>
        <v>1383.73</v>
      </c>
      <c r="GN154" s="2">
        <f t="shared" si="115"/>
        <v>1383.73</v>
      </c>
      <c r="GO154" s="2">
        <f t="shared" si="116"/>
        <v>0</v>
      </c>
      <c r="GP154" s="2">
        <f t="shared" si="117"/>
        <v>0</v>
      </c>
      <c r="GQ154" s="2"/>
      <c r="GR154" s="2">
        <v>0</v>
      </c>
      <c r="GS154" s="2">
        <v>3</v>
      </c>
      <c r="GT154" s="2">
        <v>0</v>
      </c>
      <c r="GU154" s="2" t="s">
        <v>3</v>
      </c>
      <c r="GV154" s="2">
        <f t="shared" si="118"/>
        <v>0</v>
      </c>
      <c r="GW154" s="2">
        <v>1</v>
      </c>
      <c r="GX154" s="2">
        <f t="shared" si="119"/>
        <v>0</v>
      </c>
      <c r="GY154" s="2"/>
      <c r="GZ154" s="2"/>
      <c r="HA154" s="2">
        <v>0</v>
      </c>
      <c r="HB154" s="2">
        <v>0</v>
      </c>
      <c r="HC154" s="2">
        <f t="shared" si="120"/>
        <v>0</v>
      </c>
      <c r="HD154" s="2"/>
      <c r="HE154" s="2" t="s">
        <v>3</v>
      </c>
      <c r="HF154" s="2" t="s">
        <v>3</v>
      </c>
      <c r="HG154" s="2"/>
      <c r="HH154" s="2"/>
      <c r="HI154" s="2"/>
      <c r="HJ154" s="2"/>
      <c r="HK154" s="2"/>
      <c r="HL154" s="2"/>
      <c r="HM154" s="2" t="s">
        <v>3</v>
      </c>
      <c r="HN154" s="2" t="s">
        <v>75</v>
      </c>
      <c r="HO154" s="2" t="s">
        <v>76</v>
      </c>
      <c r="HP154" s="2" t="s">
        <v>23</v>
      </c>
      <c r="HQ154" s="2" t="s">
        <v>23</v>
      </c>
      <c r="HR154" s="2"/>
      <c r="HS154" s="2">
        <v>0</v>
      </c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>
        <v>0</v>
      </c>
      <c r="IL154" s="2"/>
      <c r="IM154" s="2"/>
      <c r="IN154" s="2"/>
      <c r="IO154" s="2"/>
      <c r="IP154" s="2"/>
      <c r="IQ154" s="2"/>
      <c r="IR154" s="2"/>
      <c r="IS154" s="2"/>
      <c r="IT154" s="2"/>
      <c r="IU154" s="2"/>
    </row>
    <row r="155" spans="1:255" x14ac:dyDescent="0.2">
      <c r="A155" s="2">
        <v>18</v>
      </c>
      <c r="B155" s="2">
        <v>1</v>
      </c>
      <c r="C155" s="2">
        <v>173</v>
      </c>
      <c r="D155" s="2"/>
      <c r="E155" s="2" t="s">
        <v>253</v>
      </c>
      <c r="F155" s="2" t="s">
        <v>254</v>
      </c>
      <c r="G155" s="2" t="s">
        <v>255</v>
      </c>
      <c r="H155" s="2" t="s">
        <v>30</v>
      </c>
      <c r="I155" s="2">
        <f>I151*J155</f>
        <v>0</v>
      </c>
      <c r="J155" s="2">
        <v>0</v>
      </c>
      <c r="K155" s="2">
        <v>0</v>
      </c>
      <c r="L155" s="2"/>
      <c r="M155" s="2"/>
      <c r="N155" s="2"/>
      <c r="O155" s="2">
        <f t="shared" si="100"/>
        <v>0</v>
      </c>
      <c r="P155" s="2">
        <f>ROUND(CQ155*I155,2)</f>
        <v>0</v>
      </c>
      <c r="Q155" s="2">
        <f>ROUND(CR155*I155,2)</f>
        <v>0</v>
      </c>
      <c r="R155" s="2">
        <f>ROUND(CS155*I155,2)</f>
        <v>0</v>
      </c>
      <c r="S155" s="2">
        <f>ROUND(CT155*I155,2)</f>
        <v>0</v>
      </c>
      <c r="T155" s="2">
        <f t="shared" si="101"/>
        <v>0</v>
      </c>
      <c r="U155" s="2">
        <f>ROUND(CV155*I155,7)</f>
        <v>0</v>
      </c>
      <c r="V155" s="2">
        <f>ROUND(CW155*I155,7)</f>
        <v>0</v>
      </c>
      <c r="W155" s="2">
        <f t="shared" si="102"/>
        <v>0</v>
      </c>
      <c r="X155" s="2">
        <f t="shared" si="103"/>
        <v>0</v>
      </c>
      <c r="Y155" s="2">
        <f t="shared" si="104"/>
        <v>0</v>
      </c>
      <c r="Z155" s="2"/>
      <c r="AA155" s="2">
        <v>94104265</v>
      </c>
      <c r="AB155" s="2">
        <f t="shared" si="105"/>
        <v>0</v>
      </c>
      <c r="AC155" s="2">
        <f>ROUND((ES155),6)</f>
        <v>0</v>
      </c>
      <c r="AD155" s="2">
        <f>ROUND((((ET155)-(EU155))+AE155),6)</f>
        <v>0</v>
      </c>
      <c r="AE155" s="2">
        <f t="shared" si="121"/>
        <v>0</v>
      </c>
      <c r="AF155" s="2">
        <f t="shared" si="121"/>
        <v>0</v>
      </c>
      <c r="AG155" s="2">
        <f t="shared" si="106"/>
        <v>0</v>
      </c>
      <c r="AH155" s="2">
        <f t="shared" si="122"/>
        <v>0</v>
      </c>
      <c r="AI155" s="2">
        <f t="shared" si="122"/>
        <v>0</v>
      </c>
      <c r="AJ155" s="2">
        <f t="shared" si="107"/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112</v>
      </c>
      <c r="AU155" s="2">
        <v>65</v>
      </c>
      <c r="AV155" s="2">
        <v>1</v>
      </c>
      <c r="AW155" s="2">
        <v>1</v>
      </c>
      <c r="AX155" s="2"/>
      <c r="AY155" s="2"/>
      <c r="AZ155" s="2">
        <v>1</v>
      </c>
      <c r="BA155" s="2">
        <v>1</v>
      </c>
      <c r="BB155" s="2">
        <v>1</v>
      </c>
      <c r="BC155" s="2">
        <v>1</v>
      </c>
      <c r="BD155" s="2" t="s">
        <v>3</v>
      </c>
      <c r="BE155" s="2" t="s">
        <v>3</v>
      </c>
      <c r="BF155" s="2" t="s">
        <v>3</v>
      </c>
      <c r="BG155" s="2" t="s">
        <v>3</v>
      </c>
      <c r="BH155" s="2">
        <v>3</v>
      </c>
      <c r="BI155" s="2">
        <v>1</v>
      </c>
      <c r="BJ155" s="2" t="s">
        <v>3</v>
      </c>
      <c r="BK155" s="2"/>
      <c r="BL155" s="2"/>
      <c r="BM155" s="2">
        <v>11001</v>
      </c>
      <c r="BN155" s="2">
        <v>0</v>
      </c>
      <c r="BO155" s="2" t="s">
        <v>3</v>
      </c>
      <c r="BP155" s="2">
        <v>0</v>
      </c>
      <c r="BQ155" s="2">
        <v>2</v>
      </c>
      <c r="BR155" s="2">
        <v>0</v>
      </c>
      <c r="BS155" s="2">
        <v>1</v>
      </c>
      <c r="BT155" s="2">
        <v>1</v>
      </c>
      <c r="BU155" s="2">
        <v>1</v>
      </c>
      <c r="BV155" s="2">
        <v>1</v>
      </c>
      <c r="BW155" s="2">
        <v>1</v>
      </c>
      <c r="BX155" s="2">
        <v>1</v>
      </c>
      <c r="BY155" s="2" t="s">
        <v>3</v>
      </c>
      <c r="BZ155" s="2">
        <v>112</v>
      </c>
      <c r="CA155" s="2">
        <v>65</v>
      </c>
      <c r="CB155" s="2" t="s">
        <v>3</v>
      </c>
      <c r="CC155" s="2"/>
      <c r="CD155" s="2"/>
      <c r="CE155" s="2">
        <v>0</v>
      </c>
      <c r="CF155" s="2">
        <v>0</v>
      </c>
      <c r="CG155" s="2">
        <v>0</v>
      </c>
      <c r="CH155" s="2"/>
      <c r="CI155" s="2"/>
      <c r="CJ155" s="2"/>
      <c r="CK155" s="2"/>
      <c r="CL155" s="2"/>
      <c r="CM155" s="2">
        <v>0</v>
      </c>
      <c r="CN155" s="2" t="s">
        <v>3</v>
      </c>
      <c r="CO155" s="2">
        <v>0</v>
      </c>
      <c r="CP155" s="2">
        <f t="shared" si="108"/>
        <v>0</v>
      </c>
      <c r="CQ155" s="2">
        <f>ROUND(AL155*BC155,2)</f>
        <v>0</v>
      </c>
      <c r="CR155" s="2">
        <f>ROUND(AM155*BB155,2)</f>
        <v>0</v>
      </c>
      <c r="CS155" s="2">
        <f>ROUND(AN155*BS155,2)</f>
        <v>0</v>
      </c>
      <c r="CT155" s="2">
        <f>ROUND(AO155*BA155,2)</f>
        <v>0</v>
      </c>
      <c r="CU155" s="2">
        <f t="shared" si="109"/>
        <v>0</v>
      </c>
      <c r="CV155" s="2">
        <f t="shared" si="123"/>
        <v>0</v>
      </c>
      <c r="CW155" s="2">
        <f t="shared" si="123"/>
        <v>0</v>
      </c>
      <c r="CX155" s="2">
        <f t="shared" si="110"/>
        <v>0</v>
      </c>
      <c r="CY155" s="2">
        <f t="shared" si="111"/>
        <v>0</v>
      </c>
      <c r="CZ155" s="2">
        <f t="shared" si="112"/>
        <v>0</v>
      </c>
      <c r="DA155" s="2"/>
      <c r="DB155" s="2"/>
      <c r="DC155" s="2" t="s">
        <v>3</v>
      </c>
      <c r="DD155" s="2" t="s">
        <v>3</v>
      </c>
      <c r="DE155" s="2" t="s">
        <v>3</v>
      </c>
      <c r="DF155" s="2" t="s">
        <v>3</v>
      </c>
      <c r="DG155" s="2" t="s">
        <v>3</v>
      </c>
      <c r="DH155" s="2" t="s">
        <v>3</v>
      </c>
      <c r="DI155" s="2" t="s">
        <v>3</v>
      </c>
      <c r="DJ155" s="2" t="s">
        <v>3</v>
      </c>
      <c r="DK155" s="2" t="s">
        <v>3</v>
      </c>
      <c r="DL155" s="2" t="s">
        <v>3</v>
      </c>
      <c r="DM155" s="2" t="s">
        <v>3</v>
      </c>
      <c r="DN155" s="2">
        <v>0</v>
      </c>
      <c r="DO155" s="2">
        <v>0</v>
      </c>
      <c r="DP155" s="2">
        <v>1</v>
      </c>
      <c r="DQ155" s="2">
        <v>1</v>
      </c>
      <c r="DR155" s="2"/>
      <c r="DS155" s="2"/>
      <c r="DT155" s="2"/>
      <c r="DU155" s="2">
        <v>1009</v>
      </c>
      <c r="DV155" s="2" t="s">
        <v>30</v>
      </c>
      <c r="DW155" s="2" t="s">
        <v>30</v>
      </c>
      <c r="DX155" s="2">
        <v>1000</v>
      </c>
      <c r="DY155" s="2"/>
      <c r="DZ155" s="2" t="s">
        <v>3</v>
      </c>
      <c r="EA155" s="2" t="s">
        <v>3</v>
      </c>
      <c r="EB155" s="2" t="s">
        <v>3</v>
      </c>
      <c r="EC155" s="2" t="s">
        <v>3</v>
      </c>
      <c r="ED155" s="2"/>
      <c r="EE155" s="2">
        <v>89976994</v>
      </c>
      <c r="EF155" s="2">
        <v>2</v>
      </c>
      <c r="EG155" s="2" t="s">
        <v>44</v>
      </c>
      <c r="EH155" s="2">
        <v>11</v>
      </c>
      <c r="EI155" s="2" t="s">
        <v>23</v>
      </c>
      <c r="EJ155" s="2">
        <v>1</v>
      </c>
      <c r="EK155" s="2">
        <v>11001</v>
      </c>
      <c r="EL155" s="2" t="s">
        <v>23</v>
      </c>
      <c r="EM155" s="2" t="s">
        <v>74</v>
      </c>
      <c r="EN155" s="2"/>
      <c r="EO155" s="2" t="s">
        <v>3</v>
      </c>
      <c r="EP155" s="2"/>
      <c r="EQ155" s="2">
        <v>0</v>
      </c>
      <c r="ER155" s="2">
        <v>0</v>
      </c>
      <c r="ES155" s="2">
        <v>0</v>
      </c>
      <c r="ET155" s="2">
        <v>0</v>
      </c>
      <c r="EU155" s="2">
        <v>0</v>
      </c>
      <c r="EV155" s="2">
        <v>0</v>
      </c>
      <c r="EW155" s="2">
        <v>0</v>
      </c>
      <c r="EX155" s="2">
        <v>0</v>
      </c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>
        <v>0</v>
      </c>
      <c r="FR155" s="2">
        <v>0</v>
      </c>
      <c r="FS155" s="2">
        <v>0</v>
      </c>
      <c r="FT155" s="2"/>
      <c r="FU155" s="2"/>
      <c r="FV155" s="2"/>
      <c r="FW155" s="2"/>
      <c r="FX155" s="2">
        <v>112</v>
      </c>
      <c r="FY155" s="2">
        <v>65</v>
      </c>
      <c r="FZ155" s="2"/>
      <c r="GA155" s="2" t="s">
        <v>3</v>
      </c>
      <c r="GB155" s="2"/>
      <c r="GC155" s="2"/>
      <c r="GD155" s="2">
        <v>1</v>
      </c>
      <c r="GE155" s="2"/>
      <c r="GF155" s="2">
        <v>-1212923053</v>
      </c>
      <c r="GG155" s="2">
        <v>2</v>
      </c>
      <c r="GH155" s="2">
        <v>1</v>
      </c>
      <c r="GI155" s="2">
        <v>-2</v>
      </c>
      <c r="GJ155" s="2">
        <v>0</v>
      </c>
      <c r="GK155" s="2">
        <v>0</v>
      </c>
      <c r="GL155" s="2">
        <f t="shared" si="113"/>
        <v>0</v>
      </c>
      <c r="GM155" s="2">
        <f t="shared" si="114"/>
        <v>0</v>
      </c>
      <c r="GN155" s="2">
        <f t="shared" si="115"/>
        <v>0</v>
      </c>
      <c r="GO155" s="2">
        <f t="shared" si="116"/>
        <v>0</v>
      </c>
      <c r="GP155" s="2">
        <f t="shared" si="117"/>
        <v>0</v>
      </c>
      <c r="GQ155" s="2"/>
      <c r="GR155" s="2">
        <v>0</v>
      </c>
      <c r="GS155" s="2">
        <v>3</v>
      </c>
      <c r="GT155" s="2">
        <v>0</v>
      </c>
      <c r="GU155" s="2" t="s">
        <v>3</v>
      </c>
      <c r="GV155" s="2">
        <f t="shared" si="118"/>
        <v>0</v>
      </c>
      <c r="GW155" s="2">
        <v>1</v>
      </c>
      <c r="GX155" s="2">
        <f t="shared" si="119"/>
        <v>0</v>
      </c>
      <c r="GY155" s="2"/>
      <c r="GZ155" s="2"/>
      <c r="HA155" s="2">
        <v>0</v>
      </c>
      <c r="HB155" s="2">
        <v>0</v>
      </c>
      <c r="HC155" s="2">
        <f t="shared" si="120"/>
        <v>0</v>
      </c>
      <c r="HD155" s="2"/>
      <c r="HE155" s="2" t="s">
        <v>3</v>
      </c>
      <c r="HF155" s="2" t="s">
        <v>3</v>
      </c>
      <c r="HG155" s="2"/>
      <c r="HH155" s="2"/>
      <c r="HI155" s="2"/>
      <c r="HJ155" s="2"/>
      <c r="HK155" s="2"/>
      <c r="HL155" s="2"/>
      <c r="HM155" s="2" t="s">
        <v>3</v>
      </c>
      <c r="HN155" s="2" t="s">
        <v>75</v>
      </c>
      <c r="HO155" s="2" t="s">
        <v>76</v>
      </c>
      <c r="HP155" s="2" t="s">
        <v>23</v>
      </c>
      <c r="HQ155" s="2" t="s">
        <v>23</v>
      </c>
      <c r="HR155" s="2"/>
      <c r="HS155" s="2">
        <v>0</v>
      </c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>
        <v>0</v>
      </c>
      <c r="IL155" s="2"/>
      <c r="IM155" s="2"/>
      <c r="IN155" s="2"/>
      <c r="IO155" s="2"/>
      <c r="IP155" s="2"/>
      <c r="IQ155" s="2"/>
      <c r="IR155" s="2"/>
      <c r="IS155" s="2"/>
      <c r="IT155" s="2"/>
      <c r="IU155" s="2"/>
    </row>
    <row r="156" spans="1:255" ht="409.5" x14ac:dyDescent="0.2">
      <c r="A156" s="2">
        <v>17</v>
      </c>
      <c r="B156" s="2">
        <v>1</v>
      </c>
      <c r="C156" s="2">
        <f>ROW(SmtRes!A182)</f>
        <v>182</v>
      </c>
      <c r="D156" s="2">
        <f>ROW(EtalonRes!A182)</f>
        <v>182</v>
      </c>
      <c r="E156" s="2" t="s">
        <v>256</v>
      </c>
      <c r="F156" s="2" t="s">
        <v>257</v>
      </c>
      <c r="G156" s="2" t="s">
        <v>258</v>
      </c>
      <c r="H156" s="2" t="s">
        <v>101</v>
      </c>
      <c r="I156" s="2">
        <f>ROUND(21/100,7)</f>
        <v>0.21</v>
      </c>
      <c r="J156" s="2">
        <v>0</v>
      </c>
      <c r="K156" s="2">
        <f>ROUND(21/100,7)</f>
        <v>0.21</v>
      </c>
      <c r="L156" s="2"/>
      <c r="M156" s="2"/>
      <c r="N156" s="2"/>
      <c r="O156" s="2">
        <f t="shared" si="100"/>
        <v>5178.8100000000004</v>
      </c>
      <c r="P156" s="2">
        <f>SUMIF(SmtRes!AQ174:'SmtRes'!AQ182,"=1",SmtRes!DF174:'SmtRes'!DF182)</f>
        <v>0.24</v>
      </c>
      <c r="Q156" s="2">
        <f>SUMIF(SmtRes!AQ174:'SmtRes'!AQ182,"=1",SmtRes!DG174:'SmtRes'!DG182)</f>
        <v>43.059999999999995</v>
      </c>
      <c r="R156" s="2">
        <f>SUMIF(SmtRes!AQ174:'SmtRes'!AQ182,"=1",SmtRes!DH174:'SmtRes'!DH182)</f>
        <v>59.27</v>
      </c>
      <c r="S156" s="2">
        <f>SUMIF(SmtRes!AQ174:'SmtRes'!AQ182,"=1",SmtRes!DI174:'SmtRes'!DI182)</f>
        <v>5076.24</v>
      </c>
      <c r="T156" s="2">
        <f t="shared" si="101"/>
        <v>0</v>
      </c>
      <c r="U156" s="2">
        <f>SUMIF(SmtRes!AQ174:'SmtRes'!AQ182,"=1",SmtRes!CV174:'SmtRes'!CV182)</f>
        <v>7.1025150000000004</v>
      </c>
      <c r="V156" s="2">
        <f>SUMIF(SmtRes!AQ174:'SmtRes'!AQ182,"=1",SmtRes!CW174:'SmtRes'!CW182)</f>
        <v>8.1375000000000003E-2</v>
      </c>
      <c r="W156" s="2">
        <f t="shared" si="102"/>
        <v>0</v>
      </c>
      <c r="X156" s="2">
        <f t="shared" si="103"/>
        <v>5176.59</v>
      </c>
      <c r="Y156" s="2">
        <f t="shared" si="104"/>
        <v>2837.37</v>
      </c>
      <c r="Z156" s="2"/>
      <c r="AA156" s="2">
        <v>94104265</v>
      </c>
      <c r="AB156" s="2">
        <f t="shared" si="105"/>
        <v>24378.355664999999</v>
      </c>
      <c r="AC156" s="2">
        <f>ROUND((SUM(SmtRes!BQ174:'SmtRes'!BQ182)),6)</f>
        <v>0.97989999999999999</v>
      </c>
      <c r="AD156" s="2">
        <f>ROUND((((SUM(SmtRes!BR174:'SmtRes'!BR182))-(SUM(SmtRes!BS174:'SmtRes'!BS182)))+AE156),6)</f>
        <v>204.8115</v>
      </c>
      <c r="AE156" s="2">
        <f>ROUND((SUM(SmtRes!BS174:'SmtRes'!BS182)),6)</f>
        <v>282.27050000000003</v>
      </c>
      <c r="AF156" s="2">
        <f>ROUND((SUM(SmtRes!BT174:'SmtRes'!BT182)),6)</f>
        <v>24172.564265000001</v>
      </c>
      <c r="AG156" s="2">
        <f t="shared" si="106"/>
        <v>0</v>
      </c>
      <c r="AH156" s="2">
        <f>(SUM(SmtRes!BU174:'SmtRes'!BU182))</f>
        <v>33.8215</v>
      </c>
      <c r="AI156" s="2">
        <f>(SUM(SmtRes!BV174:'SmtRes'!BV182))</f>
        <v>0.38750000000000001</v>
      </c>
      <c r="AJ156" s="2">
        <f t="shared" si="107"/>
        <v>0</v>
      </c>
      <c r="AK156" s="2">
        <v>21410.266599999999</v>
      </c>
      <c r="AL156" s="2">
        <v>0.97989999999999999</v>
      </c>
      <c r="AM156" s="2">
        <v>163.84919999999997</v>
      </c>
      <c r="AN156" s="2">
        <v>225.81640000000002</v>
      </c>
      <c r="AO156" s="2">
        <v>21019.6211</v>
      </c>
      <c r="AP156" s="2">
        <v>0</v>
      </c>
      <c r="AQ156" s="2">
        <v>29.41</v>
      </c>
      <c r="AR156" s="2">
        <v>0.31</v>
      </c>
      <c r="AS156" s="2">
        <v>0</v>
      </c>
      <c r="AT156" s="2">
        <v>100.8</v>
      </c>
      <c r="AU156" s="2">
        <v>55.25</v>
      </c>
      <c r="AV156" s="2">
        <v>1</v>
      </c>
      <c r="AW156" s="2">
        <v>1</v>
      </c>
      <c r="AX156" s="2"/>
      <c r="AY156" s="2"/>
      <c r="AZ156" s="2">
        <v>1</v>
      </c>
      <c r="BA156" s="2">
        <v>1</v>
      </c>
      <c r="BB156" s="2">
        <v>1</v>
      </c>
      <c r="BC156" s="2">
        <v>1</v>
      </c>
      <c r="BD156" s="2" t="s">
        <v>3</v>
      </c>
      <c r="BE156" s="2" t="s">
        <v>3</v>
      </c>
      <c r="BF156" s="2" t="s">
        <v>3</v>
      </c>
      <c r="BG156" s="2" t="s">
        <v>3</v>
      </c>
      <c r="BH156" s="2">
        <v>0</v>
      </c>
      <c r="BI156" s="2">
        <v>1</v>
      </c>
      <c r="BJ156" s="2" t="s">
        <v>259</v>
      </c>
      <c r="BK156" s="2"/>
      <c r="BL156" s="2"/>
      <c r="BM156" s="2">
        <v>11001</v>
      </c>
      <c r="BN156" s="2">
        <v>0</v>
      </c>
      <c r="BO156" s="2" t="s">
        <v>3</v>
      </c>
      <c r="BP156" s="2">
        <v>0</v>
      </c>
      <c r="BQ156" s="2">
        <v>2</v>
      </c>
      <c r="BR156" s="2">
        <v>0</v>
      </c>
      <c r="BS156" s="2">
        <v>1</v>
      </c>
      <c r="BT156" s="2">
        <v>1</v>
      </c>
      <c r="BU156" s="2">
        <v>1</v>
      </c>
      <c r="BV156" s="2">
        <v>1</v>
      </c>
      <c r="BW156" s="2">
        <v>1</v>
      </c>
      <c r="BX156" s="2">
        <v>1</v>
      </c>
      <c r="BY156" s="2" t="s">
        <v>3</v>
      </c>
      <c r="BZ156" s="2">
        <v>112</v>
      </c>
      <c r="CA156" s="2">
        <v>65</v>
      </c>
      <c r="CB156" s="2" t="s">
        <v>3</v>
      </c>
      <c r="CC156" s="2"/>
      <c r="CD156" s="2"/>
      <c r="CE156" s="2">
        <v>0</v>
      </c>
      <c r="CF156" s="2">
        <v>0</v>
      </c>
      <c r="CG156" s="2">
        <v>0</v>
      </c>
      <c r="CH156" s="2"/>
      <c r="CI156" s="2"/>
      <c r="CJ156" s="2"/>
      <c r="CK156" s="2"/>
      <c r="CL156" s="2"/>
      <c r="CM156" s="2">
        <v>0</v>
      </c>
      <c r="CN156" s="7" t="s">
        <v>681</v>
      </c>
      <c r="CO156" s="2">
        <v>0</v>
      </c>
      <c r="CP156" s="2">
        <f t="shared" si="108"/>
        <v>5178.8100000000004</v>
      </c>
      <c r="CQ156" s="2">
        <f>SUMIF(SmtRes!AQ174:'SmtRes'!AQ182,"=1",SmtRes!AA174:'SmtRes'!AA182)</f>
        <v>61.56</v>
      </c>
      <c r="CR156" s="2">
        <f>SUMIF(SmtRes!AQ174:'SmtRes'!AQ182,"=1",SmtRes!AB174:'SmtRes'!AB182)</f>
        <v>603.51</v>
      </c>
      <c r="CS156" s="2">
        <f>SUMIF(SmtRes!AQ174:'SmtRes'!AQ182,"=1",SmtRes!AC174:'SmtRes'!AC182)</f>
        <v>1380.3200000000002</v>
      </c>
      <c r="CT156" s="2">
        <f>SUMIF(SmtRes!AQ174:'SmtRes'!AQ182,"=1",SmtRes!AD174:'SmtRes'!AD182)</f>
        <v>714.71</v>
      </c>
      <c r="CU156" s="2">
        <f t="shared" si="109"/>
        <v>0</v>
      </c>
      <c r="CV156" s="2">
        <f>SUMIF(SmtRes!AQ174:'SmtRes'!AQ182,"=1",SmtRes!BU174:'SmtRes'!BU182)</f>
        <v>33.8215</v>
      </c>
      <c r="CW156" s="2">
        <f>SUMIF(SmtRes!AQ174:'SmtRes'!AQ182,"=1",SmtRes!BV174:'SmtRes'!BV182)</f>
        <v>0.38750000000000001</v>
      </c>
      <c r="CX156" s="2">
        <f t="shared" si="110"/>
        <v>0</v>
      </c>
      <c r="CY156" s="2">
        <f t="shared" si="111"/>
        <v>5176.5940799999998</v>
      </c>
      <c r="CZ156" s="2">
        <f t="shared" si="112"/>
        <v>2837.369275</v>
      </c>
      <c r="DA156" s="2"/>
      <c r="DB156" s="2">
        <v>2</v>
      </c>
      <c r="DC156" s="2" t="s">
        <v>3</v>
      </c>
      <c r="DD156" s="2" t="s">
        <v>3</v>
      </c>
      <c r="DE156" s="2" t="s">
        <v>242</v>
      </c>
      <c r="DF156" s="2" t="s">
        <v>242</v>
      </c>
      <c r="DG156" s="2" t="s">
        <v>243</v>
      </c>
      <c r="DH156" s="2" t="s">
        <v>3</v>
      </c>
      <c r="DI156" s="2" t="s">
        <v>243</v>
      </c>
      <c r="DJ156" s="2" t="s">
        <v>242</v>
      </c>
      <c r="DK156" s="2" t="s">
        <v>3</v>
      </c>
      <c r="DL156" s="2" t="s">
        <v>244</v>
      </c>
      <c r="DM156" s="2" t="s">
        <v>245</v>
      </c>
      <c r="DN156" s="2">
        <v>0</v>
      </c>
      <c r="DO156" s="2">
        <v>0</v>
      </c>
      <c r="DP156" s="2">
        <v>1</v>
      </c>
      <c r="DQ156" s="2">
        <v>1</v>
      </c>
      <c r="DR156" s="2"/>
      <c r="DS156" s="2"/>
      <c r="DT156" s="2"/>
      <c r="DU156" s="2">
        <v>1003</v>
      </c>
      <c r="DV156" s="2" t="s">
        <v>101</v>
      </c>
      <c r="DW156" s="2" t="s">
        <v>101</v>
      </c>
      <c r="DX156" s="2">
        <v>100</v>
      </c>
      <c r="DY156" s="2"/>
      <c r="DZ156" s="2" t="s">
        <v>3</v>
      </c>
      <c r="EA156" s="2" t="s">
        <v>3</v>
      </c>
      <c r="EB156" s="2" t="s">
        <v>3</v>
      </c>
      <c r="EC156" s="2" t="s">
        <v>3</v>
      </c>
      <c r="ED156" s="2"/>
      <c r="EE156" s="2">
        <v>89976994</v>
      </c>
      <c r="EF156" s="2">
        <v>2</v>
      </c>
      <c r="EG156" s="2" t="s">
        <v>44</v>
      </c>
      <c r="EH156" s="2">
        <v>11</v>
      </c>
      <c r="EI156" s="2" t="s">
        <v>23</v>
      </c>
      <c r="EJ156" s="2">
        <v>1</v>
      </c>
      <c r="EK156" s="2">
        <v>11001</v>
      </c>
      <c r="EL156" s="2" t="s">
        <v>23</v>
      </c>
      <c r="EM156" s="2" t="s">
        <v>74</v>
      </c>
      <c r="EN156" s="2"/>
      <c r="EO156" s="2" t="s">
        <v>246</v>
      </c>
      <c r="EP156" s="2"/>
      <c r="EQ156" s="2">
        <v>0</v>
      </c>
      <c r="ER156" s="2">
        <v>0</v>
      </c>
      <c r="ES156" s="2">
        <v>0</v>
      </c>
      <c r="ET156" s="2">
        <v>0</v>
      </c>
      <c r="EU156" s="2">
        <v>0</v>
      </c>
      <c r="EV156" s="2">
        <v>0</v>
      </c>
      <c r="EW156" s="2">
        <v>29.41</v>
      </c>
      <c r="EX156" s="2">
        <v>0.31</v>
      </c>
      <c r="EY156" s="2">
        <v>0</v>
      </c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>
        <v>0</v>
      </c>
      <c r="FR156" s="2">
        <v>0</v>
      </c>
      <c r="FS156" s="2">
        <v>0</v>
      </c>
      <c r="FT156" s="2"/>
      <c r="FU156" s="2"/>
      <c r="FV156" s="2"/>
      <c r="FW156" s="2"/>
      <c r="FX156" s="2">
        <v>100.8</v>
      </c>
      <c r="FY156" s="2">
        <v>55.25</v>
      </c>
      <c r="FZ156" s="2"/>
      <c r="GA156" s="2" t="s">
        <v>3</v>
      </c>
      <c r="GB156" s="2"/>
      <c r="GC156" s="2"/>
      <c r="GD156" s="2">
        <v>1</v>
      </c>
      <c r="GE156" s="2"/>
      <c r="GF156" s="2">
        <v>-265776911</v>
      </c>
      <c r="GG156" s="2">
        <v>2</v>
      </c>
      <c r="GH156" s="2">
        <v>1</v>
      </c>
      <c r="GI156" s="2">
        <v>-2</v>
      </c>
      <c r="GJ156" s="2">
        <v>0</v>
      </c>
      <c r="GK156" s="2">
        <v>0</v>
      </c>
      <c r="GL156" s="2">
        <f t="shared" si="113"/>
        <v>0</v>
      </c>
      <c r="GM156" s="2">
        <f t="shared" si="114"/>
        <v>13192.77</v>
      </c>
      <c r="GN156" s="2">
        <f t="shared" si="115"/>
        <v>13192.77</v>
      </c>
      <c r="GO156" s="2">
        <f t="shared" si="116"/>
        <v>0</v>
      </c>
      <c r="GP156" s="2">
        <f t="shared" si="117"/>
        <v>0</v>
      </c>
      <c r="GQ156" s="2"/>
      <c r="GR156" s="2">
        <v>0</v>
      </c>
      <c r="GS156" s="2">
        <v>3</v>
      </c>
      <c r="GT156" s="2">
        <v>0</v>
      </c>
      <c r="GU156" s="2" t="s">
        <v>3</v>
      </c>
      <c r="GV156" s="2">
        <f t="shared" si="118"/>
        <v>0</v>
      </c>
      <c r="GW156" s="2">
        <v>1</v>
      </c>
      <c r="GX156" s="2">
        <f t="shared" si="119"/>
        <v>0</v>
      </c>
      <c r="GY156" s="2"/>
      <c r="GZ156" s="2"/>
      <c r="HA156" s="2">
        <v>0</v>
      </c>
      <c r="HB156" s="2">
        <v>0</v>
      </c>
      <c r="HC156" s="2">
        <f t="shared" si="120"/>
        <v>0</v>
      </c>
      <c r="HD156" s="2"/>
      <c r="HE156" s="2" t="s">
        <v>3</v>
      </c>
      <c r="HF156" s="2" t="s">
        <v>3</v>
      </c>
      <c r="HG156" s="2"/>
      <c r="HH156" s="2"/>
      <c r="HI156" s="2"/>
      <c r="HJ156" s="2"/>
      <c r="HK156" s="2"/>
      <c r="HL156" s="2"/>
      <c r="HM156" s="2" t="s">
        <v>3</v>
      </c>
      <c r="HN156" s="2" t="s">
        <v>75</v>
      </c>
      <c r="HO156" s="2" t="s">
        <v>76</v>
      </c>
      <c r="HP156" s="2" t="s">
        <v>23</v>
      </c>
      <c r="HQ156" s="2" t="s">
        <v>23</v>
      </c>
      <c r="HR156" s="2"/>
      <c r="HS156" s="2">
        <v>0</v>
      </c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>
        <v>0</v>
      </c>
      <c r="IL156" s="2"/>
      <c r="IM156" s="2"/>
      <c r="IN156" s="2"/>
      <c r="IO156" s="2"/>
      <c r="IP156" s="2"/>
      <c r="IQ156" s="2"/>
      <c r="IR156" s="2"/>
      <c r="IS156" s="2"/>
      <c r="IT156" s="2"/>
      <c r="IU156" s="2"/>
    </row>
    <row r="157" spans="1:255" x14ac:dyDescent="0.2">
      <c r="A157" s="2">
        <v>18</v>
      </c>
      <c r="B157" s="2">
        <v>1</v>
      </c>
      <c r="C157" s="2">
        <v>180</v>
      </c>
      <c r="D157" s="2"/>
      <c r="E157" s="2" t="s">
        <v>260</v>
      </c>
      <c r="F157" s="2" t="s">
        <v>261</v>
      </c>
      <c r="G157" s="2" t="s">
        <v>262</v>
      </c>
      <c r="H157" s="2" t="s">
        <v>30</v>
      </c>
      <c r="I157" s="2">
        <f>I156*J157</f>
        <v>2.0999999999999999E-3</v>
      </c>
      <c r="J157" s="2">
        <v>0.01</v>
      </c>
      <c r="K157" s="2">
        <v>0.01</v>
      </c>
      <c r="L157" s="2"/>
      <c r="M157" s="2"/>
      <c r="N157" s="2"/>
      <c r="O157" s="2">
        <f t="shared" si="100"/>
        <v>155.16999999999999</v>
      </c>
      <c r="P157" s="2">
        <f>ROUND(CQ157*I157,2)</f>
        <v>155.16999999999999</v>
      </c>
      <c r="Q157" s="2">
        <f>ROUND(CR157*I157,2)</f>
        <v>0</v>
      </c>
      <c r="R157" s="2">
        <f>ROUND(CS157*I157,2)</f>
        <v>0</v>
      </c>
      <c r="S157" s="2">
        <f>ROUND(CT157*I157,2)</f>
        <v>0</v>
      </c>
      <c r="T157" s="2">
        <f t="shared" si="101"/>
        <v>0</v>
      </c>
      <c r="U157" s="2">
        <f>ROUND(CV157*I157,7)</f>
        <v>0</v>
      </c>
      <c r="V157" s="2">
        <f>ROUND(CW157*I157,7)</f>
        <v>0</v>
      </c>
      <c r="W157" s="2">
        <f t="shared" si="102"/>
        <v>0</v>
      </c>
      <c r="X157" s="2">
        <f t="shared" si="103"/>
        <v>0</v>
      </c>
      <c r="Y157" s="2">
        <f t="shared" si="104"/>
        <v>0</v>
      </c>
      <c r="Z157" s="2"/>
      <c r="AA157" s="2">
        <v>94104265</v>
      </c>
      <c r="AB157" s="2">
        <f t="shared" si="105"/>
        <v>73889</v>
      </c>
      <c r="AC157" s="2">
        <f>ROUND((ES157),6)</f>
        <v>73889</v>
      </c>
      <c r="AD157" s="2">
        <f>ROUND((((ET157)-(EU157))+AE157),6)</f>
        <v>0</v>
      </c>
      <c r="AE157" s="2">
        <f t="shared" ref="AE157:AF159" si="124">ROUND((EU157),6)</f>
        <v>0</v>
      </c>
      <c r="AF157" s="2">
        <f t="shared" si="124"/>
        <v>0</v>
      </c>
      <c r="AG157" s="2">
        <f t="shared" si="106"/>
        <v>0</v>
      </c>
      <c r="AH157" s="2">
        <f t="shared" ref="AH157:AI159" si="125">(EW157)</f>
        <v>0</v>
      </c>
      <c r="AI157" s="2">
        <f t="shared" si="125"/>
        <v>0</v>
      </c>
      <c r="AJ157" s="2">
        <f t="shared" si="107"/>
        <v>0</v>
      </c>
      <c r="AK157" s="2">
        <v>73889</v>
      </c>
      <c r="AL157" s="2">
        <v>73889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112</v>
      </c>
      <c r="AU157" s="2">
        <v>65</v>
      </c>
      <c r="AV157" s="2">
        <v>1</v>
      </c>
      <c r="AW157" s="2">
        <v>1</v>
      </c>
      <c r="AX157" s="2"/>
      <c r="AY157" s="2"/>
      <c r="AZ157" s="2">
        <v>1</v>
      </c>
      <c r="BA157" s="2">
        <v>1</v>
      </c>
      <c r="BB157" s="2">
        <v>1</v>
      </c>
      <c r="BC157" s="2">
        <v>1</v>
      </c>
      <c r="BD157" s="2" t="s">
        <v>3</v>
      </c>
      <c r="BE157" s="2" t="s">
        <v>3</v>
      </c>
      <c r="BF157" s="2" t="s">
        <v>3</v>
      </c>
      <c r="BG157" s="2" t="s">
        <v>3</v>
      </c>
      <c r="BH157" s="2">
        <v>3</v>
      </c>
      <c r="BI157" s="2">
        <v>1</v>
      </c>
      <c r="BJ157" s="2" t="s">
        <v>263</v>
      </c>
      <c r="BK157" s="2"/>
      <c r="BL157" s="2"/>
      <c r="BM157" s="2">
        <v>11001</v>
      </c>
      <c r="BN157" s="2">
        <v>0</v>
      </c>
      <c r="BO157" s="2" t="s">
        <v>3</v>
      </c>
      <c r="BP157" s="2">
        <v>0</v>
      </c>
      <c r="BQ157" s="2">
        <v>2</v>
      </c>
      <c r="BR157" s="2">
        <v>0</v>
      </c>
      <c r="BS157" s="2">
        <v>1</v>
      </c>
      <c r="BT157" s="2">
        <v>1</v>
      </c>
      <c r="BU157" s="2">
        <v>1</v>
      </c>
      <c r="BV157" s="2">
        <v>1</v>
      </c>
      <c r="BW157" s="2">
        <v>1</v>
      </c>
      <c r="BX157" s="2">
        <v>1</v>
      </c>
      <c r="BY157" s="2" t="s">
        <v>3</v>
      </c>
      <c r="BZ157" s="2">
        <v>112</v>
      </c>
      <c r="CA157" s="2">
        <v>65</v>
      </c>
      <c r="CB157" s="2" t="s">
        <v>3</v>
      </c>
      <c r="CC157" s="2"/>
      <c r="CD157" s="2"/>
      <c r="CE157" s="2">
        <v>0</v>
      </c>
      <c r="CF157" s="2">
        <v>0</v>
      </c>
      <c r="CG157" s="2">
        <v>0</v>
      </c>
      <c r="CH157" s="2"/>
      <c r="CI157" s="2"/>
      <c r="CJ157" s="2"/>
      <c r="CK157" s="2"/>
      <c r="CL157" s="2"/>
      <c r="CM157" s="2">
        <v>0</v>
      </c>
      <c r="CN157" s="2" t="s">
        <v>3</v>
      </c>
      <c r="CO157" s="2">
        <v>0</v>
      </c>
      <c r="CP157" s="2">
        <f t="shared" si="108"/>
        <v>155.16999999999999</v>
      </c>
      <c r="CQ157" s="2">
        <f>ROUND(AL157*BC157,2)</f>
        <v>73889</v>
      </c>
      <c r="CR157" s="2">
        <f>ROUND(AM157*BB157,2)</f>
        <v>0</v>
      </c>
      <c r="CS157" s="2">
        <f>ROUND(AN157*BS157,2)</f>
        <v>0</v>
      </c>
      <c r="CT157" s="2">
        <f>ROUND(AO157*BA157,2)</f>
        <v>0</v>
      </c>
      <c r="CU157" s="2">
        <f t="shared" si="109"/>
        <v>0</v>
      </c>
      <c r="CV157" s="2">
        <f t="shared" ref="CV157:CW159" si="126">AH157</f>
        <v>0</v>
      </c>
      <c r="CW157" s="2">
        <f t="shared" si="126"/>
        <v>0</v>
      </c>
      <c r="CX157" s="2">
        <f t="shared" si="110"/>
        <v>0</v>
      </c>
      <c r="CY157" s="2">
        <f t="shared" si="111"/>
        <v>0</v>
      </c>
      <c r="CZ157" s="2">
        <f t="shared" si="112"/>
        <v>0</v>
      </c>
      <c r="DA157" s="2"/>
      <c r="DB157" s="2"/>
      <c r="DC157" s="2" t="s">
        <v>3</v>
      </c>
      <c r="DD157" s="2" t="s">
        <v>3</v>
      </c>
      <c r="DE157" s="2" t="s">
        <v>3</v>
      </c>
      <c r="DF157" s="2" t="s">
        <v>3</v>
      </c>
      <c r="DG157" s="2" t="s">
        <v>3</v>
      </c>
      <c r="DH157" s="2" t="s">
        <v>3</v>
      </c>
      <c r="DI157" s="2" t="s">
        <v>3</v>
      </c>
      <c r="DJ157" s="2" t="s">
        <v>3</v>
      </c>
      <c r="DK157" s="2" t="s">
        <v>3</v>
      </c>
      <c r="DL157" s="2" t="s">
        <v>3</v>
      </c>
      <c r="DM157" s="2" t="s">
        <v>3</v>
      </c>
      <c r="DN157" s="2">
        <v>0</v>
      </c>
      <c r="DO157" s="2">
        <v>0</v>
      </c>
      <c r="DP157" s="2">
        <v>1</v>
      </c>
      <c r="DQ157" s="2">
        <v>1</v>
      </c>
      <c r="DR157" s="2"/>
      <c r="DS157" s="2"/>
      <c r="DT157" s="2"/>
      <c r="DU157" s="2">
        <v>1009</v>
      </c>
      <c r="DV157" s="2" t="s">
        <v>30</v>
      </c>
      <c r="DW157" s="2" t="s">
        <v>30</v>
      </c>
      <c r="DX157" s="2">
        <v>1000</v>
      </c>
      <c r="DY157" s="2"/>
      <c r="DZ157" s="2" t="s">
        <v>3</v>
      </c>
      <c r="EA157" s="2" t="s">
        <v>3</v>
      </c>
      <c r="EB157" s="2" t="s">
        <v>3</v>
      </c>
      <c r="EC157" s="2" t="s">
        <v>3</v>
      </c>
      <c r="ED157" s="2"/>
      <c r="EE157" s="2">
        <v>89976994</v>
      </c>
      <c r="EF157" s="2">
        <v>2</v>
      </c>
      <c r="EG157" s="2" t="s">
        <v>44</v>
      </c>
      <c r="EH157" s="2">
        <v>11</v>
      </c>
      <c r="EI157" s="2" t="s">
        <v>23</v>
      </c>
      <c r="EJ157" s="2">
        <v>1</v>
      </c>
      <c r="EK157" s="2">
        <v>11001</v>
      </c>
      <c r="EL157" s="2" t="s">
        <v>23</v>
      </c>
      <c r="EM157" s="2" t="s">
        <v>74</v>
      </c>
      <c r="EN157" s="2"/>
      <c r="EO157" s="2" t="s">
        <v>3</v>
      </c>
      <c r="EP157" s="2"/>
      <c r="EQ157" s="2">
        <v>0</v>
      </c>
      <c r="ER157" s="2">
        <v>73889</v>
      </c>
      <c r="ES157" s="2">
        <v>73889</v>
      </c>
      <c r="ET157" s="2">
        <v>0</v>
      </c>
      <c r="EU157" s="2">
        <v>0</v>
      </c>
      <c r="EV157" s="2">
        <v>0</v>
      </c>
      <c r="EW157" s="2">
        <v>0</v>
      </c>
      <c r="EX157" s="2">
        <v>0</v>
      </c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>
        <v>0</v>
      </c>
      <c r="FR157" s="2">
        <v>0</v>
      </c>
      <c r="FS157" s="2">
        <v>0</v>
      </c>
      <c r="FT157" s="2"/>
      <c r="FU157" s="2"/>
      <c r="FV157" s="2"/>
      <c r="FW157" s="2"/>
      <c r="FX157" s="2">
        <v>112</v>
      </c>
      <c r="FY157" s="2">
        <v>65</v>
      </c>
      <c r="FZ157" s="2"/>
      <c r="GA157" s="2" t="s">
        <v>3</v>
      </c>
      <c r="GB157" s="2"/>
      <c r="GC157" s="2"/>
      <c r="GD157" s="2">
        <v>1</v>
      </c>
      <c r="GE157" s="2">
        <v>37800.300000000003</v>
      </c>
      <c r="GF157" s="2">
        <v>2083233302</v>
      </c>
      <c r="GG157" s="2">
        <v>2</v>
      </c>
      <c r="GH157" s="2">
        <v>1</v>
      </c>
      <c r="GI157" s="2">
        <v>-2</v>
      </c>
      <c r="GJ157" s="2">
        <v>0</v>
      </c>
      <c r="GK157" s="2">
        <v>0</v>
      </c>
      <c r="GL157" s="2">
        <f t="shared" si="113"/>
        <v>0</v>
      </c>
      <c r="GM157" s="2">
        <f t="shared" si="114"/>
        <v>155.16999999999999</v>
      </c>
      <c r="GN157" s="2">
        <f t="shared" si="115"/>
        <v>155.16999999999999</v>
      </c>
      <c r="GO157" s="2">
        <f t="shared" si="116"/>
        <v>0</v>
      </c>
      <c r="GP157" s="2">
        <f t="shared" si="117"/>
        <v>0</v>
      </c>
      <c r="GQ157" s="2"/>
      <c r="GR157" s="2">
        <v>3</v>
      </c>
      <c r="GS157" s="2">
        <v>3</v>
      </c>
      <c r="GT157" s="2">
        <v>0</v>
      </c>
      <c r="GU157" s="2" t="s">
        <v>3</v>
      </c>
      <c r="GV157" s="2">
        <f t="shared" si="118"/>
        <v>0</v>
      </c>
      <c r="GW157" s="2">
        <v>1</v>
      </c>
      <c r="GX157" s="2">
        <f t="shared" si="119"/>
        <v>0</v>
      </c>
      <c r="GY157" s="2"/>
      <c r="GZ157" s="2"/>
      <c r="HA157" s="2">
        <v>0</v>
      </c>
      <c r="HB157" s="2">
        <v>0</v>
      </c>
      <c r="HC157" s="2">
        <f t="shared" si="120"/>
        <v>0</v>
      </c>
      <c r="HD157" s="2"/>
      <c r="HE157" s="2" t="s">
        <v>3</v>
      </c>
      <c r="HF157" s="2" t="s">
        <v>3</v>
      </c>
      <c r="HG157" s="2"/>
      <c r="HH157" s="2"/>
      <c r="HI157" s="2"/>
      <c r="HJ157" s="2"/>
      <c r="HK157" s="2"/>
      <c r="HL157" s="2"/>
      <c r="HM157" s="2" t="s">
        <v>3</v>
      </c>
      <c r="HN157" s="2" t="s">
        <v>75</v>
      </c>
      <c r="HO157" s="2" t="s">
        <v>76</v>
      </c>
      <c r="HP157" s="2" t="s">
        <v>23</v>
      </c>
      <c r="HQ157" s="2" t="s">
        <v>23</v>
      </c>
      <c r="HR157" s="2"/>
      <c r="HS157" s="2">
        <v>0</v>
      </c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>
        <v>0</v>
      </c>
      <c r="IL157" s="2"/>
      <c r="IM157" s="2"/>
      <c r="IN157" s="2"/>
      <c r="IO157" s="2"/>
      <c r="IP157" s="2"/>
      <c r="IQ157" s="2"/>
      <c r="IR157" s="2"/>
      <c r="IS157" s="2"/>
      <c r="IT157" s="2"/>
      <c r="IU157" s="2"/>
    </row>
    <row r="158" spans="1:255" x14ac:dyDescent="0.2">
      <c r="A158" s="2">
        <v>18</v>
      </c>
      <c r="B158" s="2">
        <v>1</v>
      </c>
      <c r="C158" s="2">
        <v>181</v>
      </c>
      <c r="D158" s="2"/>
      <c r="E158" s="2" t="s">
        <v>264</v>
      </c>
      <c r="F158" s="2" t="s">
        <v>82</v>
      </c>
      <c r="G158" s="2" t="s">
        <v>83</v>
      </c>
      <c r="H158" s="2" t="s">
        <v>60</v>
      </c>
      <c r="I158" s="2">
        <f>I156*J158</f>
        <v>2.1419999999999999</v>
      </c>
      <c r="J158" s="2">
        <v>10.199999999999999</v>
      </c>
      <c r="K158" s="2">
        <v>10.199999999999999</v>
      </c>
      <c r="L158" s="2"/>
      <c r="M158" s="2"/>
      <c r="N158" s="2"/>
      <c r="O158" s="2">
        <f t="shared" si="100"/>
        <v>1945.77</v>
      </c>
      <c r="P158" s="2">
        <f>ROUND(CQ158*I158,2)</f>
        <v>1945.77</v>
      </c>
      <c r="Q158" s="2">
        <f>ROUND(CR158*I158,2)</f>
        <v>0</v>
      </c>
      <c r="R158" s="2">
        <f>ROUND(CS158*I158,2)</f>
        <v>0</v>
      </c>
      <c r="S158" s="2">
        <f>ROUND(CT158*I158,2)</f>
        <v>0</v>
      </c>
      <c r="T158" s="2">
        <f t="shared" si="101"/>
        <v>0</v>
      </c>
      <c r="U158" s="2">
        <f>ROUND(CV158*I158,7)</f>
        <v>0</v>
      </c>
      <c r="V158" s="2">
        <f>ROUND(CW158*I158,7)</f>
        <v>0</v>
      </c>
      <c r="W158" s="2">
        <f t="shared" si="102"/>
        <v>0</v>
      </c>
      <c r="X158" s="2">
        <f t="shared" si="103"/>
        <v>0</v>
      </c>
      <c r="Y158" s="2">
        <f t="shared" si="104"/>
        <v>0</v>
      </c>
      <c r="Z158" s="2"/>
      <c r="AA158" s="2">
        <v>94104265</v>
      </c>
      <c r="AB158" s="2">
        <f t="shared" si="105"/>
        <v>908.39</v>
      </c>
      <c r="AC158" s="2">
        <f>ROUND((ES158),6)</f>
        <v>908.39</v>
      </c>
      <c r="AD158" s="2">
        <f>ROUND((((ET158)-(EU158))+AE158),6)</f>
        <v>0</v>
      </c>
      <c r="AE158" s="2">
        <f t="shared" si="124"/>
        <v>0</v>
      </c>
      <c r="AF158" s="2">
        <f t="shared" si="124"/>
        <v>0</v>
      </c>
      <c r="AG158" s="2">
        <f t="shared" si="106"/>
        <v>0</v>
      </c>
      <c r="AH158" s="2">
        <f t="shared" si="125"/>
        <v>0</v>
      </c>
      <c r="AI158" s="2">
        <f t="shared" si="125"/>
        <v>0</v>
      </c>
      <c r="AJ158" s="2">
        <f t="shared" si="107"/>
        <v>0</v>
      </c>
      <c r="AK158" s="2">
        <v>908.39</v>
      </c>
      <c r="AL158" s="2">
        <v>908.39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112</v>
      </c>
      <c r="AU158" s="2">
        <v>65</v>
      </c>
      <c r="AV158" s="2">
        <v>1</v>
      </c>
      <c r="AW158" s="2">
        <v>1</v>
      </c>
      <c r="AX158" s="2"/>
      <c r="AY158" s="2"/>
      <c r="AZ158" s="2">
        <v>1</v>
      </c>
      <c r="BA158" s="2">
        <v>1</v>
      </c>
      <c r="BB158" s="2">
        <v>1</v>
      </c>
      <c r="BC158" s="2">
        <v>1</v>
      </c>
      <c r="BD158" s="2" t="s">
        <v>3</v>
      </c>
      <c r="BE158" s="2" t="s">
        <v>3</v>
      </c>
      <c r="BF158" s="2" t="s">
        <v>3</v>
      </c>
      <c r="BG158" s="2" t="s">
        <v>3</v>
      </c>
      <c r="BH158" s="2">
        <v>3</v>
      </c>
      <c r="BI158" s="2">
        <v>1</v>
      </c>
      <c r="BJ158" s="2" t="s">
        <v>84</v>
      </c>
      <c r="BK158" s="2"/>
      <c r="BL158" s="2"/>
      <c r="BM158" s="2">
        <v>11001</v>
      </c>
      <c r="BN158" s="2">
        <v>0</v>
      </c>
      <c r="BO158" s="2" t="s">
        <v>3</v>
      </c>
      <c r="BP158" s="2">
        <v>0</v>
      </c>
      <c r="BQ158" s="2">
        <v>2</v>
      </c>
      <c r="BR158" s="2">
        <v>0</v>
      </c>
      <c r="BS158" s="2">
        <v>1</v>
      </c>
      <c r="BT158" s="2">
        <v>1</v>
      </c>
      <c r="BU158" s="2">
        <v>1</v>
      </c>
      <c r="BV158" s="2">
        <v>1</v>
      </c>
      <c r="BW158" s="2">
        <v>1</v>
      </c>
      <c r="BX158" s="2">
        <v>1</v>
      </c>
      <c r="BY158" s="2" t="s">
        <v>3</v>
      </c>
      <c r="BZ158" s="2">
        <v>112</v>
      </c>
      <c r="CA158" s="2">
        <v>65</v>
      </c>
      <c r="CB158" s="2" t="s">
        <v>3</v>
      </c>
      <c r="CC158" s="2"/>
      <c r="CD158" s="2"/>
      <c r="CE158" s="2">
        <v>0</v>
      </c>
      <c r="CF158" s="2">
        <v>0</v>
      </c>
      <c r="CG158" s="2">
        <v>0</v>
      </c>
      <c r="CH158" s="2"/>
      <c r="CI158" s="2"/>
      <c r="CJ158" s="2"/>
      <c r="CK158" s="2"/>
      <c r="CL158" s="2"/>
      <c r="CM158" s="2">
        <v>0</v>
      </c>
      <c r="CN158" s="2" t="s">
        <v>3</v>
      </c>
      <c r="CO158" s="2">
        <v>0</v>
      </c>
      <c r="CP158" s="2">
        <f t="shared" si="108"/>
        <v>1945.77</v>
      </c>
      <c r="CQ158" s="2">
        <f>ROUND(AL158*BC158,2)</f>
        <v>908.39</v>
      </c>
      <c r="CR158" s="2">
        <f>ROUND(AM158*BB158,2)</f>
        <v>0</v>
      </c>
      <c r="CS158" s="2">
        <f>ROUND(AN158*BS158,2)</f>
        <v>0</v>
      </c>
      <c r="CT158" s="2">
        <f>ROUND(AO158*BA158,2)</f>
        <v>0</v>
      </c>
      <c r="CU158" s="2">
        <f t="shared" si="109"/>
        <v>0</v>
      </c>
      <c r="CV158" s="2">
        <f t="shared" si="126"/>
        <v>0</v>
      </c>
      <c r="CW158" s="2">
        <f t="shared" si="126"/>
        <v>0</v>
      </c>
      <c r="CX158" s="2">
        <f t="shared" si="110"/>
        <v>0</v>
      </c>
      <c r="CY158" s="2">
        <f t="shared" si="111"/>
        <v>0</v>
      </c>
      <c r="CZ158" s="2">
        <f t="shared" si="112"/>
        <v>0</v>
      </c>
      <c r="DA158" s="2"/>
      <c r="DB158" s="2"/>
      <c r="DC158" s="2" t="s">
        <v>3</v>
      </c>
      <c r="DD158" s="2" t="s">
        <v>3</v>
      </c>
      <c r="DE158" s="2" t="s">
        <v>3</v>
      </c>
      <c r="DF158" s="2" t="s">
        <v>3</v>
      </c>
      <c r="DG158" s="2" t="s">
        <v>3</v>
      </c>
      <c r="DH158" s="2" t="s">
        <v>3</v>
      </c>
      <c r="DI158" s="2" t="s">
        <v>3</v>
      </c>
      <c r="DJ158" s="2" t="s">
        <v>3</v>
      </c>
      <c r="DK158" s="2" t="s">
        <v>3</v>
      </c>
      <c r="DL158" s="2" t="s">
        <v>3</v>
      </c>
      <c r="DM158" s="2" t="s">
        <v>3</v>
      </c>
      <c r="DN158" s="2">
        <v>0</v>
      </c>
      <c r="DO158" s="2">
        <v>0</v>
      </c>
      <c r="DP158" s="2">
        <v>1</v>
      </c>
      <c r="DQ158" s="2">
        <v>1</v>
      </c>
      <c r="DR158" s="2"/>
      <c r="DS158" s="2"/>
      <c r="DT158" s="2"/>
      <c r="DU158" s="2">
        <v>1005</v>
      </c>
      <c r="DV158" s="2" t="s">
        <v>60</v>
      </c>
      <c r="DW158" s="2" t="s">
        <v>60</v>
      </c>
      <c r="DX158" s="2">
        <v>1</v>
      </c>
      <c r="DY158" s="2"/>
      <c r="DZ158" s="2" t="s">
        <v>3</v>
      </c>
      <c r="EA158" s="2" t="s">
        <v>3</v>
      </c>
      <c r="EB158" s="2" t="s">
        <v>3</v>
      </c>
      <c r="EC158" s="2" t="s">
        <v>3</v>
      </c>
      <c r="ED158" s="2"/>
      <c r="EE158" s="2">
        <v>89976994</v>
      </c>
      <c r="EF158" s="2">
        <v>2</v>
      </c>
      <c r="EG158" s="2" t="s">
        <v>44</v>
      </c>
      <c r="EH158" s="2">
        <v>11</v>
      </c>
      <c r="EI158" s="2" t="s">
        <v>23</v>
      </c>
      <c r="EJ158" s="2">
        <v>1</v>
      </c>
      <c r="EK158" s="2">
        <v>11001</v>
      </c>
      <c r="EL158" s="2" t="s">
        <v>23</v>
      </c>
      <c r="EM158" s="2" t="s">
        <v>74</v>
      </c>
      <c r="EN158" s="2"/>
      <c r="EO158" s="2" t="s">
        <v>3</v>
      </c>
      <c r="EP158" s="2"/>
      <c r="EQ158" s="2">
        <v>0</v>
      </c>
      <c r="ER158" s="2">
        <v>908.39</v>
      </c>
      <c r="ES158" s="2">
        <v>908.39</v>
      </c>
      <c r="ET158" s="2">
        <v>0</v>
      </c>
      <c r="EU158" s="2">
        <v>0</v>
      </c>
      <c r="EV158" s="2">
        <v>0</v>
      </c>
      <c r="EW158" s="2">
        <v>0</v>
      </c>
      <c r="EX158" s="2">
        <v>0</v>
      </c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>
        <v>0</v>
      </c>
      <c r="FR158" s="2">
        <v>0</v>
      </c>
      <c r="FS158" s="2">
        <v>0</v>
      </c>
      <c r="FT158" s="2"/>
      <c r="FU158" s="2"/>
      <c r="FV158" s="2"/>
      <c r="FW158" s="2"/>
      <c r="FX158" s="2">
        <v>112</v>
      </c>
      <c r="FY158" s="2">
        <v>65</v>
      </c>
      <c r="FZ158" s="2"/>
      <c r="GA158" s="2" t="s">
        <v>3</v>
      </c>
      <c r="GB158" s="2"/>
      <c r="GC158" s="2"/>
      <c r="GD158" s="2">
        <v>1</v>
      </c>
      <c r="GE158" s="2">
        <v>603.37</v>
      </c>
      <c r="GF158" s="2">
        <v>-1611852378</v>
      </c>
      <c r="GG158" s="2">
        <v>2</v>
      </c>
      <c r="GH158" s="2">
        <v>1</v>
      </c>
      <c r="GI158" s="2">
        <v>-2</v>
      </c>
      <c r="GJ158" s="2">
        <v>0</v>
      </c>
      <c r="GK158" s="2">
        <v>0</v>
      </c>
      <c r="GL158" s="2">
        <f t="shared" si="113"/>
        <v>0</v>
      </c>
      <c r="GM158" s="2">
        <f t="shared" si="114"/>
        <v>1945.77</v>
      </c>
      <c r="GN158" s="2">
        <f t="shared" si="115"/>
        <v>1945.77</v>
      </c>
      <c r="GO158" s="2">
        <f t="shared" si="116"/>
        <v>0</v>
      </c>
      <c r="GP158" s="2">
        <f t="shared" si="117"/>
        <v>0</v>
      </c>
      <c r="GQ158" s="2"/>
      <c r="GR158" s="2">
        <v>3</v>
      </c>
      <c r="GS158" s="2">
        <v>3</v>
      </c>
      <c r="GT158" s="2">
        <v>0</v>
      </c>
      <c r="GU158" s="2" t="s">
        <v>3</v>
      </c>
      <c r="GV158" s="2">
        <f t="shared" si="118"/>
        <v>0</v>
      </c>
      <c r="GW158" s="2">
        <v>1</v>
      </c>
      <c r="GX158" s="2">
        <f t="shared" si="119"/>
        <v>0</v>
      </c>
      <c r="GY158" s="2"/>
      <c r="GZ158" s="2"/>
      <c r="HA158" s="2">
        <v>0</v>
      </c>
      <c r="HB158" s="2">
        <v>0</v>
      </c>
      <c r="HC158" s="2">
        <f t="shared" si="120"/>
        <v>0</v>
      </c>
      <c r="HD158" s="2"/>
      <c r="HE158" s="2" t="s">
        <v>3</v>
      </c>
      <c r="HF158" s="2" t="s">
        <v>3</v>
      </c>
      <c r="HG158" s="2"/>
      <c r="HH158" s="2"/>
      <c r="HI158" s="2"/>
      <c r="HJ158" s="2"/>
      <c r="HK158" s="2"/>
      <c r="HL158" s="2"/>
      <c r="HM158" s="2" t="s">
        <v>3</v>
      </c>
      <c r="HN158" s="2" t="s">
        <v>75</v>
      </c>
      <c r="HO158" s="2" t="s">
        <v>76</v>
      </c>
      <c r="HP158" s="2" t="s">
        <v>23</v>
      </c>
      <c r="HQ158" s="2" t="s">
        <v>23</v>
      </c>
      <c r="HR158" s="2"/>
      <c r="HS158" s="2">
        <v>0</v>
      </c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>
        <v>0</v>
      </c>
      <c r="IL158" s="2"/>
      <c r="IM158" s="2"/>
      <c r="IN158" s="2"/>
      <c r="IO158" s="2"/>
      <c r="IP158" s="2"/>
      <c r="IQ158" s="2"/>
      <c r="IR158" s="2"/>
      <c r="IS158" s="2"/>
      <c r="IT158" s="2"/>
      <c r="IU158" s="2"/>
    </row>
    <row r="159" spans="1:255" x14ac:dyDescent="0.2">
      <c r="A159" s="2">
        <v>18</v>
      </c>
      <c r="B159" s="2">
        <v>1</v>
      </c>
      <c r="C159" s="2">
        <v>182</v>
      </c>
      <c r="D159" s="2"/>
      <c r="E159" s="2" t="s">
        <v>265</v>
      </c>
      <c r="F159" s="2" t="s">
        <v>250</v>
      </c>
      <c r="G159" s="2" t="s">
        <v>251</v>
      </c>
      <c r="H159" s="2" t="s">
        <v>30</v>
      </c>
      <c r="I159" s="2">
        <f>I156*J159</f>
        <v>8.3999999999999995E-3</v>
      </c>
      <c r="J159" s="2">
        <v>0.04</v>
      </c>
      <c r="K159" s="2">
        <v>0.04</v>
      </c>
      <c r="L159" s="2"/>
      <c r="M159" s="2"/>
      <c r="N159" s="2"/>
      <c r="O159" s="2">
        <f t="shared" si="100"/>
        <v>305.75</v>
      </c>
      <c r="P159" s="2">
        <f>ROUND(CQ159*I159,2)</f>
        <v>305.75</v>
      </c>
      <c r="Q159" s="2">
        <f>ROUND(CR159*I159,2)</f>
        <v>0</v>
      </c>
      <c r="R159" s="2">
        <f>ROUND(CS159*I159,2)</f>
        <v>0</v>
      </c>
      <c r="S159" s="2">
        <f>ROUND(CT159*I159,2)</f>
        <v>0</v>
      </c>
      <c r="T159" s="2">
        <f t="shared" si="101"/>
        <v>0</v>
      </c>
      <c r="U159" s="2">
        <f>ROUND(CV159*I159,7)</f>
        <v>0</v>
      </c>
      <c r="V159" s="2">
        <f>ROUND(CW159*I159,7)</f>
        <v>0</v>
      </c>
      <c r="W159" s="2">
        <f t="shared" si="102"/>
        <v>0</v>
      </c>
      <c r="X159" s="2">
        <f t="shared" si="103"/>
        <v>0</v>
      </c>
      <c r="Y159" s="2">
        <f t="shared" si="104"/>
        <v>0</v>
      </c>
      <c r="Z159" s="2"/>
      <c r="AA159" s="2">
        <v>94104265</v>
      </c>
      <c r="AB159" s="2">
        <f t="shared" si="105"/>
        <v>36038.35</v>
      </c>
      <c r="AC159" s="2">
        <f>ROUND((ES159),6)</f>
        <v>36038.35</v>
      </c>
      <c r="AD159" s="2">
        <f>ROUND((((ET159)-(EU159))+AE159),6)</f>
        <v>0</v>
      </c>
      <c r="AE159" s="2">
        <f t="shared" si="124"/>
        <v>0</v>
      </c>
      <c r="AF159" s="2">
        <f t="shared" si="124"/>
        <v>0</v>
      </c>
      <c r="AG159" s="2">
        <f t="shared" si="106"/>
        <v>0</v>
      </c>
      <c r="AH159" s="2">
        <f t="shared" si="125"/>
        <v>0</v>
      </c>
      <c r="AI159" s="2">
        <f t="shared" si="125"/>
        <v>0</v>
      </c>
      <c r="AJ159" s="2">
        <f t="shared" si="107"/>
        <v>0</v>
      </c>
      <c r="AK159" s="2">
        <v>36038.35</v>
      </c>
      <c r="AL159" s="2">
        <v>36038.35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112</v>
      </c>
      <c r="AU159" s="2">
        <v>65</v>
      </c>
      <c r="AV159" s="2">
        <v>1</v>
      </c>
      <c r="AW159" s="2">
        <v>1</v>
      </c>
      <c r="AX159" s="2"/>
      <c r="AY159" s="2"/>
      <c r="AZ159" s="2">
        <v>1</v>
      </c>
      <c r="BA159" s="2">
        <v>1</v>
      </c>
      <c r="BB159" s="2">
        <v>1</v>
      </c>
      <c r="BC159" s="2">
        <v>1.01</v>
      </c>
      <c r="BD159" s="2" t="s">
        <v>3</v>
      </c>
      <c r="BE159" s="2" t="s">
        <v>3</v>
      </c>
      <c r="BF159" s="2" t="s">
        <v>3</v>
      </c>
      <c r="BG159" s="2" t="s">
        <v>3</v>
      </c>
      <c r="BH159" s="2">
        <v>3</v>
      </c>
      <c r="BI159" s="2">
        <v>1</v>
      </c>
      <c r="BJ159" s="2" t="s">
        <v>252</v>
      </c>
      <c r="BK159" s="2"/>
      <c r="BL159" s="2"/>
      <c r="BM159" s="2">
        <v>11001</v>
      </c>
      <c r="BN159" s="2">
        <v>0</v>
      </c>
      <c r="BO159" s="2" t="s">
        <v>250</v>
      </c>
      <c r="BP159" s="2">
        <v>1</v>
      </c>
      <c r="BQ159" s="2">
        <v>2</v>
      </c>
      <c r="BR159" s="2">
        <v>0</v>
      </c>
      <c r="BS159" s="2">
        <v>1</v>
      </c>
      <c r="BT159" s="2">
        <v>1</v>
      </c>
      <c r="BU159" s="2">
        <v>1</v>
      </c>
      <c r="BV159" s="2">
        <v>1</v>
      </c>
      <c r="BW159" s="2">
        <v>1</v>
      </c>
      <c r="BX159" s="2">
        <v>1</v>
      </c>
      <c r="BY159" s="2" t="s">
        <v>3</v>
      </c>
      <c r="BZ159" s="2">
        <v>112</v>
      </c>
      <c r="CA159" s="2">
        <v>65</v>
      </c>
      <c r="CB159" s="2" t="s">
        <v>3</v>
      </c>
      <c r="CC159" s="2"/>
      <c r="CD159" s="2"/>
      <c r="CE159" s="2">
        <v>0</v>
      </c>
      <c r="CF159" s="2">
        <v>0</v>
      </c>
      <c r="CG159" s="2">
        <v>0</v>
      </c>
      <c r="CH159" s="2"/>
      <c r="CI159" s="2"/>
      <c r="CJ159" s="2"/>
      <c r="CK159" s="2"/>
      <c r="CL159" s="2"/>
      <c r="CM159" s="2">
        <v>0</v>
      </c>
      <c r="CN159" s="2" t="s">
        <v>3</v>
      </c>
      <c r="CO159" s="2">
        <v>0</v>
      </c>
      <c r="CP159" s="2">
        <f t="shared" si="108"/>
        <v>305.75</v>
      </c>
      <c r="CQ159" s="2">
        <f>ROUND(AL159*BC159,2)</f>
        <v>36398.730000000003</v>
      </c>
      <c r="CR159" s="2">
        <f>ROUND(AM159*BB159,2)</f>
        <v>0</v>
      </c>
      <c r="CS159" s="2">
        <f>ROUND(AN159*BS159,2)</f>
        <v>0</v>
      </c>
      <c r="CT159" s="2">
        <f>ROUND(AO159*BA159,2)</f>
        <v>0</v>
      </c>
      <c r="CU159" s="2">
        <f t="shared" si="109"/>
        <v>0</v>
      </c>
      <c r="CV159" s="2">
        <f t="shared" si="126"/>
        <v>0</v>
      </c>
      <c r="CW159" s="2">
        <f t="shared" si="126"/>
        <v>0</v>
      </c>
      <c r="CX159" s="2">
        <f t="shared" si="110"/>
        <v>0</v>
      </c>
      <c r="CY159" s="2">
        <f t="shared" si="111"/>
        <v>0</v>
      </c>
      <c r="CZ159" s="2">
        <f t="shared" si="112"/>
        <v>0</v>
      </c>
      <c r="DA159" s="2"/>
      <c r="DB159" s="2"/>
      <c r="DC159" s="2" t="s">
        <v>3</v>
      </c>
      <c r="DD159" s="2" t="s">
        <v>3</v>
      </c>
      <c r="DE159" s="2" t="s">
        <v>3</v>
      </c>
      <c r="DF159" s="2" t="s">
        <v>3</v>
      </c>
      <c r="DG159" s="2" t="s">
        <v>3</v>
      </c>
      <c r="DH159" s="2" t="s">
        <v>3</v>
      </c>
      <c r="DI159" s="2" t="s">
        <v>3</v>
      </c>
      <c r="DJ159" s="2" t="s">
        <v>3</v>
      </c>
      <c r="DK159" s="2" t="s">
        <v>3</v>
      </c>
      <c r="DL159" s="2" t="s">
        <v>3</v>
      </c>
      <c r="DM159" s="2" t="s">
        <v>3</v>
      </c>
      <c r="DN159" s="2">
        <v>0</v>
      </c>
      <c r="DO159" s="2">
        <v>0</v>
      </c>
      <c r="DP159" s="2">
        <v>1</v>
      </c>
      <c r="DQ159" s="2">
        <v>1</v>
      </c>
      <c r="DR159" s="2"/>
      <c r="DS159" s="2"/>
      <c r="DT159" s="2"/>
      <c r="DU159" s="2">
        <v>1009</v>
      </c>
      <c r="DV159" s="2" t="s">
        <v>30</v>
      </c>
      <c r="DW159" s="2" t="s">
        <v>30</v>
      </c>
      <c r="DX159" s="2">
        <v>1000</v>
      </c>
      <c r="DY159" s="2"/>
      <c r="DZ159" s="2" t="s">
        <v>3</v>
      </c>
      <c r="EA159" s="2" t="s">
        <v>3</v>
      </c>
      <c r="EB159" s="2" t="s">
        <v>3</v>
      </c>
      <c r="EC159" s="2" t="s">
        <v>3</v>
      </c>
      <c r="ED159" s="2"/>
      <c r="EE159" s="2">
        <v>89976994</v>
      </c>
      <c r="EF159" s="2">
        <v>2</v>
      </c>
      <c r="EG159" s="2" t="s">
        <v>44</v>
      </c>
      <c r="EH159" s="2">
        <v>11</v>
      </c>
      <c r="EI159" s="2" t="s">
        <v>23</v>
      </c>
      <c r="EJ159" s="2">
        <v>1</v>
      </c>
      <c r="EK159" s="2">
        <v>11001</v>
      </c>
      <c r="EL159" s="2" t="s">
        <v>23</v>
      </c>
      <c r="EM159" s="2" t="s">
        <v>74</v>
      </c>
      <c r="EN159" s="2"/>
      <c r="EO159" s="2" t="s">
        <v>3</v>
      </c>
      <c r="EP159" s="2"/>
      <c r="EQ159" s="2">
        <v>0</v>
      </c>
      <c r="ER159" s="2">
        <v>36038.35</v>
      </c>
      <c r="ES159" s="2">
        <v>36038.35</v>
      </c>
      <c r="ET159" s="2">
        <v>0</v>
      </c>
      <c r="EU159" s="2">
        <v>0</v>
      </c>
      <c r="EV159" s="2">
        <v>0</v>
      </c>
      <c r="EW159" s="2">
        <v>0</v>
      </c>
      <c r="EX159" s="2">
        <v>0</v>
      </c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>
        <v>0</v>
      </c>
      <c r="FR159" s="2">
        <v>0</v>
      </c>
      <c r="FS159" s="2">
        <v>0</v>
      </c>
      <c r="FT159" s="2"/>
      <c r="FU159" s="2"/>
      <c r="FV159" s="2"/>
      <c r="FW159" s="2"/>
      <c r="FX159" s="2">
        <v>112</v>
      </c>
      <c r="FY159" s="2">
        <v>65</v>
      </c>
      <c r="FZ159" s="2"/>
      <c r="GA159" s="2" t="s">
        <v>3</v>
      </c>
      <c r="GB159" s="2"/>
      <c r="GC159" s="2"/>
      <c r="GD159" s="2">
        <v>1</v>
      </c>
      <c r="GE159" s="2"/>
      <c r="GF159" s="2">
        <v>1538372289</v>
      </c>
      <c r="GG159" s="2">
        <v>2</v>
      </c>
      <c r="GH159" s="2">
        <v>1</v>
      </c>
      <c r="GI159" s="2">
        <v>2</v>
      </c>
      <c r="GJ159" s="2">
        <v>0</v>
      </c>
      <c r="GK159" s="2">
        <v>0</v>
      </c>
      <c r="GL159" s="2">
        <f t="shared" si="113"/>
        <v>0</v>
      </c>
      <c r="GM159" s="2">
        <f t="shared" si="114"/>
        <v>305.75</v>
      </c>
      <c r="GN159" s="2">
        <f t="shared" si="115"/>
        <v>305.75</v>
      </c>
      <c r="GO159" s="2">
        <f t="shared" si="116"/>
        <v>0</v>
      </c>
      <c r="GP159" s="2">
        <f t="shared" si="117"/>
        <v>0</v>
      </c>
      <c r="GQ159" s="2"/>
      <c r="GR159" s="2">
        <v>0</v>
      </c>
      <c r="GS159" s="2">
        <v>3</v>
      </c>
      <c r="GT159" s="2">
        <v>0</v>
      </c>
      <c r="GU159" s="2" t="s">
        <v>3</v>
      </c>
      <c r="GV159" s="2">
        <f t="shared" si="118"/>
        <v>0</v>
      </c>
      <c r="GW159" s="2">
        <v>1</v>
      </c>
      <c r="GX159" s="2">
        <f t="shared" si="119"/>
        <v>0</v>
      </c>
      <c r="GY159" s="2"/>
      <c r="GZ159" s="2"/>
      <c r="HA159" s="2">
        <v>0</v>
      </c>
      <c r="HB159" s="2">
        <v>0</v>
      </c>
      <c r="HC159" s="2">
        <f t="shared" si="120"/>
        <v>0</v>
      </c>
      <c r="HD159" s="2"/>
      <c r="HE159" s="2" t="s">
        <v>3</v>
      </c>
      <c r="HF159" s="2" t="s">
        <v>3</v>
      </c>
      <c r="HG159" s="2"/>
      <c r="HH159" s="2"/>
      <c r="HI159" s="2"/>
      <c r="HJ159" s="2"/>
      <c r="HK159" s="2"/>
      <c r="HL159" s="2"/>
      <c r="HM159" s="2" t="s">
        <v>3</v>
      </c>
      <c r="HN159" s="2" t="s">
        <v>75</v>
      </c>
      <c r="HO159" s="2" t="s">
        <v>76</v>
      </c>
      <c r="HP159" s="2" t="s">
        <v>23</v>
      </c>
      <c r="HQ159" s="2" t="s">
        <v>23</v>
      </c>
      <c r="HR159" s="2"/>
      <c r="HS159" s="2">
        <v>0</v>
      </c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>
        <v>0</v>
      </c>
      <c r="IL159" s="2"/>
      <c r="IM159" s="2"/>
      <c r="IN159" s="2"/>
      <c r="IO159" s="2"/>
      <c r="IP159" s="2"/>
      <c r="IQ159" s="2"/>
      <c r="IR159" s="2"/>
      <c r="IS159" s="2"/>
      <c r="IT159" s="2"/>
      <c r="IU159" s="2"/>
    </row>
    <row r="161" spans="1:206" x14ac:dyDescent="0.2">
      <c r="A161" s="3">
        <v>51</v>
      </c>
      <c r="B161" s="3">
        <f>B141</f>
        <v>1</v>
      </c>
      <c r="C161" s="3">
        <f>A141</f>
        <v>5</v>
      </c>
      <c r="D161" s="3">
        <f>ROW(A141)</f>
        <v>141</v>
      </c>
      <c r="E161" s="3"/>
      <c r="F161" s="3" t="str">
        <f>IF(F141&lt;&gt;"",F141,"")</f>
        <v>Новый подраздел</v>
      </c>
      <c r="G161" s="3" t="str">
        <f>IF(G141&lt;&gt;"",G141,"")</f>
        <v>Раздевалка женская</v>
      </c>
      <c r="H161" s="3">
        <v>0</v>
      </c>
      <c r="I161" s="3"/>
      <c r="J161" s="3"/>
      <c r="K161" s="3"/>
      <c r="L161" s="3"/>
      <c r="M161" s="3"/>
      <c r="N161" s="3"/>
      <c r="O161" s="3">
        <f t="shared" ref="O161:T161" si="127">ROUND(AB161,2)</f>
        <v>30751.07</v>
      </c>
      <c r="P161" s="3">
        <f t="shared" si="127"/>
        <v>10874.55</v>
      </c>
      <c r="Q161" s="3">
        <f t="shared" si="127"/>
        <v>53.85</v>
      </c>
      <c r="R161" s="3">
        <f t="shared" si="127"/>
        <v>144.19999999999999</v>
      </c>
      <c r="S161" s="3">
        <f t="shared" si="127"/>
        <v>19678.47</v>
      </c>
      <c r="T161" s="3">
        <f t="shared" si="127"/>
        <v>0</v>
      </c>
      <c r="U161" s="3">
        <f>AH161</f>
        <v>29.567741600000002</v>
      </c>
      <c r="V161" s="3">
        <f>AI161</f>
        <v>0.21000059999999998</v>
      </c>
      <c r="W161" s="3">
        <f>ROUND(AJ161,2)</f>
        <v>0</v>
      </c>
      <c r="X161" s="3">
        <f>ROUND(AK161,2)</f>
        <v>19176.68</v>
      </c>
      <c r="Y161" s="3">
        <f>ROUND(AL161,2)</f>
        <v>10402.459999999999</v>
      </c>
      <c r="Z161" s="3"/>
      <c r="AA161" s="3"/>
      <c r="AB161" s="3">
        <f>ROUND(SUMIF(AA145:AA159,"=94104265",O145:O159),2)</f>
        <v>30751.07</v>
      </c>
      <c r="AC161" s="3">
        <f>ROUND(SUMIF(AA145:AA159,"=94104265",P145:P159),2)</f>
        <v>10874.55</v>
      </c>
      <c r="AD161" s="3">
        <f>ROUND(SUMIF(AA145:AA159,"=94104265",Q145:Q159),2)</f>
        <v>53.85</v>
      </c>
      <c r="AE161" s="3">
        <f>ROUND(SUMIF(AA145:AA159,"=94104265",R145:R159),2)</f>
        <v>144.19999999999999</v>
      </c>
      <c r="AF161" s="3">
        <f>ROUND(SUMIF(AA145:AA159,"=94104265",S145:S159),2)</f>
        <v>19678.47</v>
      </c>
      <c r="AG161" s="3">
        <f>ROUND(SUMIF(AA145:AA159,"=94104265",T145:T159),2)</f>
        <v>0</v>
      </c>
      <c r="AH161" s="3">
        <f>SUMIF(AA145:AA159,"=94104265",U145:U159)</f>
        <v>29.567741600000002</v>
      </c>
      <c r="AI161" s="3">
        <f>SUMIF(AA145:AA159,"=94104265",V145:V159)</f>
        <v>0.21000059999999998</v>
      </c>
      <c r="AJ161" s="3">
        <f>ROUND(SUMIF(AA145:AA159,"=94104265",W145:W159),2)</f>
        <v>0</v>
      </c>
      <c r="AK161" s="3">
        <f>ROUND(SUMIF(AA145:AA159,"=94104265",X145:X159),2)</f>
        <v>19176.68</v>
      </c>
      <c r="AL161" s="3">
        <f>ROUND(SUMIF(AA145:AA159,"=94104265",Y145:Y159),2)</f>
        <v>10402.459999999999</v>
      </c>
      <c r="AM161" s="3"/>
      <c r="AN161" s="3"/>
      <c r="AO161" s="3">
        <f t="shared" ref="AO161:BD161" si="128">ROUND(BX161,2)</f>
        <v>0</v>
      </c>
      <c r="AP161" s="3">
        <f t="shared" si="128"/>
        <v>0</v>
      </c>
      <c r="AQ161" s="3">
        <f t="shared" si="128"/>
        <v>0</v>
      </c>
      <c r="AR161" s="3">
        <f t="shared" si="128"/>
        <v>60330.21</v>
      </c>
      <c r="AS161" s="3">
        <f t="shared" si="128"/>
        <v>60330.21</v>
      </c>
      <c r="AT161" s="3">
        <f t="shared" si="128"/>
        <v>0</v>
      </c>
      <c r="AU161" s="3">
        <f t="shared" si="128"/>
        <v>0</v>
      </c>
      <c r="AV161" s="3">
        <f t="shared" si="128"/>
        <v>10874.55</v>
      </c>
      <c r="AW161" s="3">
        <f t="shared" si="128"/>
        <v>10874.55</v>
      </c>
      <c r="AX161" s="3">
        <f t="shared" si="128"/>
        <v>0</v>
      </c>
      <c r="AY161" s="3">
        <f t="shared" si="128"/>
        <v>10874.55</v>
      </c>
      <c r="AZ161" s="3">
        <f t="shared" si="128"/>
        <v>0</v>
      </c>
      <c r="BA161" s="3">
        <f t="shared" si="128"/>
        <v>0</v>
      </c>
      <c r="BB161" s="3">
        <f t="shared" si="128"/>
        <v>0</v>
      </c>
      <c r="BC161" s="3">
        <f t="shared" si="128"/>
        <v>0</v>
      </c>
      <c r="BD161" s="3">
        <f t="shared" si="128"/>
        <v>0</v>
      </c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>
        <f>ROUND(SUMIF(AA145:AA159,"=94104265",FQ145:FQ159),2)</f>
        <v>0</v>
      </c>
      <c r="BY161" s="3">
        <f>ROUND(SUMIF(AA145:AA159,"=94104265",FR145:FR159),2)</f>
        <v>0</v>
      </c>
      <c r="BZ161" s="3">
        <f>ROUND(SUMIF(AA145:AA159,"=94104265",GL145:GL159),2)</f>
        <v>0</v>
      </c>
      <c r="CA161" s="3">
        <f>ROUND(SUMIF(AA145:AA159,"=94104265",GM145:GM159),2)</f>
        <v>60330.21</v>
      </c>
      <c r="CB161" s="3">
        <f>ROUND(SUMIF(AA145:AA159,"=94104265",GN145:GN159),2)</f>
        <v>60330.21</v>
      </c>
      <c r="CC161" s="3">
        <f>ROUND(SUMIF(AA145:AA159,"=94104265",GO145:GO159),2)</f>
        <v>0</v>
      </c>
      <c r="CD161" s="3">
        <f>ROUND(SUMIF(AA145:AA159,"=94104265",GP145:GP159),2)</f>
        <v>0</v>
      </c>
      <c r="CE161" s="3">
        <f>AC161-BX161</f>
        <v>10874.55</v>
      </c>
      <c r="CF161" s="3">
        <f>AC161-BY161</f>
        <v>10874.55</v>
      </c>
      <c r="CG161" s="3">
        <f>BX161-BZ161</f>
        <v>0</v>
      </c>
      <c r="CH161" s="3">
        <f>AC161-BX161-BY161+BZ161</f>
        <v>10874.55</v>
      </c>
      <c r="CI161" s="3">
        <f>BY161-BZ161</f>
        <v>0</v>
      </c>
      <c r="CJ161" s="3">
        <f>ROUND(SUMIF(AA145:AA159,"=94104265",GX145:GX159),2)</f>
        <v>0</v>
      </c>
      <c r="CK161" s="3">
        <f>ROUND(SUMIF(AA145:AA159,"=94104265",GY145:GY159),2)</f>
        <v>0</v>
      </c>
      <c r="CL161" s="3">
        <f>ROUND(SUMIF(AA145:AA159,"=94104265",GZ145:GZ159),2)</f>
        <v>0</v>
      </c>
      <c r="CM161" s="3">
        <f>ROUND(SUMIF(AA145:AA159,"=94104265",HD145:HD159),2)</f>
        <v>0</v>
      </c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>
        <v>0</v>
      </c>
    </row>
    <row r="163" spans="1:206" x14ac:dyDescent="0.2">
      <c r="A163" s="5">
        <v>50</v>
      </c>
      <c r="B163" s="5">
        <v>0</v>
      </c>
      <c r="C163" s="5">
        <v>0</v>
      </c>
      <c r="D163" s="5">
        <v>1</v>
      </c>
      <c r="E163" s="5">
        <v>201</v>
      </c>
      <c r="F163" s="5">
        <f>ROUND(Source!O161,O163)</f>
        <v>30751.07</v>
      </c>
      <c r="G163" s="5" t="s">
        <v>146</v>
      </c>
      <c r="H163" s="5" t="s">
        <v>147</v>
      </c>
      <c r="I163" s="5"/>
      <c r="J163" s="5"/>
      <c r="K163" s="5">
        <v>201</v>
      </c>
      <c r="L163" s="5">
        <v>1</v>
      </c>
      <c r="M163" s="5">
        <v>3</v>
      </c>
      <c r="N163" s="5" t="s">
        <v>3</v>
      </c>
      <c r="O163" s="5">
        <v>2</v>
      </c>
      <c r="P163" s="5"/>
      <c r="Q163" s="5"/>
      <c r="R163" s="5"/>
      <c r="S163" s="5"/>
      <c r="T163" s="5"/>
      <c r="U163" s="5"/>
      <c r="V163" s="5"/>
      <c r="W163" s="5">
        <v>30751.07</v>
      </c>
      <c r="X163" s="5">
        <v>1</v>
      </c>
      <c r="Y163" s="5">
        <v>30751.07</v>
      </c>
      <c r="Z163" s="5"/>
      <c r="AA163" s="5"/>
      <c r="AB163" s="5"/>
    </row>
    <row r="164" spans="1:206" x14ac:dyDescent="0.2">
      <c r="A164" s="5">
        <v>50</v>
      </c>
      <c r="B164" s="5">
        <v>0</v>
      </c>
      <c r="C164" s="5">
        <v>0</v>
      </c>
      <c r="D164" s="5">
        <v>1</v>
      </c>
      <c r="E164" s="5">
        <v>202</v>
      </c>
      <c r="F164" s="5">
        <f>ROUND(Source!P161,O164)</f>
        <v>10874.55</v>
      </c>
      <c r="G164" s="5" t="s">
        <v>148</v>
      </c>
      <c r="H164" s="5" t="s">
        <v>149</v>
      </c>
      <c r="I164" s="5"/>
      <c r="J164" s="5"/>
      <c r="K164" s="5">
        <v>202</v>
      </c>
      <c r="L164" s="5">
        <v>2</v>
      </c>
      <c r="M164" s="5">
        <v>3</v>
      </c>
      <c r="N164" s="5" t="s">
        <v>3</v>
      </c>
      <c r="O164" s="5">
        <v>2</v>
      </c>
      <c r="P164" s="5"/>
      <c r="Q164" s="5"/>
      <c r="R164" s="5"/>
      <c r="S164" s="5"/>
      <c r="T164" s="5"/>
      <c r="U164" s="5"/>
      <c r="V164" s="5"/>
      <c r="W164" s="5">
        <v>10874.55</v>
      </c>
      <c r="X164" s="5">
        <v>1</v>
      </c>
      <c r="Y164" s="5">
        <v>10874.55</v>
      </c>
      <c r="Z164" s="5"/>
      <c r="AA164" s="5"/>
      <c r="AB164" s="5"/>
    </row>
    <row r="165" spans="1:206" x14ac:dyDescent="0.2">
      <c r="A165" s="5">
        <v>50</v>
      </c>
      <c r="B165" s="5">
        <v>0</v>
      </c>
      <c r="C165" s="5">
        <v>0</v>
      </c>
      <c r="D165" s="5">
        <v>1</v>
      </c>
      <c r="E165" s="5">
        <v>222</v>
      </c>
      <c r="F165" s="5">
        <f>ROUND(Source!AO161,O165)</f>
        <v>0</v>
      </c>
      <c r="G165" s="5" t="s">
        <v>150</v>
      </c>
      <c r="H165" s="5" t="s">
        <v>151</v>
      </c>
      <c r="I165" s="5"/>
      <c r="J165" s="5"/>
      <c r="K165" s="5">
        <v>222</v>
      </c>
      <c r="L165" s="5">
        <v>3</v>
      </c>
      <c r="M165" s="5">
        <v>3</v>
      </c>
      <c r="N165" s="5" t="s">
        <v>3</v>
      </c>
      <c r="O165" s="5">
        <v>2</v>
      </c>
      <c r="P165" s="5"/>
      <c r="Q165" s="5"/>
      <c r="R165" s="5"/>
      <c r="S165" s="5"/>
      <c r="T165" s="5"/>
      <c r="U165" s="5"/>
      <c r="V165" s="5"/>
      <c r="W165" s="5">
        <v>0</v>
      </c>
      <c r="X165" s="5">
        <v>1</v>
      </c>
      <c r="Y165" s="5">
        <v>0</v>
      </c>
      <c r="Z165" s="5"/>
      <c r="AA165" s="5"/>
      <c r="AB165" s="5"/>
    </row>
    <row r="166" spans="1:206" x14ac:dyDescent="0.2">
      <c r="A166" s="5">
        <v>50</v>
      </c>
      <c r="B166" s="5">
        <v>0</v>
      </c>
      <c r="C166" s="5">
        <v>0</v>
      </c>
      <c r="D166" s="5">
        <v>1</v>
      </c>
      <c r="E166" s="5">
        <v>225</v>
      </c>
      <c r="F166" s="5">
        <f>ROUND(Source!AV161,O166)</f>
        <v>10874.55</v>
      </c>
      <c r="G166" s="5" t="s">
        <v>152</v>
      </c>
      <c r="H166" s="5" t="s">
        <v>153</v>
      </c>
      <c r="I166" s="5"/>
      <c r="J166" s="5"/>
      <c r="K166" s="5">
        <v>225</v>
      </c>
      <c r="L166" s="5">
        <v>4</v>
      </c>
      <c r="M166" s="5">
        <v>3</v>
      </c>
      <c r="N166" s="5" t="s">
        <v>3</v>
      </c>
      <c r="O166" s="5">
        <v>2</v>
      </c>
      <c r="P166" s="5"/>
      <c r="Q166" s="5"/>
      <c r="R166" s="5"/>
      <c r="S166" s="5"/>
      <c r="T166" s="5"/>
      <c r="U166" s="5"/>
      <c r="V166" s="5"/>
      <c r="W166" s="5">
        <v>10874.55</v>
      </c>
      <c r="X166" s="5">
        <v>1</v>
      </c>
      <c r="Y166" s="5">
        <v>10874.55</v>
      </c>
      <c r="Z166" s="5"/>
      <c r="AA166" s="5"/>
      <c r="AB166" s="5"/>
    </row>
    <row r="167" spans="1:206" x14ac:dyDescent="0.2">
      <c r="A167" s="5">
        <v>50</v>
      </c>
      <c r="B167" s="5">
        <v>0</v>
      </c>
      <c r="C167" s="5">
        <v>0</v>
      </c>
      <c r="D167" s="5">
        <v>1</v>
      </c>
      <c r="E167" s="5">
        <v>226</v>
      </c>
      <c r="F167" s="5">
        <f>ROUND(Source!AW161,O167)</f>
        <v>10874.55</v>
      </c>
      <c r="G167" s="5" t="s">
        <v>154</v>
      </c>
      <c r="H167" s="5" t="s">
        <v>155</v>
      </c>
      <c r="I167" s="5"/>
      <c r="J167" s="5"/>
      <c r="K167" s="5">
        <v>226</v>
      </c>
      <c r="L167" s="5">
        <v>5</v>
      </c>
      <c r="M167" s="5">
        <v>3</v>
      </c>
      <c r="N167" s="5" t="s">
        <v>3</v>
      </c>
      <c r="O167" s="5">
        <v>2</v>
      </c>
      <c r="P167" s="5"/>
      <c r="Q167" s="5"/>
      <c r="R167" s="5"/>
      <c r="S167" s="5"/>
      <c r="T167" s="5"/>
      <c r="U167" s="5"/>
      <c r="V167" s="5"/>
      <c r="W167" s="5">
        <v>10874.55</v>
      </c>
      <c r="X167" s="5">
        <v>1</v>
      </c>
      <c r="Y167" s="5">
        <v>10874.55</v>
      </c>
      <c r="Z167" s="5"/>
      <c r="AA167" s="5"/>
      <c r="AB167" s="5"/>
    </row>
    <row r="168" spans="1:206" x14ac:dyDescent="0.2">
      <c r="A168" s="5">
        <v>50</v>
      </c>
      <c r="B168" s="5">
        <v>0</v>
      </c>
      <c r="C168" s="5">
        <v>0</v>
      </c>
      <c r="D168" s="5">
        <v>1</v>
      </c>
      <c r="E168" s="5">
        <v>227</v>
      </c>
      <c r="F168" s="5">
        <f>ROUND(Source!AX161,O168)</f>
        <v>0</v>
      </c>
      <c r="G168" s="5" t="s">
        <v>156</v>
      </c>
      <c r="H168" s="5" t="s">
        <v>157</v>
      </c>
      <c r="I168" s="5"/>
      <c r="J168" s="5"/>
      <c r="K168" s="5">
        <v>227</v>
      </c>
      <c r="L168" s="5">
        <v>6</v>
      </c>
      <c r="M168" s="5">
        <v>3</v>
      </c>
      <c r="N168" s="5" t="s">
        <v>3</v>
      </c>
      <c r="O168" s="5">
        <v>2</v>
      </c>
      <c r="P168" s="5"/>
      <c r="Q168" s="5"/>
      <c r="R168" s="5"/>
      <c r="S168" s="5"/>
      <c r="T168" s="5"/>
      <c r="U168" s="5"/>
      <c r="V168" s="5"/>
      <c r="W168" s="5">
        <v>0</v>
      </c>
      <c r="X168" s="5">
        <v>1</v>
      </c>
      <c r="Y168" s="5">
        <v>0</v>
      </c>
      <c r="Z168" s="5"/>
      <c r="AA168" s="5"/>
      <c r="AB168" s="5"/>
    </row>
    <row r="169" spans="1:206" x14ac:dyDescent="0.2">
      <c r="A169" s="5">
        <v>50</v>
      </c>
      <c r="B169" s="5">
        <v>0</v>
      </c>
      <c r="C169" s="5">
        <v>0</v>
      </c>
      <c r="D169" s="5">
        <v>1</v>
      </c>
      <c r="E169" s="5">
        <v>228</v>
      </c>
      <c r="F169" s="5">
        <f>ROUND(Source!AY161,O169)</f>
        <v>10874.55</v>
      </c>
      <c r="G169" s="5" t="s">
        <v>158</v>
      </c>
      <c r="H169" s="5" t="s">
        <v>159</v>
      </c>
      <c r="I169" s="5"/>
      <c r="J169" s="5"/>
      <c r="K169" s="5">
        <v>228</v>
      </c>
      <c r="L169" s="5">
        <v>7</v>
      </c>
      <c r="M169" s="5">
        <v>3</v>
      </c>
      <c r="N169" s="5" t="s">
        <v>3</v>
      </c>
      <c r="O169" s="5">
        <v>2</v>
      </c>
      <c r="P169" s="5"/>
      <c r="Q169" s="5"/>
      <c r="R169" s="5"/>
      <c r="S169" s="5"/>
      <c r="T169" s="5"/>
      <c r="U169" s="5"/>
      <c r="V169" s="5"/>
      <c r="W169" s="5">
        <v>10874.55</v>
      </c>
      <c r="X169" s="5">
        <v>1</v>
      </c>
      <c r="Y169" s="5">
        <v>10874.55</v>
      </c>
      <c r="Z169" s="5"/>
      <c r="AA169" s="5"/>
      <c r="AB169" s="5"/>
    </row>
    <row r="170" spans="1:206" x14ac:dyDescent="0.2">
      <c r="A170" s="5">
        <v>50</v>
      </c>
      <c r="B170" s="5">
        <v>0</v>
      </c>
      <c r="C170" s="5">
        <v>0</v>
      </c>
      <c r="D170" s="5">
        <v>1</v>
      </c>
      <c r="E170" s="5">
        <v>216</v>
      </c>
      <c r="F170" s="5">
        <f>ROUND(Source!AP161,O170)</f>
        <v>0</v>
      </c>
      <c r="G170" s="5" t="s">
        <v>160</v>
      </c>
      <c r="H170" s="5" t="s">
        <v>161</v>
      </c>
      <c r="I170" s="5"/>
      <c r="J170" s="5"/>
      <c r="K170" s="5">
        <v>216</v>
      </c>
      <c r="L170" s="5">
        <v>8</v>
      </c>
      <c r="M170" s="5">
        <v>3</v>
      </c>
      <c r="N170" s="5" t="s">
        <v>3</v>
      </c>
      <c r="O170" s="5">
        <v>2</v>
      </c>
      <c r="P170" s="5"/>
      <c r="Q170" s="5"/>
      <c r="R170" s="5"/>
      <c r="S170" s="5"/>
      <c r="T170" s="5"/>
      <c r="U170" s="5"/>
      <c r="V170" s="5"/>
      <c r="W170" s="5">
        <v>0</v>
      </c>
      <c r="X170" s="5">
        <v>1</v>
      </c>
      <c r="Y170" s="5">
        <v>0</v>
      </c>
      <c r="Z170" s="5"/>
      <c r="AA170" s="5"/>
      <c r="AB170" s="5"/>
    </row>
    <row r="171" spans="1:206" x14ac:dyDescent="0.2">
      <c r="A171" s="5">
        <v>50</v>
      </c>
      <c r="B171" s="5">
        <v>0</v>
      </c>
      <c r="C171" s="5">
        <v>0</v>
      </c>
      <c r="D171" s="5">
        <v>1</v>
      </c>
      <c r="E171" s="5">
        <v>223</v>
      </c>
      <c r="F171" s="5">
        <f>ROUND(Source!AQ161,O171)</f>
        <v>0</v>
      </c>
      <c r="G171" s="5" t="s">
        <v>162</v>
      </c>
      <c r="H171" s="5" t="s">
        <v>163</v>
      </c>
      <c r="I171" s="5"/>
      <c r="J171" s="5"/>
      <c r="K171" s="5">
        <v>223</v>
      </c>
      <c r="L171" s="5">
        <v>9</v>
      </c>
      <c r="M171" s="5">
        <v>3</v>
      </c>
      <c r="N171" s="5" t="s">
        <v>3</v>
      </c>
      <c r="O171" s="5">
        <v>2</v>
      </c>
      <c r="P171" s="5"/>
      <c r="Q171" s="5"/>
      <c r="R171" s="5"/>
      <c r="S171" s="5"/>
      <c r="T171" s="5"/>
      <c r="U171" s="5"/>
      <c r="V171" s="5"/>
      <c r="W171" s="5">
        <v>0</v>
      </c>
      <c r="X171" s="5">
        <v>1</v>
      </c>
      <c r="Y171" s="5">
        <v>0</v>
      </c>
      <c r="Z171" s="5"/>
      <c r="AA171" s="5"/>
      <c r="AB171" s="5"/>
    </row>
    <row r="172" spans="1:206" x14ac:dyDescent="0.2">
      <c r="A172" s="5">
        <v>50</v>
      </c>
      <c r="B172" s="5">
        <v>0</v>
      </c>
      <c r="C172" s="5">
        <v>0</v>
      </c>
      <c r="D172" s="5">
        <v>1</v>
      </c>
      <c r="E172" s="5">
        <v>229</v>
      </c>
      <c r="F172" s="5">
        <f>ROUND(Source!AZ161,O172)</f>
        <v>0</v>
      </c>
      <c r="G172" s="5" t="s">
        <v>164</v>
      </c>
      <c r="H172" s="5" t="s">
        <v>165</v>
      </c>
      <c r="I172" s="5"/>
      <c r="J172" s="5"/>
      <c r="K172" s="5">
        <v>229</v>
      </c>
      <c r="L172" s="5">
        <v>10</v>
      </c>
      <c r="M172" s="5">
        <v>3</v>
      </c>
      <c r="N172" s="5" t="s">
        <v>3</v>
      </c>
      <c r="O172" s="5">
        <v>2</v>
      </c>
      <c r="P172" s="5"/>
      <c r="Q172" s="5"/>
      <c r="R172" s="5"/>
      <c r="S172" s="5"/>
      <c r="T172" s="5"/>
      <c r="U172" s="5"/>
      <c r="V172" s="5"/>
      <c r="W172" s="5">
        <v>0</v>
      </c>
      <c r="X172" s="5">
        <v>1</v>
      </c>
      <c r="Y172" s="5">
        <v>0</v>
      </c>
      <c r="Z172" s="5"/>
      <c r="AA172" s="5"/>
      <c r="AB172" s="5"/>
    </row>
    <row r="173" spans="1:206" x14ac:dyDescent="0.2">
      <c r="A173" s="5">
        <v>50</v>
      </c>
      <c r="B173" s="5">
        <v>0</v>
      </c>
      <c r="C173" s="5">
        <v>0</v>
      </c>
      <c r="D173" s="5">
        <v>1</v>
      </c>
      <c r="E173" s="5">
        <v>203</v>
      </c>
      <c r="F173" s="5">
        <f>ROUND(Source!Q161,O173)</f>
        <v>53.85</v>
      </c>
      <c r="G173" s="5" t="s">
        <v>166</v>
      </c>
      <c r="H173" s="5" t="s">
        <v>167</v>
      </c>
      <c r="I173" s="5"/>
      <c r="J173" s="5"/>
      <c r="K173" s="5">
        <v>203</v>
      </c>
      <c r="L173" s="5">
        <v>11</v>
      </c>
      <c r="M173" s="5">
        <v>3</v>
      </c>
      <c r="N173" s="5" t="s">
        <v>3</v>
      </c>
      <c r="O173" s="5">
        <v>2</v>
      </c>
      <c r="P173" s="5"/>
      <c r="Q173" s="5"/>
      <c r="R173" s="5"/>
      <c r="S173" s="5"/>
      <c r="T173" s="5"/>
      <c r="U173" s="5"/>
      <c r="V173" s="5"/>
      <c r="W173" s="5">
        <v>53.849999999999994</v>
      </c>
      <c r="X173" s="5">
        <v>1</v>
      </c>
      <c r="Y173" s="5">
        <v>53.849999999999994</v>
      </c>
      <c r="Z173" s="5"/>
      <c r="AA173" s="5"/>
      <c r="AB173" s="5"/>
    </row>
    <row r="174" spans="1:206" x14ac:dyDescent="0.2">
      <c r="A174" s="5">
        <v>50</v>
      </c>
      <c r="B174" s="5">
        <v>0</v>
      </c>
      <c r="C174" s="5">
        <v>0</v>
      </c>
      <c r="D174" s="5">
        <v>1</v>
      </c>
      <c r="E174" s="5">
        <v>231</v>
      </c>
      <c r="F174" s="5">
        <f>ROUND(Source!BB161,O174)</f>
        <v>0</v>
      </c>
      <c r="G174" s="5" t="s">
        <v>168</v>
      </c>
      <c r="H174" s="5" t="s">
        <v>169</v>
      </c>
      <c r="I174" s="5"/>
      <c r="J174" s="5"/>
      <c r="K174" s="5">
        <v>231</v>
      </c>
      <c r="L174" s="5">
        <v>12</v>
      </c>
      <c r="M174" s="5">
        <v>3</v>
      </c>
      <c r="N174" s="5" t="s">
        <v>3</v>
      </c>
      <c r="O174" s="5">
        <v>2</v>
      </c>
      <c r="P174" s="5"/>
      <c r="Q174" s="5"/>
      <c r="R174" s="5"/>
      <c r="S174" s="5"/>
      <c r="T174" s="5"/>
      <c r="U174" s="5"/>
      <c r="V174" s="5"/>
      <c r="W174" s="5">
        <v>0</v>
      </c>
      <c r="X174" s="5">
        <v>1</v>
      </c>
      <c r="Y174" s="5">
        <v>0</v>
      </c>
      <c r="Z174" s="5"/>
      <c r="AA174" s="5"/>
      <c r="AB174" s="5"/>
    </row>
    <row r="175" spans="1:206" x14ac:dyDescent="0.2">
      <c r="A175" s="5">
        <v>50</v>
      </c>
      <c r="B175" s="5">
        <v>0</v>
      </c>
      <c r="C175" s="5">
        <v>0</v>
      </c>
      <c r="D175" s="5">
        <v>1</v>
      </c>
      <c r="E175" s="5">
        <v>204</v>
      </c>
      <c r="F175" s="5">
        <f>ROUND(Source!R161,O175)</f>
        <v>144.19999999999999</v>
      </c>
      <c r="G175" s="5" t="s">
        <v>170</v>
      </c>
      <c r="H175" s="5" t="s">
        <v>171</v>
      </c>
      <c r="I175" s="5"/>
      <c r="J175" s="5"/>
      <c r="K175" s="5">
        <v>204</v>
      </c>
      <c r="L175" s="5">
        <v>13</v>
      </c>
      <c r="M175" s="5">
        <v>3</v>
      </c>
      <c r="N175" s="5" t="s">
        <v>3</v>
      </c>
      <c r="O175" s="5">
        <v>2</v>
      </c>
      <c r="P175" s="5"/>
      <c r="Q175" s="5"/>
      <c r="R175" s="5"/>
      <c r="S175" s="5"/>
      <c r="T175" s="5"/>
      <c r="U175" s="5"/>
      <c r="V175" s="5"/>
      <c r="W175" s="5">
        <v>144.20000000000002</v>
      </c>
      <c r="X175" s="5">
        <v>1</v>
      </c>
      <c r="Y175" s="5">
        <v>144.20000000000002</v>
      </c>
      <c r="Z175" s="5"/>
      <c r="AA175" s="5"/>
      <c r="AB175" s="5"/>
    </row>
    <row r="176" spans="1:206" x14ac:dyDescent="0.2">
      <c r="A176" s="5">
        <v>50</v>
      </c>
      <c r="B176" s="5">
        <v>0</v>
      </c>
      <c r="C176" s="5">
        <v>0</v>
      </c>
      <c r="D176" s="5">
        <v>1</v>
      </c>
      <c r="E176" s="5">
        <v>205</v>
      </c>
      <c r="F176" s="5">
        <f>ROUND(Source!S161,O176)</f>
        <v>19678.47</v>
      </c>
      <c r="G176" s="5" t="s">
        <v>172</v>
      </c>
      <c r="H176" s="5" t="s">
        <v>173</v>
      </c>
      <c r="I176" s="5"/>
      <c r="J176" s="5"/>
      <c r="K176" s="5">
        <v>205</v>
      </c>
      <c r="L176" s="5">
        <v>14</v>
      </c>
      <c r="M176" s="5">
        <v>3</v>
      </c>
      <c r="N176" s="5" t="s">
        <v>3</v>
      </c>
      <c r="O176" s="5">
        <v>2</v>
      </c>
      <c r="P176" s="5"/>
      <c r="Q176" s="5"/>
      <c r="R176" s="5"/>
      <c r="S176" s="5"/>
      <c r="T176" s="5"/>
      <c r="U176" s="5"/>
      <c r="V176" s="5"/>
      <c r="W176" s="5">
        <v>19678.47</v>
      </c>
      <c r="X176" s="5">
        <v>1</v>
      </c>
      <c r="Y176" s="5">
        <v>19678.47</v>
      </c>
      <c r="Z176" s="5"/>
      <c r="AA176" s="5"/>
      <c r="AB176" s="5"/>
    </row>
    <row r="177" spans="1:88" x14ac:dyDescent="0.2">
      <c r="A177" s="5">
        <v>50</v>
      </c>
      <c r="B177" s="5">
        <v>0</v>
      </c>
      <c r="C177" s="5">
        <v>0</v>
      </c>
      <c r="D177" s="5">
        <v>1</v>
      </c>
      <c r="E177" s="5">
        <v>232</v>
      </c>
      <c r="F177" s="5">
        <f>ROUND(Source!BC161,O177)</f>
        <v>0</v>
      </c>
      <c r="G177" s="5" t="s">
        <v>174</v>
      </c>
      <c r="H177" s="5" t="s">
        <v>175</v>
      </c>
      <c r="I177" s="5"/>
      <c r="J177" s="5"/>
      <c r="K177" s="5">
        <v>232</v>
      </c>
      <c r="L177" s="5">
        <v>15</v>
      </c>
      <c r="M177" s="5">
        <v>3</v>
      </c>
      <c r="N177" s="5" t="s">
        <v>3</v>
      </c>
      <c r="O177" s="5">
        <v>2</v>
      </c>
      <c r="P177" s="5"/>
      <c r="Q177" s="5"/>
      <c r="R177" s="5"/>
      <c r="S177" s="5"/>
      <c r="T177" s="5"/>
      <c r="U177" s="5"/>
      <c r="V177" s="5"/>
      <c r="W177" s="5">
        <v>0</v>
      </c>
      <c r="X177" s="5">
        <v>1</v>
      </c>
      <c r="Y177" s="5">
        <v>0</v>
      </c>
      <c r="Z177" s="5"/>
      <c r="AA177" s="5"/>
      <c r="AB177" s="5"/>
    </row>
    <row r="178" spans="1:88" x14ac:dyDescent="0.2">
      <c r="A178" s="5">
        <v>50</v>
      </c>
      <c r="B178" s="5">
        <v>0</v>
      </c>
      <c r="C178" s="5">
        <v>0</v>
      </c>
      <c r="D178" s="5">
        <v>1</v>
      </c>
      <c r="E178" s="5">
        <v>214</v>
      </c>
      <c r="F178" s="5">
        <f>ROUND(Source!AS161,O178)</f>
        <v>60330.21</v>
      </c>
      <c r="G178" s="5" t="s">
        <v>176</v>
      </c>
      <c r="H178" s="5" t="s">
        <v>177</v>
      </c>
      <c r="I178" s="5"/>
      <c r="J178" s="5"/>
      <c r="K178" s="5">
        <v>214</v>
      </c>
      <c r="L178" s="5">
        <v>16</v>
      </c>
      <c r="M178" s="5">
        <v>3</v>
      </c>
      <c r="N178" s="5" t="s">
        <v>3</v>
      </c>
      <c r="O178" s="5">
        <v>2</v>
      </c>
      <c r="P178" s="5"/>
      <c r="Q178" s="5"/>
      <c r="R178" s="5"/>
      <c r="S178" s="5"/>
      <c r="T178" s="5"/>
      <c r="U178" s="5"/>
      <c r="V178" s="5"/>
      <c r="W178" s="5">
        <v>60330.21</v>
      </c>
      <c r="X178" s="5">
        <v>1</v>
      </c>
      <c r="Y178" s="5">
        <v>60330.21</v>
      </c>
      <c r="Z178" s="5"/>
      <c r="AA178" s="5"/>
      <c r="AB178" s="5"/>
    </row>
    <row r="179" spans="1:88" x14ac:dyDescent="0.2">
      <c r="A179" s="5">
        <v>50</v>
      </c>
      <c r="B179" s="5">
        <v>0</v>
      </c>
      <c r="C179" s="5">
        <v>0</v>
      </c>
      <c r="D179" s="5">
        <v>1</v>
      </c>
      <c r="E179" s="5">
        <v>215</v>
      </c>
      <c r="F179" s="5">
        <f>ROUND(Source!AT161,O179)</f>
        <v>0</v>
      </c>
      <c r="G179" s="5" t="s">
        <v>178</v>
      </c>
      <c r="H179" s="5" t="s">
        <v>179</v>
      </c>
      <c r="I179" s="5"/>
      <c r="J179" s="5"/>
      <c r="K179" s="5">
        <v>215</v>
      </c>
      <c r="L179" s="5">
        <v>17</v>
      </c>
      <c r="M179" s="5">
        <v>3</v>
      </c>
      <c r="N179" s="5" t="s">
        <v>3</v>
      </c>
      <c r="O179" s="5">
        <v>2</v>
      </c>
      <c r="P179" s="5"/>
      <c r="Q179" s="5"/>
      <c r="R179" s="5"/>
      <c r="S179" s="5"/>
      <c r="T179" s="5"/>
      <c r="U179" s="5"/>
      <c r="V179" s="5"/>
      <c r="W179" s="5">
        <v>0</v>
      </c>
      <c r="X179" s="5">
        <v>1</v>
      </c>
      <c r="Y179" s="5">
        <v>0</v>
      </c>
      <c r="Z179" s="5"/>
      <c r="AA179" s="5"/>
      <c r="AB179" s="5"/>
    </row>
    <row r="180" spans="1:88" x14ac:dyDescent="0.2">
      <c r="A180" s="5">
        <v>50</v>
      </c>
      <c r="B180" s="5">
        <v>0</v>
      </c>
      <c r="C180" s="5">
        <v>0</v>
      </c>
      <c r="D180" s="5">
        <v>1</v>
      </c>
      <c r="E180" s="5">
        <v>217</v>
      </c>
      <c r="F180" s="5">
        <f>ROUND(Source!AU161,O180)</f>
        <v>0</v>
      </c>
      <c r="G180" s="5" t="s">
        <v>180</v>
      </c>
      <c r="H180" s="5" t="s">
        <v>181</v>
      </c>
      <c r="I180" s="5"/>
      <c r="J180" s="5"/>
      <c r="K180" s="5">
        <v>217</v>
      </c>
      <c r="L180" s="5">
        <v>18</v>
      </c>
      <c r="M180" s="5">
        <v>3</v>
      </c>
      <c r="N180" s="5" t="s">
        <v>3</v>
      </c>
      <c r="O180" s="5">
        <v>2</v>
      </c>
      <c r="P180" s="5"/>
      <c r="Q180" s="5"/>
      <c r="R180" s="5"/>
      <c r="S180" s="5"/>
      <c r="T180" s="5"/>
      <c r="U180" s="5"/>
      <c r="V180" s="5"/>
      <c r="W180" s="5">
        <v>0</v>
      </c>
      <c r="X180" s="5">
        <v>1</v>
      </c>
      <c r="Y180" s="5">
        <v>0</v>
      </c>
      <c r="Z180" s="5"/>
      <c r="AA180" s="5"/>
      <c r="AB180" s="5"/>
    </row>
    <row r="181" spans="1:88" x14ac:dyDescent="0.2">
      <c r="A181" s="5">
        <v>50</v>
      </c>
      <c r="B181" s="5">
        <v>0</v>
      </c>
      <c r="C181" s="5">
        <v>0</v>
      </c>
      <c r="D181" s="5">
        <v>1</v>
      </c>
      <c r="E181" s="5">
        <v>230</v>
      </c>
      <c r="F181" s="5">
        <f>ROUND(Source!BA161,O181)</f>
        <v>0</v>
      </c>
      <c r="G181" s="5" t="s">
        <v>182</v>
      </c>
      <c r="H181" s="5" t="s">
        <v>183</v>
      </c>
      <c r="I181" s="5"/>
      <c r="J181" s="5"/>
      <c r="K181" s="5">
        <v>230</v>
      </c>
      <c r="L181" s="5">
        <v>19</v>
      </c>
      <c r="M181" s="5">
        <v>3</v>
      </c>
      <c r="N181" s="5" t="s">
        <v>3</v>
      </c>
      <c r="O181" s="5">
        <v>2</v>
      </c>
      <c r="P181" s="5"/>
      <c r="Q181" s="5"/>
      <c r="R181" s="5"/>
      <c r="S181" s="5"/>
      <c r="T181" s="5"/>
      <c r="U181" s="5"/>
      <c r="V181" s="5"/>
      <c r="W181" s="5">
        <v>0</v>
      </c>
      <c r="X181" s="5">
        <v>1</v>
      </c>
      <c r="Y181" s="5">
        <v>0</v>
      </c>
      <c r="Z181" s="5"/>
      <c r="AA181" s="5"/>
      <c r="AB181" s="5"/>
    </row>
    <row r="182" spans="1:88" x14ac:dyDescent="0.2">
      <c r="A182" s="5">
        <v>50</v>
      </c>
      <c r="B182" s="5">
        <v>0</v>
      </c>
      <c r="C182" s="5">
        <v>0</v>
      </c>
      <c r="D182" s="5">
        <v>1</v>
      </c>
      <c r="E182" s="5">
        <v>206</v>
      </c>
      <c r="F182" s="5">
        <f>ROUND(Source!T161,O182)</f>
        <v>0</v>
      </c>
      <c r="G182" s="5" t="s">
        <v>184</v>
      </c>
      <c r="H182" s="5" t="s">
        <v>185</v>
      </c>
      <c r="I182" s="5"/>
      <c r="J182" s="5"/>
      <c r="K182" s="5">
        <v>206</v>
      </c>
      <c r="L182" s="5">
        <v>20</v>
      </c>
      <c r="M182" s="5">
        <v>3</v>
      </c>
      <c r="N182" s="5" t="s">
        <v>3</v>
      </c>
      <c r="O182" s="5">
        <v>2</v>
      </c>
      <c r="P182" s="5"/>
      <c r="Q182" s="5"/>
      <c r="R182" s="5"/>
      <c r="S182" s="5"/>
      <c r="T182" s="5"/>
      <c r="U182" s="5"/>
      <c r="V182" s="5"/>
      <c r="W182" s="5">
        <v>0</v>
      </c>
      <c r="X182" s="5">
        <v>1</v>
      </c>
      <c r="Y182" s="5">
        <v>0</v>
      </c>
      <c r="Z182" s="5"/>
      <c r="AA182" s="5"/>
      <c r="AB182" s="5"/>
    </row>
    <row r="183" spans="1:88" x14ac:dyDescent="0.2">
      <c r="A183" s="5">
        <v>50</v>
      </c>
      <c r="B183" s="5">
        <v>0</v>
      </c>
      <c r="C183" s="5">
        <v>0</v>
      </c>
      <c r="D183" s="5">
        <v>1</v>
      </c>
      <c r="E183" s="5">
        <v>207</v>
      </c>
      <c r="F183" s="5">
        <f>ROUND(Source!U161,O183)</f>
        <v>29.567741600000002</v>
      </c>
      <c r="G183" s="5" t="s">
        <v>186</v>
      </c>
      <c r="H183" s="5" t="s">
        <v>187</v>
      </c>
      <c r="I183" s="5"/>
      <c r="J183" s="5"/>
      <c r="K183" s="5">
        <v>207</v>
      </c>
      <c r="L183" s="5">
        <v>21</v>
      </c>
      <c r="M183" s="5">
        <v>3</v>
      </c>
      <c r="N183" s="5" t="s">
        <v>3</v>
      </c>
      <c r="O183" s="5">
        <v>7</v>
      </c>
      <c r="P183" s="5"/>
      <c r="Q183" s="5"/>
      <c r="R183" s="5"/>
      <c r="S183" s="5"/>
      <c r="T183" s="5"/>
      <c r="U183" s="5"/>
      <c r="V183" s="5"/>
      <c r="W183" s="5">
        <v>29.567741600000002</v>
      </c>
      <c r="X183" s="5">
        <v>1</v>
      </c>
      <c r="Y183" s="5">
        <v>29.567741600000002</v>
      </c>
      <c r="Z183" s="5"/>
      <c r="AA183" s="5"/>
      <c r="AB183" s="5"/>
    </row>
    <row r="184" spans="1:88" x14ac:dyDescent="0.2">
      <c r="A184" s="5">
        <v>50</v>
      </c>
      <c r="B184" s="5">
        <v>0</v>
      </c>
      <c r="C184" s="5">
        <v>0</v>
      </c>
      <c r="D184" s="5">
        <v>1</v>
      </c>
      <c r="E184" s="5">
        <v>208</v>
      </c>
      <c r="F184" s="5">
        <f>ROUND(Source!V161,O184)</f>
        <v>0.21000060000000001</v>
      </c>
      <c r="G184" s="5" t="s">
        <v>188</v>
      </c>
      <c r="H184" s="5" t="s">
        <v>189</v>
      </c>
      <c r="I184" s="5"/>
      <c r="J184" s="5"/>
      <c r="K184" s="5">
        <v>208</v>
      </c>
      <c r="L184" s="5">
        <v>22</v>
      </c>
      <c r="M184" s="5">
        <v>3</v>
      </c>
      <c r="N184" s="5" t="s">
        <v>3</v>
      </c>
      <c r="O184" s="5">
        <v>7</v>
      </c>
      <c r="P184" s="5"/>
      <c r="Q184" s="5"/>
      <c r="R184" s="5"/>
      <c r="S184" s="5"/>
      <c r="T184" s="5"/>
      <c r="U184" s="5"/>
      <c r="V184" s="5"/>
      <c r="W184" s="5">
        <v>0.21000060000000001</v>
      </c>
      <c r="X184" s="5">
        <v>1</v>
      </c>
      <c r="Y184" s="5">
        <v>0.21000060000000001</v>
      </c>
      <c r="Z184" s="5"/>
      <c r="AA184" s="5"/>
      <c r="AB184" s="5"/>
    </row>
    <row r="185" spans="1:88" x14ac:dyDescent="0.2">
      <c r="A185" s="5">
        <v>50</v>
      </c>
      <c r="B185" s="5">
        <v>0</v>
      </c>
      <c r="C185" s="5">
        <v>0</v>
      </c>
      <c r="D185" s="5">
        <v>1</v>
      </c>
      <c r="E185" s="5">
        <v>209</v>
      </c>
      <c r="F185" s="5">
        <f>ROUND(Source!W161,O185)</f>
        <v>0</v>
      </c>
      <c r="G185" s="5" t="s">
        <v>190</v>
      </c>
      <c r="H185" s="5" t="s">
        <v>191</v>
      </c>
      <c r="I185" s="5"/>
      <c r="J185" s="5"/>
      <c r="K185" s="5">
        <v>209</v>
      </c>
      <c r="L185" s="5">
        <v>23</v>
      </c>
      <c r="M185" s="5">
        <v>3</v>
      </c>
      <c r="N185" s="5" t="s">
        <v>3</v>
      </c>
      <c r="O185" s="5">
        <v>2</v>
      </c>
      <c r="P185" s="5"/>
      <c r="Q185" s="5"/>
      <c r="R185" s="5"/>
      <c r="S185" s="5"/>
      <c r="T185" s="5"/>
      <c r="U185" s="5"/>
      <c r="V185" s="5"/>
      <c r="W185" s="5">
        <v>0</v>
      </c>
      <c r="X185" s="5">
        <v>1</v>
      </c>
      <c r="Y185" s="5">
        <v>0</v>
      </c>
      <c r="Z185" s="5"/>
      <c r="AA185" s="5"/>
      <c r="AB185" s="5"/>
    </row>
    <row r="186" spans="1:88" x14ac:dyDescent="0.2">
      <c r="A186" s="5">
        <v>50</v>
      </c>
      <c r="B186" s="5">
        <v>0</v>
      </c>
      <c r="C186" s="5">
        <v>0</v>
      </c>
      <c r="D186" s="5">
        <v>1</v>
      </c>
      <c r="E186" s="5">
        <v>233</v>
      </c>
      <c r="F186" s="5">
        <f>ROUND(Source!BD161,O186)</f>
        <v>0</v>
      </c>
      <c r="G186" s="5" t="s">
        <v>192</v>
      </c>
      <c r="H186" s="5" t="s">
        <v>193</v>
      </c>
      <c r="I186" s="5"/>
      <c r="J186" s="5"/>
      <c r="K186" s="5">
        <v>233</v>
      </c>
      <c r="L186" s="5">
        <v>24</v>
      </c>
      <c r="M186" s="5">
        <v>3</v>
      </c>
      <c r="N186" s="5" t="s">
        <v>3</v>
      </c>
      <c r="O186" s="5">
        <v>2</v>
      </c>
      <c r="P186" s="5"/>
      <c r="Q186" s="5"/>
      <c r="R186" s="5"/>
      <c r="S186" s="5"/>
      <c r="T186" s="5"/>
      <c r="U186" s="5"/>
      <c r="V186" s="5"/>
      <c r="W186" s="5">
        <v>0</v>
      </c>
      <c r="X186" s="5">
        <v>1</v>
      </c>
      <c r="Y186" s="5">
        <v>0</v>
      </c>
      <c r="Z186" s="5"/>
      <c r="AA186" s="5"/>
      <c r="AB186" s="5"/>
    </row>
    <row r="187" spans="1:88" x14ac:dyDescent="0.2">
      <c r="A187" s="5">
        <v>50</v>
      </c>
      <c r="B187" s="5">
        <v>0</v>
      </c>
      <c r="C187" s="5">
        <v>0</v>
      </c>
      <c r="D187" s="5">
        <v>1</v>
      </c>
      <c r="E187" s="5">
        <v>210</v>
      </c>
      <c r="F187" s="5">
        <f>ROUND(Source!X161,O187)</f>
        <v>19176.68</v>
      </c>
      <c r="G187" s="5" t="s">
        <v>194</v>
      </c>
      <c r="H187" s="5" t="s">
        <v>195</v>
      </c>
      <c r="I187" s="5"/>
      <c r="J187" s="5"/>
      <c r="K187" s="5">
        <v>210</v>
      </c>
      <c r="L187" s="5">
        <v>25</v>
      </c>
      <c r="M187" s="5">
        <v>3</v>
      </c>
      <c r="N187" s="5" t="s">
        <v>3</v>
      </c>
      <c r="O187" s="5">
        <v>2</v>
      </c>
      <c r="P187" s="5"/>
      <c r="Q187" s="5"/>
      <c r="R187" s="5"/>
      <c r="S187" s="5"/>
      <c r="T187" s="5"/>
      <c r="U187" s="5"/>
      <c r="V187" s="5"/>
      <c r="W187" s="5">
        <v>19176.68</v>
      </c>
      <c r="X187" s="5">
        <v>1</v>
      </c>
      <c r="Y187" s="5">
        <v>19176.68</v>
      </c>
      <c r="Z187" s="5"/>
      <c r="AA187" s="5"/>
      <c r="AB187" s="5"/>
    </row>
    <row r="188" spans="1:88" x14ac:dyDescent="0.2">
      <c r="A188" s="5">
        <v>50</v>
      </c>
      <c r="B188" s="5">
        <v>0</v>
      </c>
      <c r="C188" s="5">
        <v>0</v>
      </c>
      <c r="D188" s="5">
        <v>1</v>
      </c>
      <c r="E188" s="5">
        <v>211</v>
      </c>
      <c r="F188" s="5">
        <f>ROUND(Source!Y161,O188)</f>
        <v>10402.459999999999</v>
      </c>
      <c r="G188" s="5" t="s">
        <v>196</v>
      </c>
      <c r="H188" s="5" t="s">
        <v>197</v>
      </c>
      <c r="I188" s="5"/>
      <c r="J188" s="5"/>
      <c r="K188" s="5">
        <v>211</v>
      </c>
      <c r="L188" s="5">
        <v>26</v>
      </c>
      <c r="M188" s="5">
        <v>3</v>
      </c>
      <c r="N188" s="5" t="s">
        <v>3</v>
      </c>
      <c r="O188" s="5">
        <v>2</v>
      </c>
      <c r="P188" s="5"/>
      <c r="Q188" s="5"/>
      <c r="R188" s="5"/>
      <c r="S188" s="5"/>
      <c r="T188" s="5"/>
      <c r="U188" s="5"/>
      <c r="V188" s="5"/>
      <c r="W188" s="5">
        <v>10402.459999999999</v>
      </c>
      <c r="X188" s="5">
        <v>1</v>
      </c>
      <c r="Y188" s="5">
        <v>10402.459999999999</v>
      </c>
      <c r="Z188" s="5"/>
      <c r="AA188" s="5"/>
      <c r="AB188" s="5"/>
    </row>
    <row r="189" spans="1:88" x14ac:dyDescent="0.2">
      <c r="A189" s="5">
        <v>50</v>
      </c>
      <c r="B189" s="5">
        <v>0</v>
      </c>
      <c r="C189" s="5">
        <v>0</v>
      </c>
      <c r="D189" s="5">
        <v>1</v>
      </c>
      <c r="E189" s="5">
        <v>224</v>
      </c>
      <c r="F189" s="5">
        <f>ROUND(Source!AR161,O189)</f>
        <v>60330.21</v>
      </c>
      <c r="G189" s="5" t="s">
        <v>198</v>
      </c>
      <c r="H189" s="5" t="s">
        <v>199</v>
      </c>
      <c r="I189" s="5"/>
      <c r="J189" s="5"/>
      <c r="K189" s="5">
        <v>224</v>
      </c>
      <c r="L189" s="5">
        <v>27</v>
      </c>
      <c r="M189" s="5">
        <v>3</v>
      </c>
      <c r="N189" s="5" t="s">
        <v>3</v>
      </c>
      <c r="O189" s="5">
        <v>2</v>
      </c>
      <c r="P189" s="5"/>
      <c r="Q189" s="5"/>
      <c r="R189" s="5"/>
      <c r="S189" s="5"/>
      <c r="T189" s="5"/>
      <c r="U189" s="5"/>
      <c r="V189" s="5"/>
      <c r="W189" s="5">
        <v>60330.21</v>
      </c>
      <c r="X189" s="5">
        <v>1</v>
      </c>
      <c r="Y189" s="5">
        <v>60330.21</v>
      </c>
      <c r="Z189" s="5"/>
      <c r="AA189" s="5"/>
      <c r="AB189" s="5"/>
    </row>
    <row r="191" spans="1:88" x14ac:dyDescent="0.2">
      <c r="A191" s="1">
        <v>5</v>
      </c>
      <c r="B191" s="1">
        <v>1</v>
      </c>
      <c r="C191" s="1"/>
      <c r="D191" s="1">
        <f>ROW(A206)</f>
        <v>206</v>
      </c>
      <c r="E191" s="1"/>
      <c r="F191" s="1" t="s">
        <v>206</v>
      </c>
      <c r="G191" s="1" t="s">
        <v>266</v>
      </c>
      <c r="H191" s="1" t="s">
        <v>3</v>
      </c>
      <c r="I191" s="1">
        <v>0</v>
      </c>
      <c r="J191" s="1"/>
      <c r="K191" s="1">
        <v>0</v>
      </c>
      <c r="L191" s="1"/>
      <c r="M191" s="1" t="s">
        <v>3</v>
      </c>
      <c r="N191" s="1"/>
      <c r="O191" s="1"/>
      <c r="P191" s="1"/>
      <c r="Q191" s="1"/>
      <c r="R191" s="1"/>
      <c r="S191" s="1">
        <v>0</v>
      </c>
      <c r="T191" s="1"/>
      <c r="U191" s="1" t="s">
        <v>3</v>
      </c>
      <c r="V191" s="1">
        <v>0</v>
      </c>
      <c r="W191" s="1"/>
      <c r="X191" s="1"/>
      <c r="Y191" s="1"/>
      <c r="Z191" s="1"/>
      <c r="AA191" s="1"/>
      <c r="AB191" s="1" t="s">
        <v>3</v>
      </c>
      <c r="AC191" s="1" t="s">
        <v>3</v>
      </c>
      <c r="AD191" s="1" t="s">
        <v>3</v>
      </c>
      <c r="AE191" s="1" t="s">
        <v>3</v>
      </c>
      <c r="AF191" s="1" t="s">
        <v>3</v>
      </c>
      <c r="AG191" s="1" t="s">
        <v>3</v>
      </c>
      <c r="AH191" s="1"/>
      <c r="AI191" s="1"/>
      <c r="AJ191" s="1"/>
      <c r="AK191" s="1"/>
      <c r="AL191" s="1"/>
      <c r="AM191" s="1"/>
      <c r="AN191" s="1"/>
      <c r="AO191" s="1"/>
      <c r="AP191" s="1" t="s">
        <v>3</v>
      </c>
      <c r="AQ191" s="1" t="s">
        <v>3</v>
      </c>
      <c r="AR191" s="1" t="s">
        <v>3</v>
      </c>
      <c r="AS191" s="1"/>
      <c r="AT191" s="1"/>
      <c r="AU191" s="1"/>
      <c r="AV191" s="1"/>
      <c r="AW191" s="1"/>
      <c r="AX191" s="1"/>
      <c r="AY191" s="1"/>
      <c r="AZ191" s="1" t="s">
        <v>3</v>
      </c>
      <c r="BA191" s="1"/>
      <c r="BB191" s="1" t="s">
        <v>3</v>
      </c>
      <c r="BC191" s="1" t="s">
        <v>3</v>
      </c>
      <c r="BD191" s="1" t="s">
        <v>3</v>
      </c>
      <c r="BE191" s="1" t="s">
        <v>3</v>
      </c>
      <c r="BF191" s="1" t="s">
        <v>3</v>
      </c>
      <c r="BG191" s="1" t="s">
        <v>3</v>
      </c>
      <c r="BH191" s="1" t="s">
        <v>3</v>
      </c>
      <c r="BI191" s="1" t="s">
        <v>3</v>
      </c>
      <c r="BJ191" s="1" t="s">
        <v>3</v>
      </c>
      <c r="BK191" s="1" t="s">
        <v>3</v>
      </c>
      <c r="BL191" s="1" t="s">
        <v>3</v>
      </c>
      <c r="BM191" s="1" t="s">
        <v>3</v>
      </c>
      <c r="BN191" s="1" t="s">
        <v>3</v>
      </c>
      <c r="BO191" s="1" t="s">
        <v>3</v>
      </c>
      <c r="BP191" s="1" t="s">
        <v>3</v>
      </c>
      <c r="BQ191" s="1"/>
      <c r="BR191" s="1"/>
      <c r="BS191" s="1"/>
      <c r="BT191" s="1"/>
      <c r="BU191" s="1"/>
      <c r="BV191" s="1"/>
      <c r="BW191" s="1"/>
      <c r="BX191" s="1">
        <v>0</v>
      </c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>
        <v>0</v>
      </c>
    </row>
    <row r="193" spans="1:255" x14ac:dyDescent="0.2">
      <c r="A193" s="3">
        <v>52</v>
      </c>
      <c r="B193" s="3">
        <f t="shared" ref="B193:G193" si="129">B206</f>
        <v>1</v>
      </c>
      <c r="C193" s="3">
        <f t="shared" si="129"/>
        <v>5</v>
      </c>
      <c r="D193" s="3">
        <f t="shared" si="129"/>
        <v>191</v>
      </c>
      <c r="E193" s="3">
        <f t="shared" si="129"/>
        <v>0</v>
      </c>
      <c r="F193" s="3" t="str">
        <f t="shared" si="129"/>
        <v>Новый подраздел</v>
      </c>
      <c r="G193" s="3" t="str">
        <f t="shared" si="129"/>
        <v>Раздевалка мужская</v>
      </c>
      <c r="H193" s="3"/>
      <c r="I193" s="3"/>
      <c r="J193" s="3"/>
      <c r="K193" s="3"/>
      <c r="L193" s="3"/>
      <c r="M193" s="3"/>
      <c r="N193" s="3"/>
      <c r="O193" s="3">
        <f t="shared" ref="O193:AT193" si="130">O206</f>
        <v>35357.57</v>
      </c>
      <c r="P193" s="3">
        <f t="shared" si="130"/>
        <v>17946.27</v>
      </c>
      <c r="Q193" s="3">
        <f t="shared" si="130"/>
        <v>50.13</v>
      </c>
      <c r="R193" s="3">
        <f t="shared" si="130"/>
        <v>112.54</v>
      </c>
      <c r="S193" s="3">
        <f t="shared" si="130"/>
        <v>17248.63</v>
      </c>
      <c r="T193" s="3">
        <f t="shared" si="130"/>
        <v>0</v>
      </c>
      <c r="U193" s="3">
        <f t="shared" si="130"/>
        <v>26.107478</v>
      </c>
      <c r="V193" s="3">
        <f t="shared" si="130"/>
        <v>0.16279959999999999</v>
      </c>
      <c r="W193" s="3">
        <f t="shared" si="130"/>
        <v>0</v>
      </c>
      <c r="X193" s="3">
        <f t="shared" si="130"/>
        <v>15946.68</v>
      </c>
      <c r="Y193" s="3">
        <f t="shared" si="130"/>
        <v>8298.52</v>
      </c>
      <c r="Z193" s="3">
        <f t="shared" si="130"/>
        <v>0</v>
      </c>
      <c r="AA193" s="3">
        <f t="shared" si="130"/>
        <v>0</v>
      </c>
      <c r="AB193" s="3">
        <f t="shared" si="130"/>
        <v>35357.57</v>
      </c>
      <c r="AC193" s="3">
        <f t="shared" si="130"/>
        <v>17946.27</v>
      </c>
      <c r="AD193" s="3">
        <f t="shared" si="130"/>
        <v>50.13</v>
      </c>
      <c r="AE193" s="3">
        <f t="shared" si="130"/>
        <v>112.54</v>
      </c>
      <c r="AF193" s="3">
        <f t="shared" si="130"/>
        <v>17248.63</v>
      </c>
      <c r="AG193" s="3">
        <f t="shared" si="130"/>
        <v>0</v>
      </c>
      <c r="AH193" s="3">
        <f t="shared" si="130"/>
        <v>26.107478</v>
      </c>
      <c r="AI193" s="3">
        <f t="shared" si="130"/>
        <v>0.16279959999999999</v>
      </c>
      <c r="AJ193" s="3">
        <f t="shared" si="130"/>
        <v>0</v>
      </c>
      <c r="AK193" s="3">
        <f t="shared" si="130"/>
        <v>15946.68</v>
      </c>
      <c r="AL193" s="3">
        <f t="shared" si="130"/>
        <v>8298.52</v>
      </c>
      <c r="AM193" s="3">
        <f t="shared" si="130"/>
        <v>0</v>
      </c>
      <c r="AN193" s="3">
        <f t="shared" si="130"/>
        <v>0</v>
      </c>
      <c r="AO193" s="3">
        <f t="shared" si="130"/>
        <v>0</v>
      </c>
      <c r="AP193" s="3">
        <f t="shared" si="130"/>
        <v>0</v>
      </c>
      <c r="AQ193" s="3">
        <f t="shared" si="130"/>
        <v>0</v>
      </c>
      <c r="AR193" s="3">
        <f t="shared" si="130"/>
        <v>59602.77</v>
      </c>
      <c r="AS193" s="3">
        <f t="shared" si="130"/>
        <v>59602.77</v>
      </c>
      <c r="AT193" s="3">
        <f t="shared" si="130"/>
        <v>0</v>
      </c>
      <c r="AU193" s="3">
        <f t="shared" ref="AU193:BZ193" si="131">AU206</f>
        <v>0</v>
      </c>
      <c r="AV193" s="3">
        <f t="shared" si="131"/>
        <v>17946.27</v>
      </c>
      <c r="AW193" s="3">
        <f t="shared" si="131"/>
        <v>17946.27</v>
      </c>
      <c r="AX193" s="3">
        <f t="shared" si="131"/>
        <v>0</v>
      </c>
      <c r="AY193" s="3">
        <f t="shared" si="131"/>
        <v>17946.27</v>
      </c>
      <c r="AZ193" s="3">
        <f t="shared" si="131"/>
        <v>0</v>
      </c>
      <c r="BA193" s="3">
        <f t="shared" si="131"/>
        <v>0</v>
      </c>
      <c r="BB193" s="3">
        <f t="shared" si="131"/>
        <v>0</v>
      </c>
      <c r="BC193" s="3">
        <f t="shared" si="131"/>
        <v>0</v>
      </c>
      <c r="BD193" s="3">
        <f t="shared" si="131"/>
        <v>0</v>
      </c>
      <c r="BE193" s="3">
        <f t="shared" si="131"/>
        <v>0</v>
      </c>
      <c r="BF193" s="3">
        <f t="shared" si="131"/>
        <v>0</v>
      </c>
      <c r="BG193" s="3">
        <f t="shared" si="131"/>
        <v>0</v>
      </c>
      <c r="BH193" s="3">
        <f t="shared" si="131"/>
        <v>0</v>
      </c>
      <c r="BI193" s="3">
        <f t="shared" si="131"/>
        <v>0</v>
      </c>
      <c r="BJ193" s="3">
        <f t="shared" si="131"/>
        <v>0</v>
      </c>
      <c r="BK193" s="3">
        <f t="shared" si="131"/>
        <v>0</v>
      </c>
      <c r="BL193" s="3">
        <f t="shared" si="131"/>
        <v>0</v>
      </c>
      <c r="BM193" s="3">
        <f t="shared" si="131"/>
        <v>0</v>
      </c>
      <c r="BN193" s="3">
        <f t="shared" si="131"/>
        <v>0</v>
      </c>
      <c r="BO193" s="3">
        <f t="shared" si="131"/>
        <v>0</v>
      </c>
      <c r="BP193" s="3">
        <f t="shared" si="131"/>
        <v>0</v>
      </c>
      <c r="BQ193" s="3">
        <f t="shared" si="131"/>
        <v>0</v>
      </c>
      <c r="BR193" s="3">
        <f t="shared" si="131"/>
        <v>0</v>
      </c>
      <c r="BS193" s="3">
        <f t="shared" si="131"/>
        <v>0</v>
      </c>
      <c r="BT193" s="3">
        <f t="shared" si="131"/>
        <v>0</v>
      </c>
      <c r="BU193" s="3">
        <f t="shared" si="131"/>
        <v>0</v>
      </c>
      <c r="BV193" s="3">
        <f t="shared" si="131"/>
        <v>0</v>
      </c>
      <c r="BW193" s="3">
        <f t="shared" si="131"/>
        <v>0</v>
      </c>
      <c r="BX193" s="3">
        <f t="shared" si="131"/>
        <v>0</v>
      </c>
      <c r="BY193" s="3">
        <f t="shared" si="131"/>
        <v>0</v>
      </c>
      <c r="BZ193" s="3">
        <f t="shared" si="131"/>
        <v>0</v>
      </c>
      <c r="CA193" s="3">
        <f t="shared" ref="CA193:DF193" si="132">CA206</f>
        <v>59602.77</v>
      </c>
      <c r="CB193" s="3">
        <f t="shared" si="132"/>
        <v>59602.77</v>
      </c>
      <c r="CC193" s="3">
        <f t="shared" si="132"/>
        <v>0</v>
      </c>
      <c r="CD193" s="3">
        <f t="shared" si="132"/>
        <v>0</v>
      </c>
      <c r="CE193" s="3">
        <f t="shared" si="132"/>
        <v>17946.27</v>
      </c>
      <c r="CF193" s="3">
        <f t="shared" si="132"/>
        <v>17946.27</v>
      </c>
      <c r="CG193" s="3">
        <f t="shared" si="132"/>
        <v>0</v>
      </c>
      <c r="CH193" s="3">
        <f t="shared" si="132"/>
        <v>17946.27</v>
      </c>
      <c r="CI193" s="3">
        <f t="shared" si="132"/>
        <v>0</v>
      </c>
      <c r="CJ193" s="3">
        <f t="shared" si="132"/>
        <v>0</v>
      </c>
      <c r="CK193" s="3">
        <f t="shared" si="132"/>
        <v>0</v>
      </c>
      <c r="CL193" s="3">
        <f t="shared" si="132"/>
        <v>0</v>
      </c>
      <c r="CM193" s="3">
        <f t="shared" si="132"/>
        <v>0</v>
      </c>
      <c r="CN193" s="3">
        <f t="shared" si="132"/>
        <v>0</v>
      </c>
      <c r="CO193" s="3">
        <f t="shared" si="132"/>
        <v>0</v>
      </c>
      <c r="CP193" s="3">
        <f t="shared" si="132"/>
        <v>0</v>
      </c>
      <c r="CQ193" s="3">
        <f t="shared" si="132"/>
        <v>0</v>
      </c>
      <c r="CR193" s="3">
        <f t="shared" si="132"/>
        <v>0</v>
      </c>
      <c r="CS193" s="3">
        <f t="shared" si="132"/>
        <v>0</v>
      </c>
      <c r="CT193" s="3">
        <f t="shared" si="132"/>
        <v>0</v>
      </c>
      <c r="CU193" s="3">
        <f t="shared" si="132"/>
        <v>0</v>
      </c>
      <c r="CV193" s="3">
        <f t="shared" si="132"/>
        <v>0</v>
      </c>
      <c r="CW193" s="3">
        <f t="shared" si="132"/>
        <v>0</v>
      </c>
      <c r="CX193" s="3">
        <f t="shared" si="132"/>
        <v>0</v>
      </c>
      <c r="CY193" s="3">
        <f t="shared" si="132"/>
        <v>0</v>
      </c>
      <c r="CZ193" s="3">
        <f t="shared" si="132"/>
        <v>0</v>
      </c>
      <c r="DA193" s="3">
        <f t="shared" si="132"/>
        <v>0</v>
      </c>
      <c r="DB193" s="3">
        <f t="shared" si="132"/>
        <v>0</v>
      </c>
      <c r="DC193" s="3">
        <f t="shared" si="132"/>
        <v>0</v>
      </c>
      <c r="DD193" s="3">
        <f t="shared" si="132"/>
        <v>0</v>
      </c>
      <c r="DE193" s="3">
        <f t="shared" si="132"/>
        <v>0</v>
      </c>
      <c r="DF193" s="3">
        <f t="shared" si="132"/>
        <v>0</v>
      </c>
      <c r="DG193" s="4">
        <f t="shared" ref="DG193:EL193" si="133">DG206</f>
        <v>0</v>
      </c>
      <c r="DH193" s="4">
        <f t="shared" si="133"/>
        <v>0</v>
      </c>
      <c r="DI193" s="4">
        <f t="shared" si="133"/>
        <v>0</v>
      </c>
      <c r="DJ193" s="4">
        <f t="shared" si="133"/>
        <v>0</v>
      </c>
      <c r="DK193" s="4">
        <f t="shared" si="133"/>
        <v>0</v>
      </c>
      <c r="DL193" s="4">
        <f t="shared" si="133"/>
        <v>0</v>
      </c>
      <c r="DM193" s="4">
        <f t="shared" si="133"/>
        <v>0</v>
      </c>
      <c r="DN193" s="4">
        <f t="shared" si="133"/>
        <v>0</v>
      </c>
      <c r="DO193" s="4">
        <f t="shared" si="133"/>
        <v>0</v>
      </c>
      <c r="DP193" s="4">
        <f t="shared" si="133"/>
        <v>0</v>
      </c>
      <c r="DQ193" s="4">
        <f t="shared" si="133"/>
        <v>0</v>
      </c>
      <c r="DR193" s="4">
        <f t="shared" si="133"/>
        <v>0</v>
      </c>
      <c r="DS193" s="4">
        <f t="shared" si="133"/>
        <v>0</v>
      </c>
      <c r="DT193" s="4">
        <f t="shared" si="133"/>
        <v>0</v>
      </c>
      <c r="DU193" s="4">
        <f t="shared" si="133"/>
        <v>0</v>
      </c>
      <c r="DV193" s="4">
        <f t="shared" si="133"/>
        <v>0</v>
      </c>
      <c r="DW193" s="4">
        <f t="shared" si="133"/>
        <v>0</v>
      </c>
      <c r="DX193" s="4">
        <f t="shared" si="133"/>
        <v>0</v>
      </c>
      <c r="DY193" s="4">
        <f t="shared" si="133"/>
        <v>0</v>
      </c>
      <c r="DZ193" s="4">
        <f t="shared" si="133"/>
        <v>0</v>
      </c>
      <c r="EA193" s="4">
        <f t="shared" si="133"/>
        <v>0</v>
      </c>
      <c r="EB193" s="4">
        <f t="shared" si="133"/>
        <v>0</v>
      </c>
      <c r="EC193" s="4">
        <f t="shared" si="133"/>
        <v>0</v>
      </c>
      <c r="ED193" s="4">
        <f t="shared" si="133"/>
        <v>0</v>
      </c>
      <c r="EE193" s="4">
        <f t="shared" si="133"/>
        <v>0</v>
      </c>
      <c r="EF193" s="4">
        <f t="shared" si="133"/>
        <v>0</v>
      </c>
      <c r="EG193" s="4">
        <f t="shared" si="133"/>
        <v>0</v>
      </c>
      <c r="EH193" s="4">
        <f t="shared" si="133"/>
        <v>0</v>
      </c>
      <c r="EI193" s="4">
        <f t="shared" si="133"/>
        <v>0</v>
      </c>
      <c r="EJ193" s="4">
        <f t="shared" si="133"/>
        <v>0</v>
      </c>
      <c r="EK193" s="4">
        <f t="shared" si="133"/>
        <v>0</v>
      </c>
      <c r="EL193" s="4">
        <f t="shared" si="133"/>
        <v>0</v>
      </c>
      <c r="EM193" s="4">
        <f t="shared" ref="EM193:FR193" si="134">EM206</f>
        <v>0</v>
      </c>
      <c r="EN193" s="4">
        <f t="shared" si="134"/>
        <v>0</v>
      </c>
      <c r="EO193" s="4">
        <f t="shared" si="134"/>
        <v>0</v>
      </c>
      <c r="EP193" s="4">
        <f t="shared" si="134"/>
        <v>0</v>
      </c>
      <c r="EQ193" s="4">
        <f t="shared" si="134"/>
        <v>0</v>
      </c>
      <c r="ER193" s="4">
        <f t="shared" si="134"/>
        <v>0</v>
      </c>
      <c r="ES193" s="4">
        <f t="shared" si="134"/>
        <v>0</v>
      </c>
      <c r="ET193" s="4">
        <f t="shared" si="134"/>
        <v>0</v>
      </c>
      <c r="EU193" s="4">
        <f t="shared" si="134"/>
        <v>0</v>
      </c>
      <c r="EV193" s="4">
        <f t="shared" si="134"/>
        <v>0</v>
      </c>
      <c r="EW193" s="4">
        <f t="shared" si="134"/>
        <v>0</v>
      </c>
      <c r="EX193" s="4">
        <f t="shared" si="134"/>
        <v>0</v>
      </c>
      <c r="EY193" s="4">
        <f t="shared" si="134"/>
        <v>0</v>
      </c>
      <c r="EZ193" s="4">
        <f t="shared" si="134"/>
        <v>0</v>
      </c>
      <c r="FA193" s="4">
        <f t="shared" si="134"/>
        <v>0</v>
      </c>
      <c r="FB193" s="4">
        <f t="shared" si="134"/>
        <v>0</v>
      </c>
      <c r="FC193" s="4">
        <f t="shared" si="134"/>
        <v>0</v>
      </c>
      <c r="FD193" s="4">
        <f t="shared" si="134"/>
        <v>0</v>
      </c>
      <c r="FE193" s="4">
        <f t="shared" si="134"/>
        <v>0</v>
      </c>
      <c r="FF193" s="4">
        <f t="shared" si="134"/>
        <v>0</v>
      </c>
      <c r="FG193" s="4">
        <f t="shared" si="134"/>
        <v>0</v>
      </c>
      <c r="FH193" s="4">
        <f t="shared" si="134"/>
        <v>0</v>
      </c>
      <c r="FI193" s="4">
        <f t="shared" si="134"/>
        <v>0</v>
      </c>
      <c r="FJ193" s="4">
        <f t="shared" si="134"/>
        <v>0</v>
      </c>
      <c r="FK193" s="4">
        <f t="shared" si="134"/>
        <v>0</v>
      </c>
      <c r="FL193" s="4">
        <f t="shared" si="134"/>
        <v>0</v>
      </c>
      <c r="FM193" s="4">
        <f t="shared" si="134"/>
        <v>0</v>
      </c>
      <c r="FN193" s="4">
        <f t="shared" si="134"/>
        <v>0</v>
      </c>
      <c r="FO193" s="4">
        <f t="shared" si="134"/>
        <v>0</v>
      </c>
      <c r="FP193" s="4">
        <f t="shared" si="134"/>
        <v>0</v>
      </c>
      <c r="FQ193" s="4">
        <f t="shared" si="134"/>
        <v>0</v>
      </c>
      <c r="FR193" s="4">
        <f t="shared" si="134"/>
        <v>0</v>
      </c>
      <c r="FS193" s="4">
        <f t="shared" ref="FS193:GX193" si="135">FS206</f>
        <v>0</v>
      </c>
      <c r="FT193" s="4">
        <f t="shared" si="135"/>
        <v>0</v>
      </c>
      <c r="FU193" s="4">
        <f t="shared" si="135"/>
        <v>0</v>
      </c>
      <c r="FV193" s="4">
        <f t="shared" si="135"/>
        <v>0</v>
      </c>
      <c r="FW193" s="4">
        <f t="shared" si="135"/>
        <v>0</v>
      </c>
      <c r="FX193" s="4">
        <f t="shared" si="135"/>
        <v>0</v>
      </c>
      <c r="FY193" s="4">
        <f t="shared" si="135"/>
        <v>0</v>
      </c>
      <c r="FZ193" s="4">
        <f t="shared" si="135"/>
        <v>0</v>
      </c>
      <c r="GA193" s="4">
        <f t="shared" si="135"/>
        <v>0</v>
      </c>
      <c r="GB193" s="4">
        <f t="shared" si="135"/>
        <v>0</v>
      </c>
      <c r="GC193" s="4">
        <f t="shared" si="135"/>
        <v>0</v>
      </c>
      <c r="GD193" s="4">
        <f t="shared" si="135"/>
        <v>0</v>
      </c>
      <c r="GE193" s="4">
        <f t="shared" si="135"/>
        <v>0</v>
      </c>
      <c r="GF193" s="4">
        <f t="shared" si="135"/>
        <v>0</v>
      </c>
      <c r="GG193" s="4">
        <f t="shared" si="135"/>
        <v>0</v>
      </c>
      <c r="GH193" s="4">
        <f t="shared" si="135"/>
        <v>0</v>
      </c>
      <c r="GI193" s="4">
        <f t="shared" si="135"/>
        <v>0</v>
      </c>
      <c r="GJ193" s="4">
        <f t="shared" si="135"/>
        <v>0</v>
      </c>
      <c r="GK193" s="4">
        <f t="shared" si="135"/>
        <v>0</v>
      </c>
      <c r="GL193" s="4">
        <f t="shared" si="135"/>
        <v>0</v>
      </c>
      <c r="GM193" s="4">
        <f t="shared" si="135"/>
        <v>0</v>
      </c>
      <c r="GN193" s="4">
        <f t="shared" si="135"/>
        <v>0</v>
      </c>
      <c r="GO193" s="4">
        <f t="shared" si="135"/>
        <v>0</v>
      </c>
      <c r="GP193" s="4">
        <f t="shared" si="135"/>
        <v>0</v>
      </c>
      <c r="GQ193" s="4">
        <f t="shared" si="135"/>
        <v>0</v>
      </c>
      <c r="GR193" s="4">
        <f t="shared" si="135"/>
        <v>0</v>
      </c>
      <c r="GS193" s="4">
        <f t="shared" si="135"/>
        <v>0</v>
      </c>
      <c r="GT193" s="4">
        <f t="shared" si="135"/>
        <v>0</v>
      </c>
      <c r="GU193" s="4">
        <f t="shared" si="135"/>
        <v>0</v>
      </c>
      <c r="GV193" s="4">
        <f t="shared" si="135"/>
        <v>0</v>
      </c>
      <c r="GW193" s="4">
        <f t="shared" si="135"/>
        <v>0</v>
      </c>
      <c r="GX193" s="4">
        <f t="shared" si="135"/>
        <v>0</v>
      </c>
    </row>
    <row r="195" spans="1:255" x14ac:dyDescent="0.2">
      <c r="A195" s="2">
        <v>17</v>
      </c>
      <c r="B195" s="2">
        <v>1</v>
      </c>
      <c r="C195" s="2">
        <f>ROW(SmtRes!A194)</f>
        <v>194</v>
      </c>
      <c r="D195" s="2">
        <f>ROW(EtalonRes!A194)</f>
        <v>194</v>
      </c>
      <c r="E195" s="2" t="s">
        <v>267</v>
      </c>
      <c r="F195" s="2" t="s">
        <v>227</v>
      </c>
      <c r="G195" s="2" t="s">
        <v>228</v>
      </c>
      <c r="H195" s="2" t="s">
        <v>20</v>
      </c>
      <c r="I195" s="2">
        <f>ROUND((5.8*1.8*2.9-2+6+11.6*2.9*2+4.5*2.9*2-51)/100,7)</f>
        <v>0.76656000000000002</v>
      </c>
      <c r="J195" s="2">
        <v>0</v>
      </c>
      <c r="K195" s="2">
        <f>ROUND((5.8*1.8*2.9-2+6+11.6*2.9*2+4.5*2.9*2-51)/100,7)</f>
        <v>0.76656000000000002</v>
      </c>
      <c r="L195" s="2"/>
      <c r="M195" s="2"/>
      <c r="N195" s="2"/>
      <c r="O195" s="2">
        <f t="shared" ref="O195:O204" si="136">ROUND(CP195,2)</f>
        <v>21146.37</v>
      </c>
      <c r="P195" s="2">
        <f>SUMIF(SmtRes!AQ183:'SmtRes'!AQ194,"=1",SmtRes!DF183:'SmtRes'!DF194)</f>
        <v>7779.49</v>
      </c>
      <c r="Q195" s="2">
        <f>SUMIF(SmtRes!AQ183:'SmtRes'!AQ194,"=1",SmtRes!DG183:'SmtRes'!DG194)</f>
        <v>29.549999999999997</v>
      </c>
      <c r="R195" s="2">
        <f>SUMIF(SmtRes!AQ183:'SmtRes'!AQ194,"=1",SmtRes!DH183:'SmtRes'!DH194)</f>
        <v>83.4</v>
      </c>
      <c r="S195" s="2">
        <f>SUMIF(SmtRes!AQ183:'SmtRes'!AQ194,"=1",SmtRes!DI183:'SmtRes'!DI194)</f>
        <v>13253.93</v>
      </c>
      <c r="T195" s="2">
        <f t="shared" ref="T195:T204" si="137">ROUND(CU195*I195,2)</f>
        <v>0</v>
      </c>
      <c r="U195" s="2">
        <f>SUMIF(SmtRes!AQ183:'SmtRes'!AQ194,"=1",SmtRes!CV183:'SmtRes'!CV194)</f>
        <v>20.160527999999999</v>
      </c>
      <c r="V195" s="2">
        <f>SUMIF(SmtRes!AQ183:'SmtRes'!AQ194,"=1",SmtRes!CW183:'SmtRes'!CW194)</f>
        <v>0.1226496</v>
      </c>
      <c r="W195" s="2">
        <f t="shared" ref="W195:W204" si="138">ROUND(CX195*I195,2)</f>
        <v>0</v>
      </c>
      <c r="X195" s="2">
        <f t="shared" ref="X195:X204" si="139">ROUND(CY195,2)</f>
        <v>12003.6</v>
      </c>
      <c r="Y195" s="2">
        <f t="shared" ref="Y195:Y204" si="140">ROUND(CZ195,2)</f>
        <v>6135.17</v>
      </c>
      <c r="Z195" s="2"/>
      <c r="AA195" s="2">
        <v>94104265</v>
      </c>
      <c r="AB195" s="2">
        <f t="shared" ref="AB195:AB204" si="141">ROUND((AC195+AD195+AF195),6)</f>
        <v>24876.554155999998</v>
      </c>
      <c r="AC195" s="2">
        <f>ROUND((SUM(SmtRes!BQ183:'SmtRes'!BQ194)),6)</f>
        <v>7549.9809560000003</v>
      </c>
      <c r="AD195" s="2">
        <f>ROUND((((SUM(SmtRes!BR183:'SmtRes'!BR194))-(SUM(SmtRes!BS183:'SmtRes'!BS194)))+AE195),6)</f>
        <v>36.427199999999999</v>
      </c>
      <c r="AE195" s="2">
        <f>ROUND((SUM(SmtRes!BS183:'SmtRes'!BS194)),6)</f>
        <v>108.78879999999999</v>
      </c>
      <c r="AF195" s="2">
        <f>ROUND((SUM(SmtRes!BT183:'SmtRes'!BT194)),6)</f>
        <v>17290.146000000001</v>
      </c>
      <c r="AG195" s="2">
        <f t="shared" ref="AG195:AG204" si="142">ROUND((AP195),6)</f>
        <v>0</v>
      </c>
      <c r="AH195" s="2">
        <f>(SUM(SmtRes!BU183:'SmtRes'!BU194))</f>
        <v>26.3</v>
      </c>
      <c r="AI195" s="2">
        <f>(SUM(SmtRes!BV183:'SmtRes'!BV194))</f>
        <v>0.16</v>
      </c>
      <c r="AJ195" s="2">
        <f t="shared" ref="AJ195:AJ204" si="143">(AS195)</f>
        <v>0</v>
      </c>
      <c r="AK195" s="2">
        <v>24985.342955999997</v>
      </c>
      <c r="AL195" s="2">
        <v>7549.9809559999994</v>
      </c>
      <c r="AM195" s="2">
        <v>36.427199999999999</v>
      </c>
      <c r="AN195" s="2">
        <v>108.78880000000001</v>
      </c>
      <c r="AO195" s="2">
        <v>17290.146000000001</v>
      </c>
      <c r="AP195" s="2">
        <v>0</v>
      </c>
      <c r="AQ195" s="2">
        <v>26.3</v>
      </c>
      <c r="AR195" s="2">
        <v>0.16</v>
      </c>
      <c r="AS195" s="2">
        <v>0</v>
      </c>
      <c r="AT195" s="2">
        <v>90</v>
      </c>
      <c r="AU195" s="2">
        <v>46</v>
      </c>
      <c r="AV195" s="2">
        <v>1</v>
      </c>
      <c r="AW195" s="2">
        <v>1</v>
      </c>
      <c r="AX195" s="2"/>
      <c r="AY195" s="2"/>
      <c r="AZ195" s="2">
        <v>1</v>
      </c>
      <c r="BA195" s="2">
        <v>1</v>
      </c>
      <c r="BB195" s="2">
        <v>1</v>
      </c>
      <c r="BC195" s="2">
        <v>1</v>
      </c>
      <c r="BD195" s="2" t="s">
        <v>3</v>
      </c>
      <c r="BE195" s="2" t="s">
        <v>3</v>
      </c>
      <c r="BF195" s="2" t="s">
        <v>3</v>
      </c>
      <c r="BG195" s="2" t="s">
        <v>3</v>
      </c>
      <c r="BH195" s="2">
        <v>0</v>
      </c>
      <c r="BI195" s="2">
        <v>1</v>
      </c>
      <c r="BJ195" s="2" t="s">
        <v>229</v>
      </c>
      <c r="BK195" s="2"/>
      <c r="BL195" s="2"/>
      <c r="BM195" s="2">
        <v>62001</v>
      </c>
      <c r="BN195" s="2">
        <v>0</v>
      </c>
      <c r="BO195" s="2" t="s">
        <v>3</v>
      </c>
      <c r="BP195" s="2">
        <v>0</v>
      </c>
      <c r="BQ195" s="2">
        <v>6</v>
      </c>
      <c r="BR195" s="2">
        <v>0</v>
      </c>
      <c r="BS195" s="2">
        <v>1</v>
      </c>
      <c r="BT195" s="2">
        <v>1</v>
      </c>
      <c r="BU195" s="2">
        <v>1</v>
      </c>
      <c r="BV195" s="2">
        <v>1</v>
      </c>
      <c r="BW195" s="2">
        <v>1</v>
      </c>
      <c r="BX195" s="2">
        <v>1</v>
      </c>
      <c r="BY195" s="2" t="s">
        <v>3</v>
      </c>
      <c r="BZ195" s="2">
        <v>90</v>
      </c>
      <c r="CA195" s="2">
        <v>46</v>
      </c>
      <c r="CB195" s="2" t="s">
        <v>3</v>
      </c>
      <c r="CC195" s="2"/>
      <c r="CD195" s="2"/>
      <c r="CE195" s="2">
        <v>0</v>
      </c>
      <c r="CF195" s="2">
        <v>0</v>
      </c>
      <c r="CG195" s="2">
        <v>0</v>
      </c>
      <c r="CH195" s="2"/>
      <c r="CI195" s="2"/>
      <c r="CJ195" s="2"/>
      <c r="CK195" s="2"/>
      <c r="CL195" s="2"/>
      <c r="CM195" s="2">
        <v>0</v>
      </c>
      <c r="CN195" s="2" t="s">
        <v>3</v>
      </c>
      <c r="CO195" s="2">
        <v>0</v>
      </c>
      <c r="CP195" s="2">
        <f t="shared" ref="CP195:CP204" si="144">(P195+Q195+S195+R195)</f>
        <v>21146.370000000003</v>
      </c>
      <c r="CQ195" s="2">
        <f>SUMIF(SmtRes!AQ183:'SmtRes'!AQ194,"=1",SmtRes!AA183:'SmtRes'!AA194)</f>
        <v>45508.39</v>
      </c>
      <c r="CR195" s="2">
        <f>SUMIF(SmtRes!AQ183:'SmtRes'!AQ194,"=1",SmtRes!AB183:'SmtRes'!AB194)</f>
        <v>603.51</v>
      </c>
      <c r="CS195" s="2">
        <f>SUMIF(SmtRes!AQ183:'SmtRes'!AQ194,"=1",SmtRes!AC183:'SmtRes'!AC194)</f>
        <v>1380.3200000000002</v>
      </c>
      <c r="CT195" s="2">
        <f>SUMIF(SmtRes!AQ183:'SmtRes'!AQ194,"=1",SmtRes!AD183:'SmtRes'!AD194)</f>
        <v>657.42</v>
      </c>
      <c r="CU195" s="2">
        <f t="shared" ref="CU195:CU204" si="145">AG195</f>
        <v>0</v>
      </c>
      <c r="CV195" s="2">
        <f>SUMIF(SmtRes!AQ183:'SmtRes'!AQ194,"=1",SmtRes!BU183:'SmtRes'!BU194)</f>
        <v>26.3</v>
      </c>
      <c r="CW195" s="2">
        <f>SUMIF(SmtRes!AQ183:'SmtRes'!AQ194,"=1",SmtRes!BV183:'SmtRes'!BV194)</f>
        <v>0.16</v>
      </c>
      <c r="CX195" s="2">
        <f t="shared" ref="CX195:CX204" si="146">AJ195</f>
        <v>0</v>
      </c>
      <c r="CY195" s="2">
        <f t="shared" ref="CY195:CY204" si="147">(((S195+R195)*AT195)/100)</f>
        <v>12003.597</v>
      </c>
      <c r="CZ195" s="2">
        <f t="shared" ref="CZ195:CZ204" si="148">(((S195+R195)*AU195)/100)</f>
        <v>6135.1718000000001</v>
      </c>
      <c r="DA195" s="2"/>
      <c r="DB195" s="2"/>
      <c r="DC195" s="2" t="s">
        <v>3</v>
      </c>
      <c r="DD195" s="2" t="s">
        <v>3</v>
      </c>
      <c r="DE195" s="2" t="s">
        <v>3</v>
      </c>
      <c r="DF195" s="2" t="s">
        <v>3</v>
      </c>
      <c r="DG195" s="2" t="s">
        <v>3</v>
      </c>
      <c r="DH195" s="2" t="s">
        <v>3</v>
      </c>
      <c r="DI195" s="2" t="s">
        <v>3</v>
      </c>
      <c r="DJ195" s="2" t="s">
        <v>3</v>
      </c>
      <c r="DK195" s="2" t="s">
        <v>3</v>
      </c>
      <c r="DL195" s="2" t="s">
        <v>3</v>
      </c>
      <c r="DM195" s="2" t="s">
        <v>3</v>
      </c>
      <c r="DN195" s="2">
        <v>0</v>
      </c>
      <c r="DO195" s="2">
        <v>0</v>
      </c>
      <c r="DP195" s="2">
        <v>1</v>
      </c>
      <c r="DQ195" s="2">
        <v>1</v>
      </c>
      <c r="DR195" s="2"/>
      <c r="DS195" s="2"/>
      <c r="DT195" s="2"/>
      <c r="DU195" s="2">
        <v>1005</v>
      </c>
      <c r="DV195" s="2" t="s">
        <v>20</v>
      </c>
      <c r="DW195" s="2" t="s">
        <v>20</v>
      </c>
      <c r="DX195" s="2">
        <v>100</v>
      </c>
      <c r="DY195" s="2"/>
      <c r="DZ195" s="2" t="s">
        <v>3</v>
      </c>
      <c r="EA195" s="2" t="s">
        <v>3</v>
      </c>
      <c r="EB195" s="2" t="s">
        <v>3</v>
      </c>
      <c r="EC195" s="2" t="s">
        <v>3</v>
      </c>
      <c r="ED195" s="2"/>
      <c r="EE195" s="2">
        <v>89977076</v>
      </c>
      <c r="EF195" s="2">
        <v>6</v>
      </c>
      <c r="EG195" s="2" t="s">
        <v>22</v>
      </c>
      <c r="EH195" s="2">
        <v>96</v>
      </c>
      <c r="EI195" s="2" t="s">
        <v>121</v>
      </c>
      <c r="EJ195" s="2">
        <v>1</v>
      </c>
      <c r="EK195" s="2">
        <v>62001</v>
      </c>
      <c r="EL195" s="2" t="s">
        <v>121</v>
      </c>
      <c r="EM195" s="2" t="s">
        <v>122</v>
      </c>
      <c r="EN195" s="2"/>
      <c r="EO195" s="2" t="s">
        <v>3</v>
      </c>
      <c r="EP195" s="2"/>
      <c r="EQ195" s="2">
        <v>0</v>
      </c>
      <c r="ER195" s="2">
        <v>0</v>
      </c>
      <c r="ES195" s="2">
        <v>0</v>
      </c>
      <c r="ET195" s="2">
        <v>0</v>
      </c>
      <c r="EU195" s="2">
        <v>0</v>
      </c>
      <c r="EV195" s="2">
        <v>0</v>
      </c>
      <c r="EW195" s="2">
        <v>26.3</v>
      </c>
      <c r="EX195" s="2">
        <v>0.16</v>
      </c>
      <c r="EY195" s="2">
        <v>0</v>
      </c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>
        <v>0</v>
      </c>
      <c r="FR195" s="2">
        <v>0</v>
      </c>
      <c r="FS195" s="2">
        <v>0</v>
      </c>
      <c r="FT195" s="2"/>
      <c r="FU195" s="2"/>
      <c r="FV195" s="2"/>
      <c r="FW195" s="2"/>
      <c r="FX195" s="2">
        <v>90</v>
      </c>
      <c r="FY195" s="2">
        <v>46</v>
      </c>
      <c r="FZ195" s="2"/>
      <c r="GA195" s="2" t="s">
        <v>3</v>
      </c>
      <c r="GB195" s="2"/>
      <c r="GC195" s="2"/>
      <c r="GD195" s="2">
        <v>1</v>
      </c>
      <c r="GE195" s="2"/>
      <c r="GF195" s="2">
        <v>515232886</v>
      </c>
      <c r="GG195" s="2">
        <v>2</v>
      </c>
      <c r="GH195" s="2">
        <v>1</v>
      </c>
      <c r="GI195" s="2">
        <v>-2</v>
      </c>
      <c r="GJ195" s="2">
        <v>0</v>
      </c>
      <c r="GK195" s="2">
        <v>0</v>
      </c>
      <c r="GL195" s="2">
        <f t="shared" ref="GL195:GL204" si="149">ROUND(IF(AND(BH195=3,BI195=3,FS195&lt;&gt;0),P195,0),2)</f>
        <v>0</v>
      </c>
      <c r="GM195" s="2">
        <f t="shared" ref="GM195:GM204" si="150">ROUND(O195+X195+Y195,2)+GX195</f>
        <v>39285.14</v>
      </c>
      <c r="GN195" s="2">
        <f t="shared" ref="GN195:GN204" si="151">IF(OR(BI195=0,BI195=1),GM195-GX195,0)</f>
        <v>39285.14</v>
      </c>
      <c r="GO195" s="2">
        <f t="shared" ref="GO195:GO204" si="152">IF(BI195=2,GM195-GX195,0)</f>
        <v>0</v>
      </c>
      <c r="GP195" s="2">
        <f t="shared" ref="GP195:GP204" si="153">IF(BI195=4,GM195-GX195,0)</f>
        <v>0</v>
      </c>
      <c r="GQ195" s="2"/>
      <c r="GR195" s="2">
        <v>0</v>
      </c>
      <c r="GS195" s="2">
        <v>3</v>
      </c>
      <c r="GT195" s="2">
        <v>0</v>
      </c>
      <c r="GU195" s="2" t="s">
        <v>3</v>
      </c>
      <c r="GV195" s="2">
        <f t="shared" ref="GV195:GV204" si="154">ROUND((GT195),6)</f>
        <v>0</v>
      </c>
      <c r="GW195" s="2">
        <v>1</v>
      </c>
      <c r="GX195" s="2">
        <f t="shared" ref="GX195:GX204" si="155">ROUND(HC195*I195,2)</f>
        <v>0</v>
      </c>
      <c r="GY195" s="2"/>
      <c r="GZ195" s="2"/>
      <c r="HA195" s="2">
        <v>0</v>
      </c>
      <c r="HB195" s="2">
        <v>0</v>
      </c>
      <c r="HC195" s="2">
        <f t="shared" ref="HC195:HC204" si="156">GV195*GW195</f>
        <v>0</v>
      </c>
      <c r="HD195" s="2"/>
      <c r="HE195" s="2" t="s">
        <v>3</v>
      </c>
      <c r="HF195" s="2" t="s">
        <v>3</v>
      </c>
      <c r="HG195" s="2"/>
      <c r="HH195" s="2"/>
      <c r="HI195" s="2"/>
      <c r="HJ195" s="2"/>
      <c r="HK195" s="2"/>
      <c r="HL195" s="2"/>
      <c r="HM195" s="2" t="s">
        <v>3</v>
      </c>
      <c r="HN195" s="2" t="s">
        <v>123</v>
      </c>
      <c r="HO195" s="2" t="s">
        <v>124</v>
      </c>
      <c r="HP195" s="2" t="s">
        <v>121</v>
      </c>
      <c r="HQ195" s="2" t="s">
        <v>121</v>
      </c>
      <c r="HR195" s="2"/>
      <c r="HS195" s="2">
        <v>0</v>
      </c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>
        <v>0</v>
      </c>
      <c r="IL195" s="2"/>
      <c r="IM195" s="2"/>
      <c r="IN195" s="2"/>
      <c r="IO195" s="2"/>
      <c r="IP195" s="2"/>
      <c r="IQ195" s="2"/>
      <c r="IR195" s="2"/>
      <c r="IS195" s="2"/>
      <c r="IT195" s="2"/>
      <c r="IU195" s="2"/>
    </row>
    <row r="196" spans="1:255" x14ac:dyDescent="0.2">
      <c r="A196" s="2">
        <v>18</v>
      </c>
      <c r="B196" s="2">
        <v>1</v>
      </c>
      <c r="C196" s="2">
        <v>193</v>
      </c>
      <c r="D196" s="2"/>
      <c r="E196" s="2" t="s">
        <v>268</v>
      </c>
      <c r="F196" s="2" t="s">
        <v>231</v>
      </c>
      <c r="G196" s="2" t="s">
        <v>232</v>
      </c>
      <c r="H196" s="2" t="s">
        <v>30</v>
      </c>
      <c r="I196" s="2">
        <f>I195*J196</f>
        <v>5.1359499999999995E-2</v>
      </c>
      <c r="J196" s="2">
        <v>6.6999973909413479E-2</v>
      </c>
      <c r="K196" s="2">
        <v>6.7000000000000004E-2</v>
      </c>
      <c r="L196" s="2"/>
      <c r="M196" s="2"/>
      <c r="N196" s="2"/>
      <c r="O196" s="2">
        <f t="shared" si="136"/>
        <v>7879.3</v>
      </c>
      <c r="P196" s="2">
        <f>ROUND(CQ196*I196,2)</f>
        <v>7879.3</v>
      </c>
      <c r="Q196" s="2">
        <f>ROUND(CR196*I196,2)</f>
        <v>0</v>
      </c>
      <c r="R196" s="2">
        <f>ROUND(CS196*I196,2)</f>
        <v>0</v>
      </c>
      <c r="S196" s="2">
        <f>ROUND(CT196*I196,2)</f>
        <v>0</v>
      </c>
      <c r="T196" s="2">
        <f t="shared" si="137"/>
        <v>0</v>
      </c>
      <c r="U196" s="2">
        <f>ROUND(CV196*I196,7)</f>
        <v>0</v>
      </c>
      <c r="V196" s="2">
        <f>ROUND(CW196*I196,7)</f>
        <v>0</v>
      </c>
      <c r="W196" s="2">
        <f t="shared" si="138"/>
        <v>0</v>
      </c>
      <c r="X196" s="2">
        <f t="shared" si="139"/>
        <v>0</v>
      </c>
      <c r="Y196" s="2">
        <f t="shared" si="140"/>
        <v>0</v>
      </c>
      <c r="Z196" s="2"/>
      <c r="AA196" s="2">
        <v>94104265</v>
      </c>
      <c r="AB196" s="2">
        <f t="shared" si="141"/>
        <v>87665.56</v>
      </c>
      <c r="AC196" s="2">
        <f>ROUND((ES196),6)</f>
        <v>87665.56</v>
      </c>
      <c r="AD196" s="2">
        <f>ROUND((((ET196)-(EU196))+AE196),6)</f>
        <v>0</v>
      </c>
      <c r="AE196" s="2">
        <f>ROUND((EU196),6)</f>
        <v>0</v>
      </c>
      <c r="AF196" s="2">
        <f>ROUND((EV196),6)</f>
        <v>0</v>
      </c>
      <c r="AG196" s="2">
        <f t="shared" si="142"/>
        <v>0</v>
      </c>
      <c r="AH196" s="2">
        <f>(EW196)</f>
        <v>0</v>
      </c>
      <c r="AI196" s="2">
        <f>(EX196)</f>
        <v>0</v>
      </c>
      <c r="AJ196" s="2">
        <f t="shared" si="143"/>
        <v>0</v>
      </c>
      <c r="AK196" s="2">
        <v>87665.56</v>
      </c>
      <c r="AL196" s="2">
        <v>87665.56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90</v>
      </c>
      <c r="AU196" s="2">
        <v>46</v>
      </c>
      <c r="AV196" s="2">
        <v>1</v>
      </c>
      <c r="AW196" s="2">
        <v>1</v>
      </c>
      <c r="AX196" s="2"/>
      <c r="AY196" s="2"/>
      <c r="AZ196" s="2">
        <v>1</v>
      </c>
      <c r="BA196" s="2">
        <v>1</v>
      </c>
      <c r="BB196" s="2">
        <v>1</v>
      </c>
      <c r="BC196" s="2">
        <v>1.75</v>
      </c>
      <c r="BD196" s="2" t="s">
        <v>3</v>
      </c>
      <c r="BE196" s="2" t="s">
        <v>3</v>
      </c>
      <c r="BF196" s="2" t="s">
        <v>3</v>
      </c>
      <c r="BG196" s="2" t="s">
        <v>3</v>
      </c>
      <c r="BH196" s="2">
        <v>3</v>
      </c>
      <c r="BI196" s="2">
        <v>1</v>
      </c>
      <c r="BJ196" s="2" t="s">
        <v>233</v>
      </c>
      <c r="BK196" s="2"/>
      <c r="BL196" s="2"/>
      <c r="BM196" s="2">
        <v>62001</v>
      </c>
      <c r="BN196" s="2">
        <v>0</v>
      </c>
      <c r="BO196" s="2" t="s">
        <v>231</v>
      </c>
      <c r="BP196" s="2">
        <v>1</v>
      </c>
      <c r="BQ196" s="2">
        <v>6</v>
      </c>
      <c r="BR196" s="2">
        <v>0</v>
      </c>
      <c r="BS196" s="2">
        <v>1</v>
      </c>
      <c r="BT196" s="2">
        <v>1</v>
      </c>
      <c r="BU196" s="2">
        <v>1</v>
      </c>
      <c r="BV196" s="2">
        <v>1</v>
      </c>
      <c r="BW196" s="2">
        <v>1</v>
      </c>
      <c r="BX196" s="2">
        <v>1</v>
      </c>
      <c r="BY196" s="2" t="s">
        <v>3</v>
      </c>
      <c r="BZ196" s="2">
        <v>90</v>
      </c>
      <c r="CA196" s="2">
        <v>46</v>
      </c>
      <c r="CB196" s="2" t="s">
        <v>3</v>
      </c>
      <c r="CC196" s="2"/>
      <c r="CD196" s="2"/>
      <c r="CE196" s="2">
        <v>0</v>
      </c>
      <c r="CF196" s="2">
        <v>0</v>
      </c>
      <c r="CG196" s="2">
        <v>0</v>
      </c>
      <c r="CH196" s="2"/>
      <c r="CI196" s="2"/>
      <c r="CJ196" s="2"/>
      <c r="CK196" s="2"/>
      <c r="CL196" s="2"/>
      <c r="CM196" s="2">
        <v>0</v>
      </c>
      <c r="CN196" s="2" t="s">
        <v>3</v>
      </c>
      <c r="CO196" s="2">
        <v>0</v>
      </c>
      <c r="CP196" s="2">
        <f t="shared" si="144"/>
        <v>7879.3</v>
      </c>
      <c r="CQ196" s="2">
        <f>ROUND(AL196*BC196,2)</f>
        <v>153414.73000000001</v>
      </c>
      <c r="CR196" s="2">
        <f>ROUND(AM196*BB196,2)</f>
        <v>0</v>
      </c>
      <c r="CS196" s="2">
        <f>ROUND(AN196*BS196,2)</f>
        <v>0</v>
      </c>
      <c r="CT196" s="2">
        <f>ROUND(AO196*BA196,2)</f>
        <v>0</v>
      </c>
      <c r="CU196" s="2">
        <f t="shared" si="145"/>
        <v>0</v>
      </c>
      <c r="CV196" s="2">
        <f>AH196</f>
        <v>0</v>
      </c>
      <c r="CW196" s="2">
        <f>AI196</f>
        <v>0</v>
      </c>
      <c r="CX196" s="2">
        <f t="shared" si="146"/>
        <v>0</v>
      </c>
      <c r="CY196" s="2">
        <f t="shared" si="147"/>
        <v>0</v>
      </c>
      <c r="CZ196" s="2">
        <f t="shared" si="148"/>
        <v>0</v>
      </c>
      <c r="DA196" s="2"/>
      <c r="DB196" s="2"/>
      <c r="DC196" s="2" t="s">
        <v>3</v>
      </c>
      <c r="DD196" s="2" t="s">
        <v>3</v>
      </c>
      <c r="DE196" s="2" t="s">
        <v>3</v>
      </c>
      <c r="DF196" s="2" t="s">
        <v>3</v>
      </c>
      <c r="DG196" s="2" t="s">
        <v>3</v>
      </c>
      <c r="DH196" s="2" t="s">
        <v>3</v>
      </c>
      <c r="DI196" s="2" t="s">
        <v>3</v>
      </c>
      <c r="DJ196" s="2" t="s">
        <v>3</v>
      </c>
      <c r="DK196" s="2" t="s">
        <v>3</v>
      </c>
      <c r="DL196" s="2" t="s">
        <v>3</v>
      </c>
      <c r="DM196" s="2" t="s">
        <v>3</v>
      </c>
      <c r="DN196" s="2">
        <v>0</v>
      </c>
      <c r="DO196" s="2">
        <v>0</v>
      </c>
      <c r="DP196" s="2">
        <v>1</v>
      </c>
      <c r="DQ196" s="2">
        <v>1</v>
      </c>
      <c r="DR196" s="2"/>
      <c r="DS196" s="2"/>
      <c r="DT196" s="2"/>
      <c r="DU196" s="2">
        <v>1009</v>
      </c>
      <c r="DV196" s="2" t="s">
        <v>30</v>
      </c>
      <c r="DW196" s="2" t="s">
        <v>30</v>
      </c>
      <c r="DX196" s="2">
        <v>1000</v>
      </c>
      <c r="DY196" s="2"/>
      <c r="DZ196" s="2" t="s">
        <v>3</v>
      </c>
      <c r="EA196" s="2" t="s">
        <v>3</v>
      </c>
      <c r="EB196" s="2" t="s">
        <v>3</v>
      </c>
      <c r="EC196" s="2" t="s">
        <v>3</v>
      </c>
      <c r="ED196" s="2"/>
      <c r="EE196" s="2">
        <v>89977076</v>
      </c>
      <c r="EF196" s="2">
        <v>6</v>
      </c>
      <c r="EG196" s="2" t="s">
        <v>22</v>
      </c>
      <c r="EH196" s="2">
        <v>96</v>
      </c>
      <c r="EI196" s="2" t="s">
        <v>121</v>
      </c>
      <c r="EJ196" s="2">
        <v>1</v>
      </c>
      <c r="EK196" s="2">
        <v>62001</v>
      </c>
      <c r="EL196" s="2" t="s">
        <v>121</v>
      </c>
      <c r="EM196" s="2" t="s">
        <v>122</v>
      </c>
      <c r="EN196" s="2"/>
      <c r="EO196" s="2" t="s">
        <v>3</v>
      </c>
      <c r="EP196" s="2"/>
      <c r="EQ196" s="2">
        <v>0</v>
      </c>
      <c r="ER196" s="2">
        <v>87665.56</v>
      </c>
      <c r="ES196" s="2">
        <v>87665.56</v>
      </c>
      <c r="ET196" s="2">
        <v>0</v>
      </c>
      <c r="EU196" s="2">
        <v>0</v>
      </c>
      <c r="EV196" s="2">
        <v>0</v>
      </c>
      <c r="EW196" s="2">
        <v>0</v>
      </c>
      <c r="EX196" s="2">
        <v>0</v>
      </c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>
        <v>0</v>
      </c>
      <c r="FR196" s="2">
        <v>0</v>
      </c>
      <c r="FS196" s="2">
        <v>0</v>
      </c>
      <c r="FT196" s="2"/>
      <c r="FU196" s="2"/>
      <c r="FV196" s="2"/>
      <c r="FW196" s="2"/>
      <c r="FX196" s="2">
        <v>90</v>
      </c>
      <c r="FY196" s="2">
        <v>46</v>
      </c>
      <c r="FZ196" s="2"/>
      <c r="GA196" s="2" t="s">
        <v>3</v>
      </c>
      <c r="GB196" s="2"/>
      <c r="GC196" s="2"/>
      <c r="GD196" s="2">
        <v>1</v>
      </c>
      <c r="GE196" s="2"/>
      <c r="GF196" s="2">
        <v>88817008</v>
      </c>
      <c r="GG196" s="2">
        <v>2</v>
      </c>
      <c r="GH196" s="2">
        <v>1</v>
      </c>
      <c r="GI196" s="2">
        <v>2</v>
      </c>
      <c r="GJ196" s="2">
        <v>0</v>
      </c>
      <c r="GK196" s="2">
        <v>0</v>
      </c>
      <c r="GL196" s="2">
        <f t="shared" si="149"/>
        <v>0</v>
      </c>
      <c r="GM196" s="2">
        <f t="shared" si="150"/>
        <v>7879.3</v>
      </c>
      <c r="GN196" s="2">
        <f t="shared" si="151"/>
        <v>7879.3</v>
      </c>
      <c r="GO196" s="2">
        <f t="shared" si="152"/>
        <v>0</v>
      </c>
      <c r="GP196" s="2">
        <f t="shared" si="153"/>
        <v>0</v>
      </c>
      <c r="GQ196" s="2"/>
      <c r="GR196" s="2">
        <v>0</v>
      </c>
      <c r="GS196" s="2">
        <v>3</v>
      </c>
      <c r="GT196" s="2">
        <v>0</v>
      </c>
      <c r="GU196" s="2" t="s">
        <v>3</v>
      </c>
      <c r="GV196" s="2">
        <f t="shared" si="154"/>
        <v>0</v>
      </c>
      <c r="GW196" s="2">
        <v>1</v>
      </c>
      <c r="GX196" s="2">
        <f t="shared" si="155"/>
        <v>0</v>
      </c>
      <c r="GY196" s="2"/>
      <c r="GZ196" s="2"/>
      <c r="HA196" s="2">
        <v>0</v>
      </c>
      <c r="HB196" s="2">
        <v>0</v>
      </c>
      <c r="HC196" s="2">
        <f t="shared" si="156"/>
        <v>0</v>
      </c>
      <c r="HD196" s="2"/>
      <c r="HE196" s="2" t="s">
        <v>3</v>
      </c>
      <c r="HF196" s="2" t="s">
        <v>3</v>
      </c>
      <c r="HG196" s="2"/>
      <c r="HH196" s="2"/>
      <c r="HI196" s="2"/>
      <c r="HJ196" s="2"/>
      <c r="HK196" s="2"/>
      <c r="HL196" s="2"/>
      <c r="HM196" s="2" t="s">
        <v>3</v>
      </c>
      <c r="HN196" s="2" t="s">
        <v>123</v>
      </c>
      <c r="HO196" s="2" t="s">
        <v>124</v>
      </c>
      <c r="HP196" s="2" t="s">
        <v>121</v>
      </c>
      <c r="HQ196" s="2" t="s">
        <v>121</v>
      </c>
      <c r="HR196" s="2"/>
      <c r="HS196" s="2">
        <v>0</v>
      </c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>
        <v>0</v>
      </c>
      <c r="IL196" s="2"/>
      <c r="IM196" s="2"/>
      <c r="IN196" s="2"/>
      <c r="IO196" s="2"/>
      <c r="IP196" s="2"/>
      <c r="IQ196" s="2"/>
      <c r="IR196" s="2"/>
      <c r="IS196" s="2"/>
      <c r="IT196" s="2"/>
      <c r="IU196" s="2"/>
    </row>
    <row r="197" spans="1:255" x14ac:dyDescent="0.2">
      <c r="A197" s="2">
        <v>17</v>
      </c>
      <c r="B197" s="2">
        <v>1</v>
      </c>
      <c r="C197" s="2">
        <f>ROW(SmtRes!A198)</f>
        <v>198</v>
      </c>
      <c r="D197" s="2">
        <f>ROW(EtalonRes!A198)</f>
        <v>198</v>
      </c>
      <c r="E197" s="2" t="s">
        <v>269</v>
      </c>
      <c r="F197" s="2" t="s">
        <v>237</v>
      </c>
      <c r="G197" s="2" t="s">
        <v>238</v>
      </c>
      <c r="H197" s="2" t="s">
        <v>101</v>
      </c>
      <c r="I197" s="2">
        <f>ROUND(10/100,7)</f>
        <v>0.1</v>
      </c>
      <c r="J197" s="2">
        <v>0</v>
      </c>
      <c r="K197" s="2">
        <f>ROUND(10/100,7)</f>
        <v>0.1</v>
      </c>
      <c r="L197" s="2"/>
      <c r="M197" s="2"/>
      <c r="N197" s="2"/>
      <c r="O197" s="2">
        <f t="shared" si="136"/>
        <v>957.24</v>
      </c>
      <c r="P197" s="2">
        <f>SUMIF(SmtRes!AQ195:'SmtRes'!AQ198,"=1",SmtRes!DF195:'SmtRes'!DF198)</f>
        <v>0</v>
      </c>
      <c r="Q197" s="2">
        <f>SUMIF(SmtRes!AQ195:'SmtRes'!AQ198,"=1",SmtRes!DG195:'SmtRes'!DG198)</f>
        <v>0.08</v>
      </c>
      <c r="R197" s="2">
        <f>SUMIF(SmtRes!AQ195:'SmtRes'!AQ198,"=1",SmtRes!DH195:'SmtRes'!DH198)</f>
        <v>0.91</v>
      </c>
      <c r="S197" s="2">
        <f>SUMIF(SmtRes!AQ195:'SmtRes'!AQ198,"=1",SmtRes!DI195:'SmtRes'!DI198)</f>
        <v>956.25</v>
      </c>
      <c r="T197" s="2">
        <f t="shared" si="137"/>
        <v>0</v>
      </c>
      <c r="U197" s="2">
        <f>SUMIF(SmtRes!AQ195:'SmtRes'!AQ198,"=1",SmtRes!CV195:'SmtRes'!CV198)</f>
        <v>1.6080000000000001</v>
      </c>
      <c r="V197" s="2">
        <f>SUMIF(SmtRes!AQ195:'SmtRes'!AQ198,"=1",SmtRes!CW195:'SmtRes'!CW198)</f>
        <v>1.4E-3</v>
      </c>
      <c r="W197" s="2">
        <f t="shared" si="138"/>
        <v>0</v>
      </c>
      <c r="X197" s="2">
        <f t="shared" si="139"/>
        <v>851.87</v>
      </c>
      <c r="Y197" s="2">
        <f t="shared" si="140"/>
        <v>469.01</v>
      </c>
      <c r="Z197" s="2"/>
      <c r="AA197" s="2">
        <v>94104265</v>
      </c>
      <c r="AB197" s="2">
        <f t="shared" si="141"/>
        <v>9562.9768800000002</v>
      </c>
      <c r="AC197" s="2">
        <f>ROUND((0),6)</f>
        <v>0</v>
      </c>
      <c r="AD197" s="2">
        <f>ROUND((((SUM(SmtRes!BR195:'SmtRes'!BR198))-(SUM(SmtRes!BS195:'SmtRes'!BS198)))+AE197),6)</f>
        <v>0.52248000000000006</v>
      </c>
      <c r="AE197" s="2">
        <f>ROUND((SUM(SmtRes!BS195:'SmtRes'!BS198)),6)</f>
        <v>9.0893599999999992</v>
      </c>
      <c r="AF197" s="2">
        <f>ROUND((SUM(SmtRes!BT195:'SmtRes'!BT198)),6)</f>
        <v>9562.4544000000005</v>
      </c>
      <c r="AG197" s="2">
        <f t="shared" si="142"/>
        <v>0</v>
      </c>
      <c r="AH197" s="2">
        <f>(SUM(SmtRes!BU195:'SmtRes'!BU198))</f>
        <v>16.079999999999998</v>
      </c>
      <c r="AI197" s="2">
        <f>(SUM(SmtRes!BV195:'SmtRes'!BV198))</f>
        <v>1.4E-2</v>
      </c>
      <c r="AJ197" s="2">
        <f t="shared" si="143"/>
        <v>0</v>
      </c>
      <c r="AK197" s="2">
        <v>9572.0662399999983</v>
      </c>
      <c r="AL197" s="2">
        <v>0</v>
      </c>
      <c r="AM197" s="2">
        <v>0.52248000000000006</v>
      </c>
      <c r="AN197" s="2">
        <v>9.089360000000001</v>
      </c>
      <c r="AO197" s="2">
        <v>9562.4543999999987</v>
      </c>
      <c r="AP197" s="2">
        <v>0</v>
      </c>
      <c r="AQ197" s="2">
        <v>16.079999999999998</v>
      </c>
      <c r="AR197" s="2">
        <v>1.4E-2</v>
      </c>
      <c r="AS197" s="2">
        <v>0</v>
      </c>
      <c r="AT197" s="2">
        <v>89</v>
      </c>
      <c r="AU197" s="2">
        <v>49</v>
      </c>
      <c r="AV197" s="2">
        <v>1</v>
      </c>
      <c r="AW197" s="2">
        <v>1</v>
      </c>
      <c r="AX197" s="2"/>
      <c r="AY197" s="2"/>
      <c r="AZ197" s="2">
        <v>1</v>
      </c>
      <c r="BA197" s="2">
        <v>1</v>
      </c>
      <c r="BB197" s="2">
        <v>1</v>
      </c>
      <c r="BC197" s="2">
        <v>1</v>
      </c>
      <c r="BD197" s="2" t="s">
        <v>3</v>
      </c>
      <c r="BE197" s="2" t="s">
        <v>3</v>
      </c>
      <c r="BF197" s="2" t="s">
        <v>3</v>
      </c>
      <c r="BG197" s="2" t="s">
        <v>3</v>
      </c>
      <c r="BH197" s="2">
        <v>0</v>
      </c>
      <c r="BI197" s="2">
        <v>1</v>
      </c>
      <c r="BJ197" s="2" t="s">
        <v>239</v>
      </c>
      <c r="BK197" s="2"/>
      <c r="BL197" s="2"/>
      <c r="BM197" s="2">
        <v>57001</v>
      </c>
      <c r="BN197" s="2">
        <v>0</v>
      </c>
      <c r="BO197" s="2" t="s">
        <v>3</v>
      </c>
      <c r="BP197" s="2">
        <v>0</v>
      </c>
      <c r="BQ197" s="2">
        <v>6</v>
      </c>
      <c r="BR197" s="2">
        <v>0</v>
      </c>
      <c r="BS197" s="2">
        <v>1</v>
      </c>
      <c r="BT197" s="2">
        <v>1</v>
      </c>
      <c r="BU197" s="2">
        <v>1</v>
      </c>
      <c r="BV197" s="2">
        <v>1</v>
      </c>
      <c r="BW197" s="2">
        <v>1</v>
      </c>
      <c r="BX197" s="2">
        <v>1</v>
      </c>
      <c r="BY197" s="2" t="s">
        <v>3</v>
      </c>
      <c r="BZ197" s="2">
        <v>89</v>
      </c>
      <c r="CA197" s="2">
        <v>49</v>
      </c>
      <c r="CB197" s="2" t="s">
        <v>3</v>
      </c>
      <c r="CC197" s="2"/>
      <c r="CD197" s="2"/>
      <c r="CE197" s="2">
        <v>0</v>
      </c>
      <c r="CF197" s="2">
        <v>0</v>
      </c>
      <c r="CG197" s="2">
        <v>0</v>
      </c>
      <c r="CH197" s="2"/>
      <c r="CI197" s="2"/>
      <c r="CJ197" s="2"/>
      <c r="CK197" s="2"/>
      <c r="CL197" s="2"/>
      <c r="CM197" s="2">
        <v>0</v>
      </c>
      <c r="CN197" s="2" t="s">
        <v>3</v>
      </c>
      <c r="CO197" s="2">
        <v>0</v>
      </c>
      <c r="CP197" s="2">
        <f t="shared" si="144"/>
        <v>957.24</v>
      </c>
      <c r="CQ197" s="2">
        <f>SUMIF(SmtRes!AQ195:'SmtRes'!AQ198,"=1",SmtRes!AA195:'SmtRes'!AA198)</f>
        <v>0</v>
      </c>
      <c r="CR197" s="2">
        <f>SUMIF(SmtRes!AQ195:'SmtRes'!AQ198,"=1",SmtRes!AB195:'SmtRes'!AB198)</f>
        <v>58.59</v>
      </c>
      <c r="CS197" s="2">
        <f>SUMIF(SmtRes!AQ195:'SmtRes'!AQ198,"=1",SmtRes!AC195:'SmtRes'!AC198)</f>
        <v>649.24</v>
      </c>
      <c r="CT197" s="2">
        <f>SUMIF(SmtRes!AQ195:'SmtRes'!AQ198,"=1",SmtRes!AD195:'SmtRes'!AD198)</f>
        <v>594.67999999999995</v>
      </c>
      <c r="CU197" s="2">
        <f t="shared" si="145"/>
        <v>0</v>
      </c>
      <c r="CV197" s="2">
        <f>SUMIF(SmtRes!AQ195:'SmtRes'!AQ198,"=1",SmtRes!BU195:'SmtRes'!BU198)</f>
        <v>16.079999999999998</v>
      </c>
      <c r="CW197" s="2">
        <f>SUMIF(SmtRes!AQ195:'SmtRes'!AQ198,"=1",SmtRes!BV195:'SmtRes'!BV198)</f>
        <v>1.4E-2</v>
      </c>
      <c r="CX197" s="2">
        <f t="shared" si="146"/>
        <v>0</v>
      </c>
      <c r="CY197" s="2">
        <f t="shared" si="147"/>
        <v>851.87239999999986</v>
      </c>
      <c r="CZ197" s="2">
        <f t="shared" si="148"/>
        <v>469.00839999999994</v>
      </c>
      <c r="DA197" s="2"/>
      <c r="DB197" s="2"/>
      <c r="DC197" s="2" t="s">
        <v>3</v>
      </c>
      <c r="DD197" s="2" t="s">
        <v>3</v>
      </c>
      <c r="DE197" s="2" t="s">
        <v>3</v>
      </c>
      <c r="DF197" s="2" t="s">
        <v>3</v>
      </c>
      <c r="DG197" s="2" t="s">
        <v>3</v>
      </c>
      <c r="DH197" s="2" t="s">
        <v>3</v>
      </c>
      <c r="DI197" s="2" t="s">
        <v>3</v>
      </c>
      <c r="DJ197" s="2" t="s">
        <v>3</v>
      </c>
      <c r="DK197" s="2" t="s">
        <v>3</v>
      </c>
      <c r="DL197" s="2" t="s">
        <v>3</v>
      </c>
      <c r="DM197" s="2" t="s">
        <v>3</v>
      </c>
      <c r="DN197" s="2">
        <v>0</v>
      </c>
      <c r="DO197" s="2">
        <v>0</v>
      </c>
      <c r="DP197" s="2">
        <v>1</v>
      </c>
      <c r="DQ197" s="2">
        <v>1</v>
      </c>
      <c r="DR197" s="2"/>
      <c r="DS197" s="2"/>
      <c r="DT197" s="2"/>
      <c r="DU197" s="2">
        <v>1003</v>
      </c>
      <c r="DV197" s="2" t="s">
        <v>101</v>
      </c>
      <c r="DW197" s="2" t="s">
        <v>101</v>
      </c>
      <c r="DX197" s="2">
        <v>100</v>
      </c>
      <c r="DY197" s="2"/>
      <c r="DZ197" s="2" t="s">
        <v>3</v>
      </c>
      <c r="EA197" s="2" t="s">
        <v>3</v>
      </c>
      <c r="EB197" s="2" t="s">
        <v>3</v>
      </c>
      <c r="EC197" s="2" t="s">
        <v>3</v>
      </c>
      <c r="ED197" s="2"/>
      <c r="EE197" s="2">
        <v>89977071</v>
      </c>
      <c r="EF197" s="2">
        <v>6</v>
      </c>
      <c r="EG197" s="2" t="s">
        <v>22</v>
      </c>
      <c r="EH197" s="2">
        <v>11</v>
      </c>
      <c r="EI197" s="2" t="s">
        <v>23</v>
      </c>
      <c r="EJ197" s="2">
        <v>1</v>
      </c>
      <c r="EK197" s="2">
        <v>57001</v>
      </c>
      <c r="EL197" s="2" t="s">
        <v>23</v>
      </c>
      <c r="EM197" s="2" t="s">
        <v>24</v>
      </c>
      <c r="EN197" s="2"/>
      <c r="EO197" s="2" t="s">
        <v>3</v>
      </c>
      <c r="EP197" s="2"/>
      <c r="EQ197" s="2">
        <v>0</v>
      </c>
      <c r="ER197" s="2">
        <v>0</v>
      </c>
      <c r="ES197" s="2">
        <v>0</v>
      </c>
      <c r="ET197" s="2">
        <v>0</v>
      </c>
      <c r="EU197" s="2">
        <v>0</v>
      </c>
      <c r="EV197" s="2">
        <v>0</v>
      </c>
      <c r="EW197" s="2">
        <v>16.079999999999998</v>
      </c>
      <c r="EX197" s="2">
        <v>0.01</v>
      </c>
      <c r="EY197" s="2">
        <v>0</v>
      </c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>
        <v>0</v>
      </c>
      <c r="FR197" s="2">
        <v>0</v>
      </c>
      <c r="FS197" s="2">
        <v>0</v>
      </c>
      <c r="FT197" s="2"/>
      <c r="FU197" s="2"/>
      <c r="FV197" s="2"/>
      <c r="FW197" s="2"/>
      <c r="FX197" s="2">
        <v>89</v>
      </c>
      <c r="FY197" s="2">
        <v>49</v>
      </c>
      <c r="FZ197" s="2"/>
      <c r="GA197" s="2" t="s">
        <v>3</v>
      </c>
      <c r="GB197" s="2"/>
      <c r="GC197" s="2"/>
      <c r="GD197" s="2">
        <v>1</v>
      </c>
      <c r="GE197" s="2"/>
      <c r="GF197" s="2">
        <v>326205097</v>
      </c>
      <c r="GG197" s="2">
        <v>2</v>
      </c>
      <c r="GH197" s="2">
        <v>1</v>
      </c>
      <c r="GI197" s="2">
        <v>-2</v>
      </c>
      <c r="GJ197" s="2">
        <v>0</v>
      </c>
      <c r="GK197" s="2">
        <v>0</v>
      </c>
      <c r="GL197" s="2">
        <f t="shared" si="149"/>
        <v>0</v>
      </c>
      <c r="GM197" s="2">
        <f t="shared" si="150"/>
        <v>2278.12</v>
      </c>
      <c r="GN197" s="2">
        <f t="shared" si="151"/>
        <v>2278.12</v>
      </c>
      <c r="GO197" s="2">
        <f t="shared" si="152"/>
        <v>0</v>
      </c>
      <c r="GP197" s="2">
        <f t="shared" si="153"/>
        <v>0</v>
      </c>
      <c r="GQ197" s="2"/>
      <c r="GR197" s="2">
        <v>0</v>
      </c>
      <c r="GS197" s="2">
        <v>3</v>
      </c>
      <c r="GT197" s="2">
        <v>0</v>
      </c>
      <c r="GU197" s="2" t="s">
        <v>3</v>
      </c>
      <c r="GV197" s="2">
        <f t="shared" si="154"/>
        <v>0</v>
      </c>
      <c r="GW197" s="2">
        <v>1</v>
      </c>
      <c r="GX197" s="2">
        <f t="shared" si="155"/>
        <v>0</v>
      </c>
      <c r="GY197" s="2"/>
      <c r="GZ197" s="2"/>
      <c r="HA197" s="2">
        <v>0</v>
      </c>
      <c r="HB197" s="2">
        <v>0</v>
      </c>
      <c r="HC197" s="2">
        <f t="shared" si="156"/>
        <v>0</v>
      </c>
      <c r="HD197" s="2"/>
      <c r="HE197" s="2" t="s">
        <v>3</v>
      </c>
      <c r="HF197" s="2" t="s">
        <v>3</v>
      </c>
      <c r="HG197" s="2"/>
      <c r="HH197" s="2"/>
      <c r="HI197" s="2"/>
      <c r="HJ197" s="2"/>
      <c r="HK197" s="2"/>
      <c r="HL197" s="2"/>
      <c r="HM197" s="2" t="s">
        <v>3</v>
      </c>
      <c r="HN197" s="2" t="s">
        <v>25</v>
      </c>
      <c r="HO197" s="2" t="s">
        <v>26</v>
      </c>
      <c r="HP197" s="2" t="s">
        <v>23</v>
      </c>
      <c r="HQ197" s="2" t="s">
        <v>23</v>
      </c>
      <c r="HR197" s="2"/>
      <c r="HS197" s="2">
        <v>0</v>
      </c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>
        <v>0</v>
      </c>
      <c r="IL197" s="2"/>
      <c r="IM197" s="2"/>
      <c r="IN197" s="2"/>
      <c r="IO197" s="2"/>
      <c r="IP197" s="2"/>
      <c r="IQ197" s="2"/>
      <c r="IR197" s="2"/>
      <c r="IS197" s="2"/>
      <c r="IT197" s="2"/>
      <c r="IU197" s="2"/>
    </row>
    <row r="198" spans="1:255" x14ac:dyDescent="0.2">
      <c r="A198" s="2">
        <v>18</v>
      </c>
      <c r="B198" s="2">
        <v>1</v>
      </c>
      <c r="C198" s="2">
        <v>198</v>
      </c>
      <c r="D198" s="2"/>
      <c r="E198" s="2" t="s">
        <v>270</v>
      </c>
      <c r="F198" s="2" t="s">
        <v>28</v>
      </c>
      <c r="G198" s="2" t="s">
        <v>29</v>
      </c>
      <c r="H198" s="2" t="s">
        <v>30</v>
      </c>
      <c r="I198" s="2">
        <f>I197*J198</f>
        <v>1.2E-2</v>
      </c>
      <c r="J198" s="2">
        <v>0.12</v>
      </c>
      <c r="K198" s="2">
        <v>0.12</v>
      </c>
      <c r="L198" s="2"/>
      <c r="M198" s="2"/>
      <c r="N198" s="2"/>
      <c r="O198" s="2">
        <f t="shared" si="136"/>
        <v>0</v>
      </c>
      <c r="P198" s="2">
        <f>ROUND(CQ198*I198,2)</f>
        <v>0</v>
      </c>
      <c r="Q198" s="2">
        <f>ROUND(CR198*I198,2)</f>
        <v>0</v>
      </c>
      <c r="R198" s="2">
        <f>ROUND(CS198*I198,2)</f>
        <v>0</v>
      </c>
      <c r="S198" s="2">
        <f>ROUND(CT198*I198,2)</f>
        <v>0</v>
      </c>
      <c r="T198" s="2">
        <f t="shared" si="137"/>
        <v>0</v>
      </c>
      <c r="U198" s="2">
        <f>ROUND(CV198*I198,7)</f>
        <v>0</v>
      </c>
      <c r="V198" s="2">
        <f>ROUND(CW198*I198,7)</f>
        <v>0</v>
      </c>
      <c r="W198" s="2">
        <f t="shared" si="138"/>
        <v>0</v>
      </c>
      <c r="X198" s="2">
        <f t="shared" si="139"/>
        <v>0</v>
      </c>
      <c r="Y198" s="2">
        <f t="shared" si="140"/>
        <v>0</v>
      </c>
      <c r="Z198" s="2"/>
      <c r="AA198" s="2">
        <v>94104265</v>
      </c>
      <c r="AB198" s="2">
        <f t="shared" si="141"/>
        <v>0</v>
      </c>
      <c r="AC198" s="2">
        <f>ROUND((ES198),6)</f>
        <v>0</v>
      </c>
      <c r="AD198" s="2">
        <f>ROUND((((ET198)-(EU198))+AE198),6)</f>
        <v>0</v>
      </c>
      <c r="AE198" s="2">
        <f>ROUND((EU198),6)</f>
        <v>0</v>
      </c>
      <c r="AF198" s="2">
        <f>ROUND((EV198),6)</f>
        <v>0</v>
      </c>
      <c r="AG198" s="2">
        <f t="shared" si="142"/>
        <v>0</v>
      </c>
      <c r="AH198" s="2">
        <f>(EW198)</f>
        <v>0</v>
      </c>
      <c r="AI198" s="2">
        <f>(EX198)</f>
        <v>0</v>
      </c>
      <c r="AJ198" s="2">
        <f t="shared" si="143"/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89</v>
      </c>
      <c r="AU198" s="2">
        <v>49</v>
      </c>
      <c r="AV198" s="2">
        <v>1</v>
      </c>
      <c r="AW198" s="2">
        <v>1</v>
      </c>
      <c r="AX198" s="2"/>
      <c r="AY198" s="2"/>
      <c r="AZ198" s="2">
        <v>1</v>
      </c>
      <c r="BA198" s="2">
        <v>1</v>
      </c>
      <c r="BB198" s="2">
        <v>1</v>
      </c>
      <c r="BC198" s="2">
        <v>1</v>
      </c>
      <c r="BD198" s="2" t="s">
        <v>3</v>
      </c>
      <c r="BE198" s="2" t="s">
        <v>3</v>
      </c>
      <c r="BF198" s="2" t="s">
        <v>3</v>
      </c>
      <c r="BG198" s="2" t="s">
        <v>3</v>
      </c>
      <c r="BH198" s="2">
        <v>3</v>
      </c>
      <c r="BI198" s="2">
        <v>1</v>
      </c>
      <c r="BJ198" s="2" t="s">
        <v>3</v>
      </c>
      <c r="BK198" s="2"/>
      <c r="BL198" s="2"/>
      <c r="BM198" s="2">
        <v>57001</v>
      </c>
      <c r="BN198" s="2">
        <v>0</v>
      </c>
      <c r="BO198" s="2" t="s">
        <v>3</v>
      </c>
      <c r="BP198" s="2">
        <v>0</v>
      </c>
      <c r="BQ198" s="2">
        <v>6</v>
      </c>
      <c r="BR198" s="2">
        <v>0</v>
      </c>
      <c r="BS198" s="2">
        <v>1</v>
      </c>
      <c r="BT198" s="2">
        <v>1</v>
      </c>
      <c r="BU198" s="2">
        <v>1</v>
      </c>
      <c r="BV198" s="2">
        <v>1</v>
      </c>
      <c r="BW198" s="2">
        <v>1</v>
      </c>
      <c r="BX198" s="2">
        <v>1</v>
      </c>
      <c r="BY198" s="2" t="s">
        <v>3</v>
      </c>
      <c r="BZ198" s="2">
        <v>89</v>
      </c>
      <c r="CA198" s="2">
        <v>49</v>
      </c>
      <c r="CB198" s="2" t="s">
        <v>3</v>
      </c>
      <c r="CC198" s="2"/>
      <c r="CD198" s="2"/>
      <c r="CE198" s="2">
        <v>0</v>
      </c>
      <c r="CF198" s="2">
        <v>0</v>
      </c>
      <c r="CG198" s="2">
        <v>0</v>
      </c>
      <c r="CH198" s="2"/>
      <c r="CI198" s="2"/>
      <c r="CJ198" s="2"/>
      <c r="CK198" s="2"/>
      <c r="CL198" s="2"/>
      <c r="CM198" s="2">
        <v>0</v>
      </c>
      <c r="CN198" s="2" t="s">
        <v>3</v>
      </c>
      <c r="CO198" s="2">
        <v>0</v>
      </c>
      <c r="CP198" s="2">
        <f t="shared" si="144"/>
        <v>0</v>
      </c>
      <c r="CQ198" s="2">
        <f>ROUND(AL198*BC198,2)</f>
        <v>0</v>
      </c>
      <c r="CR198" s="2">
        <f>ROUND(AM198*BB198,2)</f>
        <v>0</v>
      </c>
      <c r="CS198" s="2">
        <f>ROUND(AN198*BS198,2)</f>
        <v>0</v>
      </c>
      <c r="CT198" s="2">
        <f>ROUND(AO198*BA198,2)</f>
        <v>0</v>
      </c>
      <c r="CU198" s="2">
        <f t="shared" si="145"/>
        <v>0</v>
      </c>
      <c r="CV198" s="2">
        <f>AH198</f>
        <v>0</v>
      </c>
      <c r="CW198" s="2">
        <f>AI198</f>
        <v>0</v>
      </c>
      <c r="CX198" s="2">
        <f t="shared" si="146"/>
        <v>0</v>
      </c>
      <c r="CY198" s="2">
        <f t="shared" si="147"/>
        <v>0</v>
      </c>
      <c r="CZ198" s="2">
        <f t="shared" si="148"/>
        <v>0</v>
      </c>
      <c r="DA198" s="2"/>
      <c r="DB198" s="2"/>
      <c r="DC198" s="2" t="s">
        <v>3</v>
      </c>
      <c r="DD198" s="2" t="s">
        <v>3</v>
      </c>
      <c r="DE198" s="2" t="s">
        <v>3</v>
      </c>
      <c r="DF198" s="2" t="s">
        <v>3</v>
      </c>
      <c r="DG198" s="2" t="s">
        <v>3</v>
      </c>
      <c r="DH198" s="2" t="s">
        <v>3</v>
      </c>
      <c r="DI198" s="2" t="s">
        <v>3</v>
      </c>
      <c r="DJ198" s="2" t="s">
        <v>3</v>
      </c>
      <c r="DK198" s="2" t="s">
        <v>3</v>
      </c>
      <c r="DL198" s="2" t="s">
        <v>3</v>
      </c>
      <c r="DM198" s="2" t="s">
        <v>3</v>
      </c>
      <c r="DN198" s="2">
        <v>0</v>
      </c>
      <c r="DO198" s="2">
        <v>0</v>
      </c>
      <c r="DP198" s="2">
        <v>1</v>
      </c>
      <c r="DQ198" s="2">
        <v>1</v>
      </c>
      <c r="DR198" s="2"/>
      <c r="DS198" s="2"/>
      <c r="DT198" s="2"/>
      <c r="DU198" s="2">
        <v>1009</v>
      </c>
      <c r="DV198" s="2" t="s">
        <v>30</v>
      </c>
      <c r="DW198" s="2" t="s">
        <v>30</v>
      </c>
      <c r="DX198" s="2">
        <v>1000</v>
      </c>
      <c r="DY198" s="2"/>
      <c r="DZ198" s="2" t="s">
        <v>3</v>
      </c>
      <c r="EA198" s="2" t="s">
        <v>3</v>
      </c>
      <c r="EB198" s="2" t="s">
        <v>3</v>
      </c>
      <c r="EC198" s="2" t="s">
        <v>3</v>
      </c>
      <c r="ED198" s="2"/>
      <c r="EE198" s="2">
        <v>89977071</v>
      </c>
      <c r="EF198" s="2">
        <v>6</v>
      </c>
      <c r="EG198" s="2" t="s">
        <v>22</v>
      </c>
      <c r="EH198" s="2">
        <v>11</v>
      </c>
      <c r="EI198" s="2" t="s">
        <v>23</v>
      </c>
      <c r="EJ198" s="2">
        <v>1</v>
      </c>
      <c r="EK198" s="2">
        <v>57001</v>
      </c>
      <c r="EL198" s="2" t="s">
        <v>23</v>
      </c>
      <c r="EM198" s="2" t="s">
        <v>24</v>
      </c>
      <c r="EN198" s="2"/>
      <c r="EO198" s="2" t="s">
        <v>3</v>
      </c>
      <c r="EP198" s="2"/>
      <c r="EQ198" s="2">
        <v>0</v>
      </c>
      <c r="ER198" s="2">
        <v>0</v>
      </c>
      <c r="ES198" s="2">
        <v>0</v>
      </c>
      <c r="ET198" s="2">
        <v>0</v>
      </c>
      <c r="EU198" s="2">
        <v>0</v>
      </c>
      <c r="EV198" s="2">
        <v>0</v>
      </c>
      <c r="EW198" s="2">
        <v>0</v>
      </c>
      <c r="EX198" s="2">
        <v>0</v>
      </c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>
        <v>0</v>
      </c>
      <c r="FR198" s="2">
        <v>0</v>
      </c>
      <c r="FS198" s="2">
        <v>0</v>
      </c>
      <c r="FT198" s="2"/>
      <c r="FU198" s="2"/>
      <c r="FV198" s="2"/>
      <c r="FW198" s="2"/>
      <c r="FX198" s="2">
        <v>89</v>
      </c>
      <c r="FY198" s="2">
        <v>49</v>
      </c>
      <c r="FZ198" s="2"/>
      <c r="GA198" s="2" t="s">
        <v>3</v>
      </c>
      <c r="GB198" s="2"/>
      <c r="GC198" s="2"/>
      <c r="GD198" s="2">
        <v>1</v>
      </c>
      <c r="GE198" s="2"/>
      <c r="GF198" s="2">
        <v>2102561428</v>
      </c>
      <c r="GG198" s="2">
        <v>2</v>
      </c>
      <c r="GH198" s="2">
        <v>1</v>
      </c>
      <c r="GI198" s="2">
        <v>-2</v>
      </c>
      <c r="GJ198" s="2">
        <v>0</v>
      </c>
      <c r="GK198" s="2">
        <v>0</v>
      </c>
      <c r="GL198" s="2">
        <f t="shared" si="149"/>
        <v>0</v>
      </c>
      <c r="GM198" s="2">
        <f t="shared" si="150"/>
        <v>0</v>
      </c>
      <c r="GN198" s="2">
        <f t="shared" si="151"/>
        <v>0</v>
      </c>
      <c r="GO198" s="2">
        <f t="shared" si="152"/>
        <v>0</v>
      </c>
      <c r="GP198" s="2">
        <f t="shared" si="153"/>
        <v>0</v>
      </c>
      <c r="GQ198" s="2"/>
      <c r="GR198" s="2">
        <v>0</v>
      </c>
      <c r="GS198" s="2">
        <v>3</v>
      </c>
      <c r="GT198" s="2">
        <v>0</v>
      </c>
      <c r="GU198" s="2" t="s">
        <v>3</v>
      </c>
      <c r="GV198" s="2">
        <f t="shared" si="154"/>
        <v>0</v>
      </c>
      <c r="GW198" s="2">
        <v>1</v>
      </c>
      <c r="GX198" s="2">
        <f t="shared" si="155"/>
        <v>0</v>
      </c>
      <c r="GY198" s="2"/>
      <c r="GZ198" s="2"/>
      <c r="HA198" s="2">
        <v>0</v>
      </c>
      <c r="HB198" s="2">
        <v>0</v>
      </c>
      <c r="HC198" s="2">
        <f t="shared" si="156"/>
        <v>0</v>
      </c>
      <c r="HD198" s="2"/>
      <c r="HE198" s="2" t="s">
        <v>3</v>
      </c>
      <c r="HF198" s="2" t="s">
        <v>3</v>
      </c>
      <c r="HG198" s="2"/>
      <c r="HH198" s="2"/>
      <c r="HI198" s="2"/>
      <c r="HJ198" s="2"/>
      <c r="HK198" s="2"/>
      <c r="HL198" s="2"/>
      <c r="HM198" s="2" t="s">
        <v>3</v>
      </c>
      <c r="HN198" s="2" t="s">
        <v>25</v>
      </c>
      <c r="HO198" s="2" t="s">
        <v>26</v>
      </c>
      <c r="HP198" s="2" t="s">
        <v>23</v>
      </c>
      <c r="HQ198" s="2" t="s">
        <v>23</v>
      </c>
      <c r="HR198" s="2"/>
      <c r="HS198" s="2">
        <v>0</v>
      </c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>
        <v>0</v>
      </c>
      <c r="IL198" s="2"/>
      <c r="IM198" s="2"/>
      <c r="IN198" s="2"/>
      <c r="IO198" s="2"/>
      <c r="IP198" s="2"/>
      <c r="IQ198" s="2"/>
      <c r="IR198" s="2"/>
      <c r="IS198" s="2"/>
      <c r="IT198" s="2"/>
      <c r="IU198" s="2"/>
    </row>
    <row r="199" spans="1:255" ht="409.5" x14ac:dyDescent="0.2">
      <c r="A199" s="2">
        <v>17</v>
      </c>
      <c r="B199" s="2">
        <v>1</v>
      </c>
      <c r="C199" s="2">
        <f>ROW(SmtRes!A207)</f>
        <v>207</v>
      </c>
      <c r="D199" s="2">
        <f>ROW(EtalonRes!A207)</f>
        <v>207</v>
      </c>
      <c r="E199" s="2" t="s">
        <v>271</v>
      </c>
      <c r="F199" s="2" t="s">
        <v>257</v>
      </c>
      <c r="G199" s="2" t="s">
        <v>258</v>
      </c>
      <c r="H199" s="2" t="s">
        <v>101</v>
      </c>
      <c r="I199" s="2">
        <f>ROUND(10/100,7)</f>
        <v>0.1</v>
      </c>
      <c r="J199" s="2">
        <v>0</v>
      </c>
      <c r="K199" s="2">
        <f>ROUND(10/100,7)</f>
        <v>0.1</v>
      </c>
      <c r="L199" s="2"/>
      <c r="M199" s="2"/>
      <c r="N199" s="2"/>
      <c r="O199" s="2">
        <f t="shared" si="136"/>
        <v>2466.1</v>
      </c>
      <c r="P199" s="2">
        <f>SUMIF(SmtRes!AQ199:'SmtRes'!AQ207,"=1",SmtRes!DF199:'SmtRes'!DF207)</f>
        <v>0.11</v>
      </c>
      <c r="Q199" s="2">
        <f>SUMIF(SmtRes!AQ199:'SmtRes'!AQ207,"=1",SmtRes!DG199:'SmtRes'!DG207)</f>
        <v>20.5</v>
      </c>
      <c r="R199" s="2">
        <f>SUMIF(SmtRes!AQ199:'SmtRes'!AQ207,"=1",SmtRes!DH199:'SmtRes'!DH207)</f>
        <v>28.23</v>
      </c>
      <c r="S199" s="2">
        <f>SUMIF(SmtRes!AQ199:'SmtRes'!AQ207,"=1",SmtRes!DI199:'SmtRes'!DI207)</f>
        <v>2417.2600000000002</v>
      </c>
      <c r="T199" s="2">
        <f t="shared" si="137"/>
        <v>0</v>
      </c>
      <c r="U199" s="2">
        <f>SUMIF(SmtRes!AQ199:'SmtRes'!AQ207,"=1",SmtRes!CV199:'SmtRes'!CV207)</f>
        <v>3.3821500000000002</v>
      </c>
      <c r="V199" s="2">
        <f>SUMIF(SmtRes!AQ199:'SmtRes'!AQ207,"=1",SmtRes!CW199:'SmtRes'!CW207)</f>
        <v>3.875E-2</v>
      </c>
      <c r="W199" s="2">
        <f t="shared" si="138"/>
        <v>0</v>
      </c>
      <c r="X199" s="2">
        <f t="shared" si="139"/>
        <v>2465.0500000000002</v>
      </c>
      <c r="Y199" s="2">
        <f t="shared" si="140"/>
        <v>1351.13</v>
      </c>
      <c r="Z199" s="2"/>
      <c r="AA199" s="2">
        <v>94104265</v>
      </c>
      <c r="AB199" s="2">
        <f t="shared" si="141"/>
        <v>24378.355664999999</v>
      </c>
      <c r="AC199" s="2">
        <f>ROUND((SUM(SmtRes!BQ199:'SmtRes'!BQ207)),6)</f>
        <v>0.97989999999999999</v>
      </c>
      <c r="AD199" s="2">
        <f>ROUND((((SUM(SmtRes!BR199:'SmtRes'!BR207))-(SUM(SmtRes!BS199:'SmtRes'!BS207)))+AE199),6)</f>
        <v>204.8115</v>
      </c>
      <c r="AE199" s="2">
        <f>ROUND((SUM(SmtRes!BS199:'SmtRes'!BS207)),6)</f>
        <v>282.27050000000003</v>
      </c>
      <c r="AF199" s="2">
        <f>ROUND((SUM(SmtRes!BT199:'SmtRes'!BT207)),6)</f>
        <v>24172.564265000001</v>
      </c>
      <c r="AG199" s="2">
        <f t="shared" si="142"/>
        <v>0</v>
      </c>
      <c r="AH199" s="2">
        <f>(SUM(SmtRes!BU199:'SmtRes'!BU207))</f>
        <v>33.8215</v>
      </c>
      <c r="AI199" s="2">
        <f>(SUM(SmtRes!BV199:'SmtRes'!BV207))</f>
        <v>0.38750000000000001</v>
      </c>
      <c r="AJ199" s="2">
        <f t="shared" si="143"/>
        <v>0</v>
      </c>
      <c r="AK199" s="2">
        <v>21410.266599999999</v>
      </c>
      <c r="AL199" s="2">
        <v>0.97989999999999999</v>
      </c>
      <c r="AM199" s="2">
        <v>163.84919999999997</v>
      </c>
      <c r="AN199" s="2">
        <v>225.81640000000002</v>
      </c>
      <c r="AO199" s="2">
        <v>21019.6211</v>
      </c>
      <c r="AP199" s="2">
        <v>0</v>
      </c>
      <c r="AQ199" s="2">
        <v>29.41</v>
      </c>
      <c r="AR199" s="2">
        <v>0.31</v>
      </c>
      <c r="AS199" s="2">
        <v>0</v>
      </c>
      <c r="AT199" s="2">
        <v>100.8</v>
      </c>
      <c r="AU199" s="2">
        <v>55.25</v>
      </c>
      <c r="AV199" s="2">
        <v>1</v>
      </c>
      <c r="AW199" s="2">
        <v>1</v>
      </c>
      <c r="AX199" s="2"/>
      <c r="AY199" s="2"/>
      <c r="AZ199" s="2">
        <v>1</v>
      </c>
      <c r="BA199" s="2">
        <v>1</v>
      </c>
      <c r="BB199" s="2">
        <v>1</v>
      </c>
      <c r="BC199" s="2">
        <v>1</v>
      </c>
      <c r="BD199" s="2" t="s">
        <v>3</v>
      </c>
      <c r="BE199" s="2" t="s">
        <v>3</v>
      </c>
      <c r="BF199" s="2" t="s">
        <v>3</v>
      </c>
      <c r="BG199" s="2" t="s">
        <v>3</v>
      </c>
      <c r="BH199" s="2">
        <v>0</v>
      </c>
      <c r="BI199" s="2">
        <v>1</v>
      </c>
      <c r="BJ199" s="2" t="s">
        <v>259</v>
      </c>
      <c r="BK199" s="2"/>
      <c r="BL199" s="2"/>
      <c r="BM199" s="2">
        <v>11001</v>
      </c>
      <c r="BN199" s="2">
        <v>0</v>
      </c>
      <c r="BO199" s="2" t="s">
        <v>3</v>
      </c>
      <c r="BP199" s="2">
        <v>0</v>
      </c>
      <c r="BQ199" s="2">
        <v>2</v>
      </c>
      <c r="BR199" s="2">
        <v>0</v>
      </c>
      <c r="BS199" s="2">
        <v>1</v>
      </c>
      <c r="BT199" s="2">
        <v>1</v>
      </c>
      <c r="BU199" s="2">
        <v>1</v>
      </c>
      <c r="BV199" s="2">
        <v>1</v>
      </c>
      <c r="BW199" s="2">
        <v>1</v>
      </c>
      <c r="BX199" s="2">
        <v>1</v>
      </c>
      <c r="BY199" s="2" t="s">
        <v>3</v>
      </c>
      <c r="BZ199" s="2">
        <v>112</v>
      </c>
      <c r="CA199" s="2">
        <v>65</v>
      </c>
      <c r="CB199" s="2" t="s">
        <v>3</v>
      </c>
      <c r="CC199" s="2"/>
      <c r="CD199" s="2"/>
      <c r="CE199" s="2">
        <v>0</v>
      </c>
      <c r="CF199" s="2">
        <v>0</v>
      </c>
      <c r="CG199" s="2">
        <v>0</v>
      </c>
      <c r="CH199" s="2"/>
      <c r="CI199" s="2"/>
      <c r="CJ199" s="2"/>
      <c r="CK199" s="2"/>
      <c r="CL199" s="2"/>
      <c r="CM199" s="2">
        <v>0</v>
      </c>
      <c r="CN199" s="7" t="s">
        <v>681</v>
      </c>
      <c r="CO199" s="2">
        <v>0</v>
      </c>
      <c r="CP199" s="2">
        <f t="shared" si="144"/>
        <v>2466.1000000000004</v>
      </c>
      <c r="CQ199" s="2">
        <f>SUMIF(SmtRes!AQ199:'SmtRes'!AQ207,"=1",SmtRes!AA199:'SmtRes'!AA207)</f>
        <v>61.56</v>
      </c>
      <c r="CR199" s="2">
        <f>SUMIF(SmtRes!AQ199:'SmtRes'!AQ207,"=1",SmtRes!AB199:'SmtRes'!AB207)</f>
        <v>603.51</v>
      </c>
      <c r="CS199" s="2">
        <f>SUMIF(SmtRes!AQ199:'SmtRes'!AQ207,"=1",SmtRes!AC199:'SmtRes'!AC207)</f>
        <v>1380.3200000000002</v>
      </c>
      <c r="CT199" s="2">
        <f>SUMIF(SmtRes!AQ199:'SmtRes'!AQ207,"=1",SmtRes!AD199:'SmtRes'!AD207)</f>
        <v>714.71</v>
      </c>
      <c r="CU199" s="2">
        <f t="shared" si="145"/>
        <v>0</v>
      </c>
      <c r="CV199" s="2">
        <f>SUMIF(SmtRes!AQ199:'SmtRes'!AQ207,"=1",SmtRes!BU199:'SmtRes'!BU207)</f>
        <v>33.8215</v>
      </c>
      <c r="CW199" s="2">
        <f>SUMIF(SmtRes!AQ199:'SmtRes'!AQ207,"=1",SmtRes!BV199:'SmtRes'!BV207)</f>
        <v>0.38750000000000001</v>
      </c>
      <c r="CX199" s="2">
        <f t="shared" si="146"/>
        <v>0</v>
      </c>
      <c r="CY199" s="2">
        <f t="shared" si="147"/>
        <v>2465.0539200000003</v>
      </c>
      <c r="CZ199" s="2">
        <f t="shared" si="148"/>
        <v>1351.133225</v>
      </c>
      <c r="DA199" s="2"/>
      <c r="DB199" s="2">
        <v>3</v>
      </c>
      <c r="DC199" s="2" t="s">
        <v>3</v>
      </c>
      <c r="DD199" s="2" t="s">
        <v>3</v>
      </c>
      <c r="DE199" s="2" t="s">
        <v>242</v>
      </c>
      <c r="DF199" s="2" t="s">
        <v>242</v>
      </c>
      <c r="DG199" s="2" t="s">
        <v>243</v>
      </c>
      <c r="DH199" s="2" t="s">
        <v>3</v>
      </c>
      <c r="DI199" s="2" t="s">
        <v>243</v>
      </c>
      <c r="DJ199" s="2" t="s">
        <v>242</v>
      </c>
      <c r="DK199" s="2" t="s">
        <v>3</v>
      </c>
      <c r="DL199" s="2" t="s">
        <v>244</v>
      </c>
      <c r="DM199" s="2" t="s">
        <v>245</v>
      </c>
      <c r="DN199" s="2">
        <v>0</v>
      </c>
      <c r="DO199" s="2">
        <v>0</v>
      </c>
      <c r="DP199" s="2">
        <v>1</v>
      </c>
      <c r="DQ199" s="2">
        <v>1</v>
      </c>
      <c r="DR199" s="2"/>
      <c r="DS199" s="2"/>
      <c r="DT199" s="2"/>
      <c r="DU199" s="2">
        <v>1003</v>
      </c>
      <c r="DV199" s="2" t="s">
        <v>101</v>
      </c>
      <c r="DW199" s="2" t="s">
        <v>101</v>
      </c>
      <c r="DX199" s="2">
        <v>100</v>
      </c>
      <c r="DY199" s="2"/>
      <c r="DZ199" s="2" t="s">
        <v>3</v>
      </c>
      <c r="EA199" s="2" t="s">
        <v>3</v>
      </c>
      <c r="EB199" s="2" t="s">
        <v>3</v>
      </c>
      <c r="EC199" s="2" t="s">
        <v>3</v>
      </c>
      <c r="ED199" s="2"/>
      <c r="EE199" s="2">
        <v>89976994</v>
      </c>
      <c r="EF199" s="2">
        <v>2</v>
      </c>
      <c r="EG199" s="2" t="s">
        <v>44</v>
      </c>
      <c r="EH199" s="2">
        <v>11</v>
      </c>
      <c r="EI199" s="2" t="s">
        <v>23</v>
      </c>
      <c r="EJ199" s="2">
        <v>1</v>
      </c>
      <c r="EK199" s="2">
        <v>11001</v>
      </c>
      <c r="EL199" s="2" t="s">
        <v>23</v>
      </c>
      <c r="EM199" s="2" t="s">
        <v>74</v>
      </c>
      <c r="EN199" s="2"/>
      <c r="EO199" s="2" t="s">
        <v>246</v>
      </c>
      <c r="EP199" s="2"/>
      <c r="EQ199" s="2">
        <v>0</v>
      </c>
      <c r="ER199" s="2">
        <v>0</v>
      </c>
      <c r="ES199" s="2">
        <v>0</v>
      </c>
      <c r="ET199" s="2">
        <v>0</v>
      </c>
      <c r="EU199" s="2">
        <v>0</v>
      </c>
      <c r="EV199" s="2">
        <v>0</v>
      </c>
      <c r="EW199" s="2">
        <v>29.41</v>
      </c>
      <c r="EX199" s="2">
        <v>0.31</v>
      </c>
      <c r="EY199" s="2">
        <v>0</v>
      </c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>
        <v>0</v>
      </c>
      <c r="FR199" s="2">
        <v>0</v>
      </c>
      <c r="FS199" s="2">
        <v>0</v>
      </c>
      <c r="FT199" s="2"/>
      <c r="FU199" s="2"/>
      <c r="FV199" s="2"/>
      <c r="FW199" s="2"/>
      <c r="FX199" s="2">
        <v>100.8</v>
      </c>
      <c r="FY199" s="2">
        <v>55.25</v>
      </c>
      <c r="FZ199" s="2"/>
      <c r="GA199" s="2" t="s">
        <v>3</v>
      </c>
      <c r="GB199" s="2"/>
      <c r="GC199" s="2"/>
      <c r="GD199" s="2">
        <v>1</v>
      </c>
      <c r="GE199" s="2"/>
      <c r="GF199" s="2">
        <v>-265776911</v>
      </c>
      <c r="GG199" s="2">
        <v>2</v>
      </c>
      <c r="GH199" s="2">
        <v>1</v>
      </c>
      <c r="GI199" s="2">
        <v>-2</v>
      </c>
      <c r="GJ199" s="2">
        <v>0</v>
      </c>
      <c r="GK199" s="2">
        <v>0</v>
      </c>
      <c r="GL199" s="2">
        <f t="shared" si="149"/>
        <v>0</v>
      </c>
      <c r="GM199" s="2">
        <f t="shared" si="150"/>
        <v>6282.28</v>
      </c>
      <c r="GN199" s="2">
        <f t="shared" si="151"/>
        <v>6282.28</v>
      </c>
      <c r="GO199" s="2">
        <f t="shared" si="152"/>
        <v>0</v>
      </c>
      <c r="GP199" s="2">
        <f t="shared" si="153"/>
        <v>0</v>
      </c>
      <c r="GQ199" s="2"/>
      <c r="GR199" s="2">
        <v>0</v>
      </c>
      <c r="GS199" s="2">
        <v>3</v>
      </c>
      <c r="GT199" s="2">
        <v>0</v>
      </c>
      <c r="GU199" s="2" t="s">
        <v>3</v>
      </c>
      <c r="GV199" s="2">
        <f t="shared" si="154"/>
        <v>0</v>
      </c>
      <c r="GW199" s="2">
        <v>1</v>
      </c>
      <c r="GX199" s="2">
        <f t="shared" si="155"/>
        <v>0</v>
      </c>
      <c r="GY199" s="2"/>
      <c r="GZ199" s="2"/>
      <c r="HA199" s="2">
        <v>0</v>
      </c>
      <c r="HB199" s="2">
        <v>0</v>
      </c>
      <c r="HC199" s="2">
        <f t="shared" si="156"/>
        <v>0</v>
      </c>
      <c r="HD199" s="2"/>
      <c r="HE199" s="2" t="s">
        <v>3</v>
      </c>
      <c r="HF199" s="2" t="s">
        <v>3</v>
      </c>
      <c r="HG199" s="2"/>
      <c r="HH199" s="2"/>
      <c r="HI199" s="2"/>
      <c r="HJ199" s="2"/>
      <c r="HK199" s="2"/>
      <c r="HL199" s="2"/>
      <c r="HM199" s="2" t="s">
        <v>3</v>
      </c>
      <c r="HN199" s="2" t="s">
        <v>75</v>
      </c>
      <c r="HO199" s="2" t="s">
        <v>76</v>
      </c>
      <c r="HP199" s="2" t="s">
        <v>23</v>
      </c>
      <c r="HQ199" s="2" t="s">
        <v>23</v>
      </c>
      <c r="HR199" s="2"/>
      <c r="HS199" s="2">
        <v>0</v>
      </c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>
        <v>0</v>
      </c>
      <c r="IL199" s="2"/>
      <c r="IM199" s="2"/>
      <c r="IN199" s="2"/>
      <c r="IO199" s="2"/>
      <c r="IP199" s="2"/>
      <c r="IQ199" s="2"/>
      <c r="IR199" s="2"/>
      <c r="IS199" s="2"/>
      <c r="IT199" s="2"/>
      <c r="IU199" s="2"/>
    </row>
    <row r="200" spans="1:255" x14ac:dyDescent="0.2">
      <c r="A200" s="2">
        <v>18</v>
      </c>
      <c r="B200" s="2">
        <v>1</v>
      </c>
      <c r="C200" s="2">
        <v>205</v>
      </c>
      <c r="D200" s="2"/>
      <c r="E200" s="2" t="s">
        <v>272</v>
      </c>
      <c r="F200" s="2" t="s">
        <v>261</v>
      </c>
      <c r="G200" s="2" t="s">
        <v>262</v>
      </c>
      <c r="H200" s="2" t="s">
        <v>30</v>
      </c>
      <c r="I200" s="2">
        <f>I199*J200</f>
        <v>1E-3</v>
      </c>
      <c r="J200" s="2">
        <v>0.01</v>
      </c>
      <c r="K200" s="2">
        <v>0.01</v>
      </c>
      <c r="L200" s="2"/>
      <c r="M200" s="2"/>
      <c r="N200" s="2"/>
      <c r="O200" s="2">
        <f t="shared" si="136"/>
        <v>73.89</v>
      </c>
      <c r="P200" s="2">
        <f>ROUND(CQ200*I200,2)</f>
        <v>73.89</v>
      </c>
      <c r="Q200" s="2">
        <f>ROUND(CR200*I200,2)</f>
        <v>0</v>
      </c>
      <c r="R200" s="2">
        <f>ROUND(CS200*I200,2)</f>
        <v>0</v>
      </c>
      <c r="S200" s="2">
        <f>ROUND(CT200*I200,2)</f>
        <v>0</v>
      </c>
      <c r="T200" s="2">
        <f t="shared" si="137"/>
        <v>0</v>
      </c>
      <c r="U200" s="2">
        <f>ROUND(CV200*I200,7)</f>
        <v>0</v>
      </c>
      <c r="V200" s="2">
        <f>ROUND(CW200*I200,7)</f>
        <v>0</v>
      </c>
      <c r="W200" s="2">
        <f t="shared" si="138"/>
        <v>0</v>
      </c>
      <c r="X200" s="2">
        <f t="shared" si="139"/>
        <v>0</v>
      </c>
      <c r="Y200" s="2">
        <f t="shared" si="140"/>
        <v>0</v>
      </c>
      <c r="Z200" s="2"/>
      <c r="AA200" s="2">
        <v>94104265</v>
      </c>
      <c r="AB200" s="2">
        <f t="shared" si="141"/>
        <v>73889</v>
      </c>
      <c r="AC200" s="2">
        <f>ROUND((ES200),6)</f>
        <v>73889</v>
      </c>
      <c r="AD200" s="2">
        <f>ROUND((((ET200)-(EU200))+AE200),6)</f>
        <v>0</v>
      </c>
      <c r="AE200" s="2">
        <f t="shared" ref="AE200:AF202" si="157">ROUND((EU200),6)</f>
        <v>0</v>
      </c>
      <c r="AF200" s="2">
        <f t="shared" si="157"/>
        <v>0</v>
      </c>
      <c r="AG200" s="2">
        <f t="shared" si="142"/>
        <v>0</v>
      </c>
      <c r="AH200" s="2">
        <f t="shared" ref="AH200:AI202" si="158">(EW200)</f>
        <v>0</v>
      </c>
      <c r="AI200" s="2">
        <f t="shared" si="158"/>
        <v>0</v>
      </c>
      <c r="AJ200" s="2">
        <f t="shared" si="143"/>
        <v>0</v>
      </c>
      <c r="AK200" s="2">
        <v>73889</v>
      </c>
      <c r="AL200" s="2">
        <v>73889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112</v>
      </c>
      <c r="AU200" s="2">
        <v>65</v>
      </c>
      <c r="AV200" s="2">
        <v>1</v>
      </c>
      <c r="AW200" s="2">
        <v>1</v>
      </c>
      <c r="AX200" s="2"/>
      <c r="AY200" s="2"/>
      <c r="AZ200" s="2">
        <v>1</v>
      </c>
      <c r="BA200" s="2">
        <v>1</v>
      </c>
      <c r="BB200" s="2">
        <v>1</v>
      </c>
      <c r="BC200" s="2">
        <v>1</v>
      </c>
      <c r="BD200" s="2" t="s">
        <v>3</v>
      </c>
      <c r="BE200" s="2" t="s">
        <v>3</v>
      </c>
      <c r="BF200" s="2" t="s">
        <v>3</v>
      </c>
      <c r="BG200" s="2" t="s">
        <v>3</v>
      </c>
      <c r="BH200" s="2">
        <v>3</v>
      </c>
      <c r="BI200" s="2">
        <v>1</v>
      </c>
      <c r="BJ200" s="2" t="s">
        <v>263</v>
      </c>
      <c r="BK200" s="2"/>
      <c r="BL200" s="2"/>
      <c r="BM200" s="2">
        <v>11001</v>
      </c>
      <c r="BN200" s="2">
        <v>0</v>
      </c>
      <c r="BO200" s="2" t="s">
        <v>3</v>
      </c>
      <c r="BP200" s="2">
        <v>0</v>
      </c>
      <c r="BQ200" s="2">
        <v>2</v>
      </c>
      <c r="BR200" s="2">
        <v>0</v>
      </c>
      <c r="BS200" s="2">
        <v>1</v>
      </c>
      <c r="BT200" s="2">
        <v>1</v>
      </c>
      <c r="BU200" s="2">
        <v>1</v>
      </c>
      <c r="BV200" s="2">
        <v>1</v>
      </c>
      <c r="BW200" s="2">
        <v>1</v>
      </c>
      <c r="BX200" s="2">
        <v>1</v>
      </c>
      <c r="BY200" s="2" t="s">
        <v>3</v>
      </c>
      <c r="BZ200" s="2">
        <v>112</v>
      </c>
      <c r="CA200" s="2">
        <v>65</v>
      </c>
      <c r="CB200" s="2" t="s">
        <v>3</v>
      </c>
      <c r="CC200" s="2"/>
      <c r="CD200" s="2"/>
      <c r="CE200" s="2">
        <v>0</v>
      </c>
      <c r="CF200" s="2">
        <v>0</v>
      </c>
      <c r="CG200" s="2">
        <v>0</v>
      </c>
      <c r="CH200" s="2"/>
      <c r="CI200" s="2"/>
      <c r="CJ200" s="2"/>
      <c r="CK200" s="2"/>
      <c r="CL200" s="2"/>
      <c r="CM200" s="2">
        <v>0</v>
      </c>
      <c r="CN200" s="2" t="s">
        <v>3</v>
      </c>
      <c r="CO200" s="2">
        <v>0</v>
      </c>
      <c r="CP200" s="2">
        <f t="shared" si="144"/>
        <v>73.89</v>
      </c>
      <c r="CQ200" s="2">
        <f>ROUND(AL200*BC200,2)</f>
        <v>73889</v>
      </c>
      <c r="CR200" s="2">
        <f>ROUND(AM200*BB200,2)</f>
        <v>0</v>
      </c>
      <c r="CS200" s="2">
        <f>ROUND(AN200*BS200,2)</f>
        <v>0</v>
      </c>
      <c r="CT200" s="2">
        <f>ROUND(AO200*BA200,2)</f>
        <v>0</v>
      </c>
      <c r="CU200" s="2">
        <f t="shared" si="145"/>
        <v>0</v>
      </c>
      <c r="CV200" s="2">
        <f t="shared" ref="CV200:CW202" si="159">AH200</f>
        <v>0</v>
      </c>
      <c r="CW200" s="2">
        <f t="shared" si="159"/>
        <v>0</v>
      </c>
      <c r="CX200" s="2">
        <f t="shared" si="146"/>
        <v>0</v>
      </c>
      <c r="CY200" s="2">
        <f t="shared" si="147"/>
        <v>0</v>
      </c>
      <c r="CZ200" s="2">
        <f t="shared" si="148"/>
        <v>0</v>
      </c>
      <c r="DA200" s="2"/>
      <c r="DB200" s="2"/>
      <c r="DC200" s="2" t="s">
        <v>3</v>
      </c>
      <c r="DD200" s="2" t="s">
        <v>3</v>
      </c>
      <c r="DE200" s="2" t="s">
        <v>3</v>
      </c>
      <c r="DF200" s="2" t="s">
        <v>3</v>
      </c>
      <c r="DG200" s="2" t="s">
        <v>3</v>
      </c>
      <c r="DH200" s="2" t="s">
        <v>3</v>
      </c>
      <c r="DI200" s="2" t="s">
        <v>3</v>
      </c>
      <c r="DJ200" s="2" t="s">
        <v>3</v>
      </c>
      <c r="DK200" s="2" t="s">
        <v>3</v>
      </c>
      <c r="DL200" s="2" t="s">
        <v>3</v>
      </c>
      <c r="DM200" s="2" t="s">
        <v>3</v>
      </c>
      <c r="DN200" s="2">
        <v>0</v>
      </c>
      <c r="DO200" s="2">
        <v>0</v>
      </c>
      <c r="DP200" s="2">
        <v>1</v>
      </c>
      <c r="DQ200" s="2">
        <v>1</v>
      </c>
      <c r="DR200" s="2"/>
      <c r="DS200" s="2"/>
      <c r="DT200" s="2"/>
      <c r="DU200" s="2">
        <v>1009</v>
      </c>
      <c r="DV200" s="2" t="s">
        <v>30</v>
      </c>
      <c r="DW200" s="2" t="s">
        <v>30</v>
      </c>
      <c r="DX200" s="2">
        <v>1000</v>
      </c>
      <c r="DY200" s="2"/>
      <c r="DZ200" s="2" t="s">
        <v>3</v>
      </c>
      <c r="EA200" s="2" t="s">
        <v>3</v>
      </c>
      <c r="EB200" s="2" t="s">
        <v>3</v>
      </c>
      <c r="EC200" s="2" t="s">
        <v>3</v>
      </c>
      <c r="ED200" s="2"/>
      <c r="EE200" s="2">
        <v>89976994</v>
      </c>
      <c r="EF200" s="2">
        <v>2</v>
      </c>
      <c r="EG200" s="2" t="s">
        <v>44</v>
      </c>
      <c r="EH200" s="2">
        <v>11</v>
      </c>
      <c r="EI200" s="2" t="s">
        <v>23</v>
      </c>
      <c r="EJ200" s="2">
        <v>1</v>
      </c>
      <c r="EK200" s="2">
        <v>11001</v>
      </c>
      <c r="EL200" s="2" t="s">
        <v>23</v>
      </c>
      <c r="EM200" s="2" t="s">
        <v>74</v>
      </c>
      <c r="EN200" s="2"/>
      <c r="EO200" s="2" t="s">
        <v>3</v>
      </c>
      <c r="EP200" s="2"/>
      <c r="EQ200" s="2">
        <v>0</v>
      </c>
      <c r="ER200" s="2">
        <v>73889</v>
      </c>
      <c r="ES200" s="2">
        <v>73889</v>
      </c>
      <c r="ET200" s="2">
        <v>0</v>
      </c>
      <c r="EU200" s="2">
        <v>0</v>
      </c>
      <c r="EV200" s="2">
        <v>0</v>
      </c>
      <c r="EW200" s="2">
        <v>0</v>
      </c>
      <c r="EX200" s="2">
        <v>0</v>
      </c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>
        <v>0</v>
      </c>
      <c r="FR200" s="2">
        <v>0</v>
      </c>
      <c r="FS200" s="2">
        <v>0</v>
      </c>
      <c r="FT200" s="2"/>
      <c r="FU200" s="2"/>
      <c r="FV200" s="2"/>
      <c r="FW200" s="2"/>
      <c r="FX200" s="2">
        <v>112</v>
      </c>
      <c r="FY200" s="2">
        <v>65</v>
      </c>
      <c r="FZ200" s="2"/>
      <c r="GA200" s="2" t="s">
        <v>3</v>
      </c>
      <c r="GB200" s="2"/>
      <c r="GC200" s="2"/>
      <c r="GD200" s="2">
        <v>1</v>
      </c>
      <c r="GE200" s="2">
        <v>37800.300000000003</v>
      </c>
      <c r="GF200" s="2">
        <v>2083233302</v>
      </c>
      <c r="GG200" s="2">
        <v>2</v>
      </c>
      <c r="GH200" s="2">
        <v>1</v>
      </c>
      <c r="GI200" s="2">
        <v>-2</v>
      </c>
      <c r="GJ200" s="2">
        <v>0</v>
      </c>
      <c r="GK200" s="2">
        <v>0</v>
      </c>
      <c r="GL200" s="2">
        <f t="shared" si="149"/>
        <v>0</v>
      </c>
      <c r="GM200" s="2">
        <f t="shared" si="150"/>
        <v>73.89</v>
      </c>
      <c r="GN200" s="2">
        <f t="shared" si="151"/>
        <v>73.89</v>
      </c>
      <c r="GO200" s="2">
        <f t="shared" si="152"/>
        <v>0</v>
      </c>
      <c r="GP200" s="2">
        <f t="shared" si="153"/>
        <v>0</v>
      </c>
      <c r="GQ200" s="2"/>
      <c r="GR200" s="2">
        <v>3</v>
      </c>
      <c r="GS200" s="2">
        <v>3</v>
      </c>
      <c r="GT200" s="2">
        <v>0</v>
      </c>
      <c r="GU200" s="2" t="s">
        <v>3</v>
      </c>
      <c r="GV200" s="2">
        <f t="shared" si="154"/>
        <v>0</v>
      </c>
      <c r="GW200" s="2">
        <v>1</v>
      </c>
      <c r="GX200" s="2">
        <f t="shared" si="155"/>
        <v>0</v>
      </c>
      <c r="GY200" s="2"/>
      <c r="GZ200" s="2"/>
      <c r="HA200" s="2">
        <v>0</v>
      </c>
      <c r="HB200" s="2">
        <v>0</v>
      </c>
      <c r="HC200" s="2">
        <f t="shared" si="156"/>
        <v>0</v>
      </c>
      <c r="HD200" s="2"/>
      <c r="HE200" s="2" t="s">
        <v>3</v>
      </c>
      <c r="HF200" s="2" t="s">
        <v>3</v>
      </c>
      <c r="HG200" s="2"/>
      <c r="HH200" s="2"/>
      <c r="HI200" s="2"/>
      <c r="HJ200" s="2"/>
      <c r="HK200" s="2"/>
      <c r="HL200" s="2"/>
      <c r="HM200" s="2" t="s">
        <v>3</v>
      </c>
      <c r="HN200" s="2" t="s">
        <v>75</v>
      </c>
      <c r="HO200" s="2" t="s">
        <v>76</v>
      </c>
      <c r="HP200" s="2" t="s">
        <v>23</v>
      </c>
      <c r="HQ200" s="2" t="s">
        <v>23</v>
      </c>
      <c r="HR200" s="2"/>
      <c r="HS200" s="2">
        <v>0</v>
      </c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>
        <v>0</v>
      </c>
      <c r="IL200" s="2"/>
      <c r="IM200" s="2"/>
      <c r="IN200" s="2"/>
      <c r="IO200" s="2"/>
      <c r="IP200" s="2"/>
      <c r="IQ200" s="2"/>
      <c r="IR200" s="2"/>
      <c r="IS200" s="2"/>
      <c r="IT200" s="2"/>
      <c r="IU200" s="2"/>
    </row>
    <row r="201" spans="1:255" x14ac:dyDescent="0.2">
      <c r="A201" s="2">
        <v>18</v>
      </c>
      <c r="B201" s="2">
        <v>1</v>
      </c>
      <c r="C201" s="2">
        <v>206</v>
      </c>
      <c r="D201" s="2"/>
      <c r="E201" s="2" t="s">
        <v>273</v>
      </c>
      <c r="F201" s="2" t="s">
        <v>82</v>
      </c>
      <c r="G201" s="2" t="s">
        <v>83</v>
      </c>
      <c r="H201" s="2" t="s">
        <v>60</v>
      </c>
      <c r="I201" s="2">
        <f>I199*J201</f>
        <v>1.02</v>
      </c>
      <c r="J201" s="2">
        <v>10.199999999999999</v>
      </c>
      <c r="K201" s="2">
        <v>10.199999999999999</v>
      </c>
      <c r="L201" s="2"/>
      <c r="M201" s="2"/>
      <c r="N201" s="2"/>
      <c r="O201" s="2">
        <f t="shared" si="136"/>
        <v>926.56</v>
      </c>
      <c r="P201" s="2">
        <f>ROUND(CQ201*I201,2)</f>
        <v>926.56</v>
      </c>
      <c r="Q201" s="2">
        <f>ROUND(CR201*I201,2)</f>
        <v>0</v>
      </c>
      <c r="R201" s="2">
        <f>ROUND(CS201*I201,2)</f>
        <v>0</v>
      </c>
      <c r="S201" s="2">
        <f>ROUND(CT201*I201,2)</f>
        <v>0</v>
      </c>
      <c r="T201" s="2">
        <f t="shared" si="137"/>
        <v>0</v>
      </c>
      <c r="U201" s="2">
        <f>ROUND(CV201*I201,7)</f>
        <v>0</v>
      </c>
      <c r="V201" s="2">
        <f>ROUND(CW201*I201,7)</f>
        <v>0</v>
      </c>
      <c r="W201" s="2">
        <f t="shared" si="138"/>
        <v>0</v>
      </c>
      <c r="X201" s="2">
        <f t="shared" si="139"/>
        <v>0</v>
      </c>
      <c r="Y201" s="2">
        <f t="shared" si="140"/>
        <v>0</v>
      </c>
      <c r="Z201" s="2"/>
      <c r="AA201" s="2">
        <v>94104265</v>
      </c>
      <c r="AB201" s="2">
        <f t="shared" si="141"/>
        <v>908.39</v>
      </c>
      <c r="AC201" s="2">
        <f>ROUND((ES201),6)</f>
        <v>908.39</v>
      </c>
      <c r="AD201" s="2">
        <f>ROUND((((ET201)-(EU201))+AE201),6)</f>
        <v>0</v>
      </c>
      <c r="AE201" s="2">
        <f t="shared" si="157"/>
        <v>0</v>
      </c>
      <c r="AF201" s="2">
        <f t="shared" si="157"/>
        <v>0</v>
      </c>
      <c r="AG201" s="2">
        <f t="shared" si="142"/>
        <v>0</v>
      </c>
      <c r="AH201" s="2">
        <f t="shared" si="158"/>
        <v>0</v>
      </c>
      <c r="AI201" s="2">
        <f t="shared" si="158"/>
        <v>0</v>
      </c>
      <c r="AJ201" s="2">
        <f t="shared" si="143"/>
        <v>0</v>
      </c>
      <c r="AK201" s="2">
        <v>908.39</v>
      </c>
      <c r="AL201" s="2">
        <v>908.39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112</v>
      </c>
      <c r="AU201" s="2">
        <v>65</v>
      </c>
      <c r="AV201" s="2">
        <v>1</v>
      </c>
      <c r="AW201" s="2">
        <v>1</v>
      </c>
      <c r="AX201" s="2"/>
      <c r="AY201" s="2"/>
      <c r="AZ201" s="2">
        <v>1</v>
      </c>
      <c r="BA201" s="2">
        <v>1</v>
      </c>
      <c r="BB201" s="2">
        <v>1</v>
      </c>
      <c r="BC201" s="2">
        <v>1</v>
      </c>
      <c r="BD201" s="2" t="s">
        <v>3</v>
      </c>
      <c r="BE201" s="2" t="s">
        <v>3</v>
      </c>
      <c r="BF201" s="2" t="s">
        <v>3</v>
      </c>
      <c r="BG201" s="2" t="s">
        <v>3</v>
      </c>
      <c r="BH201" s="2">
        <v>3</v>
      </c>
      <c r="BI201" s="2">
        <v>1</v>
      </c>
      <c r="BJ201" s="2" t="s">
        <v>84</v>
      </c>
      <c r="BK201" s="2"/>
      <c r="BL201" s="2"/>
      <c r="BM201" s="2">
        <v>11001</v>
      </c>
      <c r="BN201" s="2">
        <v>0</v>
      </c>
      <c r="BO201" s="2" t="s">
        <v>3</v>
      </c>
      <c r="BP201" s="2">
        <v>0</v>
      </c>
      <c r="BQ201" s="2">
        <v>2</v>
      </c>
      <c r="BR201" s="2">
        <v>0</v>
      </c>
      <c r="BS201" s="2">
        <v>1</v>
      </c>
      <c r="BT201" s="2">
        <v>1</v>
      </c>
      <c r="BU201" s="2">
        <v>1</v>
      </c>
      <c r="BV201" s="2">
        <v>1</v>
      </c>
      <c r="BW201" s="2">
        <v>1</v>
      </c>
      <c r="BX201" s="2">
        <v>1</v>
      </c>
      <c r="BY201" s="2" t="s">
        <v>3</v>
      </c>
      <c r="BZ201" s="2">
        <v>112</v>
      </c>
      <c r="CA201" s="2">
        <v>65</v>
      </c>
      <c r="CB201" s="2" t="s">
        <v>3</v>
      </c>
      <c r="CC201" s="2"/>
      <c r="CD201" s="2"/>
      <c r="CE201" s="2">
        <v>0</v>
      </c>
      <c r="CF201" s="2">
        <v>0</v>
      </c>
      <c r="CG201" s="2">
        <v>0</v>
      </c>
      <c r="CH201" s="2"/>
      <c r="CI201" s="2"/>
      <c r="CJ201" s="2"/>
      <c r="CK201" s="2"/>
      <c r="CL201" s="2"/>
      <c r="CM201" s="2">
        <v>0</v>
      </c>
      <c r="CN201" s="2" t="s">
        <v>3</v>
      </c>
      <c r="CO201" s="2">
        <v>0</v>
      </c>
      <c r="CP201" s="2">
        <f t="shared" si="144"/>
        <v>926.56</v>
      </c>
      <c r="CQ201" s="2">
        <f>ROUND(AL201*BC201,2)</f>
        <v>908.39</v>
      </c>
      <c r="CR201" s="2">
        <f>ROUND(AM201*BB201,2)</f>
        <v>0</v>
      </c>
      <c r="CS201" s="2">
        <f>ROUND(AN201*BS201,2)</f>
        <v>0</v>
      </c>
      <c r="CT201" s="2">
        <f>ROUND(AO201*BA201,2)</f>
        <v>0</v>
      </c>
      <c r="CU201" s="2">
        <f t="shared" si="145"/>
        <v>0</v>
      </c>
      <c r="CV201" s="2">
        <f t="shared" si="159"/>
        <v>0</v>
      </c>
      <c r="CW201" s="2">
        <f t="shared" si="159"/>
        <v>0</v>
      </c>
      <c r="CX201" s="2">
        <f t="shared" si="146"/>
        <v>0</v>
      </c>
      <c r="CY201" s="2">
        <f t="shared" si="147"/>
        <v>0</v>
      </c>
      <c r="CZ201" s="2">
        <f t="shared" si="148"/>
        <v>0</v>
      </c>
      <c r="DA201" s="2"/>
      <c r="DB201" s="2"/>
      <c r="DC201" s="2" t="s">
        <v>3</v>
      </c>
      <c r="DD201" s="2" t="s">
        <v>3</v>
      </c>
      <c r="DE201" s="2" t="s">
        <v>3</v>
      </c>
      <c r="DF201" s="2" t="s">
        <v>3</v>
      </c>
      <c r="DG201" s="2" t="s">
        <v>3</v>
      </c>
      <c r="DH201" s="2" t="s">
        <v>3</v>
      </c>
      <c r="DI201" s="2" t="s">
        <v>3</v>
      </c>
      <c r="DJ201" s="2" t="s">
        <v>3</v>
      </c>
      <c r="DK201" s="2" t="s">
        <v>3</v>
      </c>
      <c r="DL201" s="2" t="s">
        <v>3</v>
      </c>
      <c r="DM201" s="2" t="s">
        <v>3</v>
      </c>
      <c r="DN201" s="2">
        <v>0</v>
      </c>
      <c r="DO201" s="2">
        <v>0</v>
      </c>
      <c r="DP201" s="2">
        <v>1</v>
      </c>
      <c r="DQ201" s="2">
        <v>1</v>
      </c>
      <c r="DR201" s="2"/>
      <c r="DS201" s="2"/>
      <c r="DT201" s="2"/>
      <c r="DU201" s="2">
        <v>1005</v>
      </c>
      <c r="DV201" s="2" t="s">
        <v>60</v>
      </c>
      <c r="DW201" s="2" t="s">
        <v>60</v>
      </c>
      <c r="DX201" s="2">
        <v>1</v>
      </c>
      <c r="DY201" s="2"/>
      <c r="DZ201" s="2" t="s">
        <v>3</v>
      </c>
      <c r="EA201" s="2" t="s">
        <v>3</v>
      </c>
      <c r="EB201" s="2" t="s">
        <v>3</v>
      </c>
      <c r="EC201" s="2" t="s">
        <v>3</v>
      </c>
      <c r="ED201" s="2"/>
      <c r="EE201" s="2">
        <v>89976994</v>
      </c>
      <c r="EF201" s="2">
        <v>2</v>
      </c>
      <c r="EG201" s="2" t="s">
        <v>44</v>
      </c>
      <c r="EH201" s="2">
        <v>11</v>
      </c>
      <c r="EI201" s="2" t="s">
        <v>23</v>
      </c>
      <c r="EJ201" s="2">
        <v>1</v>
      </c>
      <c r="EK201" s="2">
        <v>11001</v>
      </c>
      <c r="EL201" s="2" t="s">
        <v>23</v>
      </c>
      <c r="EM201" s="2" t="s">
        <v>74</v>
      </c>
      <c r="EN201" s="2"/>
      <c r="EO201" s="2" t="s">
        <v>3</v>
      </c>
      <c r="EP201" s="2"/>
      <c r="EQ201" s="2">
        <v>0</v>
      </c>
      <c r="ER201" s="2">
        <v>908.39</v>
      </c>
      <c r="ES201" s="2">
        <v>908.39</v>
      </c>
      <c r="ET201" s="2">
        <v>0</v>
      </c>
      <c r="EU201" s="2">
        <v>0</v>
      </c>
      <c r="EV201" s="2">
        <v>0</v>
      </c>
      <c r="EW201" s="2">
        <v>0</v>
      </c>
      <c r="EX201" s="2">
        <v>0</v>
      </c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>
        <v>0</v>
      </c>
      <c r="FR201" s="2">
        <v>0</v>
      </c>
      <c r="FS201" s="2">
        <v>0</v>
      </c>
      <c r="FT201" s="2"/>
      <c r="FU201" s="2"/>
      <c r="FV201" s="2"/>
      <c r="FW201" s="2"/>
      <c r="FX201" s="2">
        <v>112</v>
      </c>
      <c r="FY201" s="2">
        <v>65</v>
      </c>
      <c r="FZ201" s="2"/>
      <c r="GA201" s="2" t="s">
        <v>3</v>
      </c>
      <c r="GB201" s="2"/>
      <c r="GC201" s="2"/>
      <c r="GD201" s="2">
        <v>1</v>
      </c>
      <c r="GE201" s="2">
        <v>603.37</v>
      </c>
      <c r="GF201" s="2">
        <v>-1611852378</v>
      </c>
      <c r="GG201" s="2">
        <v>2</v>
      </c>
      <c r="GH201" s="2">
        <v>1</v>
      </c>
      <c r="GI201" s="2">
        <v>-2</v>
      </c>
      <c r="GJ201" s="2">
        <v>0</v>
      </c>
      <c r="GK201" s="2">
        <v>0</v>
      </c>
      <c r="GL201" s="2">
        <f t="shared" si="149"/>
        <v>0</v>
      </c>
      <c r="GM201" s="2">
        <f t="shared" si="150"/>
        <v>926.56</v>
      </c>
      <c r="GN201" s="2">
        <f t="shared" si="151"/>
        <v>926.56</v>
      </c>
      <c r="GO201" s="2">
        <f t="shared" si="152"/>
        <v>0</v>
      </c>
      <c r="GP201" s="2">
        <f t="shared" si="153"/>
        <v>0</v>
      </c>
      <c r="GQ201" s="2"/>
      <c r="GR201" s="2">
        <v>3</v>
      </c>
      <c r="GS201" s="2">
        <v>3</v>
      </c>
      <c r="GT201" s="2">
        <v>0</v>
      </c>
      <c r="GU201" s="2" t="s">
        <v>3</v>
      </c>
      <c r="GV201" s="2">
        <f t="shared" si="154"/>
        <v>0</v>
      </c>
      <c r="GW201" s="2">
        <v>1</v>
      </c>
      <c r="GX201" s="2">
        <f t="shared" si="155"/>
        <v>0</v>
      </c>
      <c r="GY201" s="2"/>
      <c r="GZ201" s="2"/>
      <c r="HA201" s="2">
        <v>0</v>
      </c>
      <c r="HB201" s="2">
        <v>0</v>
      </c>
      <c r="HC201" s="2">
        <f t="shared" si="156"/>
        <v>0</v>
      </c>
      <c r="HD201" s="2"/>
      <c r="HE201" s="2" t="s">
        <v>3</v>
      </c>
      <c r="HF201" s="2" t="s">
        <v>3</v>
      </c>
      <c r="HG201" s="2"/>
      <c r="HH201" s="2"/>
      <c r="HI201" s="2"/>
      <c r="HJ201" s="2"/>
      <c r="HK201" s="2"/>
      <c r="HL201" s="2"/>
      <c r="HM201" s="2" t="s">
        <v>3</v>
      </c>
      <c r="HN201" s="2" t="s">
        <v>75</v>
      </c>
      <c r="HO201" s="2" t="s">
        <v>76</v>
      </c>
      <c r="HP201" s="2" t="s">
        <v>23</v>
      </c>
      <c r="HQ201" s="2" t="s">
        <v>23</v>
      </c>
      <c r="HR201" s="2"/>
      <c r="HS201" s="2">
        <v>0</v>
      </c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>
        <v>0</v>
      </c>
      <c r="IL201" s="2"/>
      <c r="IM201" s="2"/>
      <c r="IN201" s="2"/>
      <c r="IO201" s="2"/>
      <c r="IP201" s="2"/>
      <c r="IQ201" s="2"/>
      <c r="IR201" s="2"/>
      <c r="IS201" s="2"/>
      <c r="IT201" s="2"/>
      <c r="IU201" s="2"/>
    </row>
    <row r="202" spans="1:255" x14ac:dyDescent="0.2">
      <c r="A202" s="2">
        <v>18</v>
      </c>
      <c r="B202" s="2">
        <v>1</v>
      </c>
      <c r="C202" s="2">
        <v>207</v>
      </c>
      <c r="D202" s="2"/>
      <c r="E202" s="2" t="s">
        <v>274</v>
      </c>
      <c r="F202" s="2" t="s">
        <v>250</v>
      </c>
      <c r="G202" s="2" t="s">
        <v>251</v>
      </c>
      <c r="H202" s="2" t="s">
        <v>30</v>
      </c>
      <c r="I202" s="2">
        <f>I199*J202</f>
        <v>4.0000000000000001E-3</v>
      </c>
      <c r="J202" s="2">
        <v>0.04</v>
      </c>
      <c r="K202" s="2">
        <v>0.04</v>
      </c>
      <c r="L202" s="2"/>
      <c r="M202" s="2"/>
      <c r="N202" s="2"/>
      <c r="O202" s="2">
        <f t="shared" si="136"/>
        <v>145.59</v>
      </c>
      <c r="P202" s="2">
        <f>ROUND(CQ202*I202,2)</f>
        <v>145.59</v>
      </c>
      <c r="Q202" s="2">
        <f>ROUND(CR202*I202,2)</f>
        <v>0</v>
      </c>
      <c r="R202" s="2">
        <f>ROUND(CS202*I202,2)</f>
        <v>0</v>
      </c>
      <c r="S202" s="2">
        <f>ROUND(CT202*I202,2)</f>
        <v>0</v>
      </c>
      <c r="T202" s="2">
        <f t="shared" si="137"/>
        <v>0</v>
      </c>
      <c r="U202" s="2">
        <f>ROUND(CV202*I202,7)</f>
        <v>0</v>
      </c>
      <c r="V202" s="2">
        <f>ROUND(CW202*I202,7)</f>
        <v>0</v>
      </c>
      <c r="W202" s="2">
        <f t="shared" si="138"/>
        <v>0</v>
      </c>
      <c r="X202" s="2">
        <f t="shared" si="139"/>
        <v>0</v>
      </c>
      <c r="Y202" s="2">
        <f t="shared" si="140"/>
        <v>0</v>
      </c>
      <c r="Z202" s="2"/>
      <c r="AA202" s="2">
        <v>94104265</v>
      </c>
      <c r="AB202" s="2">
        <f t="shared" si="141"/>
        <v>36038.35</v>
      </c>
      <c r="AC202" s="2">
        <f>ROUND((ES202),6)</f>
        <v>36038.35</v>
      </c>
      <c r="AD202" s="2">
        <f>ROUND((((ET202)-(EU202))+AE202),6)</f>
        <v>0</v>
      </c>
      <c r="AE202" s="2">
        <f t="shared" si="157"/>
        <v>0</v>
      </c>
      <c r="AF202" s="2">
        <f t="shared" si="157"/>
        <v>0</v>
      </c>
      <c r="AG202" s="2">
        <f t="shared" si="142"/>
        <v>0</v>
      </c>
      <c r="AH202" s="2">
        <f t="shared" si="158"/>
        <v>0</v>
      </c>
      <c r="AI202" s="2">
        <f t="shared" si="158"/>
        <v>0</v>
      </c>
      <c r="AJ202" s="2">
        <f t="shared" si="143"/>
        <v>0</v>
      </c>
      <c r="AK202" s="2">
        <v>36038.35</v>
      </c>
      <c r="AL202" s="2">
        <v>36038.35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112</v>
      </c>
      <c r="AU202" s="2">
        <v>65</v>
      </c>
      <c r="AV202" s="2">
        <v>1</v>
      </c>
      <c r="AW202" s="2">
        <v>1</v>
      </c>
      <c r="AX202" s="2"/>
      <c r="AY202" s="2"/>
      <c r="AZ202" s="2">
        <v>1</v>
      </c>
      <c r="BA202" s="2">
        <v>1</v>
      </c>
      <c r="BB202" s="2">
        <v>1</v>
      </c>
      <c r="BC202" s="2">
        <v>1.01</v>
      </c>
      <c r="BD202" s="2" t="s">
        <v>3</v>
      </c>
      <c r="BE202" s="2" t="s">
        <v>3</v>
      </c>
      <c r="BF202" s="2" t="s">
        <v>3</v>
      </c>
      <c r="BG202" s="2" t="s">
        <v>3</v>
      </c>
      <c r="BH202" s="2">
        <v>3</v>
      </c>
      <c r="BI202" s="2">
        <v>1</v>
      </c>
      <c r="BJ202" s="2" t="s">
        <v>252</v>
      </c>
      <c r="BK202" s="2"/>
      <c r="BL202" s="2"/>
      <c r="BM202" s="2">
        <v>11001</v>
      </c>
      <c r="BN202" s="2">
        <v>0</v>
      </c>
      <c r="BO202" s="2" t="s">
        <v>250</v>
      </c>
      <c r="BP202" s="2">
        <v>1</v>
      </c>
      <c r="BQ202" s="2">
        <v>2</v>
      </c>
      <c r="BR202" s="2">
        <v>0</v>
      </c>
      <c r="BS202" s="2">
        <v>1</v>
      </c>
      <c r="BT202" s="2">
        <v>1</v>
      </c>
      <c r="BU202" s="2">
        <v>1</v>
      </c>
      <c r="BV202" s="2">
        <v>1</v>
      </c>
      <c r="BW202" s="2">
        <v>1</v>
      </c>
      <c r="BX202" s="2">
        <v>1</v>
      </c>
      <c r="BY202" s="2" t="s">
        <v>3</v>
      </c>
      <c r="BZ202" s="2">
        <v>112</v>
      </c>
      <c r="CA202" s="2">
        <v>65</v>
      </c>
      <c r="CB202" s="2" t="s">
        <v>3</v>
      </c>
      <c r="CC202" s="2"/>
      <c r="CD202" s="2"/>
      <c r="CE202" s="2">
        <v>0</v>
      </c>
      <c r="CF202" s="2">
        <v>0</v>
      </c>
      <c r="CG202" s="2">
        <v>0</v>
      </c>
      <c r="CH202" s="2"/>
      <c r="CI202" s="2"/>
      <c r="CJ202" s="2"/>
      <c r="CK202" s="2"/>
      <c r="CL202" s="2"/>
      <c r="CM202" s="2">
        <v>0</v>
      </c>
      <c r="CN202" s="2" t="s">
        <v>3</v>
      </c>
      <c r="CO202" s="2">
        <v>0</v>
      </c>
      <c r="CP202" s="2">
        <f t="shared" si="144"/>
        <v>145.59</v>
      </c>
      <c r="CQ202" s="2">
        <f>ROUND(AL202*BC202,2)</f>
        <v>36398.730000000003</v>
      </c>
      <c r="CR202" s="2">
        <f>ROUND(AM202*BB202,2)</f>
        <v>0</v>
      </c>
      <c r="CS202" s="2">
        <f>ROUND(AN202*BS202,2)</f>
        <v>0</v>
      </c>
      <c r="CT202" s="2">
        <f>ROUND(AO202*BA202,2)</f>
        <v>0</v>
      </c>
      <c r="CU202" s="2">
        <f t="shared" si="145"/>
        <v>0</v>
      </c>
      <c r="CV202" s="2">
        <f t="shared" si="159"/>
        <v>0</v>
      </c>
      <c r="CW202" s="2">
        <f t="shared" si="159"/>
        <v>0</v>
      </c>
      <c r="CX202" s="2">
        <f t="shared" si="146"/>
        <v>0</v>
      </c>
      <c r="CY202" s="2">
        <f t="shared" si="147"/>
        <v>0</v>
      </c>
      <c r="CZ202" s="2">
        <f t="shared" si="148"/>
        <v>0</v>
      </c>
      <c r="DA202" s="2"/>
      <c r="DB202" s="2"/>
      <c r="DC202" s="2" t="s">
        <v>3</v>
      </c>
      <c r="DD202" s="2" t="s">
        <v>3</v>
      </c>
      <c r="DE202" s="2" t="s">
        <v>3</v>
      </c>
      <c r="DF202" s="2" t="s">
        <v>3</v>
      </c>
      <c r="DG202" s="2" t="s">
        <v>3</v>
      </c>
      <c r="DH202" s="2" t="s">
        <v>3</v>
      </c>
      <c r="DI202" s="2" t="s">
        <v>3</v>
      </c>
      <c r="DJ202" s="2" t="s">
        <v>3</v>
      </c>
      <c r="DK202" s="2" t="s">
        <v>3</v>
      </c>
      <c r="DL202" s="2" t="s">
        <v>3</v>
      </c>
      <c r="DM202" s="2" t="s">
        <v>3</v>
      </c>
      <c r="DN202" s="2">
        <v>0</v>
      </c>
      <c r="DO202" s="2">
        <v>0</v>
      </c>
      <c r="DP202" s="2">
        <v>1</v>
      </c>
      <c r="DQ202" s="2">
        <v>1</v>
      </c>
      <c r="DR202" s="2"/>
      <c r="DS202" s="2"/>
      <c r="DT202" s="2"/>
      <c r="DU202" s="2">
        <v>1009</v>
      </c>
      <c r="DV202" s="2" t="s">
        <v>30</v>
      </c>
      <c r="DW202" s="2" t="s">
        <v>30</v>
      </c>
      <c r="DX202" s="2">
        <v>1000</v>
      </c>
      <c r="DY202" s="2"/>
      <c r="DZ202" s="2" t="s">
        <v>3</v>
      </c>
      <c r="EA202" s="2" t="s">
        <v>3</v>
      </c>
      <c r="EB202" s="2" t="s">
        <v>3</v>
      </c>
      <c r="EC202" s="2" t="s">
        <v>3</v>
      </c>
      <c r="ED202" s="2"/>
      <c r="EE202" s="2">
        <v>89976994</v>
      </c>
      <c r="EF202" s="2">
        <v>2</v>
      </c>
      <c r="EG202" s="2" t="s">
        <v>44</v>
      </c>
      <c r="EH202" s="2">
        <v>11</v>
      </c>
      <c r="EI202" s="2" t="s">
        <v>23</v>
      </c>
      <c r="EJ202" s="2">
        <v>1</v>
      </c>
      <c r="EK202" s="2">
        <v>11001</v>
      </c>
      <c r="EL202" s="2" t="s">
        <v>23</v>
      </c>
      <c r="EM202" s="2" t="s">
        <v>74</v>
      </c>
      <c r="EN202" s="2"/>
      <c r="EO202" s="2" t="s">
        <v>3</v>
      </c>
      <c r="EP202" s="2"/>
      <c r="EQ202" s="2">
        <v>0</v>
      </c>
      <c r="ER202" s="2">
        <v>36038.35</v>
      </c>
      <c r="ES202" s="2">
        <v>36038.35</v>
      </c>
      <c r="ET202" s="2">
        <v>0</v>
      </c>
      <c r="EU202" s="2">
        <v>0</v>
      </c>
      <c r="EV202" s="2">
        <v>0</v>
      </c>
      <c r="EW202" s="2">
        <v>0</v>
      </c>
      <c r="EX202" s="2">
        <v>0</v>
      </c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>
        <v>0</v>
      </c>
      <c r="FR202" s="2">
        <v>0</v>
      </c>
      <c r="FS202" s="2">
        <v>0</v>
      </c>
      <c r="FT202" s="2"/>
      <c r="FU202" s="2"/>
      <c r="FV202" s="2"/>
      <c r="FW202" s="2"/>
      <c r="FX202" s="2">
        <v>112</v>
      </c>
      <c r="FY202" s="2">
        <v>65</v>
      </c>
      <c r="FZ202" s="2"/>
      <c r="GA202" s="2" t="s">
        <v>3</v>
      </c>
      <c r="GB202" s="2"/>
      <c r="GC202" s="2"/>
      <c r="GD202" s="2">
        <v>1</v>
      </c>
      <c r="GE202" s="2"/>
      <c r="GF202" s="2">
        <v>1538372289</v>
      </c>
      <c r="GG202" s="2">
        <v>2</v>
      </c>
      <c r="GH202" s="2">
        <v>1</v>
      </c>
      <c r="GI202" s="2">
        <v>2</v>
      </c>
      <c r="GJ202" s="2">
        <v>0</v>
      </c>
      <c r="GK202" s="2">
        <v>0</v>
      </c>
      <c r="GL202" s="2">
        <f t="shared" si="149"/>
        <v>0</v>
      </c>
      <c r="GM202" s="2">
        <f t="shared" si="150"/>
        <v>145.59</v>
      </c>
      <c r="GN202" s="2">
        <f t="shared" si="151"/>
        <v>145.59</v>
      </c>
      <c r="GO202" s="2">
        <f t="shared" si="152"/>
        <v>0</v>
      </c>
      <c r="GP202" s="2">
        <f t="shared" si="153"/>
        <v>0</v>
      </c>
      <c r="GQ202" s="2"/>
      <c r="GR202" s="2">
        <v>0</v>
      </c>
      <c r="GS202" s="2">
        <v>3</v>
      </c>
      <c r="GT202" s="2">
        <v>0</v>
      </c>
      <c r="GU202" s="2" t="s">
        <v>3</v>
      </c>
      <c r="GV202" s="2">
        <f t="shared" si="154"/>
        <v>0</v>
      </c>
      <c r="GW202" s="2">
        <v>1</v>
      </c>
      <c r="GX202" s="2">
        <f t="shared" si="155"/>
        <v>0</v>
      </c>
      <c r="GY202" s="2"/>
      <c r="GZ202" s="2"/>
      <c r="HA202" s="2">
        <v>0</v>
      </c>
      <c r="HB202" s="2">
        <v>0</v>
      </c>
      <c r="HC202" s="2">
        <f t="shared" si="156"/>
        <v>0</v>
      </c>
      <c r="HD202" s="2"/>
      <c r="HE202" s="2" t="s">
        <v>3</v>
      </c>
      <c r="HF202" s="2" t="s">
        <v>3</v>
      </c>
      <c r="HG202" s="2"/>
      <c r="HH202" s="2"/>
      <c r="HI202" s="2"/>
      <c r="HJ202" s="2"/>
      <c r="HK202" s="2"/>
      <c r="HL202" s="2"/>
      <c r="HM202" s="2" t="s">
        <v>3</v>
      </c>
      <c r="HN202" s="2" t="s">
        <v>75</v>
      </c>
      <c r="HO202" s="2" t="s">
        <v>76</v>
      </c>
      <c r="HP202" s="2" t="s">
        <v>23</v>
      </c>
      <c r="HQ202" s="2" t="s">
        <v>23</v>
      </c>
      <c r="HR202" s="2"/>
      <c r="HS202" s="2">
        <v>0</v>
      </c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>
        <v>0</v>
      </c>
      <c r="IL202" s="2"/>
      <c r="IM202" s="2"/>
      <c r="IN202" s="2"/>
      <c r="IO202" s="2"/>
      <c r="IP202" s="2"/>
      <c r="IQ202" s="2"/>
      <c r="IR202" s="2"/>
      <c r="IS202" s="2"/>
      <c r="IT202" s="2"/>
      <c r="IU202" s="2"/>
    </row>
    <row r="203" spans="1:255" ht="409.5" x14ac:dyDescent="0.2">
      <c r="A203" s="2">
        <v>17</v>
      </c>
      <c r="B203" s="2">
        <v>1</v>
      </c>
      <c r="C203" s="2">
        <f>ROW(SmtRes!A211)</f>
        <v>211</v>
      </c>
      <c r="D203" s="2">
        <f>ROW(EtalonRes!A211)</f>
        <v>211</v>
      </c>
      <c r="E203" s="2" t="s">
        <v>275</v>
      </c>
      <c r="F203" s="2" t="s">
        <v>99</v>
      </c>
      <c r="G203" s="2" t="s">
        <v>100</v>
      </c>
      <c r="H203" s="2" t="s">
        <v>101</v>
      </c>
      <c r="I203" s="2">
        <f>ROUND(5/100,7)</f>
        <v>0.05</v>
      </c>
      <c r="J203" s="2">
        <v>0</v>
      </c>
      <c r="K203" s="2">
        <f>ROUND(5/100,7)</f>
        <v>0.05</v>
      </c>
      <c r="L203" s="2"/>
      <c r="M203" s="2"/>
      <c r="N203" s="2"/>
      <c r="O203" s="2">
        <f t="shared" si="136"/>
        <v>662.57</v>
      </c>
      <c r="P203" s="2">
        <f>SUMIF(SmtRes!AQ208:'SmtRes'!AQ211,"=1",SmtRes!DF208:'SmtRes'!DF211)</f>
        <v>41.38</v>
      </c>
      <c r="Q203" s="2">
        <f>SUMIF(SmtRes!AQ208:'SmtRes'!AQ211,"=1",SmtRes!DG208:'SmtRes'!DG211)</f>
        <v>0</v>
      </c>
      <c r="R203" s="2">
        <f>SUMIF(SmtRes!AQ208:'SmtRes'!AQ211,"=1",SmtRes!DH208:'SmtRes'!DH211)</f>
        <v>0</v>
      </c>
      <c r="S203" s="2">
        <f>SUMIF(SmtRes!AQ208:'SmtRes'!AQ211,"=1",SmtRes!DI208:'SmtRes'!DI211)</f>
        <v>621.19000000000005</v>
      </c>
      <c r="T203" s="2">
        <f t="shared" si="137"/>
        <v>0</v>
      </c>
      <c r="U203" s="2">
        <f>SUMIF(SmtRes!AQ208:'SmtRes'!AQ211,"=1",SmtRes!CV208:'SmtRes'!CV211)</f>
        <v>0.95679999999999998</v>
      </c>
      <c r="V203" s="2">
        <f>SUMIF(SmtRes!AQ208:'SmtRes'!AQ211,"=1",SmtRes!CW208:'SmtRes'!CW211)</f>
        <v>0</v>
      </c>
      <c r="W203" s="2">
        <f t="shared" si="138"/>
        <v>0</v>
      </c>
      <c r="X203" s="2">
        <f t="shared" si="139"/>
        <v>626.16</v>
      </c>
      <c r="Y203" s="2">
        <f t="shared" si="140"/>
        <v>343.21</v>
      </c>
      <c r="Z203" s="2"/>
      <c r="AA203" s="2">
        <v>94104265</v>
      </c>
      <c r="AB203" s="2">
        <f t="shared" si="141"/>
        <v>13066.80056</v>
      </c>
      <c r="AC203" s="2">
        <f>ROUND((SUM(SmtRes!BQ208:'SmtRes'!BQ211)),6)</f>
        <v>642.94392000000005</v>
      </c>
      <c r="AD203" s="2">
        <f>ROUND((((0)-(0))+AE203),6)</f>
        <v>0</v>
      </c>
      <c r="AE203" s="2">
        <f>ROUND((0),6)</f>
        <v>0</v>
      </c>
      <c r="AF203" s="2">
        <f>ROUND((SUM(SmtRes!BT208:'SmtRes'!BT211)),6)</f>
        <v>12423.85664</v>
      </c>
      <c r="AG203" s="2">
        <f t="shared" si="142"/>
        <v>0</v>
      </c>
      <c r="AH203" s="2">
        <f>(SUM(SmtRes!BU208:'SmtRes'!BU211))</f>
        <v>19.135999999999999</v>
      </c>
      <c r="AI203" s="2">
        <f>(0)</f>
        <v>0</v>
      </c>
      <c r="AJ203" s="2">
        <f t="shared" si="143"/>
        <v>0</v>
      </c>
      <c r="AK203" s="2">
        <v>11446.29752</v>
      </c>
      <c r="AL203" s="2">
        <v>642.94391999999993</v>
      </c>
      <c r="AM203" s="2">
        <v>0</v>
      </c>
      <c r="AN203" s="2">
        <v>0</v>
      </c>
      <c r="AO203" s="2">
        <v>10803.3536</v>
      </c>
      <c r="AP203" s="2">
        <v>0</v>
      </c>
      <c r="AQ203" s="2">
        <v>16.64</v>
      </c>
      <c r="AR203" s="2">
        <v>0</v>
      </c>
      <c r="AS203" s="2">
        <v>0</v>
      </c>
      <c r="AT203" s="2">
        <v>100.8</v>
      </c>
      <c r="AU203" s="2">
        <v>55.25</v>
      </c>
      <c r="AV203" s="2">
        <v>1</v>
      </c>
      <c r="AW203" s="2">
        <v>1</v>
      </c>
      <c r="AX203" s="2"/>
      <c r="AY203" s="2"/>
      <c r="AZ203" s="2">
        <v>1</v>
      </c>
      <c r="BA203" s="2">
        <v>1</v>
      </c>
      <c r="BB203" s="2">
        <v>1</v>
      </c>
      <c r="BC203" s="2">
        <v>1</v>
      </c>
      <c r="BD203" s="2" t="s">
        <v>3</v>
      </c>
      <c r="BE203" s="2" t="s">
        <v>3</v>
      </c>
      <c r="BF203" s="2" t="s">
        <v>3</v>
      </c>
      <c r="BG203" s="2" t="s">
        <v>3</v>
      </c>
      <c r="BH203" s="2">
        <v>0</v>
      </c>
      <c r="BI203" s="2">
        <v>1</v>
      </c>
      <c r="BJ203" s="2" t="s">
        <v>102</v>
      </c>
      <c r="BK203" s="2"/>
      <c r="BL203" s="2"/>
      <c r="BM203" s="2">
        <v>11001</v>
      </c>
      <c r="BN203" s="2">
        <v>0</v>
      </c>
      <c r="BO203" s="2" t="s">
        <v>3</v>
      </c>
      <c r="BP203" s="2">
        <v>0</v>
      </c>
      <c r="BQ203" s="2">
        <v>2</v>
      </c>
      <c r="BR203" s="2">
        <v>0</v>
      </c>
      <c r="BS203" s="2">
        <v>1</v>
      </c>
      <c r="BT203" s="2">
        <v>1</v>
      </c>
      <c r="BU203" s="2">
        <v>1</v>
      </c>
      <c r="BV203" s="2">
        <v>1</v>
      </c>
      <c r="BW203" s="2">
        <v>1</v>
      </c>
      <c r="BX203" s="2">
        <v>1</v>
      </c>
      <c r="BY203" s="2" t="s">
        <v>3</v>
      </c>
      <c r="BZ203" s="2">
        <v>112</v>
      </c>
      <c r="CA203" s="2">
        <v>65</v>
      </c>
      <c r="CB203" s="2" t="s">
        <v>3</v>
      </c>
      <c r="CC203" s="2"/>
      <c r="CD203" s="2"/>
      <c r="CE203" s="2">
        <v>0</v>
      </c>
      <c r="CF203" s="2">
        <v>0</v>
      </c>
      <c r="CG203" s="2">
        <v>0</v>
      </c>
      <c r="CH203" s="2"/>
      <c r="CI203" s="2"/>
      <c r="CJ203" s="2"/>
      <c r="CK203" s="2"/>
      <c r="CL203" s="2"/>
      <c r="CM203" s="2">
        <v>0</v>
      </c>
      <c r="CN203" s="7" t="s">
        <v>681</v>
      </c>
      <c r="CO203" s="2">
        <v>0</v>
      </c>
      <c r="CP203" s="2">
        <f t="shared" si="144"/>
        <v>662.57</v>
      </c>
      <c r="CQ203" s="2">
        <f>SUMIF(SmtRes!AQ208:'SmtRes'!AQ211,"=1",SmtRes!AA208:'SmtRes'!AA211)</f>
        <v>123.33</v>
      </c>
      <c r="CR203" s="2">
        <f>SUMIF(SmtRes!AQ208:'SmtRes'!AQ211,"=1",SmtRes!AB208:'SmtRes'!AB211)</f>
        <v>0</v>
      </c>
      <c r="CS203" s="2">
        <f>SUMIF(SmtRes!AQ208:'SmtRes'!AQ211,"=1",SmtRes!AC208:'SmtRes'!AC211)</f>
        <v>0</v>
      </c>
      <c r="CT203" s="2">
        <f>SUMIF(SmtRes!AQ208:'SmtRes'!AQ211,"=1",SmtRes!AD208:'SmtRes'!AD211)</f>
        <v>649.24</v>
      </c>
      <c r="CU203" s="2">
        <f t="shared" si="145"/>
        <v>0</v>
      </c>
      <c r="CV203" s="2">
        <f>SUMIF(SmtRes!AQ208:'SmtRes'!AQ211,"=1",SmtRes!BU208:'SmtRes'!BU211)</f>
        <v>19.135999999999999</v>
      </c>
      <c r="CW203" s="2">
        <f>SUMIF(SmtRes!AQ208:'SmtRes'!AQ211,"=1",SmtRes!BV208:'SmtRes'!BV211)</f>
        <v>0</v>
      </c>
      <c r="CX203" s="2">
        <f t="shared" si="146"/>
        <v>0</v>
      </c>
      <c r="CY203" s="2">
        <f t="shared" si="147"/>
        <v>626.15952000000004</v>
      </c>
      <c r="CZ203" s="2">
        <f t="shared" si="148"/>
        <v>343.20747500000004</v>
      </c>
      <c r="DA203" s="2"/>
      <c r="DB203" s="2">
        <v>4</v>
      </c>
      <c r="DC203" s="2" t="s">
        <v>3</v>
      </c>
      <c r="DD203" s="2" t="s">
        <v>3</v>
      </c>
      <c r="DE203" s="2" t="s">
        <v>242</v>
      </c>
      <c r="DF203" s="2" t="s">
        <v>242</v>
      </c>
      <c r="DG203" s="2" t="s">
        <v>243</v>
      </c>
      <c r="DH203" s="2" t="s">
        <v>3</v>
      </c>
      <c r="DI203" s="2" t="s">
        <v>243</v>
      </c>
      <c r="DJ203" s="2" t="s">
        <v>242</v>
      </c>
      <c r="DK203" s="2" t="s">
        <v>3</v>
      </c>
      <c r="DL203" s="2" t="s">
        <v>244</v>
      </c>
      <c r="DM203" s="2" t="s">
        <v>245</v>
      </c>
      <c r="DN203" s="2">
        <v>0</v>
      </c>
      <c r="DO203" s="2">
        <v>0</v>
      </c>
      <c r="DP203" s="2">
        <v>1</v>
      </c>
      <c r="DQ203" s="2">
        <v>1</v>
      </c>
      <c r="DR203" s="2"/>
      <c r="DS203" s="2"/>
      <c r="DT203" s="2"/>
      <c r="DU203" s="2">
        <v>1003</v>
      </c>
      <c r="DV203" s="2" t="s">
        <v>101</v>
      </c>
      <c r="DW203" s="2" t="s">
        <v>101</v>
      </c>
      <c r="DX203" s="2">
        <v>100</v>
      </c>
      <c r="DY203" s="2"/>
      <c r="DZ203" s="2" t="s">
        <v>3</v>
      </c>
      <c r="EA203" s="2" t="s">
        <v>3</v>
      </c>
      <c r="EB203" s="2" t="s">
        <v>3</v>
      </c>
      <c r="EC203" s="2" t="s">
        <v>3</v>
      </c>
      <c r="ED203" s="2"/>
      <c r="EE203" s="2">
        <v>89976994</v>
      </c>
      <c r="EF203" s="2">
        <v>2</v>
      </c>
      <c r="EG203" s="2" t="s">
        <v>44</v>
      </c>
      <c r="EH203" s="2">
        <v>11</v>
      </c>
      <c r="EI203" s="2" t="s">
        <v>23</v>
      </c>
      <c r="EJ203" s="2">
        <v>1</v>
      </c>
      <c r="EK203" s="2">
        <v>11001</v>
      </c>
      <c r="EL203" s="2" t="s">
        <v>23</v>
      </c>
      <c r="EM203" s="2" t="s">
        <v>74</v>
      </c>
      <c r="EN203" s="2"/>
      <c r="EO203" s="2" t="s">
        <v>246</v>
      </c>
      <c r="EP203" s="2"/>
      <c r="EQ203" s="2">
        <v>0</v>
      </c>
      <c r="ER203" s="2">
        <v>0</v>
      </c>
      <c r="ES203" s="2">
        <v>0</v>
      </c>
      <c r="ET203" s="2">
        <v>0</v>
      </c>
      <c r="EU203" s="2">
        <v>0</v>
      </c>
      <c r="EV203" s="2">
        <v>0</v>
      </c>
      <c r="EW203" s="2">
        <v>16.64</v>
      </c>
      <c r="EX203" s="2">
        <v>0</v>
      </c>
      <c r="EY203" s="2">
        <v>0</v>
      </c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>
        <v>0</v>
      </c>
      <c r="FR203" s="2">
        <v>0</v>
      </c>
      <c r="FS203" s="2">
        <v>0</v>
      </c>
      <c r="FT203" s="2"/>
      <c r="FU203" s="2"/>
      <c r="FV203" s="2"/>
      <c r="FW203" s="2"/>
      <c r="FX203" s="2">
        <v>100.8</v>
      </c>
      <c r="FY203" s="2">
        <v>55.25</v>
      </c>
      <c r="FZ203" s="2"/>
      <c r="GA203" s="2" t="s">
        <v>3</v>
      </c>
      <c r="GB203" s="2"/>
      <c r="GC203" s="2"/>
      <c r="GD203" s="2">
        <v>1</v>
      </c>
      <c r="GE203" s="2"/>
      <c r="GF203" s="2">
        <v>-1768672621</v>
      </c>
      <c r="GG203" s="2">
        <v>2</v>
      </c>
      <c r="GH203" s="2">
        <v>1</v>
      </c>
      <c r="GI203" s="2">
        <v>-2</v>
      </c>
      <c r="GJ203" s="2">
        <v>0</v>
      </c>
      <c r="GK203" s="2">
        <v>0</v>
      </c>
      <c r="GL203" s="2">
        <f t="shared" si="149"/>
        <v>0</v>
      </c>
      <c r="GM203" s="2">
        <f t="shared" si="150"/>
        <v>1631.94</v>
      </c>
      <c r="GN203" s="2">
        <f t="shared" si="151"/>
        <v>1631.94</v>
      </c>
      <c r="GO203" s="2">
        <f t="shared" si="152"/>
        <v>0</v>
      </c>
      <c r="GP203" s="2">
        <f t="shared" si="153"/>
        <v>0</v>
      </c>
      <c r="GQ203" s="2"/>
      <c r="GR203" s="2">
        <v>0</v>
      </c>
      <c r="GS203" s="2">
        <v>3</v>
      </c>
      <c r="GT203" s="2">
        <v>0</v>
      </c>
      <c r="GU203" s="2" t="s">
        <v>3</v>
      </c>
      <c r="GV203" s="2">
        <f t="shared" si="154"/>
        <v>0</v>
      </c>
      <c r="GW203" s="2">
        <v>1</v>
      </c>
      <c r="GX203" s="2">
        <f t="shared" si="155"/>
        <v>0</v>
      </c>
      <c r="GY203" s="2"/>
      <c r="GZ203" s="2"/>
      <c r="HA203" s="2">
        <v>0</v>
      </c>
      <c r="HB203" s="2">
        <v>0</v>
      </c>
      <c r="HC203" s="2">
        <f t="shared" si="156"/>
        <v>0</v>
      </c>
      <c r="HD203" s="2"/>
      <c r="HE203" s="2" t="s">
        <v>3</v>
      </c>
      <c r="HF203" s="2" t="s">
        <v>3</v>
      </c>
      <c r="HG203" s="2"/>
      <c r="HH203" s="2"/>
      <c r="HI203" s="2"/>
      <c r="HJ203" s="2"/>
      <c r="HK203" s="2"/>
      <c r="HL203" s="2"/>
      <c r="HM203" s="2" t="s">
        <v>3</v>
      </c>
      <c r="HN203" s="2" t="s">
        <v>75</v>
      </c>
      <c r="HO203" s="2" t="s">
        <v>76</v>
      </c>
      <c r="HP203" s="2" t="s">
        <v>23</v>
      </c>
      <c r="HQ203" s="2" t="s">
        <v>23</v>
      </c>
      <c r="HR203" s="2"/>
      <c r="HS203" s="2">
        <v>0</v>
      </c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>
        <v>0</v>
      </c>
      <c r="IL203" s="2"/>
      <c r="IM203" s="2"/>
      <c r="IN203" s="2"/>
      <c r="IO203" s="2"/>
      <c r="IP203" s="2"/>
      <c r="IQ203" s="2"/>
      <c r="IR203" s="2"/>
      <c r="IS203" s="2"/>
      <c r="IT203" s="2"/>
      <c r="IU203" s="2"/>
    </row>
    <row r="204" spans="1:255" x14ac:dyDescent="0.2">
      <c r="A204" s="2">
        <v>18</v>
      </c>
      <c r="B204" s="2">
        <v>1</v>
      </c>
      <c r="C204" s="2">
        <v>211</v>
      </c>
      <c r="D204" s="2"/>
      <c r="E204" s="2" t="s">
        <v>276</v>
      </c>
      <c r="F204" s="2" t="s">
        <v>277</v>
      </c>
      <c r="G204" s="2" t="s">
        <v>278</v>
      </c>
      <c r="H204" s="2" t="s">
        <v>279</v>
      </c>
      <c r="I204" s="2">
        <f>I203*J204</f>
        <v>5</v>
      </c>
      <c r="J204" s="2">
        <v>100</v>
      </c>
      <c r="K204" s="2">
        <v>100</v>
      </c>
      <c r="L204" s="2"/>
      <c r="M204" s="2"/>
      <c r="N204" s="2"/>
      <c r="O204" s="2">
        <f t="shared" si="136"/>
        <v>1099.95</v>
      </c>
      <c r="P204" s="2">
        <f>ROUND(CQ204*I204,2)</f>
        <v>1099.95</v>
      </c>
      <c r="Q204" s="2">
        <f>ROUND(CR204*I204,2)</f>
        <v>0</v>
      </c>
      <c r="R204" s="2">
        <f>ROUND(CS204*I204,2)</f>
        <v>0</v>
      </c>
      <c r="S204" s="2">
        <f>ROUND(CT204*I204,2)</f>
        <v>0</v>
      </c>
      <c r="T204" s="2">
        <f t="shared" si="137"/>
        <v>0</v>
      </c>
      <c r="U204" s="2">
        <f>ROUND(CV204*I204,7)</f>
        <v>0</v>
      </c>
      <c r="V204" s="2">
        <f>ROUND(CW204*I204,7)</f>
        <v>0</v>
      </c>
      <c r="W204" s="2">
        <f t="shared" si="138"/>
        <v>0</v>
      </c>
      <c r="X204" s="2">
        <f t="shared" si="139"/>
        <v>0</v>
      </c>
      <c r="Y204" s="2">
        <f t="shared" si="140"/>
        <v>0</v>
      </c>
      <c r="Z204" s="2"/>
      <c r="AA204" s="2">
        <v>94104265</v>
      </c>
      <c r="AB204" s="2">
        <f t="shared" si="141"/>
        <v>198.19</v>
      </c>
      <c r="AC204" s="2">
        <f>ROUND((ES204),6)</f>
        <v>198.19</v>
      </c>
      <c r="AD204" s="2">
        <f>ROUND((((ET204)-(EU204))+AE204),6)</f>
        <v>0</v>
      </c>
      <c r="AE204" s="2">
        <f>ROUND((EU204),6)</f>
        <v>0</v>
      </c>
      <c r="AF204" s="2">
        <f>ROUND((EV204),6)</f>
        <v>0</v>
      </c>
      <c r="AG204" s="2">
        <f t="shared" si="142"/>
        <v>0</v>
      </c>
      <c r="AH204" s="2">
        <f>(EW204)</f>
        <v>0</v>
      </c>
      <c r="AI204" s="2">
        <f>(EX204)</f>
        <v>0</v>
      </c>
      <c r="AJ204" s="2">
        <f t="shared" si="143"/>
        <v>0</v>
      </c>
      <c r="AK204" s="2">
        <v>198.19</v>
      </c>
      <c r="AL204" s="2">
        <v>198.19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112</v>
      </c>
      <c r="AU204" s="2">
        <v>65</v>
      </c>
      <c r="AV204" s="2">
        <v>1</v>
      </c>
      <c r="AW204" s="2">
        <v>1</v>
      </c>
      <c r="AX204" s="2"/>
      <c r="AY204" s="2"/>
      <c r="AZ204" s="2">
        <v>1</v>
      </c>
      <c r="BA204" s="2">
        <v>1</v>
      </c>
      <c r="BB204" s="2">
        <v>1</v>
      </c>
      <c r="BC204" s="2">
        <v>1.1100000000000001</v>
      </c>
      <c r="BD204" s="2" t="s">
        <v>3</v>
      </c>
      <c r="BE204" s="2" t="s">
        <v>3</v>
      </c>
      <c r="BF204" s="2" t="s">
        <v>3</v>
      </c>
      <c r="BG204" s="2" t="s">
        <v>3</v>
      </c>
      <c r="BH204" s="2">
        <v>3</v>
      </c>
      <c r="BI204" s="2">
        <v>1</v>
      </c>
      <c r="BJ204" s="2" t="s">
        <v>280</v>
      </c>
      <c r="BK204" s="2"/>
      <c r="BL204" s="2"/>
      <c r="BM204" s="2">
        <v>11001</v>
      </c>
      <c r="BN204" s="2">
        <v>0</v>
      </c>
      <c r="BO204" s="2" t="s">
        <v>277</v>
      </c>
      <c r="BP204" s="2">
        <v>1</v>
      </c>
      <c r="BQ204" s="2">
        <v>2</v>
      </c>
      <c r="BR204" s="2">
        <v>0</v>
      </c>
      <c r="BS204" s="2">
        <v>1</v>
      </c>
      <c r="BT204" s="2">
        <v>1</v>
      </c>
      <c r="BU204" s="2">
        <v>1</v>
      </c>
      <c r="BV204" s="2">
        <v>1</v>
      </c>
      <c r="BW204" s="2">
        <v>1</v>
      </c>
      <c r="BX204" s="2">
        <v>1</v>
      </c>
      <c r="BY204" s="2" t="s">
        <v>3</v>
      </c>
      <c r="BZ204" s="2">
        <v>112</v>
      </c>
      <c r="CA204" s="2">
        <v>65</v>
      </c>
      <c r="CB204" s="2" t="s">
        <v>3</v>
      </c>
      <c r="CC204" s="2"/>
      <c r="CD204" s="2"/>
      <c r="CE204" s="2">
        <v>0</v>
      </c>
      <c r="CF204" s="2">
        <v>0</v>
      </c>
      <c r="CG204" s="2">
        <v>0</v>
      </c>
      <c r="CH204" s="2"/>
      <c r="CI204" s="2"/>
      <c r="CJ204" s="2"/>
      <c r="CK204" s="2"/>
      <c r="CL204" s="2"/>
      <c r="CM204" s="2">
        <v>0</v>
      </c>
      <c r="CN204" s="2" t="s">
        <v>3</v>
      </c>
      <c r="CO204" s="2">
        <v>0</v>
      </c>
      <c r="CP204" s="2">
        <f t="shared" si="144"/>
        <v>1099.95</v>
      </c>
      <c r="CQ204" s="2">
        <f>ROUND(AL204*BC204,2)</f>
        <v>219.99</v>
      </c>
      <c r="CR204" s="2">
        <f>ROUND(AM204*BB204,2)</f>
        <v>0</v>
      </c>
      <c r="CS204" s="2">
        <f>ROUND(AN204*BS204,2)</f>
        <v>0</v>
      </c>
      <c r="CT204" s="2">
        <f>ROUND(AO204*BA204,2)</f>
        <v>0</v>
      </c>
      <c r="CU204" s="2">
        <f t="shared" si="145"/>
        <v>0</v>
      </c>
      <c r="CV204" s="2">
        <f>AH204</f>
        <v>0</v>
      </c>
      <c r="CW204" s="2">
        <f>AI204</f>
        <v>0</v>
      </c>
      <c r="CX204" s="2">
        <f t="shared" si="146"/>
        <v>0</v>
      </c>
      <c r="CY204" s="2">
        <f t="shared" si="147"/>
        <v>0</v>
      </c>
      <c r="CZ204" s="2">
        <f t="shared" si="148"/>
        <v>0</v>
      </c>
      <c r="DA204" s="2"/>
      <c r="DB204" s="2"/>
      <c r="DC204" s="2" t="s">
        <v>3</v>
      </c>
      <c r="DD204" s="2" t="s">
        <v>3</v>
      </c>
      <c r="DE204" s="2" t="s">
        <v>3</v>
      </c>
      <c r="DF204" s="2" t="s">
        <v>3</v>
      </c>
      <c r="DG204" s="2" t="s">
        <v>3</v>
      </c>
      <c r="DH204" s="2" t="s">
        <v>3</v>
      </c>
      <c r="DI204" s="2" t="s">
        <v>3</v>
      </c>
      <c r="DJ204" s="2" t="s">
        <v>3</v>
      </c>
      <c r="DK204" s="2" t="s">
        <v>3</v>
      </c>
      <c r="DL204" s="2" t="s">
        <v>3</v>
      </c>
      <c r="DM204" s="2" t="s">
        <v>3</v>
      </c>
      <c r="DN204" s="2">
        <v>0</v>
      </c>
      <c r="DO204" s="2">
        <v>0</v>
      </c>
      <c r="DP204" s="2">
        <v>1</v>
      </c>
      <c r="DQ204" s="2">
        <v>1</v>
      </c>
      <c r="DR204" s="2"/>
      <c r="DS204" s="2"/>
      <c r="DT204" s="2"/>
      <c r="DU204" s="2">
        <v>1013</v>
      </c>
      <c r="DV204" s="2" t="s">
        <v>279</v>
      </c>
      <c r="DW204" s="2" t="s">
        <v>279</v>
      </c>
      <c r="DX204" s="2">
        <v>1</v>
      </c>
      <c r="DY204" s="2"/>
      <c r="DZ204" s="2" t="s">
        <v>3</v>
      </c>
      <c r="EA204" s="2" t="s">
        <v>3</v>
      </c>
      <c r="EB204" s="2" t="s">
        <v>3</v>
      </c>
      <c r="EC204" s="2" t="s">
        <v>3</v>
      </c>
      <c r="ED204" s="2"/>
      <c r="EE204" s="2">
        <v>89976994</v>
      </c>
      <c r="EF204" s="2">
        <v>2</v>
      </c>
      <c r="EG204" s="2" t="s">
        <v>44</v>
      </c>
      <c r="EH204" s="2">
        <v>11</v>
      </c>
      <c r="EI204" s="2" t="s">
        <v>23</v>
      </c>
      <c r="EJ204" s="2">
        <v>1</v>
      </c>
      <c r="EK204" s="2">
        <v>11001</v>
      </c>
      <c r="EL204" s="2" t="s">
        <v>23</v>
      </c>
      <c r="EM204" s="2" t="s">
        <v>74</v>
      </c>
      <c r="EN204" s="2"/>
      <c r="EO204" s="2" t="s">
        <v>3</v>
      </c>
      <c r="EP204" s="2"/>
      <c r="EQ204" s="2">
        <v>0</v>
      </c>
      <c r="ER204" s="2">
        <v>198.19</v>
      </c>
      <c r="ES204" s="2">
        <v>198.19</v>
      </c>
      <c r="ET204" s="2">
        <v>0</v>
      </c>
      <c r="EU204" s="2">
        <v>0</v>
      </c>
      <c r="EV204" s="2">
        <v>0</v>
      </c>
      <c r="EW204" s="2">
        <v>0</v>
      </c>
      <c r="EX204" s="2">
        <v>0</v>
      </c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>
        <v>0</v>
      </c>
      <c r="FR204" s="2">
        <v>0</v>
      </c>
      <c r="FS204" s="2">
        <v>0</v>
      </c>
      <c r="FT204" s="2"/>
      <c r="FU204" s="2"/>
      <c r="FV204" s="2"/>
      <c r="FW204" s="2"/>
      <c r="FX204" s="2">
        <v>112</v>
      </c>
      <c r="FY204" s="2">
        <v>65</v>
      </c>
      <c r="FZ204" s="2"/>
      <c r="GA204" s="2" t="s">
        <v>3</v>
      </c>
      <c r="GB204" s="2"/>
      <c r="GC204" s="2"/>
      <c r="GD204" s="2">
        <v>1</v>
      </c>
      <c r="GE204" s="2"/>
      <c r="GF204" s="2">
        <v>168275142</v>
      </c>
      <c r="GG204" s="2">
        <v>2</v>
      </c>
      <c r="GH204" s="2">
        <v>1</v>
      </c>
      <c r="GI204" s="2">
        <v>2</v>
      </c>
      <c r="GJ204" s="2">
        <v>0</v>
      </c>
      <c r="GK204" s="2">
        <v>0</v>
      </c>
      <c r="GL204" s="2">
        <f t="shared" si="149"/>
        <v>0</v>
      </c>
      <c r="GM204" s="2">
        <f t="shared" si="150"/>
        <v>1099.95</v>
      </c>
      <c r="GN204" s="2">
        <f t="shared" si="151"/>
        <v>1099.95</v>
      </c>
      <c r="GO204" s="2">
        <f t="shared" si="152"/>
        <v>0</v>
      </c>
      <c r="GP204" s="2">
        <f t="shared" si="153"/>
        <v>0</v>
      </c>
      <c r="GQ204" s="2"/>
      <c r="GR204" s="2">
        <v>0</v>
      </c>
      <c r="GS204" s="2">
        <v>3</v>
      </c>
      <c r="GT204" s="2">
        <v>0</v>
      </c>
      <c r="GU204" s="2" t="s">
        <v>3</v>
      </c>
      <c r="GV204" s="2">
        <f t="shared" si="154"/>
        <v>0</v>
      </c>
      <c r="GW204" s="2">
        <v>1</v>
      </c>
      <c r="GX204" s="2">
        <f t="shared" si="155"/>
        <v>0</v>
      </c>
      <c r="GY204" s="2"/>
      <c r="GZ204" s="2"/>
      <c r="HA204" s="2">
        <v>0</v>
      </c>
      <c r="HB204" s="2">
        <v>0</v>
      </c>
      <c r="HC204" s="2">
        <f t="shared" si="156"/>
        <v>0</v>
      </c>
      <c r="HD204" s="2"/>
      <c r="HE204" s="2" t="s">
        <v>3</v>
      </c>
      <c r="HF204" s="2" t="s">
        <v>3</v>
      </c>
      <c r="HG204" s="2"/>
      <c r="HH204" s="2"/>
      <c r="HI204" s="2"/>
      <c r="HJ204" s="2"/>
      <c r="HK204" s="2"/>
      <c r="HL204" s="2"/>
      <c r="HM204" s="2" t="s">
        <v>3</v>
      </c>
      <c r="HN204" s="2" t="s">
        <v>75</v>
      </c>
      <c r="HO204" s="2" t="s">
        <v>76</v>
      </c>
      <c r="HP204" s="2" t="s">
        <v>23</v>
      </c>
      <c r="HQ204" s="2" t="s">
        <v>23</v>
      </c>
      <c r="HR204" s="2"/>
      <c r="HS204" s="2">
        <v>0</v>
      </c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>
        <v>0</v>
      </c>
      <c r="IL204" s="2"/>
      <c r="IM204" s="2"/>
      <c r="IN204" s="2"/>
      <c r="IO204" s="2"/>
      <c r="IP204" s="2"/>
      <c r="IQ204" s="2"/>
      <c r="IR204" s="2"/>
      <c r="IS204" s="2"/>
      <c r="IT204" s="2"/>
      <c r="IU204" s="2"/>
    </row>
    <row r="206" spans="1:255" x14ac:dyDescent="0.2">
      <c r="A206" s="3">
        <v>51</v>
      </c>
      <c r="B206" s="3">
        <f>B191</f>
        <v>1</v>
      </c>
      <c r="C206" s="3">
        <f>A191</f>
        <v>5</v>
      </c>
      <c r="D206" s="3">
        <f>ROW(A191)</f>
        <v>191</v>
      </c>
      <c r="E206" s="3"/>
      <c r="F206" s="3" t="str">
        <f>IF(F191&lt;&gt;"",F191,"")</f>
        <v>Новый подраздел</v>
      </c>
      <c r="G206" s="3" t="str">
        <f>IF(G191&lt;&gt;"",G191,"")</f>
        <v>Раздевалка мужская</v>
      </c>
      <c r="H206" s="3">
        <v>0</v>
      </c>
      <c r="I206" s="3"/>
      <c r="J206" s="3"/>
      <c r="K206" s="3"/>
      <c r="L206" s="3"/>
      <c r="M206" s="3"/>
      <c r="N206" s="3"/>
      <c r="O206" s="3">
        <f t="shared" ref="O206:T206" si="160">ROUND(AB206,2)</f>
        <v>35357.57</v>
      </c>
      <c r="P206" s="3">
        <f t="shared" si="160"/>
        <v>17946.27</v>
      </c>
      <c r="Q206" s="3">
        <f t="shared" si="160"/>
        <v>50.13</v>
      </c>
      <c r="R206" s="3">
        <f t="shared" si="160"/>
        <v>112.54</v>
      </c>
      <c r="S206" s="3">
        <f t="shared" si="160"/>
        <v>17248.63</v>
      </c>
      <c r="T206" s="3">
        <f t="shared" si="160"/>
        <v>0</v>
      </c>
      <c r="U206" s="3">
        <f>AH206</f>
        <v>26.107478</v>
      </c>
      <c r="V206" s="3">
        <f>AI206</f>
        <v>0.16279959999999999</v>
      </c>
      <c r="W206" s="3">
        <f>ROUND(AJ206,2)</f>
        <v>0</v>
      </c>
      <c r="X206" s="3">
        <f>ROUND(AK206,2)</f>
        <v>15946.68</v>
      </c>
      <c r="Y206" s="3">
        <f>ROUND(AL206,2)</f>
        <v>8298.52</v>
      </c>
      <c r="Z206" s="3"/>
      <c r="AA206" s="3"/>
      <c r="AB206" s="3">
        <f>ROUND(SUMIF(AA195:AA204,"=94104265",O195:O204),2)</f>
        <v>35357.57</v>
      </c>
      <c r="AC206" s="3">
        <f>ROUND(SUMIF(AA195:AA204,"=94104265",P195:P204),2)</f>
        <v>17946.27</v>
      </c>
      <c r="AD206" s="3">
        <f>ROUND(SUMIF(AA195:AA204,"=94104265",Q195:Q204),2)</f>
        <v>50.13</v>
      </c>
      <c r="AE206" s="3">
        <f>ROUND(SUMIF(AA195:AA204,"=94104265",R195:R204),2)</f>
        <v>112.54</v>
      </c>
      <c r="AF206" s="3">
        <f>ROUND(SUMIF(AA195:AA204,"=94104265",S195:S204),2)</f>
        <v>17248.63</v>
      </c>
      <c r="AG206" s="3">
        <f>ROUND(SUMIF(AA195:AA204,"=94104265",T195:T204),2)</f>
        <v>0</v>
      </c>
      <c r="AH206" s="3">
        <f>SUMIF(AA195:AA204,"=94104265",U195:U204)</f>
        <v>26.107478</v>
      </c>
      <c r="AI206" s="3">
        <f>SUMIF(AA195:AA204,"=94104265",V195:V204)</f>
        <v>0.16279959999999999</v>
      </c>
      <c r="AJ206" s="3">
        <f>ROUND(SUMIF(AA195:AA204,"=94104265",W195:W204),2)</f>
        <v>0</v>
      </c>
      <c r="AK206" s="3">
        <f>ROUND(SUMIF(AA195:AA204,"=94104265",X195:X204),2)</f>
        <v>15946.68</v>
      </c>
      <c r="AL206" s="3">
        <f>ROUND(SUMIF(AA195:AA204,"=94104265",Y195:Y204),2)</f>
        <v>8298.52</v>
      </c>
      <c r="AM206" s="3"/>
      <c r="AN206" s="3"/>
      <c r="AO206" s="3">
        <f t="shared" ref="AO206:BD206" si="161">ROUND(BX206,2)</f>
        <v>0</v>
      </c>
      <c r="AP206" s="3">
        <f t="shared" si="161"/>
        <v>0</v>
      </c>
      <c r="AQ206" s="3">
        <f t="shared" si="161"/>
        <v>0</v>
      </c>
      <c r="AR206" s="3">
        <f t="shared" si="161"/>
        <v>59602.77</v>
      </c>
      <c r="AS206" s="3">
        <f t="shared" si="161"/>
        <v>59602.77</v>
      </c>
      <c r="AT206" s="3">
        <f t="shared" si="161"/>
        <v>0</v>
      </c>
      <c r="AU206" s="3">
        <f t="shared" si="161"/>
        <v>0</v>
      </c>
      <c r="AV206" s="3">
        <f t="shared" si="161"/>
        <v>17946.27</v>
      </c>
      <c r="AW206" s="3">
        <f t="shared" si="161"/>
        <v>17946.27</v>
      </c>
      <c r="AX206" s="3">
        <f t="shared" si="161"/>
        <v>0</v>
      </c>
      <c r="AY206" s="3">
        <f t="shared" si="161"/>
        <v>17946.27</v>
      </c>
      <c r="AZ206" s="3">
        <f t="shared" si="161"/>
        <v>0</v>
      </c>
      <c r="BA206" s="3">
        <f t="shared" si="161"/>
        <v>0</v>
      </c>
      <c r="BB206" s="3">
        <f t="shared" si="161"/>
        <v>0</v>
      </c>
      <c r="BC206" s="3">
        <f t="shared" si="161"/>
        <v>0</v>
      </c>
      <c r="BD206" s="3">
        <f t="shared" si="161"/>
        <v>0</v>
      </c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>
        <f>ROUND(SUMIF(AA195:AA204,"=94104265",FQ195:FQ204),2)</f>
        <v>0</v>
      </c>
      <c r="BY206" s="3">
        <f>ROUND(SUMIF(AA195:AA204,"=94104265",FR195:FR204),2)</f>
        <v>0</v>
      </c>
      <c r="BZ206" s="3">
        <f>ROUND(SUMIF(AA195:AA204,"=94104265",GL195:GL204),2)</f>
        <v>0</v>
      </c>
      <c r="CA206" s="3">
        <f>ROUND(SUMIF(AA195:AA204,"=94104265",GM195:GM204),2)</f>
        <v>59602.77</v>
      </c>
      <c r="CB206" s="3">
        <f>ROUND(SUMIF(AA195:AA204,"=94104265",GN195:GN204),2)</f>
        <v>59602.77</v>
      </c>
      <c r="CC206" s="3">
        <f>ROUND(SUMIF(AA195:AA204,"=94104265",GO195:GO204),2)</f>
        <v>0</v>
      </c>
      <c r="CD206" s="3">
        <f>ROUND(SUMIF(AA195:AA204,"=94104265",GP195:GP204),2)</f>
        <v>0</v>
      </c>
      <c r="CE206" s="3">
        <f>AC206-BX206</f>
        <v>17946.27</v>
      </c>
      <c r="CF206" s="3">
        <f>AC206-BY206</f>
        <v>17946.27</v>
      </c>
      <c r="CG206" s="3">
        <f>BX206-BZ206</f>
        <v>0</v>
      </c>
      <c r="CH206" s="3">
        <f>AC206-BX206-BY206+BZ206</f>
        <v>17946.27</v>
      </c>
      <c r="CI206" s="3">
        <f>BY206-BZ206</f>
        <v>0</v>
      </c>
      <c r="CJ206" s="3">
        <f>ROUND(SUMIF(AA195:AA204,"=94104265",GX195:GX204),2)</f>
        <v>0</v>
      </c>
      <c r="CK206" s="3">
        <f>ROUND(SUMIF(AA195:AA204,"=94104265",GY195:GY204),2)</f>
        <v>0</v>
      </c>
      <c r="CL206" s="3">
        <f>ROUND(SUMIF(AA195:AA204,"=94104265",GZ195:GZ204),2)</f>
        <v>0</v>
      </c>
      <c r="CM206" s="3">
        <f>ROUND(SUMIF(AA195:AA204,"=94104265",HD195:HD204),2)</f>
        <v>0</v>
      </c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>
        <v>0</v>
      </c>
    </row>
    <row r="208" spans="1:255" x14ac:dyDescent="0.2">
      <c r="A208" s="5">
        <v>50</v>
      </c>
      <c r="B208" s="5">
        <v>0</v>
      </c>
      <c r="C208" s="5">
        <v>0</v>
      </c>
      <c r="D208" s="5">
        <v>1</v>
      </c>
      <c r="E208" s="5">
        <v>201</v>
      </c>
      <c r="F208" s="5">
        <f>ROUND(Source!O206,O208)</f>
        <v>35357.57</v>
      </c>
      <c r="G208" s="5" t="s">
        <v>146</v>
      </c>
      <c r="H208" s="5" t="s">
        <v>147</v>
      </c>
      <c r="I208" s="5"/>
      <c r="J208" s="5"/>
      <c r="K208" s="5">
        <v>201</v>
      </c>
      <c r="L208" s="5">
        <v>1</v>
      </c>
      <c r="M208" s="5">
        <v>3</v>
      </c>
      <c r="N208" s="5" t="s">
        <v>3</v>
      </c>
      <c r="O208" s="5">
        <v>2</v>
      </c>
      <c r="P208" s="5"/>
      <c r="Q208" s="5"/>
      <c r="R208" s="5"/>
      <c r="S208" s="5"/>
      <c r="T208" s="5"/>
      <c r="U208" s="5"/>
      <c r="V208" s="5"/>
      <c r="W208" s="5">
        <v>35357.57</v>
      </c>
      <c r="X208" s="5">
        <v>1</v>
      </c>
      <c r="Y208" s="5">
        <v>35357.57</v>
      </c>
      <c r="Z208" s="5"/>
      <c r="AA208" s="5"/>
      <c r="AB208" s="5"/>
    </row>
    <row r="209" spans="1:28" x14ac:dyDescent="0.2">
      <c r="A209" s="5">
        <v>50</v>
      </c>
      <c r="B209" s="5">
        <v>0</v>
      </c>
      <c r="C209" s="5">
        <v>0</v>
      </c>
      <c r="D209" s="5">
        <v>1</v>
      </c>
      <c r="E209" s="5">
        <v>202</v>
      </c>
      <c r="F209" s="5">
        <f>ROUND(Source!P206,O209)</f>
        <v>17946.27</v>
      </c>
      <c r="G209" s="5" t="s">
        <v>148</v>
      </c>
      <c r="H209" s="5" t="s">
        <v>149</v>
      </c>
      <c r="I209" s="5"/>
      <c r="J209" s="5"/>
      <c r="K209" s="5">
        <v>202</v>
      </c>
      <c r="L209" s="5">
        <v>2</v>
      </c>
      <c r="M209" s="5">
        <v>3</v>
      </c>
      <c r="N209" s="5" t="s">
        <v>3</v>
      </c>
      <c r="O209" s="5">
        <v>2</v>
      </c>
      <c r="P209" s="5"/>
      <c r="Q209" s="5"/>
      <c r="R209" s="5"/>
      <c r="S209" s="5"/>
      <c r="T209" s="5"/>
      <c r="U209" s="5"/>
      <c r="V209" s="5"/>
      <c r="W209" s="5">
        <v>17946.27</v>
      </c>
      <c r="X209" s="5">
        <v>1</v>
      </c>
      <c r="Y209" s="5">
        <v>17946.27</v>
      </c>
      <c r="Z209" s="5"/>
      <c r="AA209" s="5"/>
      <c r="AB209" s="5"/>
    </row>
    <row r="210" spans="1:28" x14ac:dyDescent="0.2">
      <c r="A210" s="5">
        <v>50</v>
      </c>
      <c r="B210" s="5">
        <v>0</v>
      </c>
      <c r="C210" s="5">
        <v>0</v>
      </c>
      <c r="D210" s="5">
        <v>1</v>
      </c>
      <c r="E210" s="5">
        <v>222</v>
      </c>
      <c r="F210" s="5">
        <f>ROUND(Source!AO206,O210)</f>
        <v>0</v>
      </c>
      <c r="G210" s="5" t="s">
        <v>150</v>
      </c>
      <c r="H210" s="5" t="s">
        <v>151</v>
      </c>
      <c r="I210" s="5"/>
      <c r="J210" s="5"/>
      <c r="K210" s="5">
        <v>222</v>
      </c>
      <c r="L210" s="5">
        <v>3</v>
      </c>
      <c r="M210" s="5">
        <v>3</v>
      </c>
      <c r="N210" s="5" t="s">
        <v>3</v>
      </c>
      <c r="O210" s="5">
        <v>2</v>
      </c>
      <c r="P210" s="5"/>
      <c r="Q210" s="5"/>
      <c r="R210" s="5"/>
      <c r="S210" s="5"/>
      <c r="T210" s="5"/>
      <c r="U210" s="5"/>
      <c r="V210" s="5"/>
      <c r="W210" s="5">
        <v>0</v>
      </c>
      <c r="X210" s="5">
        <v>1</v>
      </c>
      <c r="Y210" s="5">
        <v>0</v>
      </c>
      <c r="Z210" s="5"/>
      <c r="AA210" s="5"/>
      <c r="AB210" s="5"/>
    </row>
    <row r="211" spans="1:28" x14ac:dyDescent="0.2">
      <c r="A211" s="5">
        <v>50</v>
      </c>
      <c r="B211" s="5">
        <v>0</v>
      </c>
      <c r="C211" s="5">
        <v>0</v>
      </c>
      <c r="D211" s="5">
        <v>1</v>
      </c>
      <c r="E211" s="5">
        <v>225</v>
      </c>
      <c r="F211" s="5">
        <f>ROUND(Source!AV206,O211)</f>
        <v>17946.27</v>
      </c>
      <c r="G211" s="5" t="s">
        <v>152</v>
      </c>
      <c r="H211" s="5" t="s">
        <v>153</v>
      </c>
      <c r="I211" s="5"/>
      <c r="J211" s="5"/>
      <c r="K211" s="5">
        <v>225</v>
      </c>
      <c r="L211" s="5">
        <v>4</v>
      </c>
      <c r="M211" s="5">
        <v>3</v>
      </c>
      <c r="N211" s="5" t="s">
        <v>3</v>
      </c>
      <c r="O211" s="5">
        <v>2</v>
      </c>
      <c r="P211" s="5"/>
      <c r="Q211" s="5"/>
      <c r="R211" s="5"/>
      <c r="S211" s="5"/>
      <c r="T211" s="5"/>
      <c r="U211" s="5"/>
      <c r="V211" s="5"/>
      <c r="W211" s="5">
        <v>17946.27</v>
      </c>
      <c r="X211" s="5">
        <v>1</v>
      </c>
      <c r="Y211" s="5">
        <v>17946.27</v>
      </c>
      <c r="Z211" s="5"/>
      <c r="AA211" s="5"/>
      <c r="AB211" s="5"/>
    </row>
    <row r="212" spans="1:28" x14ac:dyDescent="0.2">
      <c r="A212" s="5">
        <v>50</v>
      </c>
      <c r="B212" s="5">
        <v>0</v>
      </c>
      <c r="C212" s="5">
        <v>0</v>
      </c>
      <c r="D212" s="5">
        <v>1</v>
      </c>
      <c r="E212" s="5">
        <v>226</v>
      </c>
      <c r="F212" s="5">
        <f>ROUND(Source!AW206,O212)</f>
        <v>17946.27</v>
      </c>
      <c r="G212" s="5" t="s">
        <v>154</v>
      </c>
      <c r="H212" s="5" t="s">
        <v>155</v>
      </c>
      <c r="I212" s="5"/>
      <c r="J212" s="5"/>
      <c r="K212" s="5">
        <v>226</v>
      </c>
      <c r="L212" s="5">
        <v>5</v>
      </c>
      <c r="M212" s="5">
        <v>3</v>
      </c>
      <c r="N212" s="5" t="s">
        <v>3</v>
      </c>
      <c r="O212" s="5">
        <v>2</v>
      </c>
      <c r="P212" s="5"/>
      <c r="Q212" s="5"/>
      <c r="R212" s="5"/>
      <c r="S212" s="5"/>
      <c r="T212" s="5"/>
      <c r="U212" s="5"/>
      <c r="V212" s="5"/>
      <c r="W212" s="5">
        <v>17946.27</v>
      </c>
      <c r="X212" s="5">
        <v>1</v>
      </c>
      <c r="Y212" s="5">
        <v>17946.27</v>
      </c>
      <c r="Z212" s="5"/>
      <c r="AA212" s="5"/>
      <c r="AB212" s="5"/>
    </row>
    <row r="213" spans="1:28" x14ac:dyDescent="0.2">
      <c r="A213" s="5">
        <v>50</v>
      </c>
      <c r="B213" s="5">
        <v>0</v>
      </c>
      <c r="C213" s="5">
        <v>0</v>
      </c>
      <c r="D213" s="5">
        <v>1</v>
      </c>
      <c r="E213" s="5">
        <v>227</v>
      </c>
      <c r="F213" s="5">
        <f>ROUND(Source!AX206,O213)</f>
        <v>0</v>
      </c>
      <c r="G213" s="5" t="s">
        <v>156</v>
      </c>
      <c r="H213" s="5" t="s">
        <v>157</v>
      </c>
      <c r="I213" s="5"/>
      <c r="J213" s="5"/>
      <c r="K213" s="5">
        <v>227</v>
      </c>
      <c r="L213" s="5">
        <v>6</v>
      </c>
      <c r="M213" s="5">
        <v>3</v>
      </c>
      <c r="N213" s="5" t="s">
        <v>3</v>
      </c>
      <c r="O213" s="5">
        <v>2</v>
      </c>
      <c r="P213" s="5"/>
      <c r="Q213" s="5"/>
      <c r="R213" s="5"/>
      <c r="S213" s="5"/>
      <c r="T213" s="5"/>
      <c r="U213" s="5"/>
      <c r="V213" s="5"/>
      <c r="W213" s="5">
        <v>0</v>
      </c>
      <c r="X213" s="5">
        <v>1</v>
      </c>
      <c r="Y213" s="5">
        <v>0</v>
      </c>
      <c r="Z213" s="5"/>
      <c r="AA213" s="5"/>
      <c r="AB213" s="5"/>
    </row>
    <row r="214" spans="1:28" x14ac:dyDescent="0.2">
      <c r="A214" s="5">
        <v>50</v>
      </c>
      <c r="B214" s="5">
        <v>0</v>
      </c>
      <c r="C214" s="5">
        <v>0</v>
      </c>
      <c r="D214" s="5">
        <v>1</v>
      </c>
      <c r="E214" s="5">
        <v>228</v>
      </c>
      <c r="F214" s="5">
        <f>ROUND(Source!AY206,O214)</f>
        <v>17946.27</v>
      </c>
      <c r="G214" s="5" t="s">
        <v>158</v>
      </c>
      <c r="H214" s="5" t="s">
        <v>159</v>
      </c>
      <c r="I214" s="5"/>
      <c r="J214" s="5"/>
      <c r="K214" s="5">
        <v>228</v>
      </c>
      <c r="L214" s="5">
        <v>7</v>
      </c>
      <c r="M214" s="5">
        <v>3</v>
      </c>
      <c r="N214" s="5" t="s">
        <v>3</v>
      </c>
      <c r="O214" s="5">
        <v>2</v>
      </c>
      <c r="P214" s="5"/>
      <c r="Q214" s="5"/>
      <c r="R214" s="5"/>
      <c r="S214" s="5"/>
      <c r="T214" s="5"/>
      <c r="U214" s="5"/>
      <c r="V214" s="5"/>
      <c r="W214" s="5">
        <v>17946.27</v>
      </c>
      <c r="X214" s="5">
        <v>1</v>
      </c>
      <c r="Y214" s="5">
        <v>17946.27</v>
      </c>
      <c r="Z214" s="5"/>
      <c r="AA214" s="5"/>
      <c r="AB214" s="5"/>
    </row>
    <row r="215" spans="1:28" x14ac:dyDescent="0.2">
      <c r="A215" s="5">
        <v>50</v>
      </c>
      <c r="B215" s="5">
        <v>0</v>
      </c>
      <c r="C215" s="5">
        <v>0</v>
      </c>
      <c r="D215" s="5">
        <v>1</v>
      </c>
      <c r="E215" s="5">
        <v>216</v>
      </c>
      <c r="F215" s="5">
        <f>ROUND(Source!AP206,O215)</f>
        <v>0</v>
      </c>
      <c r="G215" s="5" t="s">
        <v>160</v>
      </c>
      <c r="H215" s="5" t="s">
        <v>161</v>
      </c>
      <c r="I215" s="5"/>
      <c r="J215" s="5"/>
      <c r="K215" s="5">
        <v>216</v>
      </c>
      <c r="L215" s="5">
        <v>8</v>
      </c>
      <c r="M215" s="5">
        <v>3</v>
      </c>
      <c r="N215" s="5" t="s">
        <v>3</v>
      </c>
      <c r="O215" s="5">
        <v>2</v>
      </c>
      <c r="P215" s="5"/>
      <c r="Q215" s="5"/>
      <c r="R215" s="5"/>
      <c r="S215" s="5"/>
      <c r="T215" s="5"/>
      <c r="U215" s="5"/>
      <c r="V215" s="5"/>
      <c r="W215" s="5">
        <v>0</v>
      </c>
      <c r="X215" s="5">
        <v>1</v>
      </c>
      <c r="Y215" s="5">
        <v>0</v>
      </c>
      <c r="Z215" s="5"/>
      <c r="AA215" s="5"/>
      <c r="AB215" s="5"/>
    </row>
    <row r="216" spans="1:28" x14ac:dyDescent="0.2">
      <c r="A216" s="5">
        <v>50</v>
      </c>
      <c r="B216" s="5">
        <v>0</v>
      </c>
      <c r="C216" s="5">
        <v>0</v>
      </c>
      <c r="D216" s="5">
        <v>1</v>
      </c>
      <c r="E216" s="5">
        <v>223</v>
      </c>
      <c r="F216" s="5">
        <f>ROUND(Source!AQ206,O216)</f>
        <v>0</v>
      </c>
      <c r="G216" s="5" t="s">
        <v>162</v>
      </c>
      <c r="H216" s="5" t="s">
        <v>163</v>
      </c>
      <c r="I216" s="5"/>
      <c r="J216" s="5"/>
      <c r="K216" s="5">
        <v>223</v>
      </c>
      <c r="L216" s="5">
        <v>9</v>
      </c>
      <c r="M216" s="5">
        <v>3</v>
      </c>
      <c r="N216" s="5" t="s">
        <v>3</v>
      </c>
      <c r="O216" s="5">
        <v>2</v>
      </c>
      <c r="P216" s="5"/>
      <c r="Q216" s="5"/>
      <c r="R216" s="5"/>
      <c r="S216" s="5"/>
      <c r="T216" s="5"/>
      <c r="U216" s="5"/>
      <c r="V216" s="5"/>
      <c r="W216" s="5">
        <v>0</v>
      </c>
      <c r="X216" s="5">
        <v>1</v>
      </c>
      <c r="Y216" s="5">
        <v>0</v>
      </c>
      <c r="Z216" s="5"/>
      <c r="AA216" s="5"/>
      <c r="AB216" s="5"/>
    </row>
    <row r="217" spans="1:28" x14ac:dyDescent="0.2">
      <c r="A217" s="5">
        <v>50</v>
      </c>
      <c r="B217" s="5">
        <v>0</v>
      </c>
      <c r="C217" s="5">
        <v>0</v>
      </c>
      <c r="D217" s="5">
        <v>1</v>
      </c>
      <c r="E217" s="5">
        <v>229</v>
      </c>
      <c r="F217" s="5">
        <f>ROUND(Source!AZ206,O217)</f>
        <v>0</v>
      </c>
      <c r="G217" s="5" t="s">
        <v>164</v>
      </c>
      <c r="H217" s="5" t="s">
        <v>165</v>
      </c>
      <c r="I217" s="5"/>
      <c r="J217" s="5"/>
      <c r="K217" s="5">
        <v>229</v>
      </c>
      <c r="L217" s="5">
        <v>10</v>
      </c>
      <c r="M217" s="5">
        <v>3</v>
      </c>
      <c r="N217" s="5" t="s">
        <v>3</v>
      </c>
      <c r="O217" s="5">
        <v>2</v>
      </c>
      <c r="P217" s="5"/>
      <c r="Q217" s="5"/>
      <c r="R217" s="5"/>
      <c r="S217" s="5"/>
      <c r="T217" s="5"/>
      <c r="U217" s="5"/>
      <c r="V217" s="5"/>
      <c r="W217" s="5">
        <v>0</v>
      </c>
      <c r="X217" s="5">
        <v>1</v>
      </c>
      <c r="Y217" s="5">
        <v>0</v>
      </c>
      <c r="Z217" s="5"/>
      <c r="AA217" s="5"/>
      <c r="AB217" s="5"/>
    </row>
    <row r="218" spans="1:28" x14ac:dyDescent="0.2">
      <c r="A218" s="5">
        <v>50</v>
      </c>
      <c r="B218" s="5">
        <v>0</v>
      </c>
      <c r="C218" s="5">
        <v>0</v>
      </c>
      <c r="D218" s="5">
        <v>1</v>
      </c>
      <c r="E218" s="5">
        <v>203</v>
      </c>
      <c r="F218" s="5">
        <f>ROUND(Source!Q206,O218)</f>
        <v>50.13</v>
      </c>
      <c r="G218" s="5" t="s">
        <v>166</v>
      </c>
      <c r="H218" s="5" t="s">
        <v>167</v>
      </c>
      <c r="I218" s="5"/>
      <c r="J218" s="5"/>
      <c r="K218" s="5">
        <v>203</v>
      </c>
      <c r="L218" s="5">
        <v>11</v>
      </c>
      <c r="M218" s="5">
        <v>3</v>
      </c>
      <c r="N218" s="5" t="s">
        <v>3</v>
      </c>
      <c r="O218" s="5">
        <v>2</v>
      </c>
      <c r="P218" s="5"/>
      <c r="Q218" s="5"/>
      <c r="R218" s="5"/>
      <c r="S218" s="5"/>
      <c r="T218" s="5"/>
      <c r="U218" s="5"/>
      <c r="V218" s="5"/>
      <c r="W218" s="5">
        <v>50.129999999999995</v>
      </c>
      <c r="X218" s="5">
        <v>1</v>
      </c>
      <c r="Y218" s="5">
        <v>50.129999999999995</v>
      </c>
      <c r="Z218" s="5"/>
      <c r="AA218" s="5"/>
      <c r="AB218" s="5"/>
    </row>
    <row r="219" spans="1:28" x14ac:dyDescent="0.2">
      <c r="A219" s="5">
        <v>50</v>
      </c>
      <c r="B219" s="5">
        <v>0</v>
      </c>
      <c r="C219" s="5">
        <v>0</v>
      </c>
      <c r="D219" s="5">
        <v>1</v>
      </c>
      <c r="E219" s="5">
        <v>231</v>
      </c>
      <c r="F219" s="5">
        <f>ROUND(Source!BB206,O219)</f>
        <v>0</v>
      </c>
      <c r="G219" s="5" t="s">
        <v>168</v>
      </c>
      <c r="H219" s="5" t="s">
        <v>169</v>
      </c>
      <c r="I219" s="5"/>
      <c r="J219" s="5"/>
      <c r="K219" s="5">
        <v>231</v>
      </c>
      <c r="L219" s="5">
        <v>12</v>
      </c>
      <c r="M219" s="5">
        <v>3</v>
      </c>
      <c r="N219" s="5" t="s">
        <v>3</v>
      </c>
      <c r="O219" s="5">
        <v>2</v>
      </c>
      <c r="P219" s="5"/>
      <c r="Q219" s="5"/>
      <c r="R219" s="5"/>
      <c r="S219" s="5"/>
      <c r="T219" s="5"/>
      <c r="U219" s="5"/>
      <c r="V219" s="5"/>
      <c r="W219" s="5">
        <v>0</v>
      </c>
      <c r="X219" s="5">
        <v>1</v>
      </c>
      <c r="Y219" s="5">
        <v>0</v>
      </c>
      <c r="Z219" s="5"/>
      <c r="AA219" s="5"/>
      <c r="AB219" s="5"/>
    </row>
    <row r="220" spans="1:28" x14ac:dyDescent="0.2">
      <c r="A220" s="5">
        <v>50</v>
      </c>
      <c r="B220" s="5">
        <v>0</v>
      </c>
      <c r="C220" s="5">
        <v>0</v>
      </c>
      <c r="D220" s="5">
        <v>1</v>
      </c>
      <c r="E220" s="5">
        <v>204</v>
      </c>
      <c r="F220" s="5">
        <f>ROUND(Source!R206,O220)</f>
        <v>112.54</v>
      </c>
      <c r="G220" s="5" t="s">
        <v>170</v>
      </c>
      <c r="H220" s="5" t="s">
        <v>171</v>
      </c>
      <c r="I220" s="5"/>
      <c r="J220" s="5"/>
      <c r="K220" s="5">
        <v>204</v>
      </c>
      <c r="L220" s="5">
        <v>13</v>
      </c>
      <c r="M220" s="5">
        <v>3</v>
      </c>
      <c r="N220" s="5" t="s">
        <v>3</v>
      </c>
      <c r="O220" s="5">
        <v>2</v>
      </c>
      <c r="P220" s="5"/>
      <c r="Q220" s="5"/>
      <c r="R220" s="5"/>
      <c r="S220" s="5"/>
      <c r="T220" s="5"/>
      <c r="U220" s="5"/>
      <c r="V220" s="5"/>
      <c r="W220" s="5">
        <v>112.54</v>
      </c>
      <c r="X220" s="5">
        <v>1</v>
      </c>
      <c r="Y220" s="5">
        <v>112.54</v>
      </c>
      <c r="Z220" s="5"/>
      <c r="AA220" s="5"/>
      <c r="AB220" s="5"/>
    </row>
    <row r="221" spans="1:28" x14ac:dyDescent="0.2">
      <c r="A221" s="5">
        <v>50</v>
      </c>
      <c r="B221" s="5">
        <v>0</v>
      </c>
      <c r="C221" s="5">
        <v>0</v>
      </c>
      <c r="D221" s="5">
        <v>1</v>
      </c>
      <c r="E221" s="5">
        <v>205</v>
      </c>
      <c r="F221" s="5">
        <f>ROUND(Source!S206,O221)</f>
        <v>17248.63</v>
      </c>
      <c r="G221" s="5" t="s">
        <v>172</v>
      </c>
      <c r="H221" s="5" t="s">
        <v>173</v>
      </c>
      <c r="I221" s="5"/>
      <c r="J221" s="5"/>
      <c r="K221" s="5">
        <v>205</v>
      </c>
      <c r="L221" s="5">
        <v>14</v>
      </c>
      <c r="M221" s="5">
        <v>3</v>
      </c>
      <c r="N221" s="5" t="s">
        <v>3</v>
      </c>
      <c r="O221" s="5">
        <v>2</v>
      </c>
      <c r="P221" s="5"/>
      <c r="Q221" s="5"/>
      <c r="R221" s="5"/>
      <c r="S221" s="5"/>
      <c r="T221" s="5"/>
      <c r="U221" s="5"/>
      <c r="V221" s="5"/>
      <c r="W221" s="5">
        <v>17248.63</v>
      </c>
      <c r="X221" s="5">
        <v>1</v>
      </c>
      <c r="Y221" s="5">
        <v>17248.63</v>
      </c>
      <c r="Z221" s="5"/>
      <c r="AA221" s="5"/>
      <c r="AB221" s="5"/>
    </row>
    <row r="222" spans="1:28" x14ac:dyDescent="0.2">
      <c r="A222" s="5">
        <v>50</v>
      </c>
      <c r="B222" s="5">
        <v>0</v>
      </c>
      <c r="C222" s="5">
        <v>0</v>
      </c>
      <c r="D222" s="5">
        <v>1</v>
      </c>
      <c r="E222" s="5">
        <v>232</v>
      </c>
      <c r="F222" s="5">
        <f>ROUND(Source!BC206,O222)</f>
        <v>0</v>
      </c>
      <c r="G222" s="5" t="s">
        <v>174</v>
      </c>
      <c r="H222" s="5" t="s">
        <v>175</v>
      </c>
      <c r="I222" s="5"/>
      <c r="J222" s="5"/>
      <c r="K222" s="5">
        <v>232</v>
      </c>
      <c r="L222" s="5">
        <v>15</v>
      </c>
      <c r="M222" s="5">
        <v>3</v>
      </c>
      <c r="N222" s="5" t="s">
        <v>3</v>
      </c>
      <c r="O222" s="5">
        <v>2</v>
      </c>
      <c r="P222" s="5"/>
      <c r="Q222" s="5"/>
      <c r="R222" s="5"/>
      <c r="S222" s="5"/>
      <c r="T222" s="5"/>
      <c r="U222" s="5"/>
      <c r="V222" s="5"/>
      <c r="W222" s="5">
        <v>0</v>
      </c>
      <c r="X222" s="5">
        <v>1</v>
      </c>
      <c r="Y222" s="5">
        <v>0</v>
      </c>
      <c r="Z222" s="5"/>
      <c r="AA222" s="5"/>
      <c r="AB222" s="5"/>
    </row>
    <row r="223" spans="1:28" x14ac:dyDescent="0.2">
      <c r="A223" s="5">
        <v>50</v>
      </c>
      <c r="B223" s="5">
        <v>0</v>
      </c>
      <c r="C223" s="5">
        <v>0</v>
      </c>
      <c r="D223" s="5">
        <v>1</v>
      </c>
      <c r="E223" s="5">
        <v>214</v>
      </c>
      <c r="F223" s="5">
        <f>ROUND(Source!AS206,O223)</f>
        <v>59602.77</v>
      </c>
      <c r="G223" s="5" t="s">
        <v>176</v>
      </c>
      <c r="H223" s="5" t="s">
        <v>177</v>
      </c>
      <c r="I223" s="5"/>
      <c r="J223" s="5"/>
      <c r="K223" s="5">
        <v>214</v>
      </c>
      <c r="L223" s="5">
        <v>16</v>
      </c>
      <c r="M223" s="5">
        <v>3</v>
      </c>
      <c r="N223" s="5" t="s">
        <v>3</v>
      </c>
      <c r="O223" s="5">
        <v>2</v>
      </c>
      <c r="P223" s="5"/>
      <c r="Q223" s="5"/>
      <c r="R223" s="5"/>
      <c r="S223" s="5"/>
      <c r="T223" s="5"/>
      <c r="U223" s="5"/>
      <c r="V223" s="5"/>
      <c r="W223" s="5">
        <v>59602.77</v>
      </c>
      <c r="X223" s="5">
        <v>1</v>
      </c>
      <c r="Y223" s="5">
        <v>59602.77</v>
      </c>
      <c r="Z223" s="5"/>
      <c r="AA223" s="5"/>
      <c r="AB223" s="5"/>
    </row>
    <row r="224" spans="1:28" x14ac:dyDescent="0.2">
      <c r="A224" s="5">
        <v>50</v>
      </c>
      <c r="B224" s="5">
        <v>0</v>
      </c>
      <c r="C224" s="5">
        <v>0</v>
      </c>
      <c r="D224" s="5">
        <v>1</v>
      </c>
      <c r="E224" s="5">
        <v>215</v>
      </c>
      <c r="F224" s="5">
        <f>ROUND(Source!AT206,O224)</f>
        <v>0</v>
      </c>
      <c r="G224" s="5" t="s">
        <v>178</v>
      </c>
      <c r="H224" s="5" t="s">
        <v>179</v>
      </c>
      <c r="I224" s="5"/>
      <c r="J224" s="5"/>
      <c r="K224" s="5">
        <v>215</v>
      </c>
      <c r="L224" s="5">
        <v>17</v>
      </c>
      <c r="M224" s="5">
        <v>3</v>
      </c>
      <c r="N224" s="5" t="s">
        <v>3</v>
      </c>
      <c r="O224" s="5">
        <v>2</v>
      </c>
      <c r="P224" s="5"/>
      <c r="Q224" s="5"/>
      <c r="R224" s="5"/>
      <c r="S224" s="5"/>
      <c r="T224" s="5"/>
      <c r="U224" s="5"/>
      <c r="V224" s="5"/>
      <c r="W224" s="5">
        <v>0</v>
      </c>
      <c r="X224" s="5">
        <v>1</v>
      </c>
      <c r="Y224" s="5">
        <v>0</v>
      </c>
      <c r="Z224" s="5"/>
      <c r="AA224" s="5"/>
      <c r="AB224" s="5"/>
    </row>
    <row r="225" spans="1:255" x14ac:dyDescent="0.2">
      <c r="A225" s="5">
        <v>50</v>
      </c>
      <c r="B225" s="5">
        <v>0</v>
      </c>
      <c r="C225" s="5">
        <v>0</v>
      </c>
      <c r="D225" s="5">
        <v>1</v>
      </c>
      <c r="E225" s="5">
        <v>217</v>
      </c>
      <c r="F225" s="5">
        <f>ROUND(Source!AU206,O225)</f>
        <v>0</v>
      </c>
      <c r="G225" s="5" t="s">
        <v>180</v>
      </c>
      <c r="H225" s="5" t="s">
        <v>181</v>
      </c>
      <c r="I225" s="5"/>
      <c r="J225" s="5"/>
      <c r="K225" s="5">
        <v>217</v>
      </c>
      <c r="L225" s="5">
        <v>18</v>
      </c>
      <c r="M225" s="5">
        <v>3</v>
      </c>
      <c r="N225" s="5" t="s">
        <v>3</v>
      </c>
      <c r="O225" s="5">
        <v>2</v>
      </c>
      <c r="P225" s="5"/>
      <c r="Q225" s="5"/>
      <c r="R225" s="5"/>
      <c r="S225" s="5"/>
      <c r="T225" s="5"/>
      <c r="U225" s="5"/>
      <c r="V225" s="5"/>
      <c r="W225" s="5">
        <v>0</v>
      </c>
      <c r="X225" s="5">
        <v>1</v>
      </c>
      <c r="Y225" s="5">
        <v>0</v>
      </c>
      <c r="Z225" s="5"/>
      <c r="AA225" s="5"/>
      <c r="AB225" s="5"/>
    </row>
    <row r="226" spans="1:255" x14ac:dyDescent="0.2">
      <c r="A226" s="5">
        <v>50</v>
      </c>
      <c r="B226" s="5">
        <v>0</v>
      </c>
      <c r="C226" s="5">
        <v>0</v>
      </c>
      <c r="D226" s="5">
        <v>1</v>
      </c>
      <c r="E226" s="5">
        <v>230</v>
      </c>
      <c r="F226" s="5">
        <f>ROUND(Source!BA206,O226)</f>
        <v>0</v>
      </c>
      <c r="G226" s="5" t="s">
        <v>182</v>
      </c>
      <c r="H226" s="5" t="s">
        <v>183</v>
      </c>
      <c r="I226" s="5"/>
      <c r="J226" s="5"/>
      <c r="K226" s="5">
        <v>230</v>
      </c>
      <c r="L226" s="5">
        <v>19</v>
      </c>
      <c r="M226" s="5">
        <v>3</v>
      </c>
      <c r="N226" s="5" t="s">
        <v>3</v>
      </c>
      <c r="O226" s="5">
        <v>2</v>
      </c>
      <c r="P226" s="5"/>
      <c r="Q226" s="5"/>
      <c r="R226" s="5"/>
      <c r="S226" s="5"/>
      <c r="T226" s="5"/>
      <c r="U226" s="5"/>
      <c r="V226" s="5"/>
      <c r="W226" s="5">
        <v>0</v>
      </c>
      <c r="X226" s="5">
        <v>1</v>
      </c>
      <c r="Y226" s="5">
        <v>0</v>
      </c>
      <c r="Z226" s="5"/>
      <c r="AA226" s="5"/>
      <c r="AB226" s="5"/>
    </row>
    <row r="227" spans="1:255" x14ac:dyDescent="0.2">
      <c r="A227" s="5">
        <v>50</v>
      </c>
      <c r="B227" s="5">
        <v>0</v>
      </c>
      <c r="C227" s="5">
        <v>0</v>
      </c>
      <c r="D227" s="5">
        <v>1</v>
      </c>
      <c r="E227" s="5">
        <v>206</v>
      </c>
      <c r="F227" s="5">
        <f>ROUND(Source!T206,O227)</f>
        <v>0</v>
      </c>
      <c r="G227" s="5" t="s">
        <v>184</v>
      </c>
      <c r="H227" s="5" t="s">
        <v>185</v>
      </c>
      <c r="I227" s="5"/>
      <c r="J227" s="5"/>
      <c r="K227" s="5">
        <v>206</v>
      </c>
      <c r="L227" s="5">
        <v>20</v>
      </c>
      <c r="M227" s="5">
        <v>3</v>
      </c>
      <c r="N227" s="5" t="s">
        <v>3</v>
      </c>
      <c r="O227" s="5">
        <v>2</v>
      </c>
      <c r="P227" s="5"/>
      <c r="Q227" s="5"/>
      <c r="R227" s="5"/>
      <c r="S227" s="5"/>
      <c r="T227" s="5"/>
      <c r="U227" s="5"/>
      <c r="V227" s="5"/>
      <c r="W227" s="5">
        <v>0</v>
      </c>
      <c r="X227" s="5">
        <v>1</v>
      </c>
      <c r="Y227" s="5">
        <v>0</v>
      </c>
      <c r="Z227" s="5"/>
      <c r="AA227" s="5"/>
      <c r="AB227" s="5"/>
    </row>
    <row r="228" spans="1:255" x14ac:dyDescent="0.2">
      <c r="A228" s="5">
        <v>50</v>
      </c>
      <c r="B228" s="5">
        <v>0</v>
      </c>
      <c r="C228" s="5">
        <v>0</v>
      </c>
      <c r="D228" s="5">
        <v>1</v>
      </c>
      <c r="E228" s="5">
        <v>207</v>
      </c>
      <c r="F228" s="5">
        <f>ROUND(Source!U206,O228)</f>
        <v>26.107478</v>
      </c>
      <c r="G228" s="5" t="s">
        <v>186</v>
      </c>
      <c r="H228" s="5" t="s">
        <v>187</v>
      </c>
      <c r="I228" s="5"/>
      <c r="J228" s="5"/>
      <c r="K228" s="5">
        <v>207</v>
      </c>
      <c r="L228" s="5">
        <v>21</v>
      </c>
      <c r="M228" s="5">
        <v>3</v>
      </c>
      <c r="N228" s="5" t="s">
        <v>3</v>
      </c>
      <c r="O228" s="5">
        <v>7</v>
      </c>
      <c r="P228" s="5"/>
      <c r="Q228" s="5"/>
      <c r="R228" s="5"/>
      <c r="S228" s="5"/>
      <c r="T228" s="5"/>
      <c r="U228" s="5"/>
      <c r="V228" s="5"/>
      <c r="W228" s="5">
        <v>26.107478</v>
      </c>
      <c r="X228" s="5">
        <v>1</v>
      </c>
      <c r="Y228" s="5">
        <v>26.107478</v>
      </c>
      <c r="Z228" s="5"/>
      <c r="AA228" s="5"/>
      <c r="AB228" s="5"/>
    </row>
    <row r="229" spans="1:255" x14ac:dyDescent="0.2">
      <c r="A229" s="5">
        <v>50</v>
      </c>
      <c r="B229" s="5">
        <v>0</v>
      </c>
      <c r="C229" s="5">
        <v>0</v>
      </c>
      <c r="D229" s="5">
        <v>1</v>
      </c>
      <c r="E229" s="5">
        <v>208</v>
      </c>
      <c r="F229" s="5">
        <f>ROUND(Source!V206,O229)</f>
        <v>0.16279959999999999</v>
      </c>
      <c r="G229" s="5" t="s">
        <v>188</v>
      </c>
      <c r="H229" s="5" t="s">
        <v>189</v>
      </c>
      <c r="I229" s="5"/>
      <c r="J229" s="5"/>
      <c r="K229" s="5">
        <v>208</v>
      </c>
      <c r="L229" s="5">
        <v>22</v>
      </c>
      <c r="M229" s="5">
        <v>3</v>
      </c>
      <c r="N229" s="5" t="s">
        <v>3</v>
      </c>
      <c r="O229" s="5">
        <v>7</v>
      </c>
      <c r="P229" s="5"/>
      <c r="Q229" s="5"/>
      <c r="R229" s="5"/>
      <c r="S229" s="5"/>
      <c r="T229" s="5"/>
      <c r="U229" s="5"/>
      <c r="V229" s="5"/>
      <c r="W229" s="5">
        <v>0.16279959999999999</v>
      </c>
      <c r="X229" s="5">
        <v>1</v>
      </c>
      <c r="Y229" s="5">
        <v>0.16279959999999999</v>
      </c>
      <c r="Z229" s="5"/>
      <c r="AA229" s="5"/>
      <c r="AB229" s="5"/>
    </row>
    <row r="230" spans="1:255" x14ac:dyDescent="0.2">
      <c r="A230" s="5">
        <v>50</v>
      </c>
      <c r="B230" s="5">
        <v>0</v>
      </c>
      <c r="C230" s="5">
        <v>0</v>
      </c>
      <c r="D230" s="5">
        <v>1</v>
      </c>
      <c r="E230" s="5">
        <v>209</v>
      </c>
      <c r="F230" s="5">
        <f>ROUND(Source!W206,O230)</f>
        <v>0</v>
      </c>
      <c r="G230" s="5" t="s">
        <v>190</v>
      </c>
      <c r="H230" s="5" t="s">
        <v>191</v>
      </c>
      <c r="I230" s="5"/>
      <c r="J230" s="5"/>
      <c r="K230" s="5">
        <v>209</v>
      </c>
      <c r="L230" s="5">
        <v>23</v>
      </c>
      <c r="M230" s="5">
        <v>3</v>
      </c>
      <c r="N230" s="5" t="s">
        <v>3</v>
      </c>
      <c r="O230" s="5">
        <v>2</v>
      </c>
      <c r="P230" s="5"/>
      <c r="Q230" s="5"/>
      <c r="R230" s="5"/>
      <c r="S230" s="5"/>
      <c r="T230" s="5"/>
      <c r="U230" s="5"/>
      <c r="V230" s="5"/>
      <c r="W230" s="5">
        <v>0</v>
      </c>
      <c r="X230" s="5">
        <v>1</v>
      </c>
      <c r="Y230" s="5">
        <v>0</v>
      </c>
      <c r="Z230" s="5"/>
      <c r="AA230" s="5"/>
      <c r="AB230" s="5"/>
    </row>
    <row r="231" spans="1:255" x14ac:dyDescent="0.2">
      <c r="A231" s="5">
        <v>50</v>
      </c>
      <c r="B231" s="5">
        <v>0</v>
      </c>
      <c r="C231" s="5">
        <v>0</v>
      </c>
      <c r="D231" s="5">
        <v>1</v>
      </c>
      <c r="E231" s="5">
        <v>233</v>
      </c>
      <c r="F231" s="5">
        <f>ROUND(Source!BD206,O231)</f>
        <v>0</v>
      </c>
      <c r="G231" s="5" t="s">
        <v>192</v>
      </c>
      <c r="H231" s="5" t="s">
        <v>193</v>
      </c>
      <c r="I231" s="5"/>
      <c r="J231" s="5"/>
      <c r="K231" s="5">
        <v>233</v>
      </c>
      <c r="L231" s="5">
        <v>24</v>
      </c>
      <c r="M231" s="5">
        <v>3</v>
      </c>
      <c r="N231" s="5" t="s">
        <v>3</v>
      </c>
      <c r="O231" s="5">
        <v>2</v>
      </c>
      <c r="P231" s="5"/>
      <c r="Q231" s="5"/>
      <c r="R231" s="5"/>
      <c r="S231" s="5"/>
      <c r="T231" s="5"/>
      <c r="U231" s="5"/>
      <c r="V231" s="5"/>
      <c r="W231" s="5">
        <v>0</v>
      </c>
      <c r="X231" s="5">
        <v>1</v>
      </c>
      <c r="Y231" s="5">
        <v>0</v>
      </c>
      <c r="Z231" s="5"/>
      <c r="AA231" s="5"/>
      <c r="AB231" s="5"/>
    </row>
    <row r="232" spans="1:255" x14ac:dyDescent="0.2">
      <c r="A232" s="5">
        <v>50</v>
      </c>
      <c r="B232" s="5">
        <v>0</v>
      </c>
      <c r="C232" s="5">
        <v>0</v>
      </c>
      <c r="D232" s="5">
        <v>1</v>
      </c>
      <c r="E232" s="5">
        <v>210</v>
      </c>
      <c r="F232" s="5">
        <f>ROUND(Source!X206,O232)</f>
        <v>15946.68</v>
      </c>
      <c r="G232" s="5" t="s">
        <v>194</v>
      </c>
      <c r="H232" s="5" t="s">
        <v>195</v>
      </c>
      <c r="I232" s="5"/>
      <c r="J232" s="5"/>
      <c r="K232" s="5">
        <v>210</v>
      </c>
      <c r="L232" s="5">
        <v>25</v>
      </c>
      <c r="M232" s="5">
        <v>3</v>
      </c>
      <c r="N232" s="5" t="s">
        <v>3</v>
      </c>
      <c r="O232" s="5">
        <v>2</v>
      </c>
      <c r="P232" s="5"/>
      <c r="Q232" s="5"/>
      <c r="R232" s="5"/>
      <c r="S232" s="5"/>
      <c r="T232" s="5"/>
      <c r="U232" s="5"/>
      <c r="V232" s="5"/>
      <c r="W232" s="5">
        <v>15946.68</v>
      </c>
      <c r="X232" s="5">
        <v>1</v>
      </c>
      <c r="Y232" s="5">
        <v>15946.68</v>
      </c>
      <c r="Z232" s="5"/>
      <c r="AA232" s="5"/>
      <c r="AB232" s="5"/>
    </row>
    <row r="233" spans="1:255" x14ac:dyDescent="0.2">
      <c r="A233" s="5">
        <v>50</v>
      </c>
      <c r="B233" s="5">
        <v>0</v>
      </c>
      <c r="C233" s="5">
        <v>0</v>
      </c>
      <c r="D233" s="5">
        <v>1</v>
      </c>
      <c r="E233" s="5">
        <v>211</v>
      </c>
      <c r="F233" s="5">
        <f>ROUND(Source!Y206,O233)</f>
        <v>8298.52</v>
      </c>
      <c r="G233" s="5" t="s">
        <v>196</v>
      </c>
      <c r="H233" s="5" t="s">
        <v>197</v>
      </c>
      <c r="I233" s="5"/>
      <c r="J233" s="5"/>
      <c r="K233" s="5">
        <v>211</v>
      </c>
      <c r="L233" s="5">
        <v>26</v>
      </c>
      <c r="M233" s="5">
        <v>3</v>
      </c>
      <c r="N233" s="5" t="s">
        <v>3</v>
      </c>
      <c r="O233" s="5">
        <v>2</v>
      </c>
      <c r="P233" s="5"/>
      <c r="Q233" s="5"/>
      <c r="R233" s="5"/>
      <c r="S233" s="5"/>
      <c r="T233" s="5"/>
      <c r="U233" s="5"/>
      <c r="V233" s="5"/>
      <c r="W233" s="5">
        <v>8298.52</v>
      </c>
      <c r="X233" s="5">
        <v>1</v>
      </c>
      <c r="Y233" s="5">
        <v>8298.52</v>
      </c>
      <c r="Z233" s="5"/>
      <c r="AA233" s="5"/>
      <c r="AB233" s="5"/>
    </row>
    <row r="234" spans="1:255" x14ac:dyDescent="0.2">
      <c r="A234" s="5">
        <v>50</v>
      </c>
      <c r="B234" s="5">
        <v>0</v>
      </c>
      <c r="C234" s="5">
        <v>0</v>
      </c>
      <c r="D234" s="5">
        <v>1</v>
      </c>
      <c r="E234" s="5">
        <v>224</v>
      </c>
      <c r="F234" s="5">
        <f>ROUND(Source!AR206,O234)</f>
        <v>59602.77</v>
      </c>
      <c r="G234" s="5" t="s">
        <v>198</v>
      </c>
      <c r="H234" s="5" t="s">
        <v>199</v>
      </c>
      <c r="I234" s="5"/>
      <c r="J234" s="5"/>
      <c r="K234" s="5">
        <v>224</v>
      </c>
      <c r="L234" s="5">
        <v>27</v>
      </c>
      <c r="M234" s="5">
        <v>3</v>
      </c>
      <c r="N234" s="5" t="s">
        <v>3</v>
      </c>
      <c r="O234" s="5">
        <v>2</v>
      </c>
      <c r="P234" s="5"/>
      <c r="Q234" s="5"/>
      <c r="R234" s="5"/>
      <c r="S234" s="5"/>
      <c r="T234" s="5"/>
      <c r="U234" s="5"/>
      <c r="V234" s="5"/>
      <c r="W234" s="5">
        <v>59602.77</v>
      </c>
      <c r="X234" s="5">
        <v>1</v>
      </c>
      <c r="Y234" s="5">
        <v>59602.77</v>
      </c>
      <c r="Z234" s="5"/>
      <c r="AA234" s="5"/>
      <c r="AB234" s="5"/>
    </row>
    <row r="236" spans="1:255" x14ac:dyDescent="0.2">
      <c r="A236" s="1">
        <v>5</v>
      </c>
      <c r="B236" s="1">
        <v>1</v>
      </c>
      <c r="C236" s="1"/>
      <c r="D236" s="1">
        <f>ROW(A243)</f>
        <v>243</v>
      </c>
      <c r="E236" s="1"/>
      <c r="F236" s="1" t="s">
        <v>206</v>
      </c>
      <c r="G236" s="1" t="s">
        <v>29</v>
      </c>
      <c r="H236" s="1" t="s">
        <v>3</v>
      </c>
      <c r="I236" s="1">
        <v>0</v>
      </c>
      <c r="J236" s="1"/>
      <c r="K236" s="1">
        <v>0</v>
      </c>
      <c r="L236" s="1"/>
      <c r="M236" s="1" t="s">
        <v>3</v>
      </c>
      <c r="N236" s="1"/>
      <c r="O236" s="1"/>
      <c r="P236" s="1"/>
      <c r="Q236" s="1"/>
      <c r="R236" s="1"/>
      <c r="S236" s="1">
        <v>0</v>
      </c>
      <c r="T236" s="1"/>
      <c r="U236" s="1" t="s">
        <v>3</v>
      </c>
      <c r="V236" s="1">
        <v>0</v>
      </c>
      <c r="W236" s="1"/>
      <c r="X236" s="1"/>
      <c r="Y236" s="1"/>
      <c r="Z236" s="1"/>
      <c r="AA236" s="1"/>
      <c r="AB236" s="1" t="s">
        <v>3</v>
      </c>
      <c r="AC236" s="1" t="s">
        <v>3</v>
      </c>
      <c r="AD236" s="1" t="s">
        <v>3</v>
      </c>
      <c r="AE236" s="1" t="s">
        <v>3</v>
      </c>
      <c r="AF236" s="1" t="s">
        <v>3</v>
      </c>
      <c r="AG236" s="1" t="s">
        <v>3</v>
      </c>
      <c r="AH236" s="1"/>
      <c r="AI236" s="1"/>
      <c r="AJ236" s="1"/>
      <c r="AK236" s="1"/>
      <c r="AL236" s="1"/>
      <c r="AM236" s="1"/>
      <c r="AN236" s="1"/>
      <c r="AO236" s="1"/>
      <c r="AP236" s="1" t="s">
        <v>3</v>
      </c>
      <c r="AQ236" s="1" t="s">
        <v>3</v>
      </c>
      <c r="AR236" s="1" t="s">
        <v>3</v>
      </c>
      <c r="AS236" s="1"/>
      <c r="AT236" s="1"/>
      <c r="AU236" s="1"/>
      <c r="AV236" s="1"/>
      <c r="AW236" s="1"/>
      <c r="AX236" s="1"/>
      <c r="AY236" s="1"/>
      <c r="AZ236" s="1" t="s">
        <v>3</v>
      </c>
      <c r="BA236" s="1"/>
      <c r="BB236" s="1" t="s">
        <v>3</v>
      </c>
      <c r="BC236" s="1" t="s">
        <v>3</v>
      </c>
      <c r="BD236" s="1" t="s">
        <v>3</v>
      </c>
      <c r="BE236" s="1" t="s">
        <v>3</v>
      </c>
      <c r="BF236" s="1" t="s">
        <v>3</v>
      </c>
      <c r="BG236" s="1" t="s">
        <v>3</v>
      </c>
      <c r="BH236" s="1" t="s">
        <v>3</v>
      </c>
      <c r="BI236" s="1" t="s">
        <v>3</v>
      </c>
      <c r="BJ236" s="1" t="s">
        <v>3</v>
      </c>
      <c r="BK236" s="1" t="s">
        <v>3</v>
      </c>
      <c r="BL236" s="1" t="s">
        <v>3</v>
      </c>
      <c r="BM236" s="1" t="s">
        <v>3</v>
      </c>
      <c r="BN236" s="1" t="s">
        <v>3</v>
      </c>
      <c r="BO236" s="1" t="s">
        <v>3</v>
      </c>
      <c r="BP236" s="1" t="s">
        <v>3</v>
      </c>
      <c r="BQ236" s="1"/>
      <c r="BR236" s="1"/>
      <c r="BS236" s="1"/>
      <c r="BT236" s="1"/>
      <c r="BU236" s="1"/>
      <c r="BV236" s="1"/>
      <c r="BW236" s="1"/>
      <c r="BX236" s="1">
        <v>0</v>
      </c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>
        <v>0</v>
      </c>
    </row>
    <row r="238" spans="1:255" x14ac:dyDescent="0.2">
      <c r="A238" s="3">
        <v>52</v>
      </c>
      <c r="B238" s="3">
        <f t="shared" ref="B238:G238" si="162">B243</f>
        <v>1</v>
      </c>
      <c r="C238" s="3">
        <f t="shared" si="162"/>
        <v>5</v>
      </c>
      <c r="D238" s="3">
        <f t="shared" si="162"/>
        <v>236</v>
      </c>
      <c r="E238" s="3">
        <f t="shared" si="162"/>
        <v>0</v>
      </c>
      <c r="F238" s="3" t="str">
        <f t="shared" si="162"/>
        <v>Новый подраздел</v>
      </c>
      <c r="G238" s="3" t="str">
        <f t="shared" si="162"/>
        <v>Строительный мусор</v>
      </c>
      <c r="H238" s="3"/>
      <c r="I238" s="3"/>
      <c r="J238" s="3"/>
      <c r="K238" s="3"/>
      <c r="L238" s="3"/>
      <c r="M238" s="3"/>
      <c r="N238" s="3"/>
      <c r="O238" s="3">
        <f t="shared" ref="O238:AT238" si="163">O243</f>
        <v>0</v>
      </c>
      <c r="P238" s="3">
        <f t="shared" si="163"/>
        <v>0</v>
      </c>
      <c r="Q238" s="3">
        <f t="shared" si="163"/>
        <v>0</v>
      </c>
      <c r="R238" s="3">
        <f t="shared" si="163"/>
        <v>0</v>
      </c>
      <c r="S238" s="3">
        <f t="shared" si="163"/>
        <v>0</v>
      </c>
      <c r="T238" s="3">
        <f t="shared" si="163"/>
        <v>0</v>
      </c>
      <c r="U238" s="3">
        <f t="shared" si="163"/>
        <v>0</v>
      </c>
      <c r="V238" s="3">
        <f t="shared" si="163"/>
        <v>0</v>
      </c>
      <c r="W238" s="3">
        <f t="shared" si="163"/>
        <v>0</v>
      </c>
      <c r="X238" s="3">
        <f t="shared" si="163"/>
        <v>0</v>
      </c>
      <c r="Y238" s="3">
        <f t="shared" si="163"/>
        <v>0</v>
      </c>
      <c r="Z238" s="3">
        <f t="shared" si="163"/>
        <v>0</v>
      </c>
      <c r="AA238" s="3">
        <f t="shared" si="163"/>
        <v>0</v>
      </c>
      <c r="AB238" s="3">
        <f t="shared" si="163"/>
        <v>0</v>
      </c>
      <c r="AC238" s="3">
        <f t="shared" si="163"/>
        <v>0</v>
      </c>
      <c r="AD238" s="3">
        <f t="shared" si="163"/>
        <v>0</v>
      </c>
      <c r="AE238" s="3">
        <f t="shared" si="163"/>
        <v>0</v>
      </c>
      <c r="AF238" s="3">
        <f t="shared" si="163"/>
        <v>0</v>
      </c>
      <c r="AG238" s="3">
        <f t="shared" si="163"/>
        <v>0</v>
      </c>
      <c r="AH238" s="3">
        <f t="shared" si="163"/>
        <v>0</v>
      </c>
      <c r="AI238" s="3">
        <f t="shared" si="163"/>
        <v>0</v>
      </c>
      <c r="AJ238" s="3">
        <f t="shared" si="163"/>
        <v>0</v>
      </c>
      <c r="AK238" s="3">
        <f t="shared" si="163"/>
        <v>0</v>
      </c>
      <c r="AL238" s="3">
        <f t="shared" si="163"/>
        <v>0</v>
      </c>
      <c r="AM238" s="3">
        <f t="shared" si="163"/>
        <v>0</v>
      </c>
      <c r="AN238" s="3">
        <f t="shared" si="163"/>
        <v>0</v>
      </c>
      <c r="AO238" s="3">
        <f t="shared" si="163"/>
        <v>0</v>
      </c>
      <c r="AP238" s="3">
        <f t="shared" si="163"/>
        <v>0</v>
      </c>
      <c r="AQ238" s="3">
        <f t="shared" si="163"/>
        <v>0</v>
      </c>
      <c r="AR238" s="3">
        <f t="shared" si="163"/>
        <v>2572.6799999999998</v>
      </c>
      <c r="AS238" s="3">
        <f t="shared" si="163"/>
        <v>2572.6799999999998</v>
      </c>
      <c r="AT238" s="3">
        <f t="shared" si="163"/>
        <v>0</v>
      </c>
      <c r="AU238" s="3">
        <f t="shared" ref="AU238:BZ238" si="164">AU243</f>
        <v>0</v>
      </c>
      <c r="AV238" s="3">
        <f t="shared" si="164"/>
        <v>0</v>
      </c>
      <c r="AW238" s="3">
        <f t="shared" si="164"/>
        <v>0</v>
      </c>
      <c r="AX238" s="3">
        <f t="shared" si="164"/>
        <v>0</v>
      </c>
      <c r="AY238" s="3">
        <f t="shared" si="164"/>
        <v>0</v>
      </c>
      <c r="AZ238" s="3">
        <f t="shared" si="164"/>
        <v>0</v>
      </c>
      <c r="BA238" s="3">
        <f t="shared" si="164"/>
        <v>0</v>
      </c>
      <c r="BB238" s="3">
        <f t="shared" si="164"/>
        <v>0</v>
      </c>
      <c r="BC238" s="3">
        <f t="shared" si="164"/>
        <v>0</v>
      </c>
      <c r="BD238" s="3">
        <f t="shared" si="164"/>
        <v>2572.6799999999998</v>
      </c>
      <c r="BE238" s="3">
        <f t="shared" si="164"/>
        <v>0</v>
      </c>
      <c r="BF238" s="3">
        <f t="shared" si="164"/>
        <v>0</v>
      </c>
      <c r="BG238" s="3">
        <f t="shared" si="164"/>
        <v>0</v>
      </c>
      <c r="BH238" s="3">
        <f t="shared" si="164"/>
        <v>0</v>
      </c>
      <c r="BI238" s="3">
        <f t="shared" si="164"/>
        <v>0</v>
      </c>
      <c r="BJ238" s="3">
        <f t="shared" si="164"/>
        <v>0</v>
      </c>
      <c r="BK238" s="3">
        <f t="shared" si="164"/>
        <v>0</v>
      </c>
      <c r="BL238" s="3">
        <f t="shared" si="164"/>
        <v>0</v>
      </c>
      <c r="BM238" s="3">
        <f t="shared" si="164"/>
        <v>0</v>
      </c>
      <c r="BN238" s="3">
        <f t="shared" si="164"/>
        <v>0</v>
      </c>
      <c r="BO238" s="3">
        <f t="shared" si="164"/>
        <v>0</v>
      </c>
      <c r="BP238" s="3">
        <f t="shared" si="164"/>
        <v>0</v>
      </c>
      <c r="BQ238" s="3">
        <f t="shared" si="164"/>
        <v>0</v>
      </c>
      <c r="BR238" s="3">
        <f t="shared" si="164"/>
        <v>0</v>
      </c>
      <c r="BS238" s="3">
        <f t="shared" si="164"/>
        <v>0</v>
      </c>
      <c r="BT238" s="3">
        <f t="shared" si="164"/>
        <v>0</v>
      </c>
      <c r="BU238" s="3">
        <f t="shared" si="164"/>
        <v>0</v>
      </c>
      <c r="BV238" s="3">
        <f t="shared" si="164"/>
        <v>0</v>
      </c>
      <c r="BW238" s="3">
        <f t="shared" si="164"/>
        <v>0</v>
      </c>
      <c r="BX238" s="3">
        <f t="shared" si="164"/>
        <v>0</v>
      </c>
      <c r="BY238" s="3">
        <f t="shared" si="164"/>
        <v>0</v>
      </c>
      <c r="BZ238" s="3">
        <f t="shared" si="164"/>
        <v>0</v>
      </c>
      <c r="CA238" s="3">
        <f t="shared" ref="CA238:DF238" si="165">CA243</f>
        <v>2572.6799999999998</v>
      </c>
      <c r="CB238" s="3">
        <f t="shared" si="165"/>
        <v>2572.6799999999998</v>
      </c>
      <c r="CC238" s="3">
        <f t="shared" si="165"/>
        <v>0</v>
      </c>
      <c r="CD238" s="3">
        <f t="shared" si="165"/>
        <v>0</v>
      </c>
      <c r="CE238" s="3">
        <f t="shared" si="165"/>
        <v>0</v>
      </c>
      <c r="CF238" s="3">
        <f t="shared" si="165"/>
        <v>0</v>
      </c>
      <c r="CG238" s="3">
        <f t="shared" si="165"/>
        <v>0</v>
      </c>
      <c r="CH238" s="3">
        <f t="shared" si="165"/>
        <v>0</v>
      </c>
      <c r="CI238" s="3">
        <f t="shared" si="165"/>
        <v>0</v>
      </c>
      <c r="CJ238" s="3">
        <f t="shared" si="165"/>
        <v>0</v>
      </c>
      <c r="CK238" s="3">
        <f t="shared" si="165"/>
        <v>0</v>
      </c>
      <c r="CL238" s="3">
        <f t="shared" si="165"/>
        <v>0</v>
      </c>
      <c r="CM238" s="3">
        <f t="shared" si="165"/>
        <v>2572.6799999999998</v>
      </c>
      <c r="CN238" s="3">
        <f t="shared" si="165"/>
        <v>0</v>
      </c>
      <c r="CO238" s="3">
        <f t="shared" si="165"/>
        <v>0</v>
      </c>
      <c r="CP238" s="3">
        <f t="shared" si="165"/>
        <v>0</v>
      </c>
      <c r="CQ238" s="3">
        <f t="shared" si="165"/>
        <v>0</v>
      </c>
      <c r="CR238" s="3">
        <f t="shared" si="165"/>
        <v>0</v>
      </c>
      <c r="CS238" s="3">
        <f t="shared" si="165"/>
        <v>0</v>
      </c>
      <c r="CT238" s="3">
        <f t="shared" si="165"/>
        <v>0</v>
      </c>
      <c r="CU238" s="3">
        <f t="shared" si="165"/>
        <v>0</v>
      </c>
      <c r="CV238" s="3">
        <f t="shared" si="165"/>
        <v>0</v>
      </c>
      <c r="CW238" s="3">
        <f t="shared" si="165"/>
        <v>0</v>
      </c>
      <c r="CX238" s="3">
        <f t="shared" si="165"/>
        <v>0</v>
      </c>
      <c r="CY238" s="3">
        <f t="shared" si="165"/>
        <v>0</v>
      </c>
      <c r="CZ238" s="3">
        <f t="shared" si="165"/>
        <v>0</v>
      </c>
      <c r="DA238" s="3">
        <f t="shared" si="165"/>
        <v>0</v>
      </c>
      <c r="DB238" s="3">
        <f t="shared" si="165"/>
        <v>0</v>
      </c>
      <c r="DC238" s="3">
        <f t="shared" si="165"/>
        <v>0</v>
      </c>
      <c r="DD238" s="3">
        <f t="shared" si="165"/>
        <v>0</v>
      </c>
      <c r="DE238" s="3">
        <f t="shared" si="165"/>
        <v>0</v>
      </c>
      <c r="DF238" s="3">
        <f t="shared" si="165"/>
        <v>0</v>
      </c>
      <c r="DG238" s="4">
        <f t="shared" ref="DG238:EL238" si="166">DG243</f>
        <v>0</v>
      </c>
      <c r="DH238" s="4">
        <f t="shared" si="166"/>
        <v>0</v>
      </c>
      <c r="DI238" s="4">
        <f t="shared" si="166"/>
        <v>0</v>
      </c>
      <c r="DJ238" s="4">
        <f t="shared" si="166"/>
        <v>0</v>
      </c>
      <c r="DK238" s="4">
        <f t="shared" si="166"/>
        <v>0</v>
      </c>
      <c r="DL238" s="4">
        <f t="shared" si="166"/>
        <v>0</v>
      </c>
      <c r="DM238" s="4">
        <f t="shared" si="166"/>
        <v>0</v>
      </c>
      <c r="DN238" s="4">
        <f t="shared" si="166"/>
        <v>0</v>
      </c>
      <c r="DO238" s="4">
        <f t="shared" si="166"/>
        <v>0</v>
      </c>
      <c r="DP238" s="4">
        <f t="shared" si="166"/>
        <v>0</v>
      </c>
      <c r="DQ238" s="4">
        <f t="shared" si="166"/>
        <v>0</v>
      </c>
      <c r="DR238" s="4">
        <f t="shared" si="166"/>
        <v>0</v>
      </c>
      <c r="DS238" s="4">
        <f t="shared" si="166"/>
        <v>0</v>
      </c>
      <c r="DT238" s="4">
        <f t="shared" si="166"/>
        <v>0</v>
      </c>
      <c r="DU238" s="4">
        <f t="shared" si="166"/>
        <v>0</v>
      </c>
      <c r="DV238" s="4">
        <f t="shared" si="166"/>
        <v>0</v>
      </c>
      <c r="DW238" s="4">
        <f t="shared" si="166"/>
        <v>0</v>
      </c>
      <c r="DX238" s="4">
        <f t="shared" si="166"/>
        <v>0</v>
      </c>
      <c r="DY238" s="4">
        <f t="shared" si="166"/>
        <v>0</v>
      </c>
      <c r="DZ238" s="4">
        <f t="shared" si="166"/>
        <v>0</v>
      </c>
      <c r="EA238" s="4">
        <f t="shared" si="166"/>
        <v>0</v>
      </c>
      <c r="EB238" s="4">
        <f t="shared" si="166"/>
        <v>0</v>
      </c>
      <c r="EC238" s="4">
        <f t="shared" si="166"/>
        <v>0</v>
      </c>
      <c r="ED238" s="4">
        <f t="shared" si="166"/>
        <v>0</v>
      </c>
      <c r="EE238" s="4">
        <f t="shared" si="166"/>
        <v>0</v>
      </c>
      <c r="EF238" s="4">
        <f t="shared" si="166"/>
        <v>0</v>
      </c>
      <c r="EG238" s="4">
        <f t="shared" si="166"/>
        <v>0</v>
      </c>
      <c r="EH238" s="4">
        <f t="shared" si="166"/>
        <v>0</v>
      </c>
      <c r="EI238" s="4">
        <f t="shared" si="166"/>
        <v>0</v>
      </c>
      <c r="EJ238" s="4">
        <f t="shared" si="166"/>
        <v>0</v>
      </c>
      <c r="EK238" s="4">
        <f t="shared" si="166"/>
        <v>0</v>
      </c>
      <c r="EL238" s="4">
        <f t="shared" si="166"/>
        <v>0</v>
      </c>
      <c r="EM238" s="4">
        <f t="shared" ref="EM238:FR238" si="167">EM243</f>
        <v>0</v>
      </c>
      <c r="EN238" s="4">
        <f t="shared" si="167"/>
        <v>0</v>
      </c>
      <c r="EO238" s="4">
        <f t="shared" si="167"/>
        <v>0</v>
      </c>
      <c r="EP238" s="4">
        <f t="shared" si="167"/>
        <v>0</v>
      </c>
      <c r="EQ238" s="4">
        <f t="shared" si="167"/>
        <v>0</v>
      </c>
      <c r="ER238" s="4">
        <f t="shared" si="167"/>
        <v>0</v>
      </c>
      <c r="ES238" s="4">
        <f t="shared" si="167"/>
        <v>0</v>
      </c>
      <c r="ET238" s="4">
        <f t="shared" si="167"/>
        <v>0</v>
      </c>
      <c r="EU238" s="4">
        <f t="shared" si="167"/>
        <v>0</v>
      </c>
      <c r="EV238" s="4">
        <f t="shared" si="167"/>
        <v>0</v>
      </c>
      <c r="EW238" s="4">
        <f t="shared" si="167"/>
        <v>0</v>
      </c>
      <c r="EX238" s="4">
        <f t="shared" si="167"/>
        <v>0</v>
      </c>
      <c r="EY238" s="4">
        <f t="shared" si="167"/>
        <v>0</v>
      </c>
      <c r="EZ238" s="4">
        <f t="shared" si="167"/>
        <v>0</v>
      </c>
      <c r="FA238" s="4">
        <f t="shared" si="167"/>
        <v>0</v>
      </c>
      <c r="FB238" s="4">
        <f t="shared" si="167"/>
        <v>0</v>
      </c>
      <c r="FC238" s="4">
        <f t="shared" si="167"/>
        <v>0</v>
      </c>
      <c r="FD238" s="4">
        <f t="shared" si="167"/>
        <v>0</v>
      </c>
      <c r="FE238" s="4">
        <f t="shared" si="167"/>
        <v>0</v>
      </c>
      <c r="FF238" s="4">
        <f t="shared" si="167"/>
        <v>0</v>
      </c>
      <c r="FG238" s="4">
        <f t="shared" si="167"/>
        <v>0</v>
      </c>
      <c r="FH238" s="4">
        <f t="shared" si="167"/>
        <v>0</v>
      </c>
      <c r="FI238" s="4">
        <f t="shared" si="167"/>
        <v>0</v>
      </c>
      <c r="FJ238" s="4">
        <f t="shared" si="167"/>
        <v>0</v>
      </c>
      <c r="FK238" s="4">
        <f t="shared" si="167"/>
        <v>0</v>
      </c>
      <c r="FL238" s="4">
        <f t="shared" si="167"/>
        <v>0</v>
      </c>
      <c r="FM238" s="4">
        <f t="shared" si="167"/>
        <v>0</v>
      </c>
      <c r="FN238" s="4">
        <f t="shared" si="167"/>
        <v>0</v>
      </c>
      <c r="FO238" s="4">
        <f t="shared" si="167"/>
        <v>0</v>
      </c>
      <c r="FP238" s="4">
        <f t="shared" si="167"/>
        <v>0</v>
      </c>
      <c r="FQ238" s="4">
        <f t="shared" si="167"/>
        <v>0</v>
      </c>
      <c r="FR238" s="4">
        <f t="shared" si="167"/>
        <v>0</v>
      </c>
      <c r="FS238" s="4">
        <f t="shared" ref="FS238:GX238" si="168">FS243</f>
        <v>0</v>
      </c>
      <c r="FT238" s="4">
        <f t="shared" si="168"/>
        <v>0</v>
      </c>
      <c r="FU238" s="4">
        <f t="shared" si="168"/>
        <v>0</v>
      </c>
      <c r="FV238" s="4">
        <f t="shared" si="168"/>
        <v>0</v>
      </c>
      <c r="FW238" s="4">
        <f t="shared" si="168"/>
        <v>0</v>
      </c>
      <c r="FX238" s="4">
        <f t="shared" si="168"/>
        <v>0</v>
      </c>
      <c r="FY238" s="4">
        <f t="shared" si="168"/>
        <v>0</v>
      </c>
      <c r="FZ238" s="4">
        <f t="shared" si="168"/>
        <v>0</v>
      </c>
      <c r="GA238" s="4">
        <f t="shared" si="168"/>
        <v>0</v>
      </c>
      <c r="GB238" s="4">
        <f t="shared" si="168"/>
        <v>0</v>
      </c>
      <c r="GC238" s="4">
        <f t="shared" si="168"/>
        <v>0</v>
      </c>
      <c r="GD238" s="4">
        <f t="shared" si="168"/>
        <v>0</v>
      </c>
      <c r="GE238" s="4">
        <f t="shared" si="168"/>
        <v>0</v>
      </c>
      <c r="GF238" s="4">
        <f t="shared" si="168"/>
        <v>0</v>
      </c>
      <c r="GG238" s="4">
        <f t="shared" si="168"/>
        <v>0</v>
      </c>
      <c r="GH238" s="4">
        <f t="shared" si="168"/>
        <v>0</v>
      </c>
      <c r="GI238" s="4">
        <f t="shared" si="168"/>
        <v>0</v>
      </c>
      <c r="GJ238" s="4">
        <f t="shared" si="168"/>
        <v>0</v>
      </c>
      <c r="GK238" s="4">
        <f t="shared" si="168"/>
        <v>0</v>
      </c>
      <c r="GL238" s="4">
        <f t="shared" si="168"/>
        <v>0</v>
      </c>
      <c r="GM238" s="4">
        <f t="shared" si="168"/>
        <v>0</v>
      </c>
      <c r="GN238" s="4">
        <f t="shared" si="168"/>
        <v>0</v>
      </c>
      <c r="GO238" s="4">
        <f t="shared" si="168"/>
        <v>0</v>
      </c>
      <c r="GP238" s="4">
        <f t="shared" si="168"/>
        <v>0</v>
      </c>
      <c r="GQ238" s="4">
        <f t="shared" si="168"/>
        <v>0</v>
      </c>
      <c r="GR238" s="4">
        <f t="shared" si="168"/>
        <v>0</v>
      </c>
      <c r="GS238" s="4">
        <f t="shared" si="168"/>
        <v>0</v>
      </c>
      <c r="GT238" s="4">
        <f t="shared" si="168"/>
        <v>0</v>
      </c>
      <c r="GU238" s="4">
        <f t="shared" si="168"/>
        <v>0</v>
      </c>
      <c r="GV238" s="4">
        <f t="shared" si="168"/>
        <v>0</v>
      </c>
      <c r="GW238" s="4">
        <f t="shared" si="168"/>
        <v>0</v>
      </c>
      <c r="GX238" s="4">
        <f t="shared" si="168"/>
        <v>0</v>
      </c>
    </row>
    <row r="240" spans="1:255" x14ac:dyDescent="0.2">
      <c r="A240" s="2">
        <v>17</v>
      </c>
      <c r="B240" s="2">
        <v>1</v>
      </c>
      <c r="C240" s="2"/>
      <c r="D240" s="2"/>
      <c r="E240" s="2" t="s">
        <v>281</v>
      </c>
      <c r="F240" s="2" t="s">
        <v>130</v>
      </c>
      <c r="G240" s="2" t="s">
        <v>131</v>
      </c>
      <c r="H240" s="2" t="s">
        <v>132</v>
      </c>
      <c r="I240" s="2">
        <f>ROUND(0.96+0.32,7)</f>
        <v>1.28</v>
      </c>
      <c r="J240" s="2">
        <v>0</v>
      </c>
      <c r="K240" s="2">
        <f>ROUND(0.96+0.32,7)</f>
        <v>1.28</v>
      </c>
      <c r="L240" s="2"/>
      <c r="M240" s="2"/>
      <c r="N240" s="2"/>
      <c r="O240" s="2">
        <f>0</f>
        <v>0</v>
      </c>
      <c r="P240" s="2">
        <f>0</f>
        <v>0</v>
      </c>
      <c r="Q240" s="2">
        <f>0</f>
        <v>0</v>
      </c>
      <c r="R240" s="2">
        <f>0</f>
        <v>0</v>
      </c>
      <c r="S240" s="2">
        <f>0</f>
        <v>0</v>
      </c>
      <c r="T240" s="2">
        <f>0</f>
        <v>0</v>
      </c>
      <c r="U240" s="2">
        <f>0</f>
        <v>0</v>
      </c>
      <c r="V240" s="2">
        <f>0</f>
        <v>0</v>
      </c>
      <c r="W240" s="2">
        <f>0</f>
        <v>0</v>
      </c>
      <c r="X240" s="2">
        <f>0</f>
        <v>0</v>
      </c>
      <c r="Y240" s="2">
        <f>0</f>
        <v>0</v>
      </c>
      <c r="Z240" s="2"/>
      <c r="AA240" s="2">
        <v>94104265</v>
      </c>
      <c r="AB240" s="2">
        <f>ROUND((AK240),6)</f>
        <v>1490.12</v>
      </c>
      <c r="AC240" s="2">
        <f>0</f>
        <v>0</v>
      </c>
      <c r="AD240" s="2">
        <f>0</f>
        <v>0</v>
      </c>
      <c r="AE240" s="2">
        <f>0</f>
        <v>0</v>
      </c>
      <c r="AF240" s="2">
        <f>0</f>
        <v>0</v>
      </c>
      <c r="AG240" s="2">
        <f>0</f>
        <v>0</v>
      </c>
      <c r="AH240" s="2">
        <f>0</f>
        <v>0</v>
      </c>
      <c r="AI240" s="2">
        <f>0</f>
        <v>0</v>
      </c>
      <c r="AJ240" s="2">
        <f>0</f>
        <v>0</v>
      </c>
      <c r="AK240" s="2">
        <v>1490.12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1</v>
      </c>
      <c r="AW240" s="2">
        <v>1</v>
      </c>
      <c r="AX240" s="2"/>
      <c r="AY240" s="2"/>
      <c r="AZ240" s="2">
        <v>1</v>
      </c>
      <c r="BA240" s="2">
        <v>1</v>
      </c>
      <c r="BB240" s="2">
        <v>1</v>
      </c>
      <c r="BC240" s="2">
        <v>1</v>
      </c>
      <c r="BD240" s="2" t="s">
        <v>3</v>
      </c>
      <c r="BE240" s="2" t="s">
        <v>3</v>
      </c>
      <c r="BF240" s="2" t="s">
        <v>3</v>
      </c>
      <c r="BG240" s="2" t="s">
        <v>3</v>
      </c>
      <c r="BH240" s="2">
        <v>0</v>
      </c>
      <c r="BI240" s="2">
        <v>1</v>
      </c>
      <c r="BJ240" s="2" t="s">
        <v>130</v>
      </c>
      <c r="BK240" s="2"/>
      <c r="BL240" s="2"/>
      <c r="BM240" s="2">
        <v>700007</v>
      </c>
      <c r="BN240" s="2">
        <v>0</v>
      </c>
      <c r="BO240" s="2" t="s">
        <v>3</v>
      </c>
      <c r="BP240" s="2">
        <v>0</v>
      </c>
      <c r="BQ240" s="2">
        <v>19</v>
      </c>
      <c r="BR240" s="2">
        <v>0</v>
      </c>
      <c r="BS240" s="2">
        <v>1</v>
      </c>
      <c r="BT240" s="2">
        <v>1</v>
      </c>
      <c r="BU240" s="2">
        <v>1</v>
      </c>
      <c r="BV240" s="2">
        <v>1</v>
      </c>
      <c r="BW240" s="2">
        <v>1</v>
      </c>
      <c r="BX240" s="2">
        <v>1</v>
      </c>
      <c r="BY240" s="2" t="s">
        <v>3</v>
      </c>
      <c r="BZ240" s="2">
        <v>90</v>
      </c>
      <c r="CA240" s="2">
        <v>42</v>
      </c>
      <c r="CB240" s="2" t="s">
        <v>3</v>
      </c>
      <c r="CC240" s="2"/>
      <c r="CD240" s="2"/>
      <c r="CE240" s="2">
        <v>0</v>
      </c>
      <c r="CF240" s="2">
        <v>0</v>
      </c>
      <c r="CG240" s="2">
        <v>0</v>
      </c>
      <c r="CH240" s="2"/>
      <c r="CI240" s="2"/>
      <c r="CJ240" s="2"/>
      <c r="CK240" s="2"/>
      <c r="CL240" s="2"/>
      <c r="CM240" s="2">
        <v>0</v>
      </c>
      <c r="CN240" s="2" t="s">
        <v>3</v>
      </c>
      <c r="CO240" s="2">
        <v>0</v>
      </c>
      <c r="CP240" s="2">
        <f>AB240*AZ240</f>
        <v>1490.12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/>
      <c r="DB240" s="2"/>
      <c r="DC240" s="2" t="s">
        <v>3</v>
      </c>
      <c r="DD240" s="2" t="s">
        <v>3</v>
      </c>
      <c r="DE240" s="2" t="s">
        <v>3</v>
      </c>
      <c r="DF240" s="2" t="s">
        <v>3</v>
      </c>
      <c r="DG240" s="2" t="s">
        <v>3</v>
      </c>
      <c r="DH240" s="2" t="s">
        <v>3</v>
      </c>
      <c r="DI240" s="2" t="s">
        <v>3</v>
      </c>
      <c r="DJ240" s="2" t="s">
        <v>3</v>
      </c>
      <c r="DK240" s="2" t="s">
        <v>3</v>
      </c>
      <c r="DL240" s="2" t="s">
        <v>3</v>
      </c>
      <c r="DM240" s="2" t="s">
        <v>3</v>
      </c>
      <c r="DN240" s="2">
        <v>0</v>
      </c>
      <c r="DO240" s="2">
        <v>0</v>
      </c>
      <c r="DP240" s="2">
        <v>1</v>
      </c>
      <c r="DQ240" s="2">
        <v>1</v>
      </c>
      <c r="DR240" s="2"/>
      <c r="DS240" s="2"/>
      <c r="DT240" s="2"/>
      <c r="DU240" s="2">
        <v>1013</v>
      </c>
      <c r="DV240" s="2" t="s">
        <v>132</v>
      </c>
      <c r="DW240" s="2" t="s">
        <v>132</v>
      </c>
      <c r="DX240" s="2">
        <v>1</v>
      </c>
      <c r="DY240" s="2"/>
      <c r="DZ240" s="2" t="s">
        <v>3</v>
      </c>
      <c r="EA240" s="2" t="s">
        <v>3</v>
      </c>
      <c r="EB240" s="2" t="s">
        <v>3</v>
      </c>
      <c r="EC240" s="2" t="s">
        <v>3</v>
      </c>
      <c r="ED240" s="2"/>
      <c r="EE240" s="2">
        <v>89977456</v>
      </c>
      <c r="EF240" s="2">
        <v>19</v>
      </c>
      <c r="EG240" s="2" t="s">
        <v>133</v>
      </c>
      <c r="EH240" s="2">
        <v>106</v>
      </c>
      <c r="EI240" s="2" t="s">
        <v>133</v>
      </c>
      <c r="EJ240" s="2">
        <v>1</v>
      </c>
      <c r="EK240" s="2">
        <v>700007</v>
      </c>
      <c r="EL240" s="2" t="s">
        <v>133</v>
      </c>
      <c r="EM240" s="2" t="s">
        <v>134</v>
      </c>
      <c r="EN240" s="2"/>
      <c r="EO240" s="2" t="s">
        <v>3</v>
      </c>
      <c r="EP240" s="2"/>
      <c r="EQ240" s="2">
        <v>0</v>
      </c>
      <c r="ER240" s="2">
        <v>0</v>
      </c>
      <c r="ES240" s="2">
        <v>0</v>
      </c>
      <c r="ET240" s="2">
        <v>0</v>
      </c>
      <c r="EU240" s="2">
        <v>0</v>
      </c>
      <c r="EV240" s="2">
        <v>0</v>
      </c>
      <c r="EW240" s="2">
        <v>0</v>
      </c>
      <c r="EX240" s="2">
        <v>0</v>
      </c>
      <c r="EY240" s="2">
        <v>0</v>
      </c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>
        <v>0</v>
      </c>
      <c r="FR240" s="2">
        <v>0</v>
      </c>
      <c r="FS240" s="2">
        <v>0</v>
      </c>
      <c r="FT240" s="2"/>
      <c r="FU240" s="2"/>
      <c r="FV240" s="2"/>
      <c r="FW240" s="2"/>
      <c r="FX240" s="2">
        <v>0</v>
      </c>
      <c r="FY240" s="2">
        <v>0</v>
      </c>
      <c r="FZ240" s="2"/>
      <c r="GA240" s="2" t="s">
        <v>3</v>
      </c>
      <c r="GB240" s="2"/>
      <c r="GC240" s="2"/>
      <c r="GD240" s="2">
        <v>1</v>
      </c>
      <c r="GE240" s="2"/>
      <c r="GF240" s="2">
        <v>974204656</v>
      </c>
      <c r="GG240" s="2">
        <v>2</v>
      </c>
      <c r="GH240" s="2">
        <v>1</v>
      </c>
      <c r="GI240" s="2">
        <v>-2</v>
      </c>
      <c r="GJ240" s="2">
        <v>2</v>
      </c>
      <c r="GK240" s="2">
        <v>0</v>
      </c>
      <c r="GL240" s="2">
        <f>ROUND(IF(AND(BH240=3,BI240=3,FS240&lt;&gt;0),P240,0),2)</f>
        <v>0</v>
      </c>
      <c r="GM240" s="2">
        <f>ROUND(CP240*I240,2)</f>
        <v>1907.35</v>
      </c>
      <c r="GN240" s="2">
        <f>IF(OR(BI240=0,BI240=1),GM240-GX240,0)</f>
        <v>1907.35</v>
      </c>
      <c r="GO240" s="2">
        <f>IF(BI240=2,GM240-GX240,0)</f>
        <v>0</v>
      </c>
      <c r="GP240" s="2">
        <f>IF(BI240=4,GM240-GX240,0)</f>
        <v>0</v>
      </c>
      <c r="GQ240" s="2"/>
      <c r="GR240" s="2">
        <v>0</v>
      </c>
      <c r="GS240" s="2">
        <v>0</v>
      </c>
      <c r="GT240" s="2">
        <v>0</v>
      </c>
      <c r="GU240" s="2" t="s">
        <v>3</v>
      </c>
      <c r="GV240" s="2">
        <f>0</f>
        <v>0</v>
      </c>
      <c r="GW240" s="2">
        <v>1</v>
      </c>
      <c r="GX240" s="2">
        <f>0</f>
        <v>0</v>
      </c>
      <c r="GY240" s="2"/>
      <c r="GZ240" s="2"/>
      <c r="HA240" s="2">
        <v>0</v>
      </c>
      <c r="HB240" s="2">
        <v>0</v>
      </c>
      <c r="HC240" s="2">
        <v>0</v>
      </c>
      <c r="HD240" s="2">
        <f>GM240</f>
        <v>1907.35</v>
      </c>
      <c r="HE240" s="2" t="s">
        <v>3</v>
      </c>
      <c r="HF240" s="2" t="s">
        <v>3</v>
      </c>
      <c r="HG240" s="2"/>
      <c r="HH240" s="2"/>
      <c r="HI240" s="2"/>
      <c r="HJ240" s="2"/>
      <c r="HK240" s="2"/>
      <c r="HL240" s="2"/>
      <c r="HM240" s="2" t="s">
        <v>3</v>
      </c>
      <c r="HN240" s="2" t="s">
        <v>135</v>
      </c>
      <c r="HO240" s="2" t="s">
        <v>136</v>
      </c>
      <c r="HP240" s="2" t="s">
        <v>133</v>
      </c>
      <c r="HQ240" s="2" t="s">
        <v>133</v>
      </c>
      <c r="HR240" s="2"/>
      <c r="HS240" s="2">
        <v>0</v>
      </c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>
        <v>0</v>
      </c>
      <c r="IL240" s="2"/>
      <c r="IM240" s="2"/>
      <c r="IN240" s="2"/>
      <c r="IO240" s="2"/>
      <c r="IP240" s="2"/>
      <c r="IQ240" s="2"/>
      <c r="IR240" s="2"/>
      <c r="IS240" s="2"/>
      <c r="IT240" s="2"/>
      <c r="IU240" s="2"/>
    </row>
    <row r="241" spans="1:255" x14ac:dyDescent="0.2">
      <c r="A241" s="2">
        <v>17</v>
      </c>
      <c r="B241" s="2">
        <v>1</v>
      </c>
      <c r="C241" s="2"/>
      <c r="D241" s="2"/>
      <c r="E241" s="2" t="s">
        <v>282</v>
      </c>
      <c r="F241" s="2" t="s">
        <v>138</v>
      </c>
      <c r="G241" s="2" t="s">
        <v>139</v>
      </c>
      <c r="H241" s="2" t="s">
        <v>132</v>
      </c>
      <c r="I241" s="2">
        <v>1.28</v>
      </c>
      <c r="J241" s="2">
        <v>0</v>
      </c>
      <c r="K241" s="2">
        <v>1.28</v>
      </c>
      <c r="L241" s="2"/>
      <c r="M241" s="2"/>
      <c r="N241" s="2"/>
      <c r="O241" s="2">
        <f>0</f>
        <v>0</v>
      </c>
      <c r="P241" s="2">
        <f>0</f>
        <v>0</v>
      </c>
      <c r="Q241" s="2">
        <f>0</f>
        <v>0</v>
      </c>
      <c r="R241" s="2">
        <f>0</f>
        <v>0</v>
      </c>
      <c r="S241" s="2">
        <f>0</f>
        <v>0</v>
      </c>
      <c r="T241" s="2">
        <f>0</f>
        <v>0</v>
      </c>
      <c r="U241" s="2">
        <f>0</f>
        <v>0</v>
      </c>
      <c r="V241" s="2">
        <f>0</f>
        <v>0</v>
      </c>
      <c r="W241" s="2">
        <f>0</f>
        <v>0</v>
      </c>
      <c r="X241" s="2">
        <f>0</f>
        <v>0</v>
      </c>
      <c r="Y241" s="2">
        <f>0</f>
        <v>0</v>
      </c>
      <c r="Z241" s="2"/>
      <c r="AA241" s="2">
        <v>94104265</v>
      </c>
      <c r="AB241" s="2">
        <f>ROUND((AK241),6)</f>
        <v>519.79</v>
      </c>
      <c r="AC241" s="2">
        <f>0</f>
        <v>0</v>
      </c>
      <c r="AD241" s="2">
        <f>0</f>
        <v>0</v>
      </c>
      <c r="AE241" s="2">
        <f>0</f>
        <v>0</v>
      </c>
      <c r="AF241" s="2">
        <f>0</f>
        <v>0</v>
      </c>
      <c r="AG241" s="2">
        <f>0</f>
        <v>0</v>
      </c>
      <c r="AH241" s="2">
        <f>0</f>
        <v>0</v>
      </c>
      <c r="AI241" s="2">
        <f>0</f>
        <v>0</v>
      </c>
      <c r="AJ241" s="2">
        <f>0</f>
        <v>0</v>
      </c>
      <c r="AK241" s="2">
        <v>519.79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1</v>
      </c>
      <c r="AW241" s="2">
        <v>1</v>
      </c>
      <c r="AX241" s="2"/>
      <c r="AY241" s="2"/>
      <c r="AZ241" s="2">
        <v>1</v>
      </c>
      <c r="BA241" s="2">
        <v>1</v>
      </c>
      <c r="BB241" s="2">
        <v>1</v>
      </c>
      <c r="BC241" s="2">
        <v>1</v>
      </c>
      <c r="BD241" s="2" t="s">
        <v>3</v>
      </c>
      <c r="BE241" s="2" t="s">
        <v>3</v>
      </c>
      <c r="BF241" s="2" t="s">
        <v>3</v>
      </c>
      <c r="BG241" s="2" t="s">
        <v>3</v>
      </c>
      <c r="BH241" s="2">
        <v>0</v>
      </c>
      <c r="BI241" s="2">
        <v>1</v>
      </c>
      <c r="BJ241" s="2" t="s">
        <v>138</v>
      </c>
      <c r="BK241" s="2"/>
      <c r="BL241" s="2"/>
      <c r="BM241" s="2">
        <v>700008</v>
      </c>
      <c r="BN241" s="2">
        <v>0</v>
      </c>
      <c r="BO241" s="2" t="s">
        <v>3</v>
      </c>
      <c r="BP241" s="2">
        <v>0</v>
      </c>
      <c r="BQ241" s="2">
        <v>10</v>
      </c>
      <c r="BR241" s="2">
        <v>0</v>
      </c>
      <c r="BS241" s="2">
        <v>1</v>
      </c>
      <c r="BT241" s="2">
        <v>1</v>
      </c>
      <c r="BU241" s="2">
        <v>1</v>
      </c>
      <c r="BV241" s="2">
        <v>1</v>
      </c>
      <c r="BW241" s="2">
        <v>1</v>
      </c>
      <c r="BX241" s="2">
        <v>1</v>
      </c>
      <c r="BY241" s="2" t="s">
        <v>3</v>
      </c>
      <c r="BZ241" s="2">
        <v>94</v>
      </c>
      <c r="CA241" s="2">
        <v>61</v>
      </c>
      <c r="CB241" s="2" t="s">
        <v>3</v>
      </c>
      <c r="CC241" s="2"/>
      <c r="CD241" s="2"/>
      <c r="CE241" s="2">
        <v>0</v>
      </c>
      <c r="CF241" s="2">
        <v>0</v>
      </c>
      <c r="CG241" s="2">
        <v>0</v>
      </c>
      <c r="CH241" s="2"/>
      <c r="CI241" s="2"/>
      <c r="CJ241" s="2"/>
      <c r="CK241" s="2"/>
      <c r="CL241" s="2"/>
      <c r="CM241" s="2">
        <v>0</v>
      </c>
      <c r="CN241" s="2" t="s">
        <v>3</v>
      </c>
      <c r="CO241" s="2">
        <v>0</v>
      </c>
      <c r="CP241" s="2">
        <f>AB241*AZ241</f>
        <v>519.79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0</v>
      </c>
      <c r="DA241" s="2"/>
      <c r="DB241" s="2"/>
      <c r="DC241" s="2" t="s">
        <v>3</v>
      </c>
      <c r="DD241" s="2" t="s">
        <v>3</v>
      </c>
      <c r="DE241" s="2" t="s">
        <v>3</v>
      </c>
      <c r="DF241" s="2" t="s">
        <v>3</v>
      </c>
      <c r="DG241" s="2" t="s">
        <v>3</v>
      </c>
      <c r="DH241" s="2" t="s">
        <v>3</v>
      </c>
      <c r="DI241" s="2" t="s">
        <v>3</v>
      </c>
      <c r="DJ241" s="2" t="s">
        <v>3</v>
      </c>
      <c r="DK241" s="2" t="s">
        <v>3</v>
      </c>
      <c r="DL241" s="2" t="s">
        <v>3</v>
      </c>
      <c r="DM241" s="2" t="s">
        <v>3</v>
      </c>
      <c r="DN241" s="2">
        <v>0</v>
      </c>
      <c r="DO241" s="2">
        <v>0</v>
      </c>
      <c r="DP241" s="2">
        <v>1</v>
      </c>
      <c r="DQ241" s="2">
        <v>1</v>
      </c>
      <c r="DR241" s="2"/>
      <c r="DS241" s="2"/>
      <c r="DT241" s="2"/>
      <c r="DU241" s="2">
        <v>1013</v>
      </c>
      <c r="DV241" s="2" t="s">
        <v>132</v>
      </c>
      <c r="DW241" s="2" t="s">
        <v>132</v>
      </c>
      <c r="DX241" s="2">
        <v>1</v>
      </c>
      <c r="DY241" s="2"/>
      <c r="DZ241" s="2" t="s">
        <v>3</v>
      </c>
      <c r="EA241" s="2" t="s">
        <v>3</v>
      </c>
      <c r="EB241" s="2" t="s">
        <v>3</v>
      </c>
      <c r="EC241" s="2" t="s">
        <v>3</v>
      </c>
      <c r="ED241" s="2"/>
      <c r="EE241" s="2">
        <v>89977457</v>
      </c>
      <c r="EF241" s="2">
        <v>10</v>
      </c>
      <c r="EG241" s="2" t="s">
        <v>140</v>
      </c>
      <c r="EH241" s="2">
        <v>107</v>
      </c>
      <c r="EI241" s="2" t="s">
        <v>141</v>
      </c>
      <c r="EJ241" s="2">
        <v>1</v>
      </c>
      <c r="EK241" s="2">
        <v>700008</v>
      </c>
      <c r="EL241" s="2" t="s">
        <v>142</v>
      </c>
      <c r="EM241" s="2" t="s">
        <v>143</v>
      </c>
      <c r="EN241" s="2"/>
      <c r="EO241" s="2" t="s">
        <v>3</v>
      </c>
      <c r="EP241" s="2"/>
      <c r="EQ241" s="2">
        <v>0</v>
      </c>
      <c r="ER241" s="2">
        <v>0</v>
      </c>
      <c r="ES241" s="2">
        <v>0</v>
      </c>
      <c r="ET241" s="2">
        <v>0</v>
      </c>
      <c r="EU241" s="2">
        <v>0</v>
      </c>
      <c r="EV241" s="2">
        <v>0</v>
      </c>
      <c r="EW241" s="2">
        <v>0</v>
      </c>
      <c r="EX241" s="2">
        <v>0</v>
      </c>
      <c r="EY241" s="2">
        <v>0</v>
      </c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>
        <v>0</v>
      </c>
      <c r="FR241" s="2">
        <v>0</v>
      </c>
      <c r="FS241" s="2">
        <v>0</v>
      </c>
      <c r="FT241" s="2"/>
      <c r="FU241" s="2"/>
      <c r="FV241" s="2"/>
      <c r="FW241" s="2"/>
      <c r="FX241" s="2">
        <v>0</v>
      </c>
      <c r="FY241" s="2">
        <v>0</v>
      </c>
      <c r="FZ241" s="2"/>
      <c r="GA241" s="2" t="s">
        <v>3</v>
      </c>
      <c r="GB241" s="2"/>
      <c r="GC241" s="2"/>
      <c r="GD241" s="2">
        <v>1</v>
      </c>
      <c r="GE241" s="2"/>
      <c r="GF241" s="2">
        <v>-1584862761</v>
      </c>
      <c r="GG241" s="2">
        <v>2</v>
      </c>
      <c r="GH241" s="2">
        <v>1</v>
      </c>
      <c r="GI241" s="2">
        <v>-2</v>
      </c>
      <c r="GJ241" s="2">
        <v>2</v>
      </c>
      <c r="GK241" s="2">
        <v>0</v>
      </c>
      <c r="GL241" s="2">
        <f>ROUND(IF(AND(BH241=3,BI241=3,FS241&lt;&gt;0),P241,0),2)</f>
        <v>0</v>
      </c>
      <c r="GM241" s="2">
        <f>ROUND(CP241*I241,2)</f>
        <v>665.33</v>
      </c>
      <c r="GN241" s="2">
        <f>IF(OR(BI241=0,BI241=1),GM241-GX241,0)</f>
        <v>665.33</v>
      </c>
      <c r="GO241" s="2">
        <f>IF(BI241=2,GM241-GX241,0)</f>
        <v>0</v>
      </c>
      <c r="GP241" s="2">
        <f>IF(BI241=4,GM241-GX241,0)</f>
        <v>0</v>
      </c>
      <c r="GQ241" s="2"/>
      <c r="GR241" s="2">
        <v>0</v>
      </c>
      <c r="GS241" s="2">
        <v>0</v>
      </c>
      <c r="GT241" s="2">
        <v>0</v>
      </c>
      <c r="GU241" s="2" t="s">
        <v>3</v>
      </c>
      <c r="GV241" s="2">
        <f>0</f>
        <v>0</v>
      </c>
      <c r="GW241" s="2">
        <v>1</v>
      </c>
      <c r="GX241" s="2">
        <f>0</f>
        <v>0</v>
      </c>
      <c r="GY241" s="2"/>
      <c r="GZ241" s="2"/>
      <c r="HA241" s="2">
        <v>0</v>
      </c>
      <c r="HB241" s="2">
        <v>0</v>
      </c>
      <c r="HC241" s="2">
        <v>0</v>
      </c>
      <c r="HD241" s="2">
        <f>GM241</f>
        <v>665.33</v>
      </c>
      <c r="HE241" s="2" t="s">
        <v>3</v>
      </c>
      <c r="HF241" s="2" t="s">
        <v>3</v>
      </c>
      <c r="HG241" s="2"/>
      <c r="HH241" s="2"/>
      <c r="HI241" s="2"/>
      <c r="HJ241" s="2"/>
      <c r="HK241" s="2"/>
      <c r="HL241" s="2"/>
      <c r="HM241" s="2" t="s">
        <v>3</v>
      </c>
      <c r="HN241" s="2" t="s">
        <v>144</v>
      </c>
      <c r="HO241" s="2" t="s">
        <v>145</v>
      </c>
      <c r="HP241" s="2" t="s">
        <v>141</v>
      </c>
      <c r="HQ241" s="2" t="s">
        <v>141</v>
      </c>
      <c r="HR241" s="2"/>
      <c r="HS241" s="2">
        <v>0</v>
      </c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>
        <v>0</v>
      </c>
      <c r="IL241" s="2"/>
      <c r="IM241" s="2"/>
      <c r="IN241" s="2"/>
      <c r="IO241" s="2"/>
      <c r="IP241" s="2"/>
      <c r="IQ241" s="2"/>
      <c r="IR241" s="2"/>
      <c r="IS241" s="2"/>
      <c r="IT241" s="2"/>
      <c r="IU241" s="2"/>
    </row>
    <row r="243" spans="1:255" x14ac:dyDescent="0.2">
      <c r="A243" s="3">
        <v>51</v>
      </c>
      <c r="B243" s="3">
        <f>B236</f>
        <v>1</v>
      </c>
      <c r="C243" s="3">
        <f>A236</f>
        <v>5</v>
      </c>
      <c r="D243" s="3">
        <f>ROW(A236)</f>
        <v>236</v>
      </c>
      <c r="E243" s="3"/>
      <c r="F243" s="3" t="str">
        <f>IF(F236&lt;&gt;"",F236,"")</f>
        <v>Новый подраздел</v>
      </c>
      <c r="G243" s="3" t="str">
        <f>IF(G236&lt;&gt;"",G236,"")</f>
        <v>Строительный мусор</v>
      </c>
      <c r="H243" s="3">
        <v>0</v>
      </c>
      <c r="I243" s="3"/>
      <c r="J243" s="3"/>
      <c r="K243" s="3"/>
      <c r="L243" s="3"/>
      <c r="M243" s="3"/>
      <c r="N243" s="3"/>
      <c r="O243" s="3">
        <f t="shared" ref="O243:T243" si="169">ROUND(AB243,2)</f>
        <v>0</v>
      </c>
      <c r="P243" s="3">
        <f t="shared" si="169"/>
        <v>0</v>
      </c>
      <c r="Q243" s="3">
        <f t="shared" si="169"/>
        <v>0</v>
      </c>
      <c r="R243" s="3">
        <f t="shared" si="169"/>
        <v>0</v>
      </c>
      <c r="S243" s="3">
        <f t="shared" si="169"/>
        <v>0</v>
      </c>
      <c r="T243" s="3">
        <f t="shared" si="169"/>
        <v>0</v>
      </c>
      <c r="U243" s="3">
        <f>AH243</f>
        <v>0</v>
      </c>
      <c r="V243" s="3">
        <f>AI243</f>
        <v>0</v>
      </c>
      <c r="W243" s="3">
        <f>ROUND(AJ243,2)</f>
        <v>0</v>
      </c>
      <c r="X243" s="3">
        <f>ROUND(AK243,2)</f>
        <v>0</v>
      </c>
      <c r="Y243" s="3">
        <f>ROUND(AL243,2)</f>
        <v>0</v>
      </c>
      <c r="Z243" s="3"/>
      <c r="AA243" s="3"/>
      <c r="AB243" s="3">
        <f>ROUND(SUMIF(AA240:AA241,"=94104265",O240:O241),2)</f>
        <v>0</v>
      </c>
      <c r="AC243" s="3">
        <f>ROUND(SUMIF(AA240:AA241,"=94104265",P240:P241),2)</f>
        <v>0</v>
      </c>
      <c r="AD243" s="3">
        <f>ROUND(SUMIF(AA240:AA241,"=94104265",Q240:Q241),2)</f>
        <v>0</v>
      </c>
      <c r="AE243" s="3">
        <f>ROUND(SUMIF(AA240:AA241,"=94104265",R240:R241),2)</f>
        <v>0</v>
      </c>
      <c r="AF243" s="3">
        <f>ROUND(SUMIF(AA240:AA241,"=94104265",S240:S241),2)</f>
        <v>0</v>
      </c>
      <c r="AG243" s="3">
        <f>ROUND(SUMIF(AA240:AA241,"=94104265",T240:T241),2)</f>
        <v>0</v>
      </c>
      <c r="AH243" s="3">
        <f>SUMIF(AA240:AA241,"=94104265",U240:U241)</f>
        <v>0</v>
      </c>
      <c r="AI243" s="3">
        <f>SUMIF(AA240:AA241,"=94104265",V240:V241)</f>
        <v>0</v>
      </c>
      <c r="AJ243" s="3">
        <f>ROUND(SUMIF(AA240:AA241,"=94104265",W240:W241),2)</f>
        <v>0</v>
      </c>
      <c r="AK243" s="3">
        <f>ROUND(SUMIF(AA240:AA241,"=94104265",X240:X241),2)</f>
        <v>0</v>
      </c>
      <c r="AL243" s="3">
        <f>ROUND(SUMIF(AA240:AA241,"=94104265",Y240:Y241),2)</f>
        <v>0</v>
      </c>
      <c r="AM243" s="3"/>
      <c r="AN243" s="3"/>
      <c r="AO243" s="3">
        <f t="shared" ref="AO243:BD243" si="170">ROUND(BX243,2)</f>
        <v>0</v>
      </c>
      <c r="AP243" s="3">
        <f t="shared" si="170"/>
        <v>0</v>
      </c>
      <c r="AQ243" s="3">
        <f t="shared" si="170"/>
        <v>0</v>
      </c>
      <c r="AR243" s="3">
        <f t="shared" si="170"/>
        <v>2572.6799999999998</v>
      </c>
      <c r="AS243" s="3">
        <f t="shared" si="170"/>
        <v>2572.6799999999998</v>
      </c>
      <c r="AT243" s="3">
        <f t="shared" si="170"/>
        <v>0</v>
      </c>
      <c r="AU243" s="3">
        <f t="shared" si="170"/>
        <v>0</v>
      </c>
      <c r="AV243" s="3">
        <f t="shared" si="170"/>
        <v>0</v>
      </c>
      <c r="AW243" s="3">
        <f t="shared" si="170"/>
        <v>0</v>
      </c>
      <c r="AX243" s="3">
        <f t="shared" si="170"/>
        <v>0</v>
      </c>
      <c r="AY243" s="3">
        <f t="shared" si="170"/>
        <v>0</v>
      </c>
      <c r="AZ243" s="3">
        <f t="shared" si="170"/>
        <v>0</v>
      </c>
      <c r="BA243" s="3">
        <f t="shared" si="170"/>
        <v>0</v>
      </c>
      <c r="BB243" s="3">
        <f t="shared" si="170"/>
        <v>0</v>
      </c>
      <c r="BC243" s="3">
        <f t="shared" si="170"/>
        <v>0</v>
      </c>
      <c r="BD243" s="3">
        <f t="shared" si="170"/>
        <v>2572.6799999999998</v>
      </c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>
        <f>ROUND(SUMIF(AA240:AA241,"=94104265",FQ240:FQ241),2)</f>
        <v>0</v>
      </c>
      <c r="BY243" s="3">
        <f>ROUND(SUMIF(AA240:AA241,"=94104265",FR240:FR241),2)</f>
        <v>0</v>
      </c>
      <c r="BZ243" s="3">
        <f>ROUND(SUMIF(AA240:AA241,"=94104265",GL240:GL241),2)</f>
        <v>0</v>
      </c>
      <c r="CA243" s="3">
        <f>ROUND(SUMIF(AA240:AA241,"=94104265",GM240:GM241),2)</f>
        <v>2572.6799999999998</v>
      </c>
      <c r="CB243" s="3">
        <f>ROUND(SUMIF(AA240:AA241,"=94104265",GN240:GN241),2)</f>
        <v>2572.6799999999998</v>
      </c>
      <c r="CC243" s="3">
        <f>ROUND(SUMIF(AA240:AA241,"=94104265",GO240:GO241),2)</f>
        <v>0</v>
      </c>
      <c r="CD243" s="3">
        <f>ROUND(SUMIF(AA240:AA241,"=94104265",GP240:GP241),2)</f>
        <v>0</v>
      </c>
      <c r="CE243" s="3">
        <f>AC243-BX243</f>
        <v>0</v>
      </c>
      <c r="CF243" s="3">
        <f>AC243-BY243</f>
        <v>0</v>
      </c>
      <c r="CG243" s="3">
        <f>BX243-BZ243</f>
        <v>0</v>
      </c>
      <c r="CH243" s="3">
        <f>AC243-BX243-BY243+BZ243</f>
        <v>0</v>
      </c>
      <c r="CI243" s="3">
        <f>BY243-BZ243</f>
        <v>0</v>
      </c>
      <c r="CJ243" s="3">
        <f>ROUND(SUMIF(AA240:AA241,"=94104265",GX240:GX241),2)</f>
        <v>0</v>
      </c>
      <c r="CK243" s="3">
        <f>ROUND(SUMIF(AA240:AA241,"=94104265",GY240:GY241),2)</f>
        <v>0</v>
      </c>
      <c r="CL243" s="3">
        <f>ROUND(SUMIF(AA240:AA241,"=94104265",GZ240:GZ241),2)</f>
        <v>0</v>
      </c>
      <c r="CM243" s="3">
        <f>ROUND(SUMIF(AA240:AA241,"=94104265",HD240:HD241),2)</f>
        <v>2572.6799999999998</v>
      </c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>
        <v>0</v>
      </c>
    </row>
    <row r="245" spans="1:255" x14ac:dyDescent="0.2">
      <c r="A245" s="5">
        <v>50</v>
      </c>
      <c r="B245" s="5">
        <v>0</v>
      </c>
      <c r="C245" s="5">
        <v>0</v>
      </c>
      <c r="D245" s="5">
        <v>1</v>
      </c>
      <c r="E245" s="5">
        <v>201</v>
      </c>
      <c r="F245" s="5">
        <f>ROUND(Source!O243,O245)</f>
        <v>0</v>
      </c>
      <c r="G245" s="5" t="s">
        <v>146</v>
      </c>
      <c r="H245" s="5" t="s">
        <v>147</v>
      </c>
      <c r="I245" s="5"/>
      <c r="J245" s="5"/>
      <c r="K245" s="5">
        <v>201</v>
      </c>
      <c r="L245" s="5">
        <v>1</v>
      </c>
      <c r="M245" s="5">
        <v>3</v>
      </c>
      <c r="N245" s="5" t="s">
        <v>3</v>
      </c>
      <c r="O245" s="5">
        <v>2</v>
      </c>
      <c r="P245" s="5"/>
      <c r="Q245" s="5"/>
      <c r="R245" s="5"/>
      <c r="S245" s="5"/>
      <c r="T245" s="5"/>
      <c r="U245" s="5"/>
      <c r="V245" s="5"/>
      <c r="W245" s="5">
        <v>2572.6799999999998</v>
      </c>
      <c r="X245" s="5">
        <v>1</v>
      </c>
      <c r="Y245" s="5">
        <v>2572.6799999999998</v>
      </c>
      <c r="Z245" s="5"/>
      <c r="AA245" s="5"/>
      <c r="AB245" s="5"/>
    </row>
    <row r="246" spans="1:255" x14ac:dyDescent="0.2">
      <c r="A246" s="5">
        <v>50</v>
      </c>
      <c r="B246" s="5">
        <v>0</v>
      </c>
      <c r="C246" s="5">
        <v>0</v>
      </c>
      <c r="D246" s="5">
        <v>1</v>
      </c>
      <c r="E246" s="5">
        <v>202</v>
      </c>
      <c r="F246" s="5">
        <f>ROUND(Source!P243,O246)</f>
        <v>0</v>
      </c>
      <c r="G246" s="5" t="s">
        <v>148</v>
      </c>
      <c r="H246" s="5" t="s">
        <v>149</v>
      </c>
      <c r="I246" s="5"/>
      <c r="J246" s="5"/>
      <c r="K246" s="5">
        <v>202</v>
      </c>
      <c r="L246" s="5">
        <v>2</v>
      </c>
      <c r="M246" s="5">
        <v>3</v>
      </c>
      <c r="N246" s="5" t="s">
        <v>3</v>
      </c>
      <c r="O246" s="5">
        <v>2</v>
      </c>
      <c r="P246" s="5"/>
      <c r="Q246" s="5"/>
      <c r="R246" s="5"/>
      <c r="S246" s="5"/>
      <c r="T246" s="5"/>
      <c r="U246" s="5"/>
      <c r="V246" s="5"/>
      <c r="W246" s="5">
        <v>0</v>
      </c>
      <c r="X246" s="5">
        <v>1</v>
      </c>
      <c r="Y246" s="5">
        <v>0</v>
      </c>
      <c r="Z246" s="5"/>
      <c r="AA246" s="5"/>
      <c r="AB246" s="5"/>
    </row>
    <row r="247" spans="1:255" x14ac:dyDescent="0.2">
      <c r="A247" s="5">
        <v>50</v>
      </c>
      <c r="B247" s="5">
        <v>0</v>
      </c>
      <c r="C247" s="5">
        <v>0</v>
      </c>
      <c r="D247" s="5">
        <v>1</v>
      </c>
      <c r="E247" s="5">
        <v>222</v>
      </c>
      <c r="F247" s="5">
        <f>ROUND(Source!AO243,O247)</f>
        <v>0</v>
      </c>
      <c r="G247" s="5" t="s">
        <v>150</v>
      </c>
      <c r="H247" s="5" t="s">
        <v>151</v>
      </c>
      <c r="I247" s="5"/>
      <c r="J247" s="5"/>
      <c r="K247" s="5">
        <v>222</v>
      </c>
      <c r="L247" s="5">
        <v>3</v>
      </c>
      <c r="M247" s="5">
        <v>3</v>
      </c>
      <c r="N247" s="5" t="s">
        <v>3</v>
      </c>
      <c r="O247" s="5">
        <v>2</v>
      </c>
      <c r="P247" s="5"/>
      <c r="Q247" s="5"/>
      <c r="R247" s="5"/>
      <c r="S247" s="5"/>
      <c r="T247" s="5"/>
      <c r="U247" s="5"/>
      <c r="V247" s="5"/>
      <c r="W247" s="5">
        <v>0</v>
      </c>
      <c r="X247" s="5">
        <v>1</v>
      </c>
      <c r="Y247" s="5">
        <v>0</v>
      </c>
      <c r="Z247" s="5"/>
      <c r="AA247" s="5"/>
      <c r="AB247" s="5"/>
    </row>
    <row r="248" spans="1:255" x14ac:dyDescent="0.2">
      <c r="A248" s="5">
        <v>50</v>
      </c>
      <c r="B248" s="5">
        <v>0</v>
      </c>
      <c r="C248" s="5">
        <v>0</v>
      </c>
      <c r="D248" s="5">
        <v>1</v>
      </c>
      <c r="E248" s="5">
        <v>225</v>
      </c>
      <c r="F248" s="5">
        <f>ROUND(Source!AV243,O248)</f>
        <v>0</v>
      </c>
      <c r="G248" s="5" t="s">
        <v>152</v>
      </c>
      <c r="H248" s="5" t="s">
        <v>153</v>
      </c>
      <c r="I248" s="5"/>
      <c r="J248" s="5"/>
      <c r="K248" s="5">
        <v>225</v>
      </c>
      <c r="L248" s="5">
        <v>4</v>
      </c>
      <c r="M248" s="5">
        <v>3</v>
      </c>
      <c r="N248" s="5" t="s">
        <v>3</v>
      </c>
      <c r="O248" s="5">
        <v>2</v>
      </c>
      <c r="P248" s="5"/>
      <c r="Q248" s="5"/>
      <c r="R248" s="5"/>
      <c r="S248" s="5"/>
      <c r="T248" s="5"/>
      <c r="U248" s="5"/>
      <c r="V248" s="5"/>
      <c r="W248" s="5">
        <v>0</v>
      </c>
      <c r="X248" s="5">
        <v>1</v>
      </c>
      <c r="Y248" s="5">
        <v>0</v>
      </c>
      <c r="Z248" s="5"/>
      <c r="AA248" s="5"/>
      <c r="AB248" s="5"/>
    </row>
    <row r="249" spans="1:255" x14ac:dyDescent="0.2">
      <c r="A249" s="5">
        <v>50</v>
      </c>
      <c r="B249" s="5">
        <v>0</v>
      </c>
      <c r="C249" s="5">
        <v>0</v>
      </c>
      <c r="D249" s="5">
        <v>1</v>
      </c>
      <c r="E249" s="5">
        <v>226</v>
      </c>
      <c r="F249" s="5">
        <f>ROUND(Source!AW243,O249)</f>
        <v>0</v>
      </c>
      <c r="G249" s="5" t="s">
        <v>154</v>
      </c>
      <c r="H249" s="5" t="s">
        <v>155</v>
      </c>
      <c r="I249" s="5"/>
      <c r="J249" s="5"/>
      <c r="K249" s="5">
        <v>226</v>
      </c>
      <c r="L249" s="5">
        <v>5</v>
      </c>
      <c r="M249" s="5">
        <v>3</v>
      </c>
      <c r="N249" s="5" t="s">
        <v>3</v>
      </c>
      <c r="O249" s="5">
        <v>2</v>
      </c>
      <c r="P249" s="5"/>
      <c r="Q249" s="5"/>
      <c r="R249" s="5"/>
      <c r="S249" s="5"/>
      <c r="T249" s="5"/>
      <c r="U249" s="5"/>
      <c r="V249" s="5"/>
      <c r="W249" s="5">
        <v>0</v>
      </c>
      <c r="X249" s="5">
        <v>1</v>
      </c>
      <c r="Y249" s="5">
        <v>0</v>
      </c>
      <c r="Z249" s="5"/>
      <c r="AA249" s="5"/>
      <c r="AB249" s="5"/>
    </row>
    <row r="250" spans="1:255" x14ac:dyDescent="0.2">
      <c r="A250" s="5">
        <v>50</v>
      </c>
      <c r="B250" s="5">
        <v>0</v>
      </c>
      <c r="C250" s="5">
        <v>0</v>
      </c>
      <c r="D250" s="5">
        <v>1</v>
      </c>
      <c r="E250" s="5">
        <v>227</v>
      </c>
      <c r="F250" s="5">
        <f>ROUND(Source!AX243,O250)</f>
        <v>0</v>
      </c>
      <c r="G250" s="5" t="s">
        <v>156</v>
      </c>
      <c r="H250" s="5" t="s">
        <v>157</v>
      </c>
      <c r="I250" s="5"/>
      <c r="J250" s="5"/>
      <c r="K250" s="5">
        <v>227</v>
      </c>
      <c r="L250" s="5">
        <v>6</v>
      </c>
      <c r="M250" s="5">
        <v>3</v>
      </c>
      <c r="N250" s="5" t="s">
        <v>3</v>
      </c>
      <c r="O250" s="5">
        <v>2</v>
      </c>
      <c r="P250" s="5"/>
      <c r="Q250" s="5"/>
      <c r="R250" s="5"/>
      <c r="S250" s="5"/>
      <c r="T250" s="5"/>
      <c r="U250" s="5"/>
      <c r="V250" s="5"/>
      <c r="W250" s="5">
        <v>0</v>
      </c>
      <c r="X250" s="5">
        <v>1</v>
      </c>
      <c r="Y250" s="5">
        <v>0</v>
      </c>
      <c r="Z250" s="5"/>
      <c r="AA250" s="5"/>
      <c r="AB250" s="5"/>
    </row>
    <row r="251" spans="1:255" x14ac:dyDescent="0.2">
      <c r="A251" s="5">
        <v>50</v>
      </c>
      <c r="B251" s="5">
        <v>0</v>
      </c>
      <c r="C251" s="5">
        <v>0</v>
      </c>
      <c r="D251" s="5">
        <v>1</v>
      </c>
      <c r="E251" s="5">
        <v>228</v>
      </c>
      <c r="F251" s="5">
        <f>ROUND(Source!AY243,O251)</f>
        <v>0</v>
      </c>
      <c r="G251" s="5" t="s">
        <v>158</v>
      </c>
      <c r="H251" s="5" t="s">
        <v>159</v>
      </c>
      <c r="I251" s="5"/>
      <c r="J251" s="5"/>
      <c r="K251" s="5">
        <v>228</v>
      </c>
      <c r="L251" s="5">
        <v>7</v>
      </c>
      <c r="M251" s="5">
        <v>3</v>
      </c>
      <c r="N251" s="5" t="s">
        <v>3</v>
      </c>
      <c r="O251" s="5">
        <v>2</v>
      </c>
      <c r="P251" s="5"/>
      <c r="Q251" s="5"/>
      <c r="R251" s="5"/>
      <c r="S251" s="5"/>
      <c r="T251" s="5"/>
      <c r="U251" s="5"/>
      <c r="V251" s="5"/>
      <c r="W251" s="5">
        <v>0</v>
      </c>
      <c r="X251" s="5">
        <v>1</v>
      </c>
      <c r="Y251" s="5">
        <v>0</v>
      </c>
      <c r="Z251" s="5"/>
      <c r="AA251" s="5"/>
      <c r="AB251" s="5"/>
    </row>
    <row r="252" spans="1:255" x14ac:dyDescent="0.2">
      <c r="A252" s="5">
        <v>50</v>
      </c>
      <c r="B252" s="5">
        <v>0</v>
      </c>
      <c r="C252" s="5">
        <v>0</v>
      </c>
      <c r="D252" s="5">
        <v>1</v>
      </c>
      <c r="E252" s="5">
        <v>216</v>
      </c>
      <c r="F252" s="5">
        <f>ROUND(Source!AP243,O252)</f>
        <v>0</v>
      </c>
      <c r="G252" s="5" t="s">
        <v>160</v>
      </c>
      <c r="H252" s="5" t="s">
        <v>161</v>
      </c>
      <c r="I252" s="5"/>
      <c r="J252" s="5"/>
      <c r="K252" s="5">
        <v>216</v>
      </c>
      <c r="L252" s="5">
        <v>8</v>
      </c>
      <c r="M252" s="5">
        <v>3</v>
      </c>
      <c r="N252" s="5" t="s">
        <v>3</v>
      </c>
      <c r="O252" s="5">
        <v>2</v>
      </c>
      <c r="P252" s="5"/>
      <c r="Q252" s="5"/>
      <c r="R252" s="5"/>
      <c r="S252" s="5"/>
      <c r="T252" s="5"/>
      <c r="U252" s="5"/>
      <c r="V252" s="5"/>
      <c r="W252" s="5">
        <v>0</v>
      </c>
      <c r="X252" s="5">
        <v>1</v>
      </c>
      <c r="Y252" s="5">
        <v>0</v>
      </c>
      <c r="Z252" s="5"/>
      <c r="AA252" s="5"/>
      <c r="AB252" s="5"/>
    </row>
    <row r="253" spans="1:255" x14ac:dyDescent="0.2">
      <c r="A253" s="5">
        <v>50</v>
      </c>
      <c r="B253" s="5">
        <v>0</v>
      </c>
      <c r="C253" s="5">
        <v>0</v>
      </c>
      <c r="D253" s="5">
        <v>1</v>
      </c>
      <c r="E253" s="5">
        <v>223</v>
      </c>
      <c r="F253" s="5">
        <f>ROUND(Source!AQ243,O253)</f>
        <v>0</v>
      </c>
      <c r="G253" s="5" t="s">
        <v>162</v>
      </c>
      <c r="H253" s="5" t="s">
        <v>163</v>
      </c>
      <c r="I253" s="5"/>
      <c r="J253" s="5"/>
      <c r="K253" s="5">
        <v>223</v>
      </c>
      <c r="L253" s="5">
        <v>9</v>
      </c>
      <c r="M253" s="5">
        <v>3</v>
      </c>
      <c r="N253" s="5" t="s">
        <v>3</v>
      </c>
      <c r="O253" s="5">
        <v>2</v>
      </c>
      <c r="P253" s="5"/>
      <c r="Q253" s="5"/>
      <c r="R253" s="5"/>
      <c r="S253" s="5"/>
      <c r="T253" s="5"/>
      <c r="U253" s="5"/>
      <c r="V253" s="5"/>
      <c r="W253" s="5">
        <v>0</v>
      </c>
      <c r="X253" s="5">
        <v>1</v>
      </c>
      <c r="Y253" s="5">
        <v>0</v>
      </c>
      <c r="Z253" s="5"/>
      <c r="AA253" s="5"/>
      <c r="AB253" s="5"/>
    </row>
    <row r="254" spans="1:255" x14ac:dyDescent="0.2">
      <c r="A254" s="5">
        <v>50</v>
      </c>
      <c r="B254" s="5">
        <v>0</v>
      </c>
      <c r="C254" s="5">
        <v>0</v>
      </c>
      <c r="D254" s="5">
        <v>1</v>
      </c>
      <c r="E254" s="5">
        <v>229</v>
      </c>
      <c r="F254" s="5">
        <f>ROUND(Source!AZ243,O254)</f>
        <v>0</v>
      </c>
      <c r="G254" s="5" t="s">
        <v>164</v>
      </c>
      <c r="H254" s="5" t="s">
        <v>165</v>
      </c>
      <c r="I254" s="5"/>
      <c r="J254" s="5"/>
      <c r="K254" s="5">
        <v>229</v>
      </c>
      <c r="L254" s="5">
        <v>10</v>
      </c>
      <c r="M254" s="5">
        <v>3</v>
      </c>
      <c r="N254" s="5" t="s">
        <v>3</v>
      </c>
      <c r="O254" s="5">
        <v>2</v>
      </c>
      <c r="P254" s="5"/>
      <c r="Q254" s="5"/>
      <c r="R254" s="5"/>
      <c r="S254" s="5"/>
      <c r="T254" s="5"/>
      <c r="U254" s="5"/>
      <c r="V254" s="5"/>
      <c r="W254" s="5">
        <v>0</v>
      </c>
      <c r="X254" s="5">
        <v>1</v>
      </c>
      <c r="Y254" s="5">
        <v>0</v>
      </c>
      <c r="Z254" s="5"/>
      <c r="AA254" s="5"/>
      <c r="AB254" s="5"/>
    </row>
    <row r="255" spans="1:255" x14ac:dyDescent="0.2">
      <c r="A255" s="5">
        <v>50</v>
      </c>
      <c r="B255" s="5">
        <v>0</v>
      </c>
      <c r="C255" s="5">
        <v>0</v>
      </c>
      <c r="D255" s="5">
        <v>1</v>
      </c>
      <c r="E255" s="5">
        <v>203</v>
      </c>
      <c r="F255" s="5">
        <f>ROUND(Source!Q243,O255)</f>
        <v>0</v>
      </c>
      <c r="G255" s="5" t="s">
        <v>166</v>
      </c>
      <c r="H255" s="5" t="s">
        <v>167</v>
      </c>
      <c r="I255" s="5"/>
      <c r="J255" s="5"/>
      <c r="K255" s="5">
        <v>203</v>
      </c>
      <c r="L255" s="5">
        <v>11</v>
      </c>
      <c r="M255" s="5">
        <v>3</v>
      </c>
      <c r="N255" s="5" t="s">
        <v>3</v>
      </c>
      <c r="O255" s="5">
        <v>2</v>
      </c>
      <c r="P255" s="5"/>
      <c r="Q255" s="5"/>
      <c r="R255" s="5"/>
      <c r="S255" s="5"/>
      <c r="T255" s="5"/>
      <c r="U255" s="5"/>
      <c r="V255" s="5"/>
      <c r="W255" s="5">
        <v>0</v>
      </c>
      <c r="X255" s="5">
        <v>1</v>
      </c>
      <c r="Y255" s="5">
        <v>0</v>
      </c>
      <c r="Z255" s="5"/>
      <c r="AA255" s="5"/>
      <c r="AB255" s="5"/>
    </row>
    <row r="256" spans="1:255" x14ac:dyDescent="0.2">
      <c r="A256" s="5">
        <v>50</v>
      </c>
      <c r="B256" s="5">
        <v>0</v>
      </c>
      <c r="C256" s="5">
        <v>0</v>
      </c>
      <c r="D256" s="5">
        <v>1</v>
      </c>
      <c r="E256" s="5">
        <v>231</v>
      </c>
      <c r="F256" s="5">
        <f>ROUND(Source!BB243,O256)</f>
        <v>0</v>
      </c>
      <c r="G256" s="5" t="s">
        <v>168</v>
      </c>
      <c r="H256" s="5" t="s">
        <v>169</v>
      </c>
      <c r="I256" s="5"/>
      <c r="J256" s="5"/>
      <c r="K256" s="5">
        <v>231</v>
      </c>
      <c r="L256" s="5">
        <v>12</v>
      </c>
      <c r="M256" s="5">
        <v>3</v>
      </c>
      <c r="N256" s="5" t="s">
        <v>3</v>
      </c>
      <c r="O256" s="5">
        <v>2</v>
      </c>
      <c r="P256" s="5"/>
      <c r="Q256" s="5"/>
      <c r="R256" s="5"/>
      <c r="S256" s="5"/>
      <c r="T256" s="5"/>
      <c r="U256" s="5"/>
      <c r="V256" s="5"/>
      <c r="W256" s="5">
        <v>0</v>
      </c>
      <c r="X256" s="5">
        <v>1</v>
      </c>
      <c r="Y256" s="5">
        <v>0</v>
      </c>
      <c r="Z256" s="5"/>
      <c r="AA256" s="5"/>
      <c r="AB256" s="5"/>
    </row>
    <row r="257" spans="1:28" x14ac:dyDescent="0.2">
      <c r="A257" s="5">
        <v>50</v>
      </c>
      <c r="B257" s="5">
        <v>0</v>
      </c>
      <c r="C257" s="5">
        <v>0</v>
      </c>
      <c r="D257" s="5">
        <v>1</v>
      </c>
      <c r="E257" s="5">
        <v>204</v>
      </c>
      <c r="F257" s="5">
        <f>ROUND(Source!R243,O257)</f>
        <v>0</v>
      </c>
      <c r="G257" s="5" t="s">
        <v>170</v>
      </c>
      <c r="H257" s="5" t="s">
        <v>171</v>
      </c>
      <c r="I257" s="5"/>
      <c r="J257" s="5"/>
      <c r="K257" s="5">
        <v>204</v>
      </c>
      <c r="L257" s="5">
        <v>13</v>
      </c>
      <c r="M257" s="5">
        <v>3</v>
      </c>
      <c r="N257" s="5" t="s">
        <v>3</v>
      </c>
      <c r="O257" s="5">
        <v>2</v>
      </c>
      <c r="P257" s="5"/>
      <c r="Q257" s="5"/>
      <c r="R257" s="5"/>
      <c r="S257" s="5"/>
      <c r="T257" s="5"/>
      <c r="U257" s="5"/>
      <c r="V257" s="5"/>
      <c r="W257" s="5">
        <v>0</v>
      </c>
      <c r="X257" s="5">
        <v>1</v>
      </c>
      <c r="Y257" s="5">
        <v>0</v>
      </c>
      <c r="Z257" s="5"/>
      <c r="AA257" s="5"/>
      <c r="AB257" s="5"/>
    </row>
    <row r="258" spans="1:28" x14ac:dyDescent="0.2">
      <c r="A258" s="5">
        <v>50</v>
      </c>
      <c r="B258" s="5">
        <v>0</v>
      </c>
      <c r="C258" s="5">
        <v>0</v>
      </c>
      <c r="D258" s="5">
        <v>1</v>
      </c>
      <c r="E258" s="5">
        <v>205</v>
      </c>
      <c r="F258" s="5">
        <f>ROUND(Source!S243,O258)</f>
        <v>0</v>
      </c>
      <c r="G258" s="5" t="s">
        <v>172</v>
      </c>
      <c r="H258" s="5" t="s">
        <v>173</v>
      </c>
      <c r="I258" s="5"/>
      <c r="J258" s="5"/>
      <c r="K258" s="5">
        <v>205</v>
      </c>
      <c r="L258" s="5">
        <v>14</v>
      </c>
      <c r="M258" s="5">
        <v>3</v>
      </c>
      <c r="N258" s="5" t="s">
        <v>3</v>
      </c>
      <c r="O258" s="5">
        <v>2</v>
      </c>
      <c r="P258" s="5"/>
      <c r="Q258" s="5"/>
      <c r="R258" s="5"/>
      <c r="S258" s="5"/>
      <c r="T258" s="5"/>
      <c r="U258" s="5"/>
      <c r="V258" s="5"/>
      <c r="W258" s="5">
        <v>0</v>
      </c>
      <c r="X258" s="5">
        <v>1</v>
      </c>
      <c r="Y258" s="5">
        <v>0</v>
      </c>
      <c r="Z258" s="5"/>
      <c r="AA258" s="5"/>
      <c r="AB258" s="5"/>
    </row>
    <row r="259" spans="1:28" x14ac:dyDescent="0.2">
      <c r="A259" s="5">
        <v>50</v>
      </c>
      <c r="B259" s="5">
        <v>0</v>
      </c>
      <c r="C259" s="5">
        <v>0</v>
      </c>
      <c r="D259" s="5">
        <v>1</v>
      </c>
      <c r="E259" s="5">
        <v>232</v>
      </c>
      <c r="F259" s="5">
        <f>ROUND(Source!BC243,O259)</f>
        <v>0</v>
      </c>
      <c r="G259" s="5" t="s">
        <v>174</v>
      </c>
      <c r="H259" s="5" t="s">
        <v>175</v>
      </c>
      <c r="I259" s="5"/>
      <c r="J259" s="5"/>
      <c r="K259" s="5">
        <v>232</v>
      </c>
      <c r="L259" s="5">
        <v>15</v>
      </c>
      <c r="M259" s="5">
        <v>3</v>
      </c>
      <c r="N259" s="5" t="s">
        <v>3</v>
      </c>
      <c r="O259" s="5">
        <v>2</v>
      </c>
      <c r="P259" s="5"/>
      <c r="Q259" s="5"/>
      <c r="R259" s="5"/>
      <c r="S259" s="5"/>
      <c r="T259" s="5"/>
      <c r="U259" s="5"/>
      <c r="V259" s="5"/>
      <c r="W259" s="5">
        <v>0</v>
      </c>
      <c r="X259" s="5">
        <v>1</v>
      </c>
      <c r="Y259" s="5">
        <v>0</v>
      </c>
      <c r="Z259" s="5"/>
      <c r="AA259" s="5"/>
      <c r="AB259" s="5"/>
    </row>
    <row r="260" spans="1:28" x14ac:dyDescent="0.2">
      <c r="A260" s="5">
        <v>50</v>
      </c>
      <c r="B260" s="5">
        <v>0</v>
      </c>
      <c r="C260" s="5">
        <v>0</v>
      </c>
      <c r="D260" s="5">
        <v>1</v>
      </c>
      <c r="E260" s="5">
        <v>214</v>
      </c>
      <c r="F260" s="5">
        <f>ROUND(Source!AS243,O260)</f>
        <v>2572.6799999999998</v>
      </c>
      <c r="G260" s="5" t="s">
        <v>176</v>
      </c>
      <c r="H260" s="5" t="s">
        <v>177</v>
      </c>
      <c r="I260" s="5"/>
      <c r="J260" s="5"/>
      <c r="K260" s="5">
        <v>214</v>
      </c>
      <c r="L260" s="5">
        <v>16</v>
      </c>
      <c r="M260" s="5">
        <v>3</v>
      </c>
      <c r="N260" s="5" t="s">
        <v>3</v>
      </c>
      <c r="O260" s="5">
        <v>2</v>
      </c>
      <c r="P260" s="5"/>
      <c r="Q260" s="5"/>
      <c r="R260" s="5"/>
      <c r="S260" s="5"/>
      <c r="T260" s="5"/>
      <c r="U260" s="5"/>
      <c r="V260" s="5"/>
      <c r="W260" s="5">
        <v>2572.6799999999998</v>
      </c>
      <c r="X260" s="5">
        <v>1</v>
      </c>
      <c r="Y260" s="5">
        <v>2572.6799999999998</v>
      </c>
      <c r="Z260" s="5"/>
      <c r="AA260" s="5"/>
      <c r="AB260" s="5"/>
    </row>
    <row r="261" spans="1:28" x14ac:dyDescent="0.2">
      <c r="A261" s="5">
        <v>50</v>
      </c>
      <c r="B261" s="5">
        <v>0</v>
      </c>
      <c r="C261" s="5">
        <v>0</v>
      </c>
      <c r="D261" s="5">
        <v>1</v>
      </c>
      <c r="E261" s="5">
        <v>215</v>
      </c>
      <c r="F261" s="5">
        <f>ROUND(Source!AT243,O261)</f>
        <v>0</v>
      </c>
      <c r="G261" s="5" t="s">
        <v>178</v>
      </c>
      <c r="H261" s="5" t="s">
        <v>179</v>
      </c>
      <c r="I261" s="5"/>
      <c r="J261" s="5"/>
      <c r="K261" s="5">
        <v>215</v>
      </c>
      <c r="L261" s="5">
        <v>17</v>
      </c>
      <c r="M261" s="5">
        <v>3</v>
      </c>
      <c r="N261" s="5" t="s">
        <v>3</v>
      </c>
      <c r="O261" s="5">
        <v>2</v>
      </c>
      <c r="P261" s="5"/>
      <c r="Q261" s="5"/>
      <c r="R261" s="5"/>
      <c r="S261" s="5"/>
      <c r="T261" s="5"/>
      <c r="U261" s="5"/>
      <c r="V261" s="5"/>
      <c r="W261" s="5">
        <v>0</v>
      </c>
      <c r="X261" s="5">
        <v>1</v>
      </c>
      <c r="Y261" s="5">
        <v>0</v>
      </c>
      <c r="Z261" s="5"/>
      <c r="AA261" s="5"/>
      <c r="AB261" s="5"/>
    </row>
    <row r="262" spans="1:28" x14ac:dyDescent="0.2">
      <c r="A262" s="5">
        <v>50</v>
      </c>
      <c r="B262" s="5">
        <v>0</v>
      </c>
      <c r="C262" s="5">
        <v>0</v>
      </c>
      <c r="D262" s="5">
        <v>1</v>
      </c>
      <c r="E262" s="5">
        <v>217</v>
      </c>
      <c r="F262" s="5">
        <f>ROUND(Source!AU243,O262)</f>
        <v>0</v>
      </c>
      <c r="G262" s="5" t="s">
        <v>180</v>
      </c>
      <c r="H262" s="5" t="s">
        <v>181</v>
      </c>
      <c r="I262" s="5"/>
      <c r="J262" s="5"/>
      <c r="K262" s="5">
        <v>217</v>
      </c>
      <c r="L262" s="5">
        <v>18</v>
      </c>
      <c r="M262" s="5">
        <v>3</v>
      </c>
      <c r="N262" s="5" t="s">
        <v>3</v>
      </c>
      <c r="O262" s="5">
        <v>2</v>
      </c>
      <c r="P262" s="5"/>
      <c r="Q262" s="5"/>
      <c r="R262" s="5"/>
      <c r="S262" s="5"/>
      <c r="T262" s="5"/>
      <c r="U262" s="5"/>
      <c r="V262" s="5"/>
      <c r="W262" s="5">
        <v>0</v>
      </c>
      <c r="X262" s="5">
        <v>1</v>
      </c>
      <c r="Y262" s="5">
        <v>0</v>
      </c>
      <c r="Z262" s="5"/>
      <c r="AA262" s="5"/>
      <c r="AB262" s="5"/>
    </row>
    <row r="263" spans="1:28" x14ac:dyDescent="0.2">
      <c r="A263" s="5">
        <v>50</v>
      </c>
      <c r="B263" s="5">
        <v>0</v>
      </c>
      <c r="C263" s="5">
        <v>0</v>
      </c>
      <c r="D263" s="5">
        <v>1</v>
      </c>
      <c r="E263" s="5">
        <v>230</v>
      </c>
      <c r="F263" s="5">
        <f>ROUND(Source!BA243,O263)</f>
        <v>0</v>
      </c>
      <c r="G263" s="5" t="s">
        <v>182</v>
      </c>
      <c r="H263" s="5" t="s">
        <v>183</v>
      </c>
      <c r="I263" s="5"/>
      <c r="J263" s="5"/>
      <c r="K263" s="5">
        <v>230</v>
      </c>
      <c r="L263" s="5">
        <v>19</v>
      </c>
      <c r="M263" s="5">
        <v>3</v>
      </c>
      <c r="N263" s="5" t="s">
        <v>3</v>
      </c>
      <c r="O263" s="5">
        <v>2</v>
      </c>
      <c r="P263" s="5"/>
      <c r="Q263" s="5"/>
      <c r="R263" s="5"/>
      <c r="S263" s="5"/>
      <c r="T263" s="5"/>
      <c r="U263" s="5"/>
      <c r="V263" s="5"/>
      <c r="W263" s="5">
        <v>0</v>
      </c>
      <c r="X263" s="5">
        <v>1</v>
      </c>
      <c r="Y263" s="5">
        <v>0</v>
      </c>
      <c r="Z263" s="5"/>
      <c r="AA263" s="5"/>
      <c r="AB263" s="5"/>
    </row>
    <row r="264" spans="1:28" x14ac:dyDescent="0.2">
      <c r="A264" s="5">
        <v>50</v>
      </c>
      <c r="B264" s="5">
        <v>0</v>
      </c>
      <c r="C264" s="5">
        <v>0</v>
      </c>
      <c r="D264" s="5">
        <v>1</v>
      </c>
      <c r="E264" s="5">
        <v>206</v>
      </c>
      <c r="F264" s="5">
        <f>ROUND(Source!T243,O264)</f>
        <v>0</v>
      </c>
      <c r="G264" s="5" t="s">
        <v>184</v>
      </c>
      <c r="H264" s="5" t="s">
        <v>185</v>
      </c>
      <c r="I264" s="5"/>
      <c r="J264" s="5"/>
      <c r="K264" s="5">
        <v>206</v>
      </c>
      <c r="L264" s="5">
        <v>20</v>
      </c>
      <c r="M264" s="5">
        <v>3</v>
      </c>
      <c r="N264" s="5" t="s">
        <v>3</v>
      </c>
      <c r="O264" s="5">
        <v>2</v>
      </c>
      <c r="P264" s="5"/>
      <c r="Q264" s="5"/>
      <c r="R264" s="5"/>
      <c r="S264" s="5"/>
      <c r="T264" s="5"/>
      <c r="U264" s="5"/>
      <c r="V264" s="5"/>
      <c r="W264" s="5">
        <v>0</v>
      </c>
      <c r="X264" s="5">
        <v>1</v>
      </c>
      <c r="Y264" s="5">
        <v>0</v>
      </c>
      <c r="Z264" s="5"/>
      <c r="AA264" s="5"/>
      <c r="AB264" s="5"/>
    </row>
    <row r="265" spans="1:28" x14ac:dyDescent="0.2">
      <c r="A265" s="5">
        <v>50</v>
      </c>
      <c r="B265" s="5">
        <v>0</v>
      </c>
      <c r="C265" s="5">
        <v>0</v>
      </c>
      <c r="D265" s="5">
        <v>1</v>
      </c>
      <c r="E265" s="5">
        <v>207</v>
      </c>
      <c r="F265" s="5">
        <f>ROUND(Source!U243,O265)</f>
        <v>0</v>
      </c>
      <c r="G265" s="5" t="s">
        <v>186</v>
      </c>
      <c r="H265" s="5" t="s">
        <v>187</v>
      </c>
      <c r="I265" s="5"/>
      <c r="J265" s="5"/>
      <c r="K265" s="5">
        <v>207</v>
      </c>
      <c r="L265" s="5">
        <v>21</v>
      </c>
      <c r="M265" s="5">
        <v>3</v>
      </c>
      <c r="N265" s="5" t="s">
        <v>3</v>
      </c>
      <c r="O265" s="5">
        <v>7</v>
      </c>
      <c r="P265" s="5"/>
      <c r="Q265" s="5"/>
      <c r="R265" s="5"/>
      <c r="S265" s="5"/>
      <c r="T265" s="5"/>
      <c r="U265" s="5"/>
      <c r="V265" s="5"/>
      <c r="W265" s="5">
        <v>0</v>
      </c>
      <c r="X265" s="5">
        <v>1</v>
      </c>
      <c r="Y265" s="5">
        <v>0</v>
      </c>
      <c r="Z265" s="5"/>
      <c r="AA265" s="5"/>
      <c r="AB265" s="5"/>
    </row>
    <row r="266" spans="1:28" x14ac:dyDescent="0.2">
      <c r="A266" s="5">
        <v>50</v>
      </c>
      <c r="B266" s="5">
        <v>0</v>
      </c>
      <c r="C266" s="5">
        <v>0</v>
      </c>
      <c r="D266" s="5">
        <v>1</v>
      </c>
      <c r="E266" s="5">
        <v>208</v>
      </c>
      <c r="F266" s="5">
        <f>ROUND(Source!V243,O266)</f>
        <v>0</v>
      </c>
      <c r="G266" s="5" t="s">
        <v>188</v>
      </c>
      <c r="H266" s="5" t="s">
        <v>189</v>
      </c>
      <c r="I266" s="5"/>
      <c r="J266" s="5"/>
      <c r="K266" s="5">
        <v>208</v>
      </c>
      <c r="L266" s="5">
        <v>22</v>
      </c>
      <c r="M266" s="5">
        <v>3</v>
      </c>
      <c r="N266" s="5" t="s">
        <v>3</v>
      </c>
      <c r="O266" s="5">
        <v>7</v>
      </c>
      <c r="P266" s="5"/>
      <c r="Q266" s="5"/>
      <c r="R266" s="5"/>
      <c r="S266" s="5"/>
      <c r="T266" s="5"/>
      <c r="U266" s="5"/>
      <c r="V266" s="5"/>
      <c r="W266" s="5">
        <v>0</v>
      </c>
      <c r="X266" s="5">
        <v>1</v>
      </c>
      <c r="Y266" s="5">
        <v>0</v>
      </c>
      <c r="Z266" s="5"/>
      <c r="AA266" s="5"/>
      <c r="AB266" s="5"/>
    </row>
    <row r="267" spans="1:28" x14ac:dyDescent="0.2">
      <c r="A267" s="5">
        <v>50</v>
      </c>
      <c r="B267" s="5">
        <v>0</v>
      </c>
      <c r="C267" s="5">
        <v>0</v>
      </c>
      <c r="D267" s="5">
        <v>1</v>
      </c>
      <c r="E267" s="5">
        <v>209</v>
      </c>
      <c r="F267" s="5">
        <f>ROUND(Source!W243,O267)</f>
        <v>0</v>
      </c>
      <c r="G267" s="5" t="s">
        <v>190</v>
      </c>
      <c r="H267" s="5" t="s">
        <v>191</v>
      </c>
      <c r="I267" s="5"/>
      <c r="J267" s="5"/>
      <c r="K267" s="5">
        <v>209</v>
      </c>
      <c r="L267" s="5">
        <v>23</v>
      </c>
      <c r="M267" s="5">
        <v>3</v>
      </c>
      <c r="N267" s="5" t="s">
        <v>3</v>
      </c>
      <c r="O267" s="5">
        <v>2</v>
      </c>
      <c r="P267" s="5"/>
      <c r="Q267" s="5"/>
      <c r="R267" s="5"/>
      <c r="S267" s="5"/>
      <c r="T267" s="5"/>
      <c r="U267" s="5"/>
      <c r="V267" s="5"/>
      <c r="W267" s="5">
        <v>0</v>
      </c>
      <c r="X267" s="5">
        <v>1</v>
      </c>
      <c r="Y267" s="5">
        <v>0</v>
      </c>
      <c r="Z267" s="5"/>
      <c r="AA267" s="5"/>
      <c r="AB267" s="5"/>
    </row>
    <row r="268" spans="1:28" x14ac:dyDescent="0.2">
      <c r="A268" s="5">
        <v>50</v>
      </c>
      <c r="B268" s="5">
        <v>0</v>
      </c>
      <c r="C268" s="5">
        <v>0</v>
      </c>
      <c r="D268" s="5">
        <v>1</v>
      </c>
      <c r="E268" s="5">
        <v>233</v>
      </c>
      <c r="F268" s="5">
        <f>ROUND(Source!BD243,O268)</f>
        <v>2572.6799999999998</v>
      </c>
      <c r="G268" s="5" t="s">
        <v>192</v>
      </c>
      <c r="H268" s="5" t="s">
        <v>193</v>
      </c>
      <c r="I268" s="5"/>
      <c r="J268" s="5"/>
      <c r="K268" s="5">
        <v>233</v>
      </c>
      <c r="L268" s="5">
        <v>24</v>
      </c>
      <c r="M268" s="5">
        <v>3</v>
      </c>
      <c r="N268" s="5" t="s">
        <v>3</v>
      </c>
      <c r="O268" s="5">
        <v>2</v>
      </c>
      <c r="P268" s="5"/>
      <c r="Q268" s="5"/>
      <c r="R268" s="5"/>
      <c r="S268" s="5"/>
      <c r="T268" s="5"/>
      <c r="U268" s="5"/>
      <c r="V268" s="5"/>
      <c r="W268" s="5">
        <v>2572.6799999999998</v>
      </c>
      <c r="X268" s="5">
        <v>1</v>
      </c>
      <c r="Y268" s="5">
        <v>2572.6799999999998</v>
      </c>
      <c r="Z268" s="5"/>
      <c r="AA268" s="5"/>
      <c r="AB268" s="5"/>
    </row>
    <row r="269" spans="1:28" x14ac:dyDescent="0.2">
      <c r="A269" s="5">
        <v>50</v>
      </c>
      <c r="B269" s="5">
        <v>0</v>
      </c>
      <c r="C269" s="5">
        <v>0</v>
      </c>
      <c r="D269" s="5">
        <v>1</v>
      </c>
      <c r="E269" s="5">
        <v>210</v>
      </c>
      <c r="F269" s="5">
        <f>ROUND(Source!X243,O269)</f>
        <v>0</v>
      </c>
      <c r="G269" s="5" t="s">
        <v>194</v>
      </c>
      <c r="H269" s="5" t="s">
        <v>195</v>
      </c>
      <c r="I269" s="5"/>
      <c r="J269" s="5"/>
      <c r="K269" s="5">
        <v>210</v>
      </c>
      <c r="L269" s="5">
        <v>25</v>
      </c>
      <c r="M269" s="5">
        <v>3</v>
      </c>
      <c r="N269" s="5" t="s">
        <v>3</v>
      </c>
      <c r="O269" s="5">
        <v>2</v>
      </c>
      <c r="P269" s="5"/>
      <c r="Q269" s="5"/>
      <c r="R269" s="5"/>
      <c r="S269" s="5"/>
      <c r="T269" s="5"/>
      <c r="U269" s="5"/>
      <c r="V269" s="5"/>
      <c r="W269" s="5">
        <v>0</v>
      </c>
      <c r="X269" s="5">
        <v>1</v>
      </c>
      <c r="Y269" s="5">
        <v>0</v>
      </c>
      <c r="Z269" s="5"/>
      <c r="AA269" s="5"/>
      <c r="AB269" s="5"/>
    </row>
    <row r="270" spans="1:28" x14ac:dyDescent="0.2">
      <c r="A270" s="5">
        <v>50</v>
      </c>
      <c r="B270" s="5">
        <v>0</v>
      </c>
      <c r="C270" s="5">
        <v>0</v>
      </c>
      <c r="D270" s="5">
        <v>1</v>
      </c>
      <c r="E270" s="5">
        <v>211</v>
      </c>
      <c r="F270" s="5">
        <f>ROUND(Source!Y243,O270)</f>
        <v>0</v>
      </c>
      <c r="G270" s="5" t="s">
        <v>196</v>
      </c>
      <c r="H270" s="5" t="s">
        <v>197</v>
      </c>
      <c r="I270" s="5"/>
      <c r="J270" s="5"/>
      <c r="K270" s="5">
        <v>211</v>
      </c>
      <c r="L270" s="5">
        <v>26</v>
      </c>
      <c r="M270" s="5">
        <v>3</v>
      </c>
      <c r="N270" s="5" t="s">
        <v>3</v>
      </c>
      <c r="O270" s="5">
        <v>2</v>
      </c>
      <c r="P270" s="5"/>
      <c r="Q270" s="5"/>
      <c r="R270" s="5"/>
      <c r="S270" s="5"/>
      <c r="T270" s="5"/>
      <c r="U270" s="5"/>
      <c r="V270" s="5"/>
      <c r="W270" s="5">
        <v>0</v>
      </c>
      <c r="X270" s="5">
        <v>1</v>
      </c>
      <c r="Y270" s="5">
        <v>0</v>
      </c>
      <c r="Z270" s="5"/>
      <c r="AA270" s="5"/>
      <c r="AB270" s="5"/>
    </row>
    <row r="271" spans="1:28" x14ac:dyDescent="0.2">
      <c r="A271" s="5">
        <v>50</v>
      </c>
      <c r="B271" s="5">
        <v>0</v>
      </c>
      <c r="C271" s="5">
        <v>0</v>
      </c>
      <c r="D271" s="5">
        <v>1</v>
      </c>
      <c r="E271" s="5">
        <v>224</v>
      </c>
      <c r="F271" s="5">
        <f>ROUND(Source!AR243,O271)</f>
        <v>2572.6799999999998</v>
      </c>
      <c r="G271" s="5" t="s">
        <v>198</v>
      </c>
      <c r="H271" s="5" t="s">
        <v>199</v>
      </c>
      <c r="I271" s="5"/>
      <c r="J271" s="5"/>
      <c r="K271" s="5">
        <v>224</v>
      </c>
      <c r="L271" s="5">
        <v>27</v>
      </c>
      <c r="M271" s="5">
        <v>3</v>
      </c>
      <c r="N271" s="5" t="s">
        <v>3</v>
      </c>
      <c r="O271" s="5">
        <v>2</v>
      </c>
      <c r="P271" s="5"/>
      <c r="Q271" s="5"/>
      <c r="R271" s="5"/>
      <c r="S271" s="5"/>
      <c r="T271" s="5"/>
      <c r="U271" s="5"/>
      <c r="V271" s="5"/>
      <c r="W271" s="5">
        <v>2572.6799999999998</v>
      </c>
      <c r="X271" s="5">
        <v>1</v>
      </c>
      <c r="Y271" s="5">
        <v>2572.6799999999998</v>
      </c>
      <c r="Z271" s="5"/>
      <c r="AA271" s="5"/>
      <c r="AB271" s="5"/>
    </row>
    <row r="273" spans="1:206" x14ac:dyDescent="0.2">
      <c r="A273" s="3">
        <v>51</v>
      </c>
      <c r="B273" s="3">
        <f>B85</f>
        <v>1</v>
      </c>
      <c r="C273" s="3">
        <f>A85</f>
        <v>4</v>
      </c>
      <c r="D273" s="3">
        <f>ROW(A85)</f>
        <v>85</v>
      </c>
      <c r="E273" s="3"/>
      <c r="F273" s="3" t="str">
        <f>IF(F85&lt;&gt;"",F85,"")</f>
        <v>Новый раздел</v>
      </c>
      <c r="G273" s="3" t="str">
        <f>IF(G85&lt;&gt;"",G85,"")</f>
        <v>ФОК</v>
      </c>
      <c r="H273" s="3">
        <v>0</v>
      </c>
      <c r="I273" s="3"/>
      <c r="J273" s="3"/>
      <c r="K273" s="3"/>
      <c r="L273" s="3"/>
      <c r="M273" s="3"/>
      <c r="N273" s="3"/>
      <c r="O273" s="3">
        <f t="shared" ref="O273:T273" si="171">ROUND(O111+O161+O206+O243+AB273,2)</f>
        <v>93738.86</v>
      </c>
      <c r="P273" s="3">
        <f t="shared" si="171"/>
        <v>40718.400000000001</v>
      </c>
      <c r="Q273" s="3">
        <f t="shared" si="171"/>
        <v>473.93</v>
      </c>
      <c r="R273" s="3">
        <f t="shared" si="171"/>
        <v>351.33</v>
      </c>
      <c r="S273" s="3">
        <f t="shared" si="171"/>
        <v>52195.199999999997</v>
      </c>
      <c r="T273" s="3">
        <f t="shared" si="171"/>
        <v>0</v>
      </c>
      <c r="U273" s="3">
        <f>U111+U161+U206+U243+AH273</f>
        <v>78.8871556</v>
      </c>
      <c r="V273" s="3">
        <f>V111+V161+V206+V243+AI273</f>
        <v>0.50955320000000004</v>
      </c>
      <c r="W273" s="3">
        <f>ROUND(W111+W161+W206+W243+AJ273,2)</f>
        <v>0</v>
      </c>
      <c r="X273" s="3">
        <f>ROUND(X111+X161+X206+X243+AK273,2)</f>
        <v>50933.31</v>
      </c>
      <c r="Y273" s="3">
        <f>ROUND(Y111+Y161+Y206+Y243+AL273,2)</f>
        <v>27370.52</v>
      </c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>
        <f t="shared" ref="AO273:BD273" si="172">ROUND(AO111+AO161+AO206+AO243+BX273,2)</f>
        <v>0</v>
      </c>
      <c r="AP273" s="3">
        <f t="shared" si="172"/>
        <v>0</v>
      </c>
      <c r="AQ273" s="3">
        <f t="shared" si="172"/>
        <v>0</v>
      </c>
      <c r="AR273" s="3">
        <f t="shared" si="172"/>
        <v>174615.37</v>
      </c>
      <c r="AS273" s="3">
        <f t="shared" si="172"/>
        <v>174615.37</v>
      </c>
      <c r="AT273" s="3">
        <f t="shared" si="172"/>
        <v>0</v>
      </c>
      <c r="AU273" s="3">
        <f t="shared" si="172"/>
        <v>0</v>
      </c>
      <c r="AV273" s="3">
        <f t="shared" si="172"/>
        <v>40718.400000000001</v>
      </c>
      <c r="AW273" s="3">
        <f t="shared" si="172"/>
        <v>40718.400000000001</v>
      </c>
      <c r="AX273" s="3">
        <f t="shared" si="172"/>
        <v>0</v>
      </c>
      <c r="AY273" s="3">
        <f t="shared" si="172"/>
        <v>40718.400000000001</v>
      </c>
      <c r="AZ273" s="3">
        <f t="shared" si="172"/>
        <v>0</v>
      </c>
      <c r="BA273" s="3">
        <f t="shared" si="172"/>
        <v>0</v>
      </c>
      <c r="BB273" s="3">
        <f t="shared" si="172"/>
        <v>0</v>
      </c>
      <c r="BC273" s="3">
        <f t="shared" si="172"/>
        <v>0</v>
      </c>
      <c r="BD273" s="3">
        <f t="shared" si="172"/>
        <v>2572.6799999999998</v>
      </c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>
        <v>0</v>
      </c>
    </row>
    <row r="275" spans="1:206" x14ac:dyDescent="0.2">
      <c r="A275" s="5">
        <v>50</v>
      </c>
      <c r="B275" s="5">
        <v>0</v>
      </c>
      <c r="C275" s="5">
        <v>0</v>
      </c>
      <c r="D275" s="5">
        <v>1</v>
      </c>
      <c r="E275" s="5">
        <v>201</v>
      </c>
      <c r="F275" s="5">
        <f>ROUND(Source!O273,O275)</f>
        <v>93738.86</v>
      </c>
      <c r="G275" s="5" t="s">
        <v>146</v>
      </c>
      <c r="H275" s="5" t="s">
        <v>147</v>
      </c>
      <c r="I275" s="5"/>
      <c r="J275" s="5"/>
      <c r="K275" s="5">
        <v>201</v>
      </c>
      <c r="L275" s="5">
        <v>1</v>
      </c>
      <c r="M275" s="5">
        <v>3</v>
      </c>
      <c r="N275" s="5" t="s">
        <v>3</v>
      </c>
      <c r="O275" s="5">
        <v>2</v>
      </c>
      <c r="P275" s="5"/>
      <c r="Q275" s="5"/>
      <c r="R275" s="5"/>
      <c r="S275" s="5"/>
      <c r="T275" s="5"/>
      <c r="U275" s="5"/>
      <c r="V275" s="5"/>
      <c r="W275" s="5">
        <v>96311.54</v>
      </c>
      <c r="X275" s="5">
        <v>1</v>
      </c>
      <c r="Y275" s="5">
        <v>96311.54</v>
      </c>
      <c r="Z275" s="5"/>
      <c r="AA275" s="5"/>
      <c r="AB275" s="5"/>
    </row>
    <row r="276" spans="1:206" x14ac:dyDescent="0.2">
      <c r="A276" s="5">
        <v>50</v>
      </c>
      <c r="B276" s="5">
        <v>0</v>
      </c>
      <c r="C276" s="5">
        <v>0</v>
      </c>
      <c r="D276" s="5">
        <v>1</v>
      </c>
      <c r="E276" s="5">
        <v>202</v>
      </c>
      <c r="F276" s="5">
        <f>ROUND(Source!P273,O276)</f>
        <v>40718.400000000001</v>
      </c>
      <c r="G276" s="5" t="s">
        <v>148</v>
      </c>
      <c r="H276" s="5" t="s">
        <v>149</v>
      </c>
      <c r="I276" s="5"/>
      <c r="J276" s="5"/>
      <c r="K276" s="5">
        <v>202</v>
      </c>
      <c r="L276" s="5">
        <v>2</v>
      </c>
      <c r="M276" s="5">
        <v>3</v>
      </c>
      <c r="N276" s="5" t="s">
        <v>3</v>
      </c>
      <c r="O276" s="5">
        <v>2</v>
      </c>
      <c r="P276" s="5"/>
      <c r="Q276" s="5"/>
      <c r="R276" s="5"/>
      <c r="S276" s="5"/>
      <c r="T276" s="5"/>
      <c r="U276" s="5"/>
      <c r="V276" s="5"/>
      <c r="W276" s="5">
        <v>40718.400000000001</v>
      </c>
      <c r="X276" s="5">
        <v>1</v>
      </c>
      <c r="Y276" s="5">
        <v>40718.400000000001</v>
      </c>
      <c r="Z276" s="5"/>
      <c r="AA276" s="5"/>
      <c r="AB276" s="5"/>
    </row>
    <row r="277" spans="1:206" x14ac:dyDescent="0.2">
      <c r="A277" s="5">
        <v>50</v>
      </c>
      <c r="B277" s="5">
        <v>0</v>
      </c>
      <c r="C277" s="5">
        <v>0</v>
      </c>
      <c r="D277" s="5">
        <v>1</v>
      </c>
      <c r="E277" s="5">
        <v>222</v>
      </c>
      <c r="F277" s="5">
        <f>ROUND(Source!AO273,O277)</f>
        <v>0</v>
      </c>
      <c r="G277" s="5" t="s">
        <v>150</v>
      </c>
      <c r="H277" s="5" t="s">
        <v>151</v>
      </c>
      <c r="I277" s="5"/>
      <c r="J277" s="5"/>
      <c r="K277" s="5">
        <v>222</v>
      </c>
      <c r="L277" s="5">
        <v>3</v>
      </c>
      <c r="M277" s="5">
        <v>3</v>
      </c>
      <c r="N277" s="5" t="s">
        <v>3</v>
      </c>
      <c r="O277" s="5">
        <v>2</v>
      </c>
      <c r="P277" s="5"/>
      <c r="Q277" s="5"/>
      <c r="R277" s="5"/>
      <c r="S277" s="5"/>
      <c r="T277" s="5"/>
      <c r="U277" s="5"/>
      <c r="V277" s="5"/>
      <c r="W277" s="5">
        <v>0</v>
      </c>
      <c r="X277" s="5">
        <v>1</v>
      </c>
      <c r="Y277" s="5">
        <v>0</v>
      </c>
      <c r="Z277" s="5"/>
      <c r="AA277" s="5"/>
      <c r="AB277" s="5"/>
    </row>
    <row r="278" spans="1:206" x14ac:dyDescent="0.2">
      <c r="A278" s="5">
        <v>50</v>
      </c>
      <c r="B278" s="5">
        <v>0</v>
      </c>
      <c r="C278" s="5">
        <v>0</v>
      </c>
      <c r="D278" s="5">
        <v>1</v>
      </c>
      <c r="E278" s="5">
        <v>225</v>
      </c>
      <c r="F278" s="5">
        <f>ROUND(Source!AV273,O278)</f>
        <v>40718.400000000001</v>
      </c>
      <c r="G278" s="5" t="s">
        <v>152</v>
      </c>
      <c r="H278" s="5" t="s">
        <v>153</v>
      </c>
      <c r="I278" s="5"/>
      <c r="J278" s="5"/>
      <c r="K278" s="5">
        <v>225</v>
      </c>
      <c r="L278" s="5">
        <v>4</v>
      </c>
      <c r="M278" s="5">
        <v>3</v>
      </c>
      <c r="N278" s="5" t="s">
        <v>3</v>
      </c>
      <c r="O278" s="5">
        <v>2</v>
      </c>
      <c r="P278" s="5"/>
      <c r="Q278" s="5"/>
      <c r="R278" s="5"/>
      <c r="S278" s="5"/>
      <c r="T278" s="5"/>
      <c r="U278" s="5"/>
      <c r="V278" s="5"/>
      <c r="W278" s="5">
        <v>40718.400000000001</v>
      </c>
      <c r="X278" s="5">
        <v>1</v>
      </c>
      <c r="Y278" s="5">
        <v>40718.400000000001</v>
      </c>
      <c r="Z278" s="5"/>
      <c r="AA278" s="5"/>
      <c r="AB278" s="5"/>
    </row>
    <row r="279" spans="1:206" x14ac:dyDescent="0.2">
      <c r="A279" s="5">
        <v>50</v>
      </c>
      <c r="B279" s="5">
        <v>0</v>
      </c>
      <c r="C279" s="5">
        <v>0</v>
      </c>
      <c r="D279" s="5">
        <v>1</v>
      </c>
      <c r="E279" s="5">
        <v>226</v>
      </c>
      <c r="F279" s="5">
        <f>ROUND(Source!AW273,O279)</f>
        <v>40718.400000000001</v>
      </c>
      <c r="G279" s="5" t="s">
        <v>154</v>
      </c>
      <c r="H279" s="5" t="s">
        <v>155</v>
      </c>
      <c r="I279" s="5"/>
      <c r="J279" s="5"/>
      <c r="K279" s="5">
        <v>226</v>
      </c>
      <c r="L279" s="5">
        <v>5</v>
      </c>
      <c r="M279" s="5">
        <v>3</v>
      </c>
      <c r="N279" s="5" t="s">
        <v>3</v>
      </c>
      <c r="O279" s="5">
        <v>2</v>
      </c>
      <c r="P279" s="5"/>
      <c r="Q279" s="5"/>
      <c r="R279" s="5"/>
      <c r="S279" s="5"/>
      <c r="T279" s="5"/>
      <c r="U279" s="5"/>
      <c r="V279" s="5"/>
      <c r="W279" s="5">
        <v>40718.400000000001</v>
      </c>
      <c r="X279" s="5">
        <v>1</v>
      </c>
      <c r="Y279" s="5">
        <v>40718.400000000001</v>
      </c>
      <c r="Z279" s="5"/>
      <c r="AA279" s="5"/>
      <c r="AB279" s="5"/>
    </row>
    <row r="280" spans="1:206" x14ac:dyDescent="0.2">
      <c r="A280" s="5">
        <v>50</v>
      </c>
      <c r="B280" s="5">
        <v>0</v>
      </c>
      <c r="C280" s="5">
        <v>0</v>
      </c>
      <c r="D280" s="5">
        <v>1</v>
      </c>
      <c r="E280" s="5">
        <v>227</v>
      </c>
      <c r="F280" s="5">
        <f>ROUND(Source!AX273,O280)</f>
        <v>0</v>
      </c>
      <c r="G280" s="5" t="s">
        <v>156</v>
      </c>
      <c r="H280" s="5" t="s">
        <v>157</v>
      </c>
      <c r="I280" s="5"/>
      <c r="J280" s="5"/>
      <c r="K280" s="5">
        <v>227</v>
      </c>
      <c r="L280" s="5">
        <v>6</v>
      </c>
      <c r="M280" s="5">
        <v>3</v>
      </c>
      <c r="N280" s="5" t="s">
        <v>3</v>
      </c>
      <c r="O280" s="5">
        <v>2</v>
      </c>
      <c r="P280" s="5"/>
      <c r="Q280" s="5"/>
      <c r="R280" s="5"/>
      <c r="S280" s="5"/>
      <c r="T280" s="5"/>
      <c r="U280" s="5"/>
      <c r="V280" s="5"/>
      <c r="W280" s="5">
        <v>0</v>
      </c>
      <c r="X280" s="5">
        <v>1</v>
      </c>
      <c r="Y280" s="5">
        <v>0</v>
      </c>
      <c r="Z280" s="5"/>
      <c r="AA280" s="5"/>
      <c r="AB280" s="5"/>
    </row>
    <row r="281" spans="1:206" x14ac:dyDescent="0.2">
      <c r="A281" s="5">
        <v>50</v>
      </c>
      <c r="B281" s="5">
        <v>0</v>
      </c>
      <c r="C281" s="5">
        <v>0</v>
      </c>
      <c r="D281" s="5">
        <v>1</v>
      </c>
      <c r="E281" s="5">
        <v>228</v>
      </c>
      <c r="F281" s="5">
        <f>ROUND(Source!AY273,O281)</f>
        <v>40718.400000000001</v>
      </c>
      <c r="G281" s="5" t="s">
        <v>158</v>
      </c>
      <c r="H281" s="5" t="s">
        <v>159</v>
      </c>
      <c r="I281" s="5"/>
      <c r="J281" s="5"/>
      <c r="K281" s="5">
        <v>228</v>
      </c>
      <c r="L281" s="5">
        <v>7</v>
      </c>
      <c r="M281" s="5">
        <v>3</v>
      </c>
      <c r="N281" s="5" t="s">
        <v>3</v>
      </c>
      <c r="O281" s="5">
        <v>2</v>
      </c>
      <c r="P281" s="5"/>
      <c r="Q281" s="5"/>
      <c r="R281" s="5"/>
      <c r="S281" s="5"/>
      <c r="T281" s="5"/>
      <c r="U281" s="5"/>
      <c r="V281" s="5"/>
      <c r="W281" s="5">
        <v>40718.400000000001</v>
      </c>
      <c r="X281" s="5">
        <v>1</v>
      </c>
      <c r="Y281" s="5">
        <v>40718.400000000001</v>
      </c>
      <c r="Z281" s="5"/>
      <c r="AA281" s="5"/>
      <c r="AB281" s="5"/>
    </row>
    <row r="282" spans="1:206" x14ac:dyDescent="0.2">
      <c r="A282" s="5">
        <v>50</v>
      </c>
      <c r="B282" s="5">
        <v>0</v>
      </c>
      <c r="C282" s="5">
        <v>0</v>
      </c>
      <c r="D282" s="5">
        <v>1</v>
      </c>
      <c r="E282" s="5">
        <v>216</v>
      </c>
      <c r="F282" s="5">
        <f>ROUND(Source!AP273,O282)</f>
        <v>0</v>
      </c>
      <c r="G282" s="5" t="s">
        <v>160</v>
      </c>
      <c r="H282" s="5" t="s">
        <v>161</v>
      </c>
      <c r="I282" s="5"/>
      <c r="J282" s="5"/>
      <c r="K282" s="5">
        <v>216</v>
      </c>
      <c r="L282" s="5">
        <v>8</v>
      </c>
      <c r="M282" s="5">
        <v>3</v>
      </c>
      <c r="N282" s="5" t="s">
        <v>3</v>
      </c>
      <c r="O282" s="5">
        <v>2</v>
      </c>
      <c r="P282" s="5"/>
      <c r="Q282" s="5"/>
      <c r="R282" s="5"/>
      <c r="S282" s="5"/>
      <c r="T282" s="5"/>
      <c r="U282" s="5"/>
      <c r="V282" s="5"/>
      <c r="W282" s="5">
        <v>0</v>
      </c>
      <c r="X282" s="5">
        <v>1</v>
      </c>
      <c r="Y282" s="5">
        <v>0</v>
      </c>
      <c r="Z282" s="5"/>
      <c r="AA282" s="5"/>
      <c r="AB282" s="5"/>
    </row>
    <row r="283" spans="1:206" x14ac:dyDescent="0.2">
      <c r="A283" s="5">
        <v>50</v>
      </c>
      <c r="B283" s="5">
        <v>0</v>
      </c>
      <c r="C283" s="5">
        <v>0</v>
      </c>
      <c r="D283" s="5">
        <v>1</v>
      </c>
      <c r="E283" s="5">
        <v>223</v>
      </c>
      <c r="F283" s="5">
        <f>ROUND(Source!AQ273,O283)</f>
        <v>0</v>
      </c>
      <c r="G283" s="5" t="s">
        <v>162</v>
      </c>
      <c r="H283" s="5" t="s">
        <v>163</v>
      </c>
      <c r="I283" s="5"/>
      <c r="J283" s="5"/>
      <c r="K283" s="5">
        <v>223</v>
      </c>
      <c r="L283" s="5">
        <v>9</v>
      </c>
      <c r="M283" s="5">
        <v>3</v>
      </c>
      <c r="N283" s="5" t="s">
        <v>3</v>
      </c>
      <c r="O283" s="5">
        <v>2</v>
      </c>
      <c r="P283" s="5"/>
      <c r="Q283" s="5"/>
      <c r="R283" s="5"/>
      <c r="S283" s="5"/>
      <c r="T283" s="5"/>
      <c r="U283" s="5"/>
      <c r="V283" s="5"/>
      <c r="W283" s="5">
        <v>0</v>
      </c>
      <c r="X283" s="5">
        <v>1</v>
      </c>
      <c r="Y283" s="5">
        <v>0</v>
      </c>
      <c r="Z283" s="5"/>
      <c r="AA283" s="5"/>
      <c r="AB283" s="5"/>
    </row>
    <row r="284" spans="1:206" x14ac:dyDescent="0.2">
      <c r="A284" s="5">
        <v>50</v>
      </c>
      <c r="B284" s="5">
        <v>0</v>
      </c>
      <c r="C284" s="5">
        <v>0</v>
      </c>
      <c r="D284" s="5">
        <v>1</v>
      </c>
      <c r="E284" s="5">
        <v>229</v>
      </c>
      <c r="F284" s="5">
        <f>ROUND(Source!AZ273,O284)</f>
        <v>0</v>
      </c>
      <c r="G284" s="5" t="s">
        <v>164</v>
      </c>
      <c r="H284" s="5" t="s">
        <v>165</v>
      </c>
      <c r="I284" s="5"/>
      <c r="J284" s="5"/>
      <c r="K284" s="5">
        <v>229</v>
      </c>
      <c r="L284" s="5">
        <v>10</v>
      </c>
      <c r="M284" s="5">
        <v>3</v>
      </c>
      <c r="N284" s="5" t="s">
        <v>3</v>
      </c>
      <c r="O284" s="5">
        <v>2</v>
      </c>
      <c r="P284" s="5"/>
      <c r="Q284" s="5"/>
      <c r="R284" s="5"/>
      <c r="S284" s="5"/>
      <c r="T284" s="5"/>
      <c r="U284" s="5"/>
      <c r="V284" s="5"/>
      <c r="W284" s="5">
        <v>0</v>
      </c>
      <c r="X284" s="5">
        <v>1</v>
      </c>
      <c r="Y284" s="5">
        <v>0</v>
      </c>
      <c r="Z284" s="5"/>
      <c r="AA284" s="5"/>
      <c r="AB284" s="5"/>
    </row>
    <row r="285" spans="1:206" x14ac:dyDescent="0.2">
      <c r="A285" s="5">
        <v>50</v>
      </c>
      <c r="B285" s="5">
        <v>0</v>
      </c>
      <c r="C285" s="5">
        <v>0</v>
      </c>
      <c r="D285" s="5">
        <v>1</v>
      </c>
      <c r="E285" s="5">
        <v>203</v>
      </c>
      <c r="F285" s="5">
        <f>ROUND(Source!Q273,O285)</f>
        <v>473.93</v>
      </c>
      <c r="G285" s="5" t="s">
        <v>166</v>
      </c>
      <c r="H285" s="5" t="s">
        <v>167</v>
      </c>
      <c r="I285" s="5"/>
      <c r="J285" s="5"/>
      <c r="K285" s="5">
        <v>203</v>
      </c>
      <c r="L285" s="5">
        <v>11</v>
      </c>
      <c r="M285" s="5">
        <v>3</v>
      </c>
      <c r="N285" s="5" t="s">
        <v>3</v>
      </c>
      <c r="O285" s="5">
        <v>2</v>
      </c>
      <c r="P285" s="5"/>
      <c r="Q285" s="5"/>
      <c r="R285" s="5"/>
      <c r="S285" s="5"/>
      <c r="T285" s="5"/>
      <c r="U285" s="5"/>
      <c r="V285" s="5"/>
      <c r="W285" s="5">
        <v>473.92999999999995</v>
      </c>
      <c r="X285" s="5">
        <v>1</v>
      </c>
      <c r="Y285" s="5">
        <v>473.92999999999995</v>
      </c>
      <c r="Z285" s="5"/>
      <c r="AA285" s="5"/>
      <c r="AB285" s="5"/>
    </row>
    <row r="286" spans="1:206" x14ac:dyDescent="0.2">
      <c r="A286" s="5">
        <v>50</v>
      </c>
      <c r="B286" s="5">
        <v>0</v>
      </c>
      <c r="C286" s="5">
        <v>0</v>
      </c>
      <c r="D286" s="5">
        <v>1</v>
      </c>
      <c r="E286" s="5">
        <v>231</v>
      </c>
      <c r="F286" s="5">
        <f>ROUND(Source!BB273,O286)</f>
        <v>0</v>
      </c>
      <c r="G286" s="5" t="s">
        <v>168</v>
      </c>
      <c r="H286" s="5" t="s">
        <v>169</v>
      </c>
      <c r="I286" s="5"/>
      <c r="J286" s="5"/>
      <c r="K286" s="5">
        <v>231</v>
      </c>
      <c r="L286" s="5">
        <v>12</v>
      </c>
      <c r="M286" s="5">
        <v>3</v>
      </c>
      <c r="N286" s="5" t="s">
        <v>3</v>
      </c>
      <c r="O286" s="5">
        <v>2</v>
      </c>
      <c r="P286" s="5"/>
      <c r="Q286" s="5"/>
      <c r="R286" s="5"/>
      <c r="S286" s="5"/>
      <c r="T286" s="5"/>
      <c r="U286" s="5"/>
      <c r="V286" s="5"/>
      <c r="W286" s="5">
        <v>0</v>
      </c>
      <c r="X286" s="5">
        <v>1</v>
      </c>
      <c r="Y286" s="5">
        <v>0</v>
      </c>
      <c r="Z286" s="5"/>
      <c r="AA286" s="5"/>
      <c r="AB286" s="5"/>
    </row>
    <row r="287" spans="1:206" x14ac:dyDescent="0.2">
      <c r="A287" s="5">
        <v>50</v>
      </c>
      <c r="B287" s="5">
        <v>0</v>
      </c>
      <c r="C287" s="5">
        <v>0</v>
      </c>
      <c r="D287" s="5">
        <v>1</v>
      </c>
      <c r="E287" s="5">
        <v>204</v>
      </c>
      <c r="F287" s="5">
        <f>ROUND(Source!R273,O287)</f>
        <v>351.33</v>
      </c>
      <c r="G287" s="5" t="s">
        <v>170</v>
      </c>
      <c r="H287" s="5" t="s">
        <v>171</v>
      </c>
      <c r="I287" s="5"/>
      <c r="J287" s="5"/>
      <c r="K287" s="5">
        <v>204</v>
      </c>
      <c r="L287" s="5">
        <v>13</v>
      </c>
      <c r="M287" s="5">
        <v>3</v>
      </c>
      <c r="N287" s="5" t="s">
        <v>3</v>
      </c>
      <c r="O287" s="5">
        <v>2</v>
      </c>
      <c r="P287" s="5"/>
      <c r="Q287" s="5"/>
      <c r="R287" s="5"/>
      <c r="S287" s="5"/>
      <c r="T287" s="5"/>
      <c r="U287" s="5"/>
      <c r="V287" s="5"/>
      <c r="W287" s="5">
        <v>351.33000000000004</v>
      </c>
      <c r="X287" s="5">
        <v>1</v>
      </c>
      <c r="Y287" s="5">
        <v>351.33000000000004</v>
      </c>
      <c r="Z287" s="5"/>
      <c r="AA287" s="5"/>
      <c r="AB287" s="5"/>
    </row>
    <row r="288" spans="1:206" x14ac:dyDescent="0.2">
      <c r="A288" s="5">
        <v>50</v>
      </c>
      <c r="B288" s="5">
        <v>0</v>
      </c>
      <c r="C288" s="5">
        <v>0</v>
      </c>
      <c r="D288" s="5">
        <v>1</v>
      </c>
      <c r="E288" s="5">
        <v>205</v>
      </c>
      <c r="F288" s="5">
        <f>ROUND(Source!S273,O288)</f>
        <v>52195.199999999997</v>
      </c>
      <c r="G288" s="5" t="s">
        <v>172</v>
      </c>
      <c r="H288" s="5" t="s">
        <v>173</v>
      </c>
      <c r="I288" s="5"/>
      <c r="J288" s="5"/>
      <c r="K288" s="5">
        <v>205</v>
      </c>
      <c r="L288" s="5">
        <v>14</v>
      </c>
      <c r="M288" s="5">
        <v>3</v>
      </c>
      <c r="N288" s="5" t="s">
        <v>3</v>
      </c>
      <c r="O288" s="5">
        <v>2</v>
      </c>
      <c r="P288" s="5"/>
      <c r="Q288" s="5"/>
      <c r="R288" s="5"/>
      <c r="S288" s="5"/>
      <c r="T288" s="5"/>
      <c r="U288" s="5"/>
      <c r="V288" s="5"/>
      <c r="W288" s="5">
        <v>52195.199999999997</v>
      </c>
      <c r="X288" s="5">
        <v>1</v>
      </c>
      <c r="Y288" s="5">
        <v>52195.199999999997</v>
      </c>
      <c r="Z288" s="5"/>
      <c r="AA288" s="5"/>
      <c r="AB288" s="5"/>
    </row>
    <row r="289" spans="1:88" x14ac:dyDescent="0.2">
      <c r="A289" s="5">
        <v>50</v>
      </c>
      <c r="B289" s="5">
        <v>0</v>
      </c>
      <c r="C289" s="5">
        <v>0</v>
      </c>
      <c r="D289" s="5">
        <v>1</v>
      </c>
      <c r="E289" s="5">
        <v>232</v>
      </c>
      <c r="F289" s="5">
        <f>ROUND(Source!BC273,O289)</f>
        <v>0</v>
      </c>
      <c r="G289" s="5" t="s">
        <v>174</v>
      </c>
      <c r="H289" s="5" t="s">
        <v>175</v>
      </c>
      <c r="I289" s="5"/>
      <c r="J289" s="5"/>
      <c r="K289" s="5">
        <v>232</v>
      </c>
      <c r="L289" s="5">
        <v>15</v>
      </c>
      <c r="M289" s="5">
        <v>3</v>
      </c>
      <c r="N289" s="5" t="s">
        <v>3</v>
      </c>
      <c r="O289" s="5">
        <v>2</v>
      </c>
      <c r="P289" s="5"/>
      <c r="Q289" s="5"/>
      <c r="R289" s="5"/>
      <c r="S289" s="5"/>
      <c r="T289" s="5"/>
      <c r="U289" s="5"/>
      <c r="V289" s="5"/>
      <c r="W289" s="5">
        <v>0</v>
      </c>
      <c r="X289" s="5">
        <v>1</v>
      </c>
      <c r="Y289" s="5">
        <v>0</v>
      </c>
      <c r="Z289" s="5"/>
      <c r="AA289" s="5"/>
      <c r="AB289" s="5"/>
    </row>
    <row r="290" spans="1:88" x14ac:dyDescent="0.2">
      <c r="A290" s="5">
        <v>50</v>
      </c>
      <c r="B290" s="5">
        <v>0</v>
      </c>
      <c r="C290" s="5">
        <v>0</v>
      </c>
      <c r="D290" s="5">
        <v>1</v>
      </c>
      <c r="E290" s="5">
        <v>214</v>
      </c>
      <c r="F290" s="5">
        <f>ROUND(Source!AS273,O290)</f>
        <v>174615.37</v>
      </c>
      <c r="G290" s="5" t="s">
        <v>176</v>
      </c>
      <c r="H290" s="5" t="s">
        <v>177</v>
      </c>
      <c r="I290" s="5"/>
      <c r="J290" s="5"/>
      <c r="K290" s="5">
        <v>214</v>
      </c>
      <c r="L290" s="5">
        <v>16</v>
      </c>
      <c r="M290" s="5">
        <v>3</v>
      </c>
      <c r="N290" s="5" t="s">
        <v>3</v>
      </c>
      <c r="O290" s="5">
        <v>2</v>
      </c>
      <c r="P290" s="5"/>
      <c r="Q290" s="5"/>
      <c r="R290" s="5"/>
      <c r="S290" s="5"/>
      <c r="T290" s="5"/>
      <c r="U290" s="5"/>
      <c r="V290" s="5"/>
      <c r="W290" s="5">
        <v>174615.37</v>
      </c>
      <c r="X290" s="5">
        <v>1</v>
      </c>
      <c r="Y290" s="5">
        <v>174615.37</v>
      </c>
      <c r="Z290" s="5"/>
      <c r="AA290" s="5"/>
      <c r="AB290" s="5"/>
    </row>
    <row r="291" spans="1:88" x14ac:dyDescent="0.2">
      <c r="A291" s="5">
        <v>50</v>
      </c>
      <c r="B291" s="5">
        <v>0</v>
      </c>
      <c r="C291" s="5">
        <v>0</v>
      </c>
      <c r="D291" s="5">
        <v>1</v>
      </c>
      <c r="E291" s="5">
        <v>215</v>
      </c>
      <c r="F291" s="5">
        <f>ROUND(Source!AT273,O291)</f>
        <v>0</v>
      </c>
      <c r="G291" s="5" t="s">
        <v>178</v>
      </c>
      <c r="H291" s="5" t="s">
        <v>179</v>
      </c>
      <c r="I291" s="5"/>
      <c r="J291" s="5"/>
      <c r="K291" s="5">
        <v>215</v>
      </c>
      <c r="L291" s="5">
        <v>17</v>
      </c>
      <c r="M291" s="5">
        <v>3</v>
      </c>
      <c r="N291" s="5" t="s">
        <v>3</v>
      </c>
      <c r="O291" s="5">
        <v>2</v>
      </c>
      <c r="P291" s="5"/>
      <c r="Q291" s="5"/>
      <c r="R291" s="5"/>
      <c r="S291" s="5"/>
      <c r="T291" s="5"/>
      <c r="U291" s="5"/>
      <c r="V291" s="5"/>
      <c r="W291" s="5">
        <v>0</v>
      </c>
      <c r="X291" s="5">
        <v>1</v>
      </c>
      <c r="Y291" s="5">
        <v>0</v>
      </c>
      <c r="Z291" s="5"/>
      <c r="AA291" s="5"/>
      <c r="AB291" s="5"/>
    </row>
    <row r="292" spans="1:88" x14ac:dyDescent="0.2">
      <c r="A292" s="5">
        <v>50</v>
      </c>
      <c r="B292" s="5">
        <v>0</v>
      </c>
      <c r="C292" s="5">
        <v>0</v>
      </c>
      <c r="D292" s="5">
        <v>1</v>
      </c>
      <c r="E292" s="5">
        <v>217</v>
      </c>
      <c r="F292" s="5">
        <f>ROUND(Source!AU273,O292)</f>
        <v>0</v>
      </c>
      <c r="G292" s="5" t="s">
        <v>180</v>
      </c>
      <c r="H292" s="5" t="s">
        <v>181</v>
      </c>
      <c r="I292" s="5"/>
      <c r="J292" s="5"/>
      <c r="K292" s="5">
        <v>217</v>
      </c>
      <c r="L292" s="5">
        <v>18</v>
      </c>
      <c r="M292" s="5">
        <v>3</v>
      </c>
      <c r="N292" s="5" t="s">
        <v>3</v>
      </c>
      <c r="O292" s="5">
        <v>2</v>
      </c>
      <c r="P292" s="5"/>
      <c r="Q292" s="5"/>
      <c r="R292" s="5"/>
      <c r="S292" s="5"/>
      <c r="T292" s="5"/>
      <c r="U292" s="5"/>
      <c r="V292" s="5"/>
      <c r="W292" s="5">
        <v>0</v>
      </c>
      <c r="X292" s="5">
        <v>1</v>
      </c>
      <c r="Y292" s="5">
        <v>0</v>
      </c>
      <c r="Z292" s="5"/>
      <c r="AA292" s="5"/>
      <c r="AB292" s="5"/>
    </row>
    <row r="293" spans="1:88" x14ac:dyDescent="0.2">
      <c r="A293" s="5">
        <v>50</v>
      </c>
      <c r="B293" s="5">
        <v>0</v>
      </c>
      <c r="C293" s="5">
        <v>0</v>
      </c>
      <c r="D293" s="5">
        <v>1</v>
      </c>
      <c r="E293" s="5">
        <v>230</v>
      </c>
      <c r="F293" s="5">
        <f>ROUND(Source!BA273,O293)</f>
        <v>0</v>
      </c>
      <c r="G293" s="5" t="s">
        <v>182</v>
      </c>
      <c r="H293" s="5" t="s">
        <v>183</v>
      </c>
      <c r="I293" s="5"/>
      <c r="J293" s="5"/>
      <c r="K293" s="5">
        <v>230</v>
      </c>
      <c r="L293" s="5">
        <v>19</v>
      </c>
      <c r="M293" s="5">
        <v>3</v>
      </c>
      <c r="N293" s="5" t="s">
        <v>3</v>
      </c>
      <c r="O293" s="5">
        <v>2</v>
      </c>
      <c r="P293" s="5"/>
      <c r="Q293" s="5"/>
      <c r="R293" s="5"/>
      <c r="S293" s="5"/>
      <c r="T293" s="5"/>
      <c r="U293" s="5"/>
      <c r="V293" s="5"/>
      <c r="W293" s="5">
        <v>0</v>
      </c>
      <c r="X293" s="5">
        <v>1</v>
      </c>
      <c r="Y293" s="5">
        <v>0</v>
      </c>
      <c r="Z293" s="5"/>
      <c r="AA293" s="5"/>
      <c r="AB293" s="5"/>
    </row>
    <row r="294" spans="1:88" x14ac:dyDescent="0.2">
      <c r="A294" s="5">
        <v>50</v>
      </c>
      <c r="B294" s="5">
        <v>0</v>
      </c>
      <c r="C294" s="5">
        <v>0</v>
      </c>
      <c r="D294" s="5">
        <v>1</v>
      </c>
      <c r="E294" s="5">
        <v>206</v>
      </c>
      <c r="F294" s="5">
        <f>ROUND(Source!T273,O294)</f>
        <v>0</v>
      </c>
      <c r="G294" s="5" t="s">
        <v>184</v>
      </c>
      <c r="H294" s="5" t="s">
        <v>185</v>
      </c>
      <c r="I294" s="5"/>
      <c r="J294" s="5"/>
      <c r="K294" s="5">
        <v>206</v>
      </c>
      <c r="L294" s="5">
        <v>20</v>
      </c>
      <c r="M294" s="5">
        <v>3</v>
      </c>
      <c r="N294" s="5" t="s">
        <v>3</v>
      </c>
      <c r="O294" s="5">
        <v>2</v>
      </c>
      <c r="P294" s="5"/>
      <c r="Q294" s="5"/>
      <c r="R294" s="5"/>
      <c r="S294" s="5"/>
      <c r="T294" s="5"/>
      <c r="U294" s="5"/>
      <c r="V294" s="5"/>
      <c r="W294" s="5">
        <v>0</v>
      </c>
      <c r="X294" s="5">
        <v>1</v>
      </c>
      <c r="Y294" s="5">
        <v>0</v>
      </c>
      <c r="Z294" s="5"/>
      <c r="AA294" s="5"/>
      <c r="AB294" s="5"/>
    </row>
    <row r="295" spans="1:88" x14ac:dyDescent="0.2">
      <c r="A295" s="5">
        <v>50</v>
      </c>
      <c r="B295" s="5">
        <v>0</v>
      </c>
      <c r="C295" s="5">
        <v>0</v>
      </c>
      <c r="D295" s="5">
        <v>1</v>
      </c>
      <c r="E295" s="5">
        <v>207</v>
      </c>
      <c r="F295" s="5">
        <f>ROUND(Source!U273,O295)</f>
        <v>78.8871556</v>
      </c>
      <c r="G295" s="5" t="s">
        <v>186</v>
      </c>
      <c r="H295" s="5" t="s">
        <v>187</v>
      </c>
      <c r="I295" s="5"/>
      <c r="J295" s="5"/>
      <c r="K295" s="5">
        <v>207</v>
      </c>
      <c r="L295" s="5">
        <v>21</v>
      </c>
      <c r="M295" s="5">
        <v>3</v>
      </c>
      <c r="N295" s="5" t="s">
        <v>3</v>
      </c>
      <c r="O295" s="5">
        <v>7</v>
      </c>
      <c r="P295" s="5"/>
      <c r="Q295" s="5"/>
      <c r="R295" s="5"/>
      <c r="S295" s="5"/>
      <c r="T295" s="5"/>
      <c r="U295" s="5"/>
      <c r="V295" s="5"/>
      <c r="W295" s="5">
        <v>78.8871556</v>
      </c>
      <c r="X295" s="5">
        <v>1</v>
      </c>
      <c r="Y295" s="5">
        <v>78.8871556</v>
      </c>
      <c r="Z295" s="5"/>
      <c r="AA295" s="5"/>
      <c r="AB295" s="5"/>
    </row>
    <row r="296" spans="1:88" x14ac:dyDescent="0.2">
      <c r="A296" s="5">
        <v>50</v>
      </c>
      <c r="B296" s="5">
        <v>0</v>
      </c>
      <c r="C296" s="5">
        <v>0</v>
      </c>
      <c r="D296" s="5">
        <v>1</v>
      </c>
      <c r="E296" s="5">
        <v>208</v>
      </c>
      <c r="F296" s="5">
        <f>ROUND(Source!V273,O296)</f>
        <v>0.50955320000000004</v>
      </c>
      <c r="G296" s="5" t="s">
        <v>188</v>
      </c>
      <c r="H296" s="5" t="s">
        <v>189</v>
      </c>
      <c r="I296" s="5"/>
      <c r="J296" s="5"/>
      <c r="K296" s="5">
        <v>208</v>
      </c>
      <c r="L296" s="5">
        <v>22</v>
      </c>
      <c r="M296" s="5">
        <v>3</v>
      </c>
      <c r="N296" s="5" t="s">
        <v>3</v>
      </c>
      <c r="O296" s="5">
        <v>7</v>
      </c>
      <c r="P296" s="5"/>
      <c r="Q296" s="5"/>
      <c r="R296" s="5"/>
      <c r="S296" s="5"/>
      <c r="T296" s="5"/>
      <c r="U296" s="5"/>
      <c r="V296" s="5"/>
      <c r="W296" s="5">
        <v>0.50955320000000004</v>
      </c>
      <c r="X296" s="5">
        <v>1</v>
      </c>
      <c r="Y296" s="5">
        <v>0.50955320000000004</v>
      </c>
      <c r="Z296" s="5"/>
      <c r="AA296" s="5"/>
      <c r="AB296" s="5"/>
    </row>
    <row r="297" spans="1:88" x14ac:dyDescent="0.2">
      <c r="A297" s="5">
        <v>50</v>
      </c>
      <c r="B297" s="5">
        <v>0</v>
      </c>
      <c r="C297" s="5">
        <v>0</v>
      </c>
      <c r="D297" s="5">
        <v>1</v>
      </c>
      <c r="E297" s="5">
        <v>209</v>
      </c>
      <c r="F297" s="5">
        <f>ROUND(Source!W273,O297)</f>
        <v>0</v>
      </c>
      <c r="G297" s="5" t="s">
        <v>190</v>
      </c>
      <c r="H297" s="5" t="s">
        <v>191</v>
      </c>
      <c r="I297" s="5"/>
      <c r="J297" s="5"/>
      <c r="K297" s="5">
        <v>209</v>
      </c>
      <c r="L297" s="5">
        <v>23</v>
      </c>
      <c r="M297" s="5">
        <v>3</v>
      </c>
      <c r="N297" s="5" t="s">
        <v>3</v>
      </c>
      <c r="O297" s="5">
        <v>2</v>
      </c>
      <c r="P297" s="5"/>
      <c r="Q297" s="5"/>
      <c r="R297" s="5"/>
      <c r="S297" s="5"/>
      <c r="T297" s="5"/>
      <c r="U297" s="5"/>
      <c r="V297" s="5"/>
      <c r="W297" s="5">
        <v>0</v>
      </c>
      <c r="X297" s="5">
        <v>1</v>
      </c>
      <c r="Y297" s="5">
        <v>0</v>
      </c>
      <c r="Z297" s="5"/>
      <c r="AA297" s="5"/>
      <c r="AB297" s="5"/>
    </row>
    <row r="298" spans="1:88" x14ac:dyDescent="0.2">
      <c r="A298" s="5">
        <v>50</v>
      </c>
      <c r="B298" s="5">
        <v>0</v>
      </c>
      <c r="C298" s="5">
        <v>0</v>
      </c>
      <c r="D298" s="5">
        <v>1</v>
      </c>
      <c r="E298" s="5">
        <v>233</v>
      </c>
      <c r="F298" s="5">
        <f>ROUND(Source!BD273,O298)</f>
        <v>2572.6799999999998</v>
      </c>
      <c r="G298" s="5" t="s">
        <v>192</v>
      </c>
      <c r="H298" s="5" t="s">
        <v>193</v>
      </c>
      <c r="I298" s="5"/>
      <c r="J298" s="5"/>
      <c r="K298" s="5">
        <v>233</v>
      </c>
      <c r="L298" s="5">
        <v>24</v>
      </c>
      <c r="M298" s="5">
        <v>3</v>
      </c>
      <c r="N298" s="5" t="s">
        <v>3</v>
      </c>
      <c r="O298" s="5">
        <v>2</v>
      </c>
      <c r="P298" s="5"/>
      <c r="Q298" s="5"/>
      <c r="R298" s="5"/>
      <c r="S298" s="5"/>
      <c r="T298" s="5"/>
      <c r="U298" s="5"/>
      <c r="V298" s="5"/>
      <c r="W298" s="5">
        <v>2572.6799999999998</v>
      </c>
      <c r="X298" s="5">
        <v>1</v>
      </c>
      <c r="Y298" s="5">
        <v>2572.6799999999998</v>
      </c>
      <c r="Z298" s="5"/>
      <c r="AA298" s="5"/>
      <c r="AB298" s="5"/>
    </row>
    <row r="299" spans="1:88" x14ac:dyDescent="0.2">
      <c r="A299" s="5">
        <v>50</v>
      </c>
      <c r="B299" s="5">
        <v>0</v>
      </c>
      <c r="C299" s="5">
        <v>0</v>
      </c>
      <c r="D299" s="5">
        <v>1</v>
      </c>
      <c r="E299" s="5">
        <v>210</v>
      </c>
      <c r="F299" s="5">
        <f>ROUND(Source!X273,O299)</f>
        <v>50933.31</v>
      </c>
      <c r="G299" s="5" t="s">
        <v>194</v>
      </c>
      <c r="H299" s="5" t="s">
        <v>195</v>
      </c>
      <c r="I299" s="5"/>
      <c r="J299" s="5"/>
      <c r="K299" s="5">
        <v>210</v>
      </c>
      <c r="L299" s="5">
        <v>25</v>
      </c>
      <c r="M299" s="5">
        <v>3</v>
      </c>
      <c r="N299" s="5" t="s">
        <v>3</v>
      </c>
      <c r="O299" s="5">
        <v>2</v>
      </c>
      <c r="P299" s="5"/>
      <c r="Q299" s="5"/>
      <c r="R299" s="5"/>
      <c r="S299" s="5"/>
      <c r="T299" s="5"/>
      <c r="U299" s="5"/>
      <c r="V299" s="5"/>
      <c r="W299" s="5">
        <v>50933.31</v>
      </c>
      <c r="X299" s="5">
        <v>1</v>
      </c>
      <c r="Y299" s="5">
        <v>50933.31</v>
      </c>
      <c r="Z299" s="5"/>
      <c r="AA299" s="5"/>
      <c r="AB299" s="5"/>
    </row>
    <row r="300" spans="1:88" x14ac:dyDescent="0.2">
      <c r="A300" s="5">
        <v>50</v>
      </c>
      <c r="B300" s="5">
        <v>0</v>
      </c>
      <c r="C300" s="5">
        <v>0</v>
      </c>
      <c r="D300" s="5">
        <v>1</v>
      </c>
      <c r="E300" s="5">
        <v>211</v>
      </c>
      <c r="F300" s="5">
        <f>ROUND(Source!Y273,O300)</f>
        <v>27370.52</v>
      </c>
      <c r="G300" s="5" t="s">
        <v>196</v>
      </c>
      <c r="H300" s="5" t="s">
        <v>197</v>
      </c>
      <c r="I300" s="5"/>
      <c r="J300" s="5"/>
      <c r="K300" s="5">
        <v>211</v>
      </c>
      <c r="L300" s="5">
        <v>26</v>
      </c>
      <c r="M300" s="5">
        <v>3</v>
      </c>
      <c r="N300" s="5" t="s">
        <v>3</v>
      </c>
      <c r="O300" s="5">
        <v>2</v>
      </c>
      <c r="P300" s="5"/>
      <c r="Q300" s="5"/>
      <c r="R300" s="5"/>
      <c r="S300" s="5"/>
      <c r="T300" s="5"/>
      <c r="U300" s="5"/>
      <c r="V300" s="5"/>
      <c r="W300" s="5">
        <v>27370.52</v>
      </c>
      <c r="X300" s="5">
        <v>1</v>
      </c>
      <c r="Y300" s="5">
        <v>27370.52</v>
      </c>
      <c r="Z300" s="5"/>
      <c r="AA300" s="5"/>
      <c r="AB300" s="5"/>
    </row>
    <row r="301" spans="1:88" x14ac:dyDescent="0.2">
      <c r="A301" s="5">
        <v>50</v>
      </c>
      <c r="B301" s="5">
        <v>0</v>
      </c>
      <c r="C301" s="5">
        <v>0</v>
      </c>
      <c r="D301" s="5">
        <v>1</v>
      </c>
      <c r="E301" s="5">
        <v>224</v>
      </c>
      <c r="F301" s="5">
        <f>ROUND(Source!AR273,O301)</f>
        <v>174615.37</v>
      </c>
      <c r="G301" s="5" t="s">
        <v>198</v>
      </c>
      <c r="H301" s="5" t="s">
        <v>199</v>
      </c>
      <c r="I301" s="5"/>
      <c r="J301" s="5"/>
      <c r="K301" s="5">
        <v>224</v>
      </c>
      <c r="L301" s="5">
        <v>27</v>
      </c>
      <c r="M301" s="5">
        <v>3</v>
      </c>
      <c r="N301" s="5" t="s">
        <v>3</v>
      </c>
      <c r="O301" s="5">
        <v>2</v>
      </c>
      <c r="P301" s="5"/>
      <c r="Q301" s="5"/>
      <c r="R301" s="5"/>
      <c r="S301" s="5"/>
      <c r="T301" s="5"/>
      <c r="U301" s="5"/>
      <c r="V301" s="5"/>
      <c r="W301" s="5">
        <v>174615.37</v>
      </c>
      <c r="X301" s="5">
        <v>1</v>
      </c>
      <c r="Y301" s="5">
        <v>174615.37</v>
      </c>
      <c r="Z301" s="5"/>
      <c r="AA301" s="5"/>
      <c r="AB301" s="5"/>
    </row>
    <row r="303" spans="1:88" x14ac:dyDescent="0.2">
      <c r="A303" s="1">
        <v>4</v>
      </c>
      <c r="B303" s="1">
        <v>1</v>
      </c>
      <c r="C303" s="1"/>
      <c r="D303" s="1">
        <f>ROW(A320)</f>
        <v>320</v>
      </c>
      <c r="E303" s="1"/>
      <c r="F303" s="1" t="s">
        <v>15</v>
      </c>
      <c r="G303" s="1" t="s">
        <v>283</v>
      </c>
      <c r="H303" s="1" t="s">
        <v>3</v>
      </c>
      <c r="I303" s="1">
        <v>0</v>
      </c>
      <c r="J303" s="1"/>
      <c r="K303" s="1">
        <v>0</v>
      </c>
      <c r="L303" s="1"/>
      <c r="M303" s="1" t="s">
        <v>3</v>
      </c>
      <c r="N303" s="1"/>
      <c r="O303" s="1"/>
      <c r="P303" s="1"/>
      <c r="Q303" s="1"/>
      <c r="R303" s="1"/>
      <c r="S303" s="1">
        <v>0</v>
      </c>
      <c r="T303" s="1"/>
      <c r="U303" s="1" t="s">
        <v>3</v>
      </c>
      <c r="V303" s="1">
        <v>0</v>
      </c>
      <c r="W303" s="1"/>
      <c r="X303" s="1"/>
      <c r="Y303" s="1"/>
      <c r="Z303" s="1"/>
      <c r="AA303" s="1"/>
      <c r="AB303" s="1" t="s">
        <v>3</v>
      </c>
      <c r="AC303" s="1" t="s">
        <v>3</v>
      </c>
      <c r="AD303" s="1" t="s">
        <v>3</v>
      </c>
      <c r="AE303" s="1" t="s">
        <v>3</v>
      </c>
      <c r="AF303" s="1" t="s">
        <v>3</v>
      </c>
      <c r="AG303" s="1" t="s">
        <v>3</v>
      </c>
      <c r="AH303" s="1"/>
      <c r="AI303" s="1"/>
      <c r="AJ303" s="1"/>
      <c r="AK303" s="1"/>
      <c r="AL303" s="1"/>
      <c r="AM303" s="1"/>
      <c r="AN303" s="1"/>
      <c r="AO303" s="1"/>
      <c r="AP303" s="1" t="s">
        <v>3</v>
      </c>
      <c r="AQ303" s="1" t="s">
        <v>3</v>
      </c>
      <c r="AR303" s="1" t="s">
        <v>3</v>
      </c>
      <c r="AS303" s="1"/>
      <c r="AT303" s="1"/>
      <c r="AU303" s="1"/>
      <c r="AV303" s="1"/>
      <c r="AW303" s="1"/>
      <c r="AX303" s="1"/>
      <c r="AY303" s="1"/>
      <c r="AZ303" s="1" t="s">
        <v>3</v>
      </c>
      <c r="BA303" s="1"/>
      <c r="BB303" s="1" t="s">
        <v>3</v>
      </c>
      <c r="BC303" s="1" t="s">
        <v>3</v>
      </c>
      <c r="BD303" s="1" t="s">
        <v>3</v>
      </c>
      <c r="BE303" s="1" t="s">
        <v>3</v>
      </c>
      <c r="BF303" s="1" t="s">
        <v>3</v>
      </c>
      <c r="BG303" s="1" t="s">
        <v>3</v>
      </c>
      <c r="BH303" s="1" t="s">
        <v>3</v>
      </c>
      <c r="BI303" s="1" t="s">
        <v>3</v>
      </c>
      <c r="BJ303" s="1" t="s">
        <v>3</v>
      </c>
      <c r="BK303" s="1" t="s">
        <v>3</v>
      </c>
      <c r="BL303" s="1" t="s">
        <v>3</v>
      </c>
      <c r="BM303" s="1" t="s">
        <v>3</v>
      </c>
      <c r="BN303" s="1" t="s">
        <v>3</v>
      </c>
      <c r="BO303" s="1" t="s">
        <v>3</v>
      </c>
      <c r="BP303" s="1" t="s">
        <v>3</v>
      </c>
      <c r="BQ303" s="1"/>
      <c r="BR303" s="1"/>
      <c r="BS303" s="1"/>
      <c r="BT303" s="1"/>
      <c r="BU303" s="1"/>
      <c r="BV303" s="1"/>
      <c r="BW303" s="1"/>
      <c r="BX303" s="1">
        <v>0</v>
      </c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>
        <v>0</v>
      </c>
    </row>
    <row r="305" spans="1:255" x14ac:dyDescent="0.2">
      <c r="A305" s="3">
        <v>52</v>
      </c>
      <c r="B305" s="3">
        <f t="shared" ref="B305:G305" si="173">B320</f>
        <v>1</v>
      </c>
      <c r="C305" s="3">
        <f t="shared" si="173"/>
        <v>4</v>
      </c>
      <c r="D305" s="3">
        <f t="shared" si="173"/>
        <v>303</v>
      </c>
      <c r="E305" s="3">
        <f t="shared" si="173"/>
        <v>0</v>
      </c>
      <c r="F305" s="3" t="str">
        <f t="shared" si="173"/>
        <v>Новый раздел</v>
      </c>
      <c r="G305" s="3" t="str">
        <f t="shared" si="173"/>
        <v>помещение 308  (земляной вал, д.73)</v>
      </c>
      <c r="H305" s="3"/>
      <c r="I305" s="3"/>
      <c r="J305" s="3"/>
      <c r="K305" s="3"/>
      <c r="L305" s="3"/>
      <c r="M305" s="3"/>
      <c r="N305" s="3"/>
      <c r="O305" s="3">
        <f t="shared" ref="O305:AT305" si="174">O320</f>
        <v>119718.26</v>
      </c>
      <c r="P305" s="3">
        <f t="shared" si="174"/>
        <v>100053.54</v>
      </c>
      <c r="Q305" s="3">
        <f t="shared" si="174"/>
        <v>1050.4100000000001</v>
      </c>
      <c r="R305" s="3">
        <f t="shared" si="174"/>
        <v>1998.47</v>
      </c>
      <c r="S305" s="3">
        <f t="shared" si="174"/>
        <v>16615.84</v>
      </c>
      <c r="T305" s="3">
        <f t="shared" si="174"/>
        <v>0</v>
      </c>
      <c r="U305" s="3">
        <f t="shared" si="174"/>
        <v>26.184915</v>
      </c>
      <c r="V305" s="3">
        <f t="shared" si="174"/>
        <v>2.7391875000000003</v>
      </c>
      <c r="W305" s="3">
        <f t="shared" si="174"/>
        <v>0</v>
      </c>
      <c r="X305" s="3">
        <f t="shared" si="174"/>
        <v>18394.009999999998</v>
      </c>
      <c r="Y305" s="3">
        <f t="shared" si="174"/>
        <v>10088.85</v>
      </c>
      <c r="Z305" s="3">
        <f t="shared" si="174"/>
        <v>0</v>
      </c>
      <c r="AA305" s="3">
        <f t="shared" si="174"/>
        <v>0</v>
      </c>
      <c r="AB305" s="3">
        <f t="shared" si="174"/>
        <v>119718.26</v>
      </c>
      <c r="AC305" s="3">
        <f t="shared" si="174"/>
        <v>100053.54</v>
      </c>
      <c r="AD305" s="3">
        <f t="shared" si="174"/>
        <v>1050.4100000000001</v>
      </c>
      <c r="AE305" s="3">
        <f t="shared" si="174"/>
        <v>1998.47</v>
      </c>
      <c r="AF305" s="3">
        <f t="shared" si="174"/>
        <v>16615.84</v>
      </c>
      <c r="AG305" s="3">
        <f t="shared" si="174"/>
        <v>0</v>
      </c>
      <c r="AH305" s="3">
        <f t="shared" si="174"/>
        <v>26.184915</v>
      </c>
      <c r="AI305" s="3">
        <f t="shared" si="174"/>
        <v>2.7391875000000003</v>
      </c>
      <c r="AJ305" s="3">
        <f t="shared" si="174"/>
        <v>0</v>
      </c>
      <c r="AK305" s="3">
        <f t="shared" si="174"/>
        <v>18394.009999999998</v>
      </c>
      <c r="AL305" s="3">
        <f t="shared" si="174"/>
        <v>10088.85</v>
      </c>
      <c r="AM305" s="3">
        <f t="shared" si="174"/>
        <v>0</v>
      </c>
      <c r="AN305" s="3">
        <f t="shared" si="174"/>
        <v>0</v>
      </c>
      <c r="AO305" s="3">
        <f t="shared" si="174"/>
        <v>0</v>
      </c>
      <c r="AP305" s="3">
        <f t="shared" si="174"/>
        <v>0</v>
      </c>
      <c r="AQ305" s="3">
        <f t="shared" si="174"/>
        <v>0</v>
      </c>
      <c r="AR305" s="3">
        <f t="shared" si="174"/>
        <v>150420.34</v>
      </c>
      <c r="AS305" s="3">
        <f t="shared" si="174"/>
        <v>150420.34</v>
      </c>
      <c r="AT305" s="3">
        <f t="shared" si="174"/>
        <v>0</v>
      </c>
      <c r="AU305" s="3">
        <f t="shared" ref="AU305:BZ305" si="175">AU320</f>
        <v>0</v>
      </c>
      <c r="AV305" s="3">
        <f t="shared" si="175"/>
        <v>100053.54</v>
      </c>
      <c r="AW305" s="3">
        <f t="shared" si="175"/>
        <v>100053.54</v>
      </c>
      <c r="AX305" s="3">
        <f t="shared" si="175"/>
        <v>0</v>
      </c>
      <c r="AY305" s="3">
        <f t="shared" si="175"/>
        <v>100053.54</v>
      </c>
      <c r="AZ305" s="3">
        <f t="shared" si="175"/>
        <v>0</v>
      </c>
      <c r="BA305" s="3">
        <f t="shared" si="175"/>
        <v>0</v>
      </c>
      <c r="BB305" s="3">
        <f t="shared" si="175"/>
        <v>0</v>
      </c>
      <c r="BC305" s="3">
        <f t="shared" si="175"/>
        <v>0</v>
      </c>
      <c r="BD305" s="3">
        <f t="shared" si="175"/>
        <v>2219.2199999999998</v>
      </c>
      <c r="BE305" s="3">
        <f t="shared" si="175"/>
        <v>0</v>
      </c>
      <c r="BF305" s="3">
        <f t="shared" si="175"/>
        <v>0</v>
      </c>
      <c r="BG305" s="3">
        <f t="shared" si="175"/>
        <v>0</v>
      </c>
      <c r="BH305" s="3">
        <f t="shared" si="175"/>
        <v>0</v>
      </c>
      <c r="BI305" s="3">
        <f t="shared" si="175"/>
        <v>0</v>
      </c>
      <c r="BJ305" s="3">
        <f t="shared" si="175"/>
        <v>0</v>
      </c>
      <c r="BK305" s="3">
        <f t="shared" si="175"/>
        <v>0</v>
      </c>
      <c r="BL305" s="3">
        <f t="shared" si="175"/>
        <v>0</v>
      </c>
      <c r="BM305" s="3">
        <f t="shared" si="175"/>
        <v>0</v>
      </c>
      <c r="BN305" s="3">
        <f t="shared" si="175"/>
        <v>0</v>
      </c>
      <c r="BO305" s="3">
        <f t="shared" si="175"/>
        <v>0</v>
      </c>
      <c r="BP305" s="3">
        <f t="shared" si="175"/>
        <v>0</v>
      </c>
      <c r="BQ305" s="3">
        <f t="shared" si="175"/>
        <v>0</v>
      </c>
      <c r="BR305" s="3">
        <f t="shared" si="175"/>
        <v>0</v>
      </c>
      <c r="BS305" s="3">
        <f t="shared" si="175"/>
        <v>0</v>
      </c>
      <c r="BT305" s="3">
        <f t="shared" si="175"/>
        <v>0</v>
      </c>
      <c r="BU305" s="3">
        <f t="shared" si="175"/>
        <v>0</v>
      </c>
      <c r="BV305" s="3">
        <f t="shared" si="175"/>
        <v>0</v>
      </c>
      <c r="BW305" s="3">
        <f t="shared" si="175"/>
        <v>0</v>
      </c>
      <c r="BX305" s="3">
        <f t="shared" si="175"/>
        <v>0</v>
      </c>
      <c r="BY305" s="3">
        <f t="shared" si="175"/>
        <v>0</v>
      </c>
      <c r="BZ305" s="3">
        <f t="shared" si="175"/>
        <v>0</v>
      </c>
      <c r="CA305" s="3">
        <f t="shared" ref="CA305:DF305" si="176">CA320</f>
        <v>150420.34</v>
      </c>
      <c r="CB305" s="3">
        <f t="shared" si="176"/>
        <v>150420.34</v>
      </c>
      <c r="CC305" s="3">
        <f t="shared" si="176"/>
        <v>0</v>
      </c>
      <c r="CD305" s="3">
        <f t="shared" si="176"/>
        <v>0</v>
      </c>
      <c r="CE305" s="3">
        <f t="shared" si="176"/>
        <v>100053.54</v>
      </c>
      <c r="CF305" s="3">
        <f t="shared" si="176"/>
        <v>100053.54</v>
      </c>
      <c r="CG305" s="3">
        <f t="shared" si="176"/>
        <v>0</v>
      </c>
      <c r="CH305" s="3">
        <f t="shared" si="176"/>
        <v>100053.54</v>
      </c>
      <c r="CI305" s="3">
        <f t="shared" si="176"/>
        <v>0</v>
      </c>
      <c r="CJ305" s="3">
        <f t="shared" si="176"/>
        <v>0</v>
      </c>
      <c r="CK305" s="3">
        <f t="shared" si="176"/>
        <v>0</v>
      </c>
      <c r="CL305" s="3">
        <f t="shared" si="176"/>
        <v>0</v>
      </c>
      <c r="CM305" s="3">
        <f t="shared" si="176"/>
        <v>2219.2199999999998</v>
      </c>
      <c r="CN305" s="3">
        <f t="shared" si="176"/>
        <v>0</v>
      </c>
      <c r="CO305" s="3">
        <f t="shared" si="176"/>
        <v>0</v>
      </c>
      <c r="CP305" s="3">
        <f t="shared" si="176"/>
        <v>0</v>
      </c>
      <c r="CQ305" s="3">
        <f t="shared" si="176"/>
        <v>0</v>
      </c>
      <c r="CR305" s="3">
        <f t="shared" si="176"/>
        <v>0</v>
      </c>
      <c r="CS305" s="3">
        <f t="shared" si="176"/>
        <v>0</v>
      </c>
      <c r="CT305" s="3">
        <f t="shared" si="176"/>
        <v>0</v>
      </c>
      <c r="CU305" s="3">
        <f t="shared" si="176"/>
        <v>0</v>
      </c>
      <c r="CV305" s="3">
        <f t="shared" si="176"/>
        <v>0</v>
      </c>
      <c r="CW305" s="3">
        <f t="shared" si="176"/>
        <v>0</v>
      </c>
      <c r="CX305" s="3">
        <f t="shared" si="176"/>
        <v>0</v>
      </c>
      <c r="CY305" s="3">
        <f t="shared" si="176"/>
        <v>0</v>
      </c>
      <c r="CZ305" s="3">
        <f t="shared" si="176"/>
        <v>0</v>
      </c>
      <c r="DA305" s="3">
        <f t="shared" si="176"/>
        <v>0</v>
      </c>
      <c r="DB305" s="3">
        <f t="shared" si="176"/>
        <v>0</v>
      </c>
      <c r="DC305" s="3">
        <f t="shared" si="176"/>
        <v>0</v>
      </c>
      <c r="DD305" s="3">
        <f t="shared" si="176"/>
        <v>0</v>
      </c>
      <c r="DE305" s="3">
        <f t="shared" si="176"/>
        <v>0</v>
      </c>
      <c r="DF305" s="3">
        <f t="shared" si="176"/>
        <v>0</v>
      </c>
      <c r="DG305" s="4">
        <f t="shared" ref="DG305:EL305" si="177">DG320</f>
        <v>0</v>
      </c>
      <c r="DH305" s="4">
        <f t="shared" si="177"/>
        <v>0</v>
      </c>
      <c r="DI305" s="4">
        <f t="shared" si="177"/>
        <v>0</v>
      </c>
      <c r="DJ305" s="4">
        <f t="shared" si="177"/>
        <v>0</v>
      </c>
      <c r="DK305" s="4">
        <f t="shared" si="177"/>
        <v>0</v>
      </c>
      <c r="DL305" s="4">
        <f t="shared" si="177"/>
        <v>0</v>
      </c>
      <c r="DM305" s="4">
        <f t="shared" si="177"/>
        <v>0</v>
      </c>
      <c r="DN305" s="4">
        <f t="shared" si="177"/>
        <v>0</v>
      </c>
      <c r="DO305" s="4">
        <f t="shared" si="177"/>
        <v>0</v>
      </c>
      <c r="DP305" s="4">
        <f t="shared" si="177"/>
        <v>0</v>
      </c>
      <c r="DQ305" s="4">
        <f t="shared" si="177"/>
        <v>0</v>
      </c>
      <c r="DR305" s="4">
        <f t="shared" si="177"/>
        <v>0</v>
      </c>
      <c r="DS305" s="4">
        <f t="shared" si="177"/>
        <v>0</v>
      </c>
      <c r="DT305" s="4">
        <f t="shared" si="177"/>
        <v>0</v>
      </c>
      <c r="DU305" s="4">
        <f t="shared" si="177"/>
        <v>0</v>
      </c>
      <c r="DV305" s="4">
        <f t="shared" si="177"/>
        <v>0</v>
      </c>
      <c r="DW305" s="4">
        <f t="shared" si="177"/>
        <v>0</v>
      </c>
      <c r="DX305" s="4">
        <f t="shared" si="177"/>
        <v>0</v>
      </c>
      <c r="DY305" s="4">
        <f t="shared" si="177"/>
        <v>0</v>
      </c>
      <c r="DZ305" s="4">
        <f t="shared" si="177"/>
        <v>0</v>
      </c>
      <c r="EA305" s="4">
        <f t="shared" si="177"/>
        <v>0</v>
      </c>
      <c r="EB305" s="4">
        <f t="shared" si="177"/>
        <v>0</v>
      </c>
      <c r="EC305" s="4">
        <f t="shared" si="177"/>
        <v>0</v>
      </c>
      <c r="ED305" s="4">
        <f t="shared" si="177"/>
        <v>0</v>
      </c>
      <c r="EE305" s="4">
        <f t="shared" si="177"/>
        <v>0</v>
      </c>
      <c r="EF305" s="4">
        <f t="shared" si="177"/>
        <v>0</v>
      </c>
      <c r="EG305" s="4">
        <f t="shared" si="177"/>
        <v>0</v>
      </c>
      <c r="EH305" s="4">
        <f t="shared" si="177"/>
        <v>0</v>
      </c>
      <c r="EI305" s="4">
        <f t="shared" si="177"/>
        <v>0</v>
      </c>
      <c r="EJ305" s="4">
        <f t="shared" si="177"/>
        <v>0</v>
      </c>
      <c r="EK305" s="4">
        <f t="shared" si="177"/>
        <v>0</v>
      </c>
      <c r="EL305" s="4">
        <f t="shared" si="177"/>
        <v>0</v>
      </c>
      <c r="EM305" s="4">
        <f t="shared" ref="EM305:FR305" si="178">EM320</f>
        <v>0</v>
      </c>
      <c r="EN305" s="4">
        <f t="shared" si="178"/>
        <v>0</v>
      </c>
      <c r="EO305" s="4">
        <f t="shared" si="178"/>
        <v>0</v>
      </c>
      <c r="EP305" s="4">
        <f t="shared" si="178"/>
        <v>0</v>
      </c>
      <c r="EQ305" s="4">
        <f t="shared" si="178"/>
        <v>0</v>
      </c>
      <c r="ER305" s="4">
        <f t="shared" si="178"/>
        <v>0</v>
      </c>
      <c r="ES305" s="4">
        <f t="shared" si="178"/>
        <v>0</v>
      </c>
      <c r="ET305" s="4">
        <f t="shared" si="178"/>
        <v>0</v>
      </c>
      <c r="EU305" s="4">
        <f t="shared" si="178"/>
        <v>0</v>
      </c>
      <c r="EV305" s="4">
        <f t="shared" si="178"/>
        <v>0</v>
      </c>
      <c r="EW305" s="4">
        <f t="shared" si="178"/>
        <v>0</v>
      </c>
      <c r="EX305" s="4">
        <f t="shared" si="178"/>
        <v>0</v>
      </c>
      <c r="EY305" s="4">
        <f t="shared" si="178"/>
        <v>0</v>
      </c>
      <c r="EZ305" s="4">
        <f t="shared" si="178"/>
        <v>0</v>
      </c>
      <c r="FA305" s="4">
        <f t="shared" si="178"/>
        <v>0</v>
      </c>
      <c r="FB305" s="4">
        <f t="shared" si="178"/>
        <v>0</v>
      </c>
      <c r="FC305" s="4">
        <f t="shared" si="178"/>
        <v>0</v>
      </c>
      <c r="FD305" s="4">
        <f t="shared" si="178"/>
        <v>0</v>
      </c>
      <c r="FE305" s="4">
        <f t="shared" si="178"/>
        <v>0</v>
      </c>
      <c r="FF305" s="4">
        <f t="shared" si="178"/>
        <v>0</v>
      </c>
      <c r="FG305" s="4">
        <f t="shared" si="178"/>
        <v>0</v>
      </c>
      <c r="FH305" s="4">
        <f t="shared" si="178"/>
        <v>0</v>
      </c>
      <c r="FI305" s="4">
        <f t="shared" si="178"/>
        <v>0</v>
      </c>
      <c r="FJ305" s="4">
        <f t="shared" si="178"/>
        <v>0</v>
      </c>
      <c r="FK305" s="4">
        <f t="shared" si="178"/>
        <v>0</v>
      </c>
      <c r="FL305" s="4">
        <f t="shared" si="178"/>
        <v>0</v>
      </c>
      <c r="FM305" s="4">
        <f t="shared" si="178"/>
        <v>0</v>
      </c>
      <c r="FN305" s="4">
        <f t="shared" si="178"/>
        <v>0</v>
      </c>
      <c r="FO305" s="4">
        <f t="shared" si="178"/>
        <v>0</v>
      </c>
      <c r="FP305" s="4">
        <f t="shared" si="178"/>
        <v>0</v>
      </c>
      <c r="FQ305" s="4">
        <f t="shared" si="178"/>
        <v>0</v>
      </c>
      <c r="FR305" s="4">
        <f t="shared" si="178"/>
        <v>0</v>
      </c>
      <c r="FS305" s="4">
        <f t="shared" ref="FS305:GX305" si="179">FS320</f>
        <v>0</v>
      </c>
      <c r="FT305" s="4">
        <f t="shared" si="179"/>
        <v>0</v>
      </c>
      <c r="FU305" s="4">
        <f t="shared" si="179"/>
        <v>0</v>
      </c>
      <c r="FV305" s="4">
        <f t="shared" si="179"/>
        <v>0</v>
      </c>
      <c r="FW305" s="4">
        <f t="shared" si="179"/>
        <v>0</v>
      </c>
      <c r="FX305" s="4">
        <f t="shared" si="179"/>
        <v>0</v>
      </c>
      <c r="FY305" s="4">
        <f t="shared" si="179"/>
        <v>0</v>
      </c>
      <c r="FZ305" s="4">
        <f t="shared" si="179"/>
        <v>0</v>
      </c>
      <c r="GA305" s="4">
        <f t="shared" si="179"/>
        <v>0</v>
      </c>
      <c r="GB305" s="4">
        <f t="shared" si="179"/>
        <v>0</v>
      </c>
      <c r="GC305" s="4">
        <f t="shared" si="179"/>
        <v>0</v>
      </c>
      <c r="GD305" s="4">
        <f t="shared" si="179"/>
        <v>0</v>
      </c>
      <c r="GE305" s="4">
        <f t="shared" si="179"/>
        <v>0</v>
      </c>
      <c r="GF305" s="4">
        <f t="shared" si="179"/>
        <v>0</v>
      </c>
      <c r="GG305" s="4">
        <f t="shared" si="179"/>
        <v>0</v>
      </c>
      <c r="GH305" s="4">
        <f t="shared" si="179"/>
        <v>0</v>
      </c>
      <c r="GI305" s="4">
        <f t="shared" si="179"/>
        <v>0</v>
      </c>
      <c r="GJ305" s="4">
        <f t="shared" si="179"/>
        <v>0</v>
      </c>
      <c r="GK305" s="4">
        <f t="shared" si="179"/>
        <v>0</v>
      </c>
      <c r="GL305" s="4">
        <f t="shared" si="179"/>
        <v>0</v>
      </c>
      <c r="GM305" s="4">
        <f t="shared" si="179"/>
        <v>0</v>
      </c>
      <c r="GN305" s="4">
        <f t="shared" si="179"/>
        <v>0</v>
      </c>
      <c r="GO305" s="4">
        <f t="shared" si="179"/>
        <v>0</v>
      </c>
      <c r="GP305" s="4">
        <f t="shared" si="179"/>
        <v>0</v>
      </c>
      <c r="GQ305" s="4">
        <f t="shared" si="179"/>
        <v>0</v>
      </c>
      <c r="GR305" s="4">
        <f t="shared" si="179"/>
        <v>0</v>
      </c>
      <c r="GS305" s="4">
        <f t="shared" si="179"/>
        <v>0</v>
      </c>
      <c r="GT305" s="4">
        <f t="shared" si="179"/>
        <v>0</v>
      </c>
      <c r="GU305" s="4">
        <f t="shared" si="179"/>
        <v>0</v>
      </c>
      <c r="GV305" s="4">
        <f t="shared" si="179"/>
        <v>0</v>
      </c>
      <c r="GW305" s="4">
        <f t="shared" si="179"/>
        <v>0</v>
      </c>
      <c r="GX305" s="4">
        <f t="shared" si="179"/>
        <v>0</v>
      </c>
    </row>
    <row r="307" spans="1:255" x14ac:dyDescent="0.2">
      <c r="A307" s="2">
        <v>17</v>
      </c>
      <c r="B307" s="2">
        <v>1</v>
      </c>
      <c r="C307" s="2">
        <f>ROW(SmtRes!A213)</f>
        <v>213</v>
      </c>
      <c r="D307" s="2">
        <f>ROW(EtalonRes!A213)</f>
        <v>213</v>
      </c>
      <c r="E307" s="2" t="s">
        <v>284</v>
      </c>
      <c r="F307" s="2" t="s">
        <v>285</v>
      </c>
      <c r="G307" s="2" t="s">
        <v>286</v>
      </c>
      <c r="H307" s="2" t="s">
        <v>101</v>
      </c>
      <c r="I307" s="2">
        <f>ROUND(21/100,7)</f>
        <v>0.21</v>
      </c>
      <c r="J307" s="2">
        <v>0</v>
      </c>
      <c r="K307" s="2">
        <f>ROUND(21/100,7)</f>
        <v>0.21</v>
      </c>
      <c r="L307" s="2"/>
      <c r="M307" s="2"/>
      <c r="N307" s="2"/>
      <c r="O307" s="2">
        <f t="shared" ref="O307:O316" si="180">ROUND(CP307,2)</f>
        <v>470.81</v>
      </c>
      <c r="P307" s="2">
        <f>SUMIF(SmtRes!AQ212:'SmtRes'!AQ213,"=1",SmtRes!DF212:'SmtRes'!DF213)</f>
        <v>0</v>
      </c>
      <c r="Q307" s="2">
        <f>SUMIF(SmtRes!AQ212:'SmtRes'!AQ213,"=1",SmtRes!DG212:'SmtRes'!DG213)</f>
        <v>0</v>
      </c>
      <c r="R307" s="2">
        <f>SUMIF(SmtRes!AQ212:'SmtRes'!AQ213,"=1",SmtRes!DH212:'SmtRes'!DH213)</f>
        <v>0</v>
      </c>
      <c r="S307" s="2">
        <f>SUMIF(SmtRes!AQ212:'SmtRes'!AQ213,"=1",SmtRes!DI212:'SmtRes'!DI213)</f>
        <v>470.81</v>
      </c>
      <c r="T307" s="2">
        <f t="shared" ref="T307:T316" si="181">ROUND(CU307*I307,2)</f>
        <v>0</v>
      </c>
      <c r="U307" s="2">
        <f>SUMIF(SmtRes!AQ212:'SmtRes'!AQ213,"=1",SmtRes!CV212:'SmtRes'!CV213)</f>
        <v>0.79169999999999996</v>
      </c>
      <c r="V307" s="2">
        <f>SUMIF(SmtRes!AQ212:'SmtRes'!AQ213,"=1",SmtRes!CW212:'SmtRes'!CW213)</f>
        <v>0</v>
      </c>
      <c r="W307" s="2">
        <f t="shared" ref="W307:W316" si="182">ROUND(CX307*I307,2)</f>
        <v>0</v>
      </c>
      <c r="X307" s="2">
        <f t="shared" ref="X307:X316" si="183">ROUND(CY307,2)</f>
        <v>419.02</v>
      </c>
      <c r="Y307" s="2">
        <f t="shared" ref="Y307:Y316" si="184">ROUND(CZ307,2)</f>
        <v>230.7</v>
      </c>
      <c r="Z307" s="2"/>
      <c r="AA307" s="2">
        <v>94104265</v>
      </c>
      <c r="AB307" s="2">
        <f t="shared" ref="AB307:AB316" si="185">ROUND((AC307+AD307+AF307),6)</f>
        <v>2241.9436000000001</v>
      </c>
      <c r="AC307" s="2">
        <f>ROUND((0),6)</f>
        <v>0</v>
      </c>
      <c r="AD307" s="2">
        <f>ROUND((((0)-(0))+AE307),6)</f>
        <v>0</v>
      </c>
      <c r="AE307" s="2">
        <f>ROUND((0),6)</f>
        <v>0</v>
      </c>
      <c r="AF307" s="2">
        <f>ROUND((SUM(SmtRes!BT212:'SmtRes'!BT213)),6)</f>
        <v>2241.9436000000001</v>
      </c>
      <c r="AG307" s="2">
        <f t="shared" ref="AG307:AG316" si="186">ROUND((AP307),6)</f>
        <v>0</v>
      </c>
      <c r="AH307" s="2">
        <f>(SUM(SmtRes!BU212:'SmtRes'!BU213))</f>
        <v>3.77</v>
      </c>
      <c r="AI307" s="2">
        <f>(0)</f>
        <v>0</v>
      </c>
      <c r="AJ307" s="2">
        <f t="shared" ref="AJ307:AJ316" si="187">(AS307)</f>
        <v>0</v>
      </c>
      <c r="AK307" s="2">
        <v>2241.9435999999996</v>
      </c>
      <c r="AL307" s="2">
        <v>0</v>
      </c>
      <c r="AM307" s="2">
        <v>0</v>
      </c>
      <c r="AN307" s="2">
        <v>0</v>
      </c>
      <c r="AO307" s="2">
        <v>2241.9435999999996</v>
      </c>
      <c r="AP307" s="2">
        <v>0</v>
      </c>
      <c r="AQ307" s="2">
        <v>3.77</v>
      </c>
      <c r="AR307" s="2">
        <v>0</v>
      </c>
      <c r="AS307" s="2">
        <v>0</v>
      </c>
      <c r="AT307" s="2">
        <v>89</v>
      </c>
      <c r="AU307" s="2">
        <v>49</v>
      </c>
      <c r="AV307" s="2">
        <v>1</v>
      </c>
      <c r="AW307" s="2">
        <v>1</v>
      </c>
      <c r="AX307" s="2"/>
      <c r="AY307" s="2"/>
      <c r="AZ307" s="2">
        <v>1</v>
      </c>
      <c r="BA307" s="2">
        <v>1</v>
      </c>
      <c r="BB307" s="2">
        <v>1</v>
      </c>
      <c r="BC307" s="2">
        <v>1</v>
      </c>
      <c r="BD307" s="2" t="s">
        <v>3</v>
      </c>
      <c r="BE307" s="2" t="s">
        <v>3</v>
      </c>
      <c r="BF307" s="2" t="s">
        <v>3</v>
      </c>
      <c r="BG307" s="2" t="s">
        <v>3</v>
      </c>
      <c r="BH307" s="2">
        <v>0</v>
      </c>
      <c r="BI307" s="2">
        <v>1</v>
      </c>
      <c r="BJ307" s="2" t="s">
        <v>287</v>
      </c>
      <c r="BK307" s="2"/>
      <c r="BL307" s="2"/>
      <c r="BM307" s="2">
        <v>57001</v>
      </c>
      <c r="BN307" s="2">
        <v>0</v>
      </c>
      <c r="BO307" s="2" t="s">
        <v>3</v>
      </c>
      <c r="BP307" s="2">
        <v>0</v>
      </c>
      <c r="BQ307" s="2">
        <v>6</v>
      </c>
      <c r="BR307" s="2">
        <v>0</v>
      </c>
      <c r="BS307" s="2">
        <v>1</v>
      </c>
      <c r="BT307" s="2">
        <v>1</v>
      </c>
      <c r="BU307" s="2">
        <v>1</v>
      </c>
      <c r="BV307" s="2">
        <v>1</v>
      </c>
      <c r="BW307" s="2">
        <v>1</v>
      </c>
      <c r="BX307" s="2">
        <v>1</v>
      </c>
      <c r="BY307" s="2" t="s">
        <v>3</v>
      </c>
      <c r="BZ307" s="2">
        <v>89</v>
      </c>
      <c r="CA307" s="2">
        <v>49</v>
      </c>
      <c r="CB307" s="2" t="s">
        <v>3</v>
      </c>
      <c r="CC307" s="2"/>
      <c r="CD307" s="2"/>
      <c r="CE307" s="2">
        <v>0</v>
      </c>
      <c r="CF307" s="2">
        <v>0</v>
      </c>
      <c r="CG307" s="2">
        <v>0</v>
      </c>
      <c r="CH307" s="2"/>
      <c r="CI307" s="2"/>
      <c r="CJ307" s="2"/>
      <c r="CK307" s="2"/>
      <c r="CL307" s="2"/>
      <c r="CM307" s="2">
        <v>0</v>
      </c>
      <c r="CN307" s="2" t="s">
        <v>3</v>
      </c>
      <c r="CO307" s="2">
        <v>0</v>
      </c>
      <c r="CP307" s="2">
        <f t="shared" ref="CP307:CP316" si="188">(P307+Q307+S307+R307)</f>
        <v>470.81</v>
      </c>
      <c r="CQ307" s="2">
        <f>SUMIF(SmtRes!AQ212:'SmtRes'!AQ213,"=1",SmtRes!AA212:'SmtRes'!AA213)</f>
        <v>0</v>
      </c>
      <c r="CR307" s="2">
        <f>SUMIF(SmtRes!AQ212:'SmtRes'!AQ213,"=1",SmtRes!AB212:'SmtRes'!AB213)</f>
        <v>0</v>
      </c>
      <c r="CS307" s="2">
        <f>SUMIF(SmtRes!AQ212:'SmtRes'!AQ213,"=1",SmtRes!AC212:'SmtRes'!AC213)</f>
        <v>0</v>
      </c>
      <c r="CT307" s="2">
        <f>SUMIF(SmtRes!AQ212:'SmtRes'!AQ213,"=1",SmtRes!AD212:'SmtRes'!AD213)</f>
        <v>594.67999999999995</v>
      </c>
      <c r="CU307" s="2">
        <f t="shared" ref="CU307:CU316" si="189">AG307</f>
        <v>0</v>
      </c>
      <c r="CV307" s="2">
        <f>SUMIF(SmtRes!AQ212:'SmtRes'!AQ213,"=1",SmtRes!BU212:'SmtRes'!BU213)</f>
        <v>3.77</v>
      </c>
      <c r="CW307" s="2">
        <f>SUMIF(SmtRes!AQ212:'SmtRes'!AQ213,"=1",SmtRes!BV212:'SmtRes'!BV213)</f>
        <v>0</v>
      </c>
      <c r="CX307" s="2">
        <f t="shared" ref="CX307:CX316" si="190">AJ307</f>
        <v>0</v>
      </c>
      <c r="CY307" s="2">
        <f t="shared" ref="CY307:CY313" si="191">(((S307+R307)*AT307)/100)</f>
        <v>419.02090000000004</v>
      </c>
      <c r="CZ307" s="2">
        <f t="shared" ref="CZ307:CZ313" si="192">(((S307+R307)*AU307)/100)</f>
        <v>230.6969</v>
      </c>
      <c r="DA307" s="2"/>
      <c r="DB307" s="2"/>
      <c r="DC307" s="2" t="s">
        <v>3</v>
      </c>
      <c r="DD307" s="2" t="s">
        <v>3</v>
      </c>
      <c r="DE307" s="2" t="s">
        <v>3</v>
      </c>
      <c r="DF307" s="2" t="s">
        <v>3</v>
      </c>
      <c r="DG307" s="2" t="s">
        <v>3</v>
      </c>
      <c r="DH307" s="2" t="s">
        <v>3</v>
      </c>
      <c r="DI307" s="2" t="s">
        <v>3</v>
      </c>
      <c r="DJ307" s="2" t="s">
        <v>3</v>
      </c>
      <c r="DK307" s="2" t="s">
        <v>3</v>
      </c>
      <c r="DL307" s="2" t="s">
        <v>3</v>
      </c>
      <c r="DM307" s="2" t="s">
        <v>3</v>
      </c>
      <c r="DN307" s="2">
        <v>0</v>
      </c>
      <c r="DO307" s="2">
        <v>0</v>
      </c>
      <c r="DP307" s="2">
        <v>1</v>
      </c>
      <c r="DQ307" s="2">
        <v>1</v>
      </c>
      <c r="DR307" s="2"/>
      <c r="DS307" s="2"/>
      <c r="DT307" s="2"/>
      <c r="DU307" s="2">
        <v>1003</v>
      </c>
      <c r="DV307" s="2" t="s">
        <v>101</v>
      </c>
      <c r="DW307" s="2" t="s">
        <v>101</v>
      </c>
      <c r="DX307" s="2">
        <v>100</v>
      </c>
      <c r="DY307" s="2"/>
      <c r="DZ307" s="2" t="s">
        <v>3</v>
      </c>
      <c r="EA307" s="2" t="s">
        <v>3</v>
      </c>
      <c r="EB307" s="2" t="s">
        <v>3</v>
      </c>
      <c r="EC307" s="2" t="s">
        <v>3</v>
      </c>
      <c r="ED307" s="2"/>
      <c r="EE307" s="2">
        <v>89977071</v>
      </c>
      <c r="EF307" s="2">
        <v>6</v>
      </c>
      <c r="EG307" s="2" t="s">
        <v>22</v>
      </c>
      <c r="EH307" s="2">
        <v>11</v>
      </c>
      <c r="EI307" s="2" t="s">
        <v>23</v>
      </c>
      <c r="EJ307" s="2">
        <v>1</v>
      </c>
      <c r="EK307" s="2">
        <v>57001</v>
      </c>
      <c r="EL307" s="2" t="s">
        <v>23</v>
      </c>
      <c r="EM307" s="2" t="s">
        <v>24</v>
      </c>
      <c r="EN307" s="2"/>
      <c r="EO307" s="2" t="s">
        <v>3</v>
      </c>
      <c r="EP307" s="2"/>
      <c r="EQ307" s="2">
        <v>0</v>
      </c>
      <c r="ER307" s="2">
        <v>0</v>
      </c>
      <c r="ES307" s="2">
        <v>0</v>
      </c>
      <c r="ET307" s="2">
        <v>0</v>
      </c>
      <c r="EU307" s="2">
        <v>0</v>
      </c>
      <c r="EV307" s="2">
        <v>0</v>
      </c>
      <c r="EW307" s="2">
        <v>3.77</v>
      </c>
      <c r="EX307" s="2">
        <v>0</v>
      </c>
      <c r="EY307" s="2">
        <v>0</v>
      </c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>
        <v>0</v>
      </c>
      <c r="FR307" s="2">
        <v>0</v>
      </c>
      <c r="FS307" s="2">
        <v>0</v>
      </c>
      <c r="FT307" s="2"/>
      <c r="FU307" s="2"/>
      <c r="FV307" s="2"/>
      <c r="FW307" s="2"/>
      <c r="FX307" s="2">
        <v>89</v>
      </c>
      <c r="FY307" s="2">
        <v>49</v>
      </c>
      <c r="FZ307" s="2"/>
      <c r="GA307" s="2" t="s">
        <v>3</v>
      </c>
      <c r="GB307" s="2"/>
      <c r="GC307" s="2"/>
      <c r="GD307" s="2">
        <v>1</v>
      </c>
      <c r="GE307" s="2"/>
      <c r="GF307" s="2">
        <v>2065186204</v>
      </c>
      <c r="GG307" s="2">
        <v>2</v>
      </c>
      <c r="GH307" s="2">
        <v>1</v>
      </c>
      <c r="GI307" s="2">
        <v>-2</v>
      </c>
      <c r="GJ307" s="2">
        <v>0</v>
      </c>
      <c r="GK307" s="2">
        <v>0</v>
      </c>
      <c r="GL307" s="2">
        <f t="shared" ref="GL307:GL318" si="193">ROUND(IF(AND(BH307=3,BI307=3,FS307&lt;&gt;0),P307,0),2)</f>
        <v>0</v>
      </c>
      <c r="GM307" s="2">
        <f t="shared" ref="GM307:GM316" si="194">ROUND(O307+X307+Y307,2)+GX307</f>
        <v>1120.53</v>
      </c>
      <c r="GN307" s="2">
        <f t="shared" ref="GN307:GN318" si="195">IF(OR(BI307=0,BI307=1),GM307-GX307,0)</f>
        <v>1120.53</v>
      </c>
      <c r="GO307" s="2">
        <f t="shared" ref="GO307:GO318" si="196">IF(BI307=2,GM307-GX307,0)</f>
        <v>0</v>
      </c>
      <c r="GP307" s="2">
        <f t="shared" ref="GP307:GP318" si="197">IF(BI307=4,GM307-GX307,0)</f>
        <v>0</v>
      </c>
      <c r="GQ307" s="2"/>
      <c r="GR307" s="2">
        <v>0</v>
      </c>
      <c r="GS307" s="2">
        <v>3</v>
      </c>
      <c r="GT307" s="2">
        <v>0</v>
      </c>
      <c r="GU307" s="2" t="s">
        <v>3</v>
      </c>
      <c r="GV307" s="2">
        <f t="shared" ref="GV307:GV316" si="198">ROUND((GT307),6)</f>
        <v>0</v>
      </c>
      <c r="GW307" s="2">
        <v>1</v>
      </c>
      <c r="GX307" s="2">
        <f t="shared" ref="GX307:GX316" si="199">ROUND(HC307*I307,2)</f>
        <v>0</v>
      </c>
      <c r="GY307" s="2"/>
      <c r="GZ307" s="2"/>
      <c r="HA307" s="2">
        <v>0</v>
      </c>
      <c r="HB307" s="2">
        <v>0</v>
      </c>
      <c r="HC307" s="2">
        <f t="shared" ref="HC307:HC316" si="200">GV307*GW307</f>
        <v>0</v>
      </c>
      <c r="HD307" s="2"/>
      <c r="HE307" s="2" t="s">
        <v>3</v>
      </c>
      <c r="HF307" s="2" t="s">
        <v>3</v>
      </c>
      <c r="HG307" s="2"/>
      <c r="HH307" s="2"/>
      <c r="HI307" s="2"/>
      <c r="HJ307" s="2"/>
      <c r="HK307" s="2"/>
      <c r="HL307" s="2"/>
      <c r="HM307" s="2" t="s">
        <v>3</v>
      </c>
      <c r="HN307" s="2" t="s">
        <v>25</v>
      </c>
      <c r="HO307" s="2" t="s">
        <v>26</v>
      </c>
      <c r="HP307" s="2" t="s">
        <v>23</v>
      </c>
      <c r="HQ307" s="2" t="s">
        <v>23</v>
      </c>
      <c r="HR307" s="2"/>
      <c r="HS307" s="2">
        <v>0</v>
      </c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>
        <v>0</v>
      </c>
      <c r="IL307" s="2"/>
      <c r="IM307" s="2"/>
      <c r="IN307" s="2"/>
      <c r="IO307" s="2"/>
      <c r="IP307" s="2"/>
      <c r="IQ307" s="2"/>
      <c r="IR307" s="2"/>
      <c r="IS307" s="2"/>
      <c r="IT307" s="2"/>
      <c r="IU307" s="2"/>
    </row>
    <row r="308" spans="1:255" x14ac:dyDescent="0.2">
      <c r="A308" s="2">
        <v>18</v>
      </c>
      <c r="B308" s="2">
        <v>1</v>
      </c>
      <c r="C308" s="2">
        <v>213</v>
      </c>
      <c r="D308" s="2"/>
      <c r="E308" s="2" t="s">
        <v>288</v>
      </c>
      <c r="F308" s="2" t="s">
        <v>28</v>
      </c>
      <c r="G308" s="2" t="s">
        <v>29</v>
      </c>
      <c r="H308" s="2" t="s">
        <v>30</v>
      </c>
      <c r="I308" s="2">
        <f>I307*J308</f>
        <v>2.3099999999999999E-2</v>
      </c>
      <c r="J308" s="2">
        <v>0.11</v>
      </c>
      <c r="K308" s="2">
        <v>0.11</v>
      </c>
      <c r="L308" s="2"/>
      <c r="M308" s="2"/>
      <c r="N308" s="2"/>
      <c r="O308" s="2">
        <f t="shared" si="180"/>
        <v>0</v>
      </c>
      <c r="P308" s="2">
        <f>ROUND(CQ308*I308,2)</f>
        <v>0</v>
      </c>
      <c r="Q308" s="2">
        <f>ROUND(CR308*I308,2)</f>
        <v>0</v>
      </c>
      <c r="R308" s="2">
        <f>ROUND(CS308*I308,2)</f>
        <v>0</v>
      </c>
      <c r="S308" s="2">
        <f>ROUND(CT308*I308,2)</f>
        <v>0</v>
      </c>
      <c r="T308" s="2">
        <f t="shared" si="181"/>
        <v>0</v>
      </c>
      <c r="U308" s="2">
        <f>ROUND(CV308*I308,7)</f>
        <v>0</v>
      </c>
      <c r="V308" s="2">
        <f>ROUND(CW308*I308,7)</f>
        <v>0</v>
      </c>
      <c r="W308" s="2">
        <f t="shared" si="182"/>
        <v>0</v>
      </c>
      <c r="X308" s="2">
        <f t="shared" si="183"/>
        <v>0</v>
      </c>
      <c r="Y308" s="2">
        <f t="shared" si="184"/>
        <v>0</v>
      </c>
      <c r="Z308" s="2"/>
      <c r="AA308" s="2">
        <v>94104265</v>
      </c>
      <c r="AB308" s="2">
        <f t="shared" si="185"/>
        <v>0</v>
      </c>
      <c r="AC308" s="2">
        <f>ROUND((ES308),6)</f>
        <v>0</v>
      </c>
      <c r="AD308" s="2">
        <f>ROUND((((ET308)-(EU308))+AE308),6)</f>
        <v>0</v>
      </c>
      <c r="AE308" s="2">
        <f>ROUND((EU308),6)</f>
        <v>0</v>
      </c>
      <c r="AF308" s="2">
        <f>ROUND((EV308),6)</f>
        <v>0</v>
      </c>
      <c r="AG308" s="2">
        <f t="shared" si="186"/>
        <v>0</v>
      </c>
      <c r="AH308" s="2">
        <f>(EW308)</f>
        <v>0</v>
      </c>
      <c r="AI308" s="2">
        <f>(EX308)</f>
        <v>0</v>
      </c>
      <c r="AJ308" s="2">
        <f t="shared" si="187"/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89</v>
      </c>
      <c r="AU308" s="2">
        <v>49</v>
      </c>
      <c r="AV308" s="2">
        <v>1</v>
      </c>
      <c r="AW308" s="2">
        <v>1</v>
      </c>
      <c r="AX308" s="2"/>
      <c r="AY308" s="2"/>
      <c r="AZ308" s="2">
        <v>1</v>
      </c>
      <c r="BA308" s="2">
        <v>1</v>
      </c>
      <c r="BB308" s="2">
        <v>1</v>
      </c>
      <c r="BC308" s="2">
        <v>1</v>
      </c>
      <c r="BD308" s="2" t="s">
        <v>3</v>
      </c>
      <c r="BE308" s="2" t="s">
        <v>3</v>
      </c>
      <c r="BF308" s="2" t="s">
        <v>3</v>
      </c>
      <c r="BG308" s="2" t="s">
        <v>3</v>
      </c>
      <c r="BH308" s="2">
        <v>3</v>
      </c>
      <c r="BI308" s="2">
        <v>1</v>
      </c>
      <c r="BJ308" s="2" t="s">
        <v>3</v>
      </c>
      <c r="BK308" s="2"/>
      <c r="BL308" s="2"/>
      <c r="BM308" s="2">
        <v>57001</v>
      </c>
      <c r="BN308" s="2">
        <v>0</v>
      </c>
      <c r="BO308" s="2" t="s">
        <v>3</v>
      </c>
      <c r="BP308" s="2">
        <v>0</v>
      </c>
      <c r="BQ308" s="2">
        <v>6</v>
      </c>
      <c r="BR308" s="2">
        <v>0</v>
      </c>
      <c r="BS308" s="2">
        <v>1</v>
      </c>
      <c r="BT308" s="2">
        <v>1</v>
      </c>
      <c r="BU308" s="2">
        <v>1</v>
      </c>
      <c r="BV308" s="2">
        <v>1</v>
      </c>
      <c r="BW308" s="2">
        <v>1</v>
      </c>
      <c r="BX308" s="2">
        <v>1</v>
      </c>
      <c r="BY308" s="2" t="s">
        <v>3</v>
      </c>
      <c r="BZ308" s="2">
        <v>89</v>
      </c>
      <c r="CA308" s="2">
        <v>49</v>
      </c>
      <c r="CB308" s="2" t="s">
        <v>3</v>
      </c>
      <c r="CC308" s="2"/>
      <c r="CD308" s="2"/>
      <c r="CE308" s="2">
        <v>0</v>
      </c>
      <c r="CF308" s="2">
        <v>0</v>
      </c>
      <c r="CG308" s="2">
        <v>0</v>
      </c>
      <c r="CH308" s="2"/>
      <c r="CI308" s="2"/>
      <c r="CJ308" s="2"/>
      <c r="CK308" s="2"/>
      <c r="CL308" s="2"/>
      <c r="CM308" s="2">
        <v>0</v>
      </c>
      <c r="CN308" s="2" t="s">
        <v>3</v>
      </c>
      <c r="CO308" s="2">
        <v>0</v>
      </c>
      <c r="CP308" s="2">
        <f t="shared" si="188"/>
        <v>0</v>
      </c>
      <c r="CQ308" s="2">
        <f>ROUND(AL308*BC308,2)</f>
        <v>0</v>
      </c>
      <c r="CR308" s="2">
        <f>ROUND(AM308*BB308,2)</f>
        <v>0</v>
      </c>
      <c r="CS308" s="2">
        <f>ROUND(AN308*BS308,2)</f>
        <v>0</v>
      </c>
      <c r="CT308" s="2">
        <f>ROUND(AO308*BA308,2)</f>
        <v>0</v>
      </c>
      <c r="CU308" s="2">
        <f t="shared" si="189"/>
        <v>0</v>
      </c>
      <c r="CV308" s="2">
        <f>AH308</f>
        <v>0</v>
      </c>
      <c r="CW308" s="2">
        <f>AI308</f>
        <v>0</v>
      </c>
      <c r="CX308" s="2">
        <f t="shared" si="190"/>
        <v>0</v>
      </c>
      <c r="CY308" s="2">
        <f t="shared" si="191"/>
        <v>0</v>
      </c>
      <c r="CZ308" s="2">
        <f t="shared" si="192"/>
        <v>0</v>
      </c>
      <c r="DA308" s="2"/>
      <c r="DB308" s="2"/>
      <c r="DC308" s="2" t="s">
        <v>3</v>
      </c>
      <c r="DD308" s="2" t="s">
        <v>3</v>
      </c>
      <c r="DE308" s="2" t="s">
        <v>3</v>
      </c>
      <c r="DF308" s="2" t="s">
        <v>3</v>
      </c>
      <c r="DG308" s="2" t="s">
        <v>3</v>
      </c>
      <c r="DH308" s="2" t="s">
        <v>3</v>
      </c>
      <c r="DI308" s="2" t="s">
        <v>3</v>
      </c>
      <c r="DJ308" s="2" t="s">
        <v>3</v>
      </c>
      <c r="DK308" s="2" t="s">
        <v>3</v>
      </c>
      <c r="DL308" s="2" t="s">
        <v>3</v>
      </c>
      <c r="DM308" s="2" t="s">
        <v>3</v>
      </c>
      <c r="DN308" s="2">
        <v>0</v>
      </c>
      <c r="DO308" s="2">
        <v>0</v>
      </c>
      <c r="DP308" s="2">
        <v>1</v>
      </c>
      <c r="DQ308" s="2">
        <v>1</v>
      </c>
      <c r="DR308" s="2"/>
      <c r="DS308" s="2"/>
      <c r="DT308" s="2"/>
      <c r="DU308" s="2">
        <v>1009</v>
      </c>
      <c r="DV308" s="2" t="s">
        <v>30</v>
      </c>
      <c r="DW308" s="2" t="s">
        <v>30</v>
      </c>
      <c r="DX308" s="2">
        <v>1000</v>
      </c>
      <c r="DY308" s="2"/>
      <c r="DZ308" s="2" t="s">
        <v>3</v>
      </c>
      <c r="EA308" s="2" t="s">
        <v>3</v>
      </c>
      <c r="EB308" s="2" t="s">
        <v>3</v>
      </c>
      <c r="EC308" s="2" t="s">
        <v>3</v>
      </c>
      <c r="ED308" s="2"/>
      <c r="EE308" s="2">
        <v>89977071</v>
      </c>
      <c r="EF308" s="2">
        <v>6</v>
      </c>
      <c r="EG308" s="2" t="s">
        <v>22</v>
      </c>
      <c r="EH308" s="2">
        <v>11</v>
      </c>
      <c r="EI308" s="2" t="s">
        <v>23</v>
      </c>
      <c r="EJ308" s="2">
        <v>1</v>
      </c>
      <c r="EK308" s="2">
        <v>57001</v>
      </c>
      <c r="EL308" s="2" t="s">
        <v>23</v>
      </c>
      <c r="EM308" s="2" t="s">
        <v>24</v>
      </c>
      <c r="EN308" s="2"/>
      <c r="EO308" s="2" t="s">
        <v>3</v>
      </c>
      <c r="EP308" s="2"/>
      <c r="EQ308" s="2">
        <v>0</v>
      </c>
      <c r="ER308" s="2">
        <v>0</v>
      </c>
      <c r="ES308" s="2">
        <v>0</v>
      </c>
      <c r="ET308" s="2">
        <v>0</v>
      </c>
      <c r="EU308" s="2">
        <v>0</v>
      </c>
      <c r="EV308" s="2">
        <v>0</v>
      </c>
      <c r="EW308" s="2">
        <v>0</v>
      </c>
      <c r="EX308" s="2">
        <v>0</v>
      </c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>
        <v>0</v>
      </c>
      <c r="FR308" s="2">
        <v>0</v>
      </c>
      <c r="FS308" s="2">
        <v>0</v>
      </c>
      <c r="FT308" s="2"/>
      <c r="FU308" s="2"/>
      <c r="FV308" s="2"/>
      <c r="FW308" s="2"/>
      <c r="FX308" s="2">
        <v>89</v>
      </c>
      <c r="FY308" s="2">
        <v>49</v>
      </c>
      <c r="FZ308" s="2"/>
      <c r="GA308" s="2" t="s">
        <v>3</v>
      </c>
      <c r="GB308" s="2"/>
      <c r="GC308" s="2"/>
      <c r="GD308" s="2">
        <v>1</v>
      </c>
      <c r="GE308" s="2"/>
      <c r="GF308" s="2">
        <v>2102561428</v>
      </c>
      <c r="GG308" s="2">
        <v>2</v>
      </c>
      <c r="GH308" s="2">
        <v>1</v>
      </c>
      <c r="GI308" s="2">
        <v>-2</v>
      </c>
      <c r="GJ308" s="2">
        <v>0</v>
      </c>
      <c r="GK308" s="2">
        <v>0</v>
      </c>
      <c r="GL308" s="2">
        <f t="shared" si="193"/>
        <v>0</v>
      </c>
      <c r="GM308" s="2">
        <f t="shared" si="194"/>
        <v>0</v>
      </c>
      <c r="GN308" s="2">
        <f t="shared" si="195"/>
        <v>0</v>
      </c>
      <c r="GO308" s="2">
        <f t="shared" si="196"/>
        <v>0</v>
      </c>
      <c r="GP308" s="2">
        <f t="shared" si="197"/>
        <v>0</v>
      </c>
      <c r="GQ308" s="2"/>
      <c r="GR308" s="2">
        <v>0</v>
      </c>
      <c r="GS308" s="2">
        <v>3</v>
      </c>
      <c r="GT308" s="2">
        <v>0</v>
      </c>
      <c r="GU308" s="2" t="s">
        <v>3</v>
      </c>
      <c r="GV308" s="2">
        <f t="shared" si="198"/>
        <v>0</v>
      </c>
      <c r="GW308" s="2">
        <v>1</v>
      </c>
      <c r="GX308" s="2">
        <f t="shared" si="199"/>
        <v>0</v>
      </c>
      <c r="GY308" s="2"/>
      <c r="GZ308" s="2"/>
      <c r="HA308" s="2">
        <v>0</v>
      </c>
      <c r="HB308" s="2">
        <v>0</v>
      </c>
      <c r="HC308" s="2">
        <f t="shared" si="200"/>
        <v>0</v>
      </c>
      <c r="HD308" s="2"/>
      <c r="HE308" s="2" t="s">
        <v>3</v>
      </c>
      <c r="HF308" s="2" t="s">
        <v>3</v>
      </c>
      <c r="HG308" s="2"/>
      <c r="HH308" s="2"/>
      <c r="HI308" s="2"/>
      <c r="HJ308" s="2"/>
      <c r="HK308" s="2"/>
      <c r="HL308" s="2"/>
      <c r="HM308" s="2" t="s">
        <v>3</v>
      </c>
      <c r="HN308" s="2" t="s">
        <v>25</v>
      </c>
      <c r="HO308" s="2" t="s">
        <v>26</v>
      </c>
      <c r="HP308" s="2" t="s">
        <v>23</v>
      </c>
      <c r="HQ308" s="2" t="s">
        <v>23</v>
      </c>
      <c r="HR308" s="2"/>
      <c r="HS308" s="2">
        <v>0</v>
      </c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>
        <v>0</v>
      </c>
      <c r="IL308" s="2"/>
      <c r="IM308" s="2"/>
      <c r="IN308" s="2"/>
      <c r="IO308" s="2"/>
      <c r="IP308" s="2"/>
      <c r="IQ308" s="2"/>
      <c r="IR308" s="2"/>
      <c r="IS308" s="2"/>
      <c r="IT308" s="2"/>
      <c r="IU308" s="2"/>
    </row>
    <row r="309" spans="1:255" x14ac:dyDescent="0.2">
      <c r="A309" s="2">
        <v>17</v>
      </c>
      <c r="B309" s="2">
        <v>1</v>
      </c>
      <c r="C309" s="2">
        <f>ROW(SmtRes!A215)</f>
        <v>215</v>
      </c>
      <c r="D309" s="2">
        <f>ROW(EtalonRes!A215)</f>
        <v>215</v>
      </c>
      <c r="E309" s="2" t="s">
        <v>289</v>
      </c>
      <c r="F309" s="2" t="s">
        <v>290</v>
      </c>
      <c r="G309" s="2" t="s">
        <v>291</v>
      </c>
      <c r="H309" s="2" t="s">
        <v>20</v>
      </c>
      <c r="I309" s="2">
        <f>ROUND(30/100,7)</f>
        <v>0.3</v>
      </c>
      <c r="J309" s="2">
        <v>0</v>
      </c>
      <c r="K309" s="2">
        <f>ROUND(30/100,7)</f>
        <v>0.3</v>
      </c>
      <c r="L309" s="2"/>
      <c r="M309" s="2"/>
      <c r="N309" s="2"/>
      <c r="O309" s="2">
        <f t="shared" si="180"/>
        <v>2658.22</v>
      </c>
      <c r="P309" s="2">
        <f>SUMIF(SmtRes!AQ214:'SmtRes'!AQ215,"=1",SmtRes!DF214:'SmtRes'!DF215)</f>
        <v>0</v>
      </c>
      <c r="Q309" s="2">
        <f>SUMIF(SmtRes!AQ214:'SmtRes'!AQ215,"=1",SmtRes!DG214:'SmtRes'!DG215)</f>
        <v>0</v>
      </c>
      <c r="R309" s="2">
        <f>SUMIF(SmtRes!AQ214:'SmtRes'!AQ215,"=1",SmtRes!DH214:'SmtRes'!DH215)</f>
        <v>0</v>
      </c>
      <c r="S309" s="2">
        <f>SUMIF(SmtRes!AQ214:'SmtRes'!AQ215,"=1",SmtRes!DI214:'SmtRes'!DI215)</f>
        <v>2658.22</v>
      </c>
      <c r="T309" s="2">
        <f t="shared" si="181"/>
        <v>0</v>
      </c>
      <c r="U309" s="2">
        <f>SUMIF(SmtRes!AQ214:'SmtRes'!AQ215,"=1",SmtRes!CV214:'SmtRes'!CV215)</f>
        <v>4.47</v>
      </c>
      <c r="V309" s="2">
        <f>SUMIF(SmtRes!AQ214:'SmtRes'!AQ215,"=1",SmtRes!CW214:'SmtRes'!CW215)</f>
        <v>0</v>
      </c>
      <c r="W309" s="2">
        <f t="shared" si="182"/>
        <v>0</v>
      </c>
      <c r="X309" s="2">
        <f t="shared" si="183"/>
        <v>2365.8200000000002</v>
      </c>
      <c r="Y309" s="2">
        <f t="shared" si="184"/>
        <v>1302.53</v>
      </c>
      <c r="Z309" s="2"/>
      <c r="AA309" s="2">
        <v>94104265</v>
      </c>
      <c r="AB309" s="2">
        <f t="shared" si="185"/>
        <v>8860.732</v>
      </c>
      <c r="AC309" s="2">
        <f>ROUND((0),6)</f>
        <v>0</v>
      </c>
      <c r="AD309" s="2">
        <f>ROUND((((0)-(0))+AE309),6)</f>
        <v>0</v>
      </c>
      <c r="AE309" s="2">
        <f>ROUND((0),6)</f>
        <v>0</v>
      </c>
      <c r="AF309" s="2">
        <f>ROUND((SUM(SmtRes!BT214:'SmtRes'!BT215)),6)</f>
        <v>8860.732</v>
      </c>
      <c r="AG309" s="2">
        <f t="shared" si="186"/>
        <v>0</v>
      </c>
      <c r="AH309" s="2">
        <f>(SUM(SmtRes!BU214:'SmtRes'!BU215))</f>
        <v>14.9</v>
      </c>
      <c r="AI309" s="2">
        <f>(0)</f>
        <v>0</v>
      </c>
      <c r="AJ309" s="2">
        <f t="shared" si="187"/>
        <v>0</v>
      </c>
      <c r="AK309" s="2">
        <v>8860.732</v>
      </c>
      <c r="AL309" s="2">
        <v>0</v>
      </c>
      <c r="AM309" s="2">
        <v>0</v>
      </c>
      <c r="AN309" s="2">
        <v>0</v>
      </c>
      <c r="AO309" s="2">
        <v>8860.732</v>
      </c>
      <c r="AP309" s="2">
        <v>0</v>
      </c>
      <c r="AQ309" s="2">
        <v>14.9</v>
      </c>
      <c r="AR309" s="2">
        <v>0</v>
      </c>
      <c r="AS309" s="2">
        <v>0</v>
      </c>
      <c r="AT309" s="2">
        <v>89</v>
      </c>
      <c r="AU309" s="2">
        <v>49</v>
      </c>
      <c r="AV309" s="2">
        <v>1</v>
      </c>
      <c r="AW309" s="2">
        <v>1</v>
      </c>
      <c r="AX309" s="2"/>
      <c r="AY309" s="2"/>
      <c r="AZ309" s="2">
        <v>1</v>
      </c>
      <c r="BA309" s="2">
        <v>1</v>
      </c>
      <c r="BB309" s="2">
        <v>1</v>
      </c>
      <c r="BC309" s="2">
        <v>1</v>
      </c>
      <c r="BD309" s="2" t="s">
        <v>3</v>
      </c>
      <c r="BE309" s="2" t="s">
        <v>3</v>
      </c>
      <c r="BF309" s="2" t="s">
        <v>3</v>
      </c>
      <c r="BG309" s="2" t="s">
        <v>3</v>
      </c>
      <c r="BH309" s="2">
        <v>0</v>
      </c>
      <c r="BI309" s="2">
        <v>1</v>
      </c>
      <c r="BJ309" s="2" t="s">
        <v>292</v>
      </c>
      <c r="BK309" s="2"/>
      <c r="BL309" s="2"/>
      <c r="BM309" s="2">
        <v>57001</v>
      </c>
      <c r="BN309" s="2">
        <v>0</v>
      </c>
      <c r="BO309" s="2" t="s">
        <v>3</v>
      </c>
      <c r="BP309" s="2">
        <v>0</v>
      </c>
      <c r="BQ309" s="2">
        <v>6</v>
      </c>
      <c r="BR309" s="2">
        <v>0</v>
      </c>
      <c r="BS309" s="2">
        <v>1</v>
      </c>
      <c r="BT309" s="2">
        <v>1</v>
      </c>
      <c r="BU309" s="2">
        <v>1</v>
      </c>
      <c r="BV309" s="2">
        <v>1</v>
      </c>
      <c r="BW309" s="2">
        <v>1</v>
      </c>
      <c r="BX309" s="2">
        <v>1</v>
      </c>
      <c r="BY309" s="2" t="s">
        <v>3</v>
      </c>
      <c r="BZ309" s="2">
        <v>89</v>
      </c>
      <c r="CA309" s="2">
        <v>49</v>
      </c>
      <c r="CB309" s="2" t="s">
        <v>3</v>
      </c>
      <c r="CC309" s="2"/>
      <c r="CD309" s="2"/>
      <c r="CE309" s="2">
        <v>0</v>
      </c>
      <c r="CF309" s="2">
        <v>0</v>
      </c>
      <c r="CG309" s="2">
        <v>0</v>
      </c>
      <c r="CH309" s="2"/>
      <c r="CI309" s="2"/>
      <c r="CJ309" s="2"/>
      <c r="CK309" s="2"/>
      <c r="CL309" s="2"/>
      <c r="CM309" s="2">
        <v>0</v>
      </c>
      <c r="CN309" s="2" t="s">
        <v>3</v>
      </c>
      <c r="CO309" s="2">
        <v>0</v>
      </c>
      <c r="CP309" s="2">
        <f t="shared" si="188"/>
        <v>2658.22</v>
      </c>
      <c r="CQ309" s="2">
        <f>SUMIF(SmtRes!AQ214:'SmtRes'!AQ215,"=1",SmtRes!AA214:'SmtRes'!AA215)</f>
        <v>0</v>
      </c>
      <c r="CR309" s="2">
        <f>SUMIF(SmtRes!AQ214:'SmtRes'!AQ215,"=1",SmtRes!AB214:'SmtRes'!AB215)</f>
        <v>0</v>
      </c>
      <c r="CS309" s="2">
        <f>SUMIF(SmtRes!AQ214:'SmtRes'!AQ215,"=1",SmtRes!AC214:'SmtRes'!AC215)</f>
        <v>0</v>
      </c>
      <c r="CT309" s="2">
        <f>SUMIF(SmtRes!AQ214:'SmtRes'!AQ215,"=1",SmtRes!AD214:'SmtRes'!AD215)</f>
        <v>594.67999999999995</v>
      </c>
      <c r="CU309" s="2">
        <f t="shared" si="189"/>
        <v>0</v>
      </c>
      <c r="CV309" s="2">
        <f>SUMIF(SmtRes!AQ214:'SmtRes'!AQ215,"=1",SmtRes!BU214:'SmtRes'!BU215)</f>
        <v>14.9</v>
      </c>
      <c r="CW309" s="2">
        <f>SUMIF(SmtRes!AQ214:'SmtRes'!AQ215,"=1",SmtRes!BV214:'SmtRes'!BV215)</f>
        <v>0</v>
      </c>
      <c r="CX309" s="2">
        <f t="shared" si="190"/>
        <v>0</v>
      </c>
      <c r="CY309" s="2">
        <f t="shared" si="191"/>
        <v>2365.8157999999999</v>
      </c>
      <c r="CZ309" s="2">
        <f t="shared" si="192"/>
        <v>1302.5277999999998</v>
      </c>
      <c r="DA309" s="2"/>
      <c r="DB309" s="2"/>
      <c r="DC309" s="2" t="s">
        <v>3</v>
      </c>
      <c r="DD309" s="2" t="s">
        <v>3</v>
      </c>
      <c r="DE309" s="2" t="s">
        <v>3</v>
      </c>
      <c r="DF309" s="2" t="s">
        <v>3</v>
      </c>
      <c r="DG309" s="2" t="s">
        <v>3</v>
      </c>
      <c r="DH309" s="2" t="s">
        <v>3</v>
      </c>
      <c r="DI309" s="2" t="s">
        <v>3</v>
      </c>
      <c r="DJ309" s="2" t="s">
        <v>3</v>
      </c>
      <c r="DK309" s="2" t="s">
        <v>3</v>
      </c>
      <c r="DL309" s="2" t="s">
        <v>3</v>
      </c>
      <c r="DM309" s="2" t="s">
        <v>3</v>
      </c>
      <c r="DN309" s="2">
        <v>0</v>
      </c>
      <c r="DO309" s="2">
        <v>0</v>
      </c>
      <c r="DP309" s="2">
        <v>1</v>
      </c>
      <c r="DQ309" s="2">
        <v>1</v>
      </c>
      <c r="DR309" s="2"/>
      <c r="DS309" s="2"/>
      <c r="DT309" s="2"/>
      <c r="DU309" s="2">
        <v>1005</v>
      </c>
      <c r="DV309" s="2" t="s">
        <v>20</v>
      </c>
      <c r="DW309" s="2" t="s">
        <v>20</v>
      </c>
      <c r="DX309" s="2">
        <v>100</v>
      </c>
      <c r="DY309" s="2"/>
      <c r="DZ309" s="2" t="s">
        <v>3</v>
      </c>
      <c r="EA309" s="2" t="s">
        <v>3</v>
      </c>
      <c r="EB309" s="2" t="s">
        <v>3</v>
      </c>
      <c r="EC309" s="2" t="s">
        <v>3</v>
      </c>
      <c r="ED309" s="2"/>
      <c r="EE309" s="2">
        <v>89977071</v>
      </c>
      <c r="EF309" s="2">
        <v>6</v>
      </c>
      <c r="EG309" s="2" t="s">
        <v>22</v>
      </c>
      <c r="EH309" s="2">
        <v>11</v>
      </c>
      <c r="EI309" s="2" t="s">
        <v>23</v>
      </c>
      <c r="EJ309" s="2">
        <v>1</v>
      </c>
      <c r="EK309" s="2">
        <v>57001</v>
      </c>
      <c r="EL309" s="2" t="s">
        <v>23</v>
      </c>
      <c r="EM309" s="2" t="s">
        <v>24</v>
      </c>
      <c r="EN309" s="2"/>
      <c r="EO309" s="2" t="s">
        <v>3</v>
      </c>
      <c r="EP309" s="2"/>
      <c r="EQ309" s="2">
        <v>0</v>
      </c>
      <c r="ER309" s="2">
        <v>0</v>
      </c>
      <c r="ES309" s="2">
        <v>0</v>
      </c>
      <c r="ET309" s="2">
        <v>0</v>
      </c>
      <c r="EU309" s="2">
        <v>0</v>
      </c>
      <c r="EV309" s="2">
        <v>0</v>
      </c>
      <c r="EW309" s="2">
        <v>14.9</v>
      </c>
      <c r="EX309" s="2">
        <v>0</v>
      </c>
      <c r="EY309" s="2">
        <v>0</v>
      </c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>
        <v>0</v>
      </c>
      <c r="FR309" s="2">
        <v>0</v>
      </c>
      <c r="FS309" s="2">
        <v>0</v>
      </c>
      <c r="FT309" s="2"/>
      <c r="FU309" s="2"/>
      <c r="FV309" s="2"/>
      <c r="FW309" s="2"/>
      <c r="FX309" s="2">
        <v>89</v>
      </c>
      <c r="FY309" s="2">
        <v>49</v>
      </c>
      <c r="FZ309" s="2"/>
      <c r="GA309" s="2" t="s">
        <v>3</v>
      </c>
      <c r="GB309" s="2"/>
      <c r="GC309" s="2"/>
      <c r="GD309" s="2">
        <v>1</v>
      </c>
      <c r="GE309" s="2"/>
      <c r="GF309" s="2">
        <v>-1763913069</v>
      </c>
      <c r="GG309" s="2">
        <v>2</v>
      </c>
      <c r="GH309" s="2">
        <v>1</v>
      </c>
      <c r="GI309" s="2">
        <v>-2</v>
      </c>
      <c r="GJ309" s="2">
        <v>0</v>
      </c>
      <c r="GK309" s="2">
        <v>0</v>
      </c>
      <c r="GL309" s="2">
        <f t="shared" si="193"/>
        <v>0</v>
      </c>
      <c r="GM309" s="2">
        <f t="shared" si="194"/>
        <v>6326.57</v>
      </c>
      <c r="GN309" s="2">
        <f t="shared" si="195"/>
        <v>6326.57</v>
      </c>
      <c r="GO309" s="2">
        <f t="shared" si="196"/>
        <v>0</v>
      </c>
      <c r="GP309" s="2">
        <f t="shared" si="197"/>
        <v>0</v>
      </c>
      <c r="GQ309" s="2"/>
      <c r="GR309" s="2">
        <v>0</v>
      </c>
      <c r="GS309" s="2">
        <v>3</v>
      </c>
      <c r="GT309" s="2">
        <v>0</v>
      </c>
      <c r="GU309" s="2" t="s">
        <v>3</v>
      </c>
      <c r="GV309" s="2">
        <f t="shared" si="198"/>
        <v>0</v>
      </c>
      <c r="GW309" s="2">
        <v>1</v>
      </c>
      <c r="GX309" s="2">
        <f t="shared" si="199"/>
        <v>0</v>
      </c>
      <c r="GY309" s="2"/>
      <c r="GZ309" s="2"/>
      <c r="HA309" s="2">
        <v>0</v>
      </c>
      <c r="HB309" s="2">
        <v>0</v>
      </c>
      <c r="HC309" s="2">
        <f t="shared" si="200"/>
        <v>0</v>
      </c>
      <c r="HD309" s="2"/>
      <c r="HE309" s="2" t="s">
        <v>3</v>
      </c>
      <c r="HF309" s="2" t="s">
        <v>3</v>
      </c>
      <c r="HG309" s="2"/>
      <c r="HH309" s="2"/>
      <c r="HI309" s="2"/>
      <c r="HJ309" s="2"/>
      <c r="HK309" s="2"/>
      <c r="HL309" s="2"/>
      <c r="HM309" s="2" t="s">
        <v>3</v>
      </c>
      <c r="HN309" s="2" t="s">
        <v>25</v>
      </c>
      <c r="HO309" s="2" t="s">
        <v>26</v>
      </c>
      <c r="HP309" s="2" t="s">
        <v>23</v>
      </c>
      <c r="HQ309" s="2" t="s">
        <v>23</v>
      </c>
      <c r="HR309" s="2"/>
      <c r="HS309" s="2">
        <v>0</v>
      </c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>
        <v>0</v>
      </c>
      <c r="IL309" s="2"/>
      <c r="IM309" s="2"/>
      <c r="IN309" s="2"/>
      <c r="IO309" s="2"/>
      <c r="IP309" s="2"/>
      <c r="IQ309" s="2"/>
      <c r="IR309" s="2"/>
      <c r="IS309" s="2"/>
      <c r="IT309" s="2"/>
      <c r="IU309" s="2"/>
    </row>
    <row r="310" spans="1:255" x14ac:dyDescent="0.2">
      <c r="A310" s="2">
        <v>18</v>
      </c>
      <c r="B310" s="2">
        <v>1</v>
      </c>
      <c r="C310" s="2">
        <v>215</v>
      </c>
      <c r="D310" s="2"/>
      <c r="E310" s="2" t="s">
        <v>293</v>
      </c>
      <c r="F310" s="2" t="s">
        <v>28</v>
      </c>
      <c r="G310" s="2" t="s">
        <v>29</v>
      </c>
      <c r="H310" s="2" t="s">
        <v>30</v>
      </c>
      <c r="I310" s="2">
        <f>I309*J310</f>
        <v>0.57599999999999996</v>
      </c>
      <c r="J310" s="2">
        <v>1.92</v>
      </c>
      <c r="K310" s="2">
        <v>1.92</v>
      </c>
      <c r="L310" s="2"/>
      <c r="M310" s="2"/>
      <c r="N310" s="2"/>
      <c r="O310" s="2">
        <f t="shared" si="180"/>
        <v>0</v>
      </c>
      <c r="P310" s="2">
        <f>ROUND(CQ310*I310,2)</f>
        <v>0</v>
      </c>
      <c r="Q310" s="2">
        <f>ROUND(CR310*I310,2)</f>
        <v>0</v>
      </c>
      <c r="R310" s="2">
        <f>ROUND(CS310*I310,2)</f>
        <v>0</v>
      </c>
      <c r="S310" s="2">
        <f>ROUND(CT310*I310,2)</f>
        <v>0</v>
      </c>
      <c r="T310" s="2">
        <f t="shared" si="181"/>
        <v>0</v>
      </c>
      <c r="U310" s="2">
        <f>ROUND(CV310*I310,7)</f>
        <v>0</v>
      </c>
      <c r="V310" s="2">
        <f>ROUND(CW310*I310,7)</f>
        <v>0</v>
      </c>
      <c r="W310" s="2">
        <f t="shared" si="182"/>
        <v>0</v>
      </c>
      <c r="X310" s="2">
        <f t="shared" si="183"/>
        <v>0</v>
      </c>
      <c r="Y310" s="2">
        <f t="shared" si="184"/>
        <v>0</v>
      </c>
      <c r="Z310" s="2"/>
      <c r="AA310" s="2">
        <v>94104265</v>
      </c>
      <c r="AB310" s="2">
        <f t="shared" si="185"/>
        <v>0</v>
      </c>
      <c r="AC310" s="2">
        <f>ROUND((ES310),6)</f>
        <v>0</v>
      </c>
      <c r="AD310" s="2">
        <f>ROUND((((ET310)-(EU310))+AE310),6)</f>
        <v>0</v>
      </c>
      <c r="AE310" s="2">
        <f>ROUND((EU310),6)</f>
        <v>0</v>
      </c>
      <c r="AF310" s="2">
        <f>ROUND((EV310),6)</f>
        <v>0</v>
      </c>
      <c r="AG310" s="2">
        <f t="shared" si="186"/>
        <v>0</v>
      </c>
      <c r="AH310" s="2">
        <f>(EW310)</f>
        <v>0</v>
      </c>
      <c r="AI310" s="2">
        <f>(EX310)</f>
        <v>0</v>
      </c>
      <c r="AJ310" s="2">
        <f t="shared" si="187"/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89</v>
      </c>
      <c r="AU310" s="2">
        <v>49</v>
      </c>
      <c r="AV310" s="2">
        <v>1</v>
      </c>
      <c r="AW310" s="2">
        <v>1</v>
      </c>
      <c r="AX310" s="2"/>
      <c r="AY310" s="2"/>
      <c r="AZ310" s="2">
        <v>1</v>
      </c>
      <c r="BA310" s="2">
        <v>1</v>
      </c>
      <c r="BB310" s="2">
        <v>1</v>
      </c>
      <c r="BC310" s="2">
        <v>1</v>
      </c>
      <c r="BD310" s="2" t="s">
        <v>3</v>
      </c>
      <c r="BE310" s="2" t="s">
        <v>3</v>
      </c>
      <c r="BF310" s="2" t="s">
        <v>3</v>
      </c>
      <c r="BG310" s="2" t="s">
        <v>3</v>
      </c>
      <c r="BH310" s="2">
        <v>3</v>
      </c>
      <c r="BI310" s="2">
        <v>1</v>
      </c>
      <c r="BJ310" s="2" t="s">
        <v>3</v>
      </c>
      <c r="BK310" s="2"/>
      <c r="BL310" s="2"/>
      <c r="BM310" s="2">
        <v>57001</v>
      </c>
      <c r="BN310" s="2">
        <v>0</v>
      </c>
      <c r="BO310" s="2" t="s">
        <v>3</v>
      </c>
      <c r="BP310" s="2">
        <v>0</v>
      </c>
      <c r="BQ310" s="2">
        <v>6</v>
      </c>
      <c r="BR310" s="2">
        <v>0</v>
      </c>
      <c r="BS310" s="2">
        <v>1</v>
      </c>
      <c r="BT310" s="2">
        <v>1</v>
      </c>
      <c r="BU310" s="2">
        <v>1</v>
      </c>
      <c r="BV310" s="2">
        <v>1</v>
      </c>
      <c r="BW310" s="2">
        <v>1</v>
      </c>
      <c r="BX310" s="2">
        <v>1</v>
      </c>
      <c r="BY310" s="2" t="s">
        <v>3</v>
      </c>
      <c r="BZ310" s="2">
        <v>89</v>
      </c>
      <c r="CA310" s="2">
        <v>49</v>
      </c>
      <c r="CB310" s="2" t="s">
        <v>3</v>
      </c>
      <c r="CC310" s="2"/>
      <c r="CD310" s="2"/>
      <c r="CE310" s="2">
        <v>0</v>
      </c>
      <c r="CF310" s="2">
        <v>0</v>
      </c>
      <c r="CG310" s="2">
        <v>0</v>
      </c>
      <c r="CH310" s="2"/>
      <c r="CI310" s="2"/>
      <c r="CJ310" s="2"/>
      <c r="CK310" s="2"/>
      <c r="CL310" s="2"/>
      <c r="CM310" s="2">
        <v>0</v>
      </c>
      <c r="CN310" s="2" t="s">
        <v>3</v>
      </c>
      <c r="CO310" s="2">
        <v>0</v>
      </c>
      <c r="CP310" s="2">
        <f t="shared" si="188"/>
        <v>0</v>
      </c>
      <c r="CQ310" s="2">
        <f>ROUND(AL310*BC310,2)</f>
        <v>0</v>
      </c>
      <c r="CR310" s="2">
        <f>ROUND(AM310*BB310,2)</f>
        <v>0</v>
      </c>
      <c r="CS310" s="2">
        <f>ROUND(AN310*BS310,2)</f>
        <v>0</v>
      </c>
      <c r="CT310" s="2">
        <f>ROUND(AO310*BA310,2)</f>
        <v>0</v>
      </c>
      <c r="CU310" s="2">
        <f t="shared" si="189"/>
        <v>0</v>
      </c>
      <c r="CV310" s="2">
        <f>AH310</f>
        <v>0</v>
      </c>
      <c r="CW310" s="2">
        <f>AI310</f>
        <v>0</v>
      </c>
      <c r="CX310" s="2">
        <f t="shared" si="190"/>
        <v>0</v>
      </c>
      <c r="CY310" s="2">
        <f t="shared" si="191"/>
        <v>0</v>
      </c>
      <c r="CZ310" s="2">
        <f t="shared" si="192"/>
        <v>0</v>
      </c>
      <c r="DA310" s="2"/>
      <c r="DB310" s="2"/>
      <c r="DC310" s="2" t="s">
        <v>3</v>
      </c>
      <c r="DD310" s="2" t="s">
        <v>3</v>
      </c>
      <c r="DE310" s="2" t="s">
        <v>3</v>
      </c>
      <c r="DF310" s="2" t="s">
        <v>3</v>
      </c>
      <c r="DG310" s="2" t="s">
        <v>3</v>
      </c>
      <c r="DH310" s="2" t="s">
        <v>3</v>
      </c>
      <c r="DI310" s="2" t="s">
        <v>3</v>
      </c>
      <c r="DJ310" s="2" t="s">
        <v>3</v>
      </c>
      <c r="DK310" s="2" t="s">
        <v>3</v>
      </c>
      <c r="DL310" s="2" t="s">
        <v>3</v>
      </c>
      <c r="DM310" s="2" t="s">
        <v>3</v>
      </c>
      <c r="DN310" s="2">
        <v>0</v>
      </c>
      <c r="DO310" s="2">
        <v>0</v>
      </c>
      <c r="DP310" s="2">
        <v>1</v>
      </c>
      <c r="DQ310" s="2">
        <v>1</v>
      </c>
      <c r="DR310" s="2"/>
      <c r="DS310" s="2"/>
      <c r="DT310" s="2"/>
      <c r="DU310" s="2">
        <v>1009</v>
      </c>
      <c r="DV310" s="2" t="s">
        <v>30</v>
      </c>
      <c r="DW310" s="2" t="s">
        <v>30</v>
      </c>
      <c r="DX310" s="2">
        <v>1000</v>
      </c>
      <c r="DY310" s="2"/>
      <c r="DZ310" s="2" t="s">
        <v>3</v>
      </c>
      <c r="EA310" s="2" t="s">
        <v>3</v>
      </c>
      <c r="EB310" s="2" t="s">
        <v>3</v>
      </c>
      <c r="EC310" s="2" t="s">
        <v>3</v>
      </c>
      <c r="ED310" s="2"/>
      <c r="EE310" s="2">
        <v>89977071</v>
      </c>
      <c r="EF310" s="2">
        <v>6</v>
      </c>
      <c r="EG310" s="2" t="s">
        <v>22</v>
      </c>
      <c r="EH310" s="2">
        <v>11</v>
      </c>
      <c r="EI310" s="2" t="s">
        <v>23</v>
      </c>
      <c r="EJ310" s="2">
        <v>1</v>
      </c>
      <c r="EK310" s="2">
        <v>57001</v>
      </c>
      <c r="EL310" s="2" t="s">
        <v>23</v>
      </c>
      <c r="EM310" s="2" t="s">
        <v>24</v>
      </c>
      <c r="EN310" s="2"/>
      <c r="EO310" s="2" t="s">
        <v>3</v>
      </c>
      <c r="EP310" s="2"/>
      <c r="EQ310" s="2">
        <v>0</v>
      </c>
      <c r="ER310" s="2">
        <v>0</v>
      </c>
      <c r="ES310" s="2">
        <v>0</v>
      </c>
      <c r="ET310" s="2">
        <v>0</v>
      </c>
      <c r="EU310" s="2">
        <v>0</v>
      </c>
      <c r="EV310" s="2">
        <v>0</v>
      </c>
      <c r="EW310" s="2">
        <v>0</v>
      </c>
      <c r="EX310" s="2">
        <v>0</v>
      </c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>
        <v>0</v>
      </c>
      <c r="FR310" s="2">
        <v>0</v>
      </c>
      <c r="FS310" s="2">
        <v>0</v>
      </c>
      <c r="FT310" s="2"/>
      <c r="FU310" s="2"/>
      <c r="FV310" s="2"/>
      <c r="FW310" s="2"/>
      <c r="FX310" s="2">
        <v>89</v>
      </c>
      <c r="FY310" s="2">
        <v>49</v>
      </c>
      <c r="FZ310" s="2"/>
      <c r="GA310" s="2" t="s">
        <v>3</v>
      </c>
      <c r="GB310" s="2"/>
      <c r="GC310" s="2"/>
      <c r="GD310" s="2">
        <v>1</v>
      </c>
      <c r="GE310" s="2"/>
      <c r="GF310" s="2">
        <v>2102561428</v>
      </c>
      <c r="GG310" s="2">
        <v>2</v>
      </c>
      <c r="GH310" s="2">
        <v>1</v>
      </c>
      <c r="GI310" s="2">
        <v>-2</v>
      </c>
      <c r="GJ310" s="2">
        <v>0</v>
      </c>
      <c r="GK310" s="2">
        <v>0</v>
      </c>
      <c r="GL310" s="2">
        <f t="shared" si="193"/>
        <v>0</v>
      </c>
      <c r="GM310" s="2">
        <f t="shared" si="194"/>
        <v>0</v>
      </c>
      <c r="GN310" s="2">
        <f t="shared" si="195"/>
        <v>0</v>
      </c>
      <c r="GO310" s="2">
        <f t="shared" si="196"/>
        <v>0</v>
      </c>
      <c r="GP310" s="2">
        <f t="shared" si="197"/>
        <v>0</v>
      </c>
      <c r="GQ310" s="2"/>
      <c r="GR310" s="2">
        <v>0</v>
      </c>
      <c r="GS310" s="2">
        <v>3</v>
      </c>
      <c r="GT310" s="2">
        <v>0</v>
      </c>
      <c r="GU310" s="2" t="s">
        <v>3</v>
      </c>
      <c r="GV310" s="2">
        <f t="shared" si="198"/>
        <v>0</v>
      </c>
      <c r="GW310" s="2">
        <v>1</v>
      </c>
      <c r="GX310" s="2">
        <f t="shared" si="199"/>
        <v>0</v>
      </c>
      <c r="GY310" s="2"/>
      <c r="GZ310" s="2"/>
      <c r="HA310" s="2">
        <v>0</v>
      </c>
      <c r="HB310" s="2">
        <v>0</v>
      </c>
      <c r="HC310" s="2">
        <f t="shared" si="200"/>
        <v>0</v>
      </c>
      <c r="HD310" s="2"/>
      <c r="HE310" s="2" t="s">
        <v>3</v>
      </c>
      <c r="HF310" s="2" t="s">
        <v>3</v>
      </c>
      <c r="HG310" s="2"/>
      <c r="HH310" s="2"/>
      <c r="HI310" s="2"/>
      <c r="HJ310" s="2"/>
      <c r="HK310" s="2"/>
      <c r="HL310" s="2"/>
      <c r="HM310" s="2" t="s">
        <v>3</v>
      </c>
      <c r="HN310" s="2" t="s">
        <v>25</v>
      </c>
      <c r="HO310" s="2" t="s">
        <v>26</v>
      </c>
      <c r="HP310" s="2" t="s">
        <v>23</v>
      </c>
      <c r="HQ310" s="2" t="s">
        <v>23</v>
      </c>
      <c r="HR310" s="2"/>
      <c r="HS310" s="2">
        <v>0</v>
      </c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>
        <v>0</v>
      </c>
      <c r="IL310" s="2"/>
      <c r="IM310" s="2"/>
      <c r="IN310" s="2"/>
      <c r="IO310" s="2"/>
      <c r="IP310" s="2"/>
      <c r="IQ310" s="2"/>
      <c r="IR310" s="2"/>
      <c r="IS310" s="2"/>
      <c r="IT310" s="2"/>
      <c r="IU310" s="2"/>
    </row>
    <row r="311" spans="1:255" ht="409.5" x14ac:dyDescent="0.2">
      <c r="A311" s="2">
        <v>17</v>
      </c>
      <c r="B311" s="2">
        <v>1</v>
      </c>
      <c r="C311" s="2">
        <f>ROW(SmtRes!A224)</f>
        <v>224</v>
      </c>
      <c r="D311" s="2">
        <f>ROW(EtalonRes!A223)</f>
        <v>223</v>
      </c>
      <c r="E311" s="2" t="s">
        <v>294</v>
      </c>
      <c r="F311" s="2" t="s">
        <v>295</v>
      </c>
      <c r="G311" s="2" t="s">
        <v>296</v>
      </c>
      <c r="H311" s="2" t="s">
        <v>20</v>
      </c>
      <c r="I311" s="2">
        <f>ROUND(30/100,7)</f>
        <v>0.3</v>
      </c>
      <c r="J311" s="2">
        <v>0</v>
      </c>
      <c r="K311" s="2">
        <f>ROUND(30/100,7)</f>
        <v>0.3</v>
      </c>
      <c r="L311" s="2"/>
      <c r="M311" s="2"/>
      <c r="N311" s="2"/>
      <c r="O311" s="2">
        <f t="shared" si="180"/>
        <v>9913.7199999999993</v>
      </c>
      <c r="P311" s="2">
        <f>SUMIF(SmtRes!AQ216:'SmtRes'!AQ224,"=1",SmtRes!DF216:'SmtRes'!DF224)</f>
        <v>102.29</v>
      </c>
      <c r="Q311" s="2">
        <f>SUMIF(SmtRes!AQ216:'SmtRes'!AQ224,"=1",SmtRes!DG216:'SmtRes'!DG224)</f>
        <v>1025.6100000000001</v>
      </c>
      <c r="R311" s="2">
        <f>SUMIF(SmtRes!AQ216:'SmtRes'!AQ224,"=1",SmtRes!DH216:'SmtRes'!DH224)</f>
        <v>1964.4399999999998</v>
      </c>
      <c r="S311" s="2">
        <f>SUMIF(SmtRes!AQ216:'SmtRes'!AQ224,"=1",SmtRes!DI216:'SmtRes'!DI224)</f>
        <v>6821.38</v>
      </c>
      <c r="T311" s="2">
        <f t="shared" si="181"/>
        <v>0</v>
      </c>
      <c r="U311" s="2">
        <f>SUMIF(SmtRes!AQ216:'SmtRes'!AQ224,"=1",SmtRes!CV216:'SmtRes'!CV224)</f>
        <v>10.967549999999999</v>
      </c>
      <c r="V311" s="2">
        <f>SUMIF(SmtRes!AQ216:'SmtRes'!AQ224,"=1",SmtRes!CW216:'SmtRes'!CW224)</f>
        <v>2.6925000000000003</v>
      </c>
      <c r="W311" s="2">
        <f t="shared" si="182"/>
        <v>0</v>
      </c>
      <c r="X311" s="2">
        <f t="shared" si="183"/>
        <v>8856.11</v>
      </c>
      <c r="Y311" s="2">
        <f t="shared" si="184"/>
        <v>4854.17</v>
      </c>
      <c r="Z311" s="2"/>
      <c r="AA311" s="2">
        <v>94104265</v>
      </c>
      <c r="AB311" s="2">
        <f t="shared" si="185"/>
        <v>26430.017059999998</v>
      </c>
      <c r="AC311" s="2">
        <f>ROUND((SUM(SmtRes!BQ216:'SmtRes'!BQ224)),6)</f>
        <v>276.85039999999998</v>
      </c>
      <c r="AD311" s="2">
        <f>ROUND((((SUM(SmtRes!BR216:'SmtRes'!BR224))-(SUM(SmtRes!BS216:'SmtRes'!BS224)))+AE311),6)</f>
        <v>3415.2420000000002</v>
      </c>
      <c r="AE311" s="2">
        <f>ROUND((SUM(SmtRes!BS216:'SmtRes'!BS224)),6)</f>
        <v>6548.1440000000002</v>
      </c>
      <c r="AF311" s="2">
        <f>ROUND((SUM(SmtRes!BT216:'SmtRes'!BT224)),6)</f>
        <v>22737.924660000001</v>
      </c>
      <c r="AG311" s="2">
        <f t="shared" si="186"/>
        <v>0</v>
      </c>
      <c r="AH311" s="2">
        <f>(SUM(SmtRes!BU216:'SmtRes'!BU224))</f>
        <v>36.558499999999995</v>
      </c>
      <c r="AI311" s="2">
        <f>(SUM(SmtRes!BV216:'SmtRes'!BV224))</f>
        <v>8.9749999999999996</v>
      </c>
      <c r="AJ311" s="2">
        <f t="shared" si="187"/>
        <v>0</v>
      </c>
      <c r="AK311" s="2">
        <v>66326.156799999997</v>
      </c>
      <c r="AL311" s="2">
        <v>38583.339600000007</v>
      </c>
      <c r="AM311" s="2">
        <v>2732.1936000000005</v>
      </c>
      <c r="AN311" s="2">
        <v>5238.5152000000007</v>
      </c>
      <c r="AO311" s="2">
        <v>19772.108400000001</v>
      </c>
      <c r="AP311" s="2">
        <v>0</v>
      </c>
      <c r="AQ311" s="2">
        <v>31.79</v>
      </c>
      <c r="AR311" s="2">
        <v>7.18</v>
      </c>
      <c r="AS311" s="2">
        <v>0</v>
      </c>
      <c r="AT311" s="2">
        <v>100.8</v>
      </c>
      <c r="AU311" s="2">
        <v>55.25</v>
      </c>
      <c r="AV311" s="2">
        <v>1</v>
      </c>
      <c r="AW311" s="2">
        <v>1</v>
      </c>
      <c r="AX311" s="2"/>
      <c r="AY311" s="2"/>
      <c r="AZ311" s="2">
        <v>1</v>
      </c>
      <c r="BA311" s="2">
        <v>1</v>
      </c>
      <c r="BB311" s="2">
        <v>1</v>
      </c>
      <c r="BC311" s="2">
        <v>1</v>
      </c>
      <c r="BD311" s="2" t="s">
        <v>3</v>
      </c>
      <c r="BE311" s="2" t="s">
        <v>3</v>
      </c>
      <c r="BF311" s="2" t="s">
        <v>3</v>
      </c>
      <c r="BG311" s="2" t="s">
        <v>3</v>
      </c>
      <c r="BH311" s="2">
        <v>0</v>
      </c>
      <c r="BI311" s="2">
        <v>1</v>
      </c>
      <c r="BJ311" s="2" t="s">
        <v>297</v>
      </c>
      <c r="BK311" s="2"/>
      <c r="BL311" s="2"/>
      <c r="BM311" s="2">
        <v>11001</v>
      </c>
      <c r="BN311" s="2">
        <v>0</v>
      </c>
      <c r="BO311" s="2" t="s">
        <v>3</v>
      </c>
      <c r="BP311" s="2">
        <v>0</v>
      </c>
      <c r="BQ311" s="2">
        <v>2</v>
      </c>
      <c r="BR311" s="2">
        <v>0</v>
      </c>
      <c r="BS311" s="2">
        <v>1</v>
      </c>
      <c r="BT311" s="2">
        <v>1</v>
      </c>
      <c r="BU311" s="2">
        <v>1</v>
      </c>
      <c r="BV311" s="2">
        <v>1</v>
      </c>
      <c r="BW311" s="2">
        <v>1</v>
      </c>
      <c r="BX311" s="2">
        <v>1</v>
      </c>
      <c r="BY311" s="2" t="s">
        <v>3</v>
      </c>
      <c r="BZ311" s="2">
        <v>112</v>
      </c>
      <c r="CA311" s="2">
        <v>65</v>
      </c>
      <c r="CB311" s="2" t="s">
        <v>3</v>
      </c>
      <c r="CC311" s="2"/>
      <c r="CD311" s="2"/>
      <c r="CE311" s="2">
        <v>0</v>
      </c>
      <c r="CF311" s="2">
        <v>0</v>
      </c>
      <c r="CG311" s="2">
        <v>0</v>
      </c>
      <c r="CH311" s="2"/>
      <c r="CI311" s="2"/>
      <c r="CJ311" s="2"/>
      <c r="CK311" s="2"/>
      <c r="CL311" s="2"/>
      <c r="CM311" s="2">
        <v>0</v>
      </c>
      <c r="CN311" s="7" t="s">
        <v>681</v>
      </c>
      <c r="CO311" s="2">
        <v>0</v>
      </c>
      <c r="CP311" s="2">
        <f t="shared" si="188"/>
        <v>9913.7200000000012</v>
      </c>
      <c r="CQ311" s="2">
        <f>SUMIF(SmtRes!AQ216:'SmtRes'!AQ224,"=1",SmtRes!AA216:'SmtRes'!AA224)</f>
        <v>31049.77</v>
      </c>
      <c r="CR311" s="2">
        <f>SUMIF(SmtRes!AQ216:'SmtRes'!AQ224,"=1",SmtRes!AB216:'SmtRes'!AB224)</f>
        <v>982.11</v>
      </c>
      <c r="CS311" s="2">
        <f>SUMIF(SmtRes!AQ216:'SmtRes'!AQ224,"=1",SmtRes!AC216:'SmtRes'!AC224)</f>
        <v>2111.4</v>
      </c>
      <c r="CT311" s="2">
        <f>SUMIF(SmtRes!AQ216:'SmtRes'!AQ224,"=1",SmtRes!AD216:'SmtRes'!AD224)</f>
        <v>621.96</v>
      </c>
      <c r="CU311" s="2">
        <f t="shared" si="189"/>
        <v>0</v>
      </c>
      <c r="CV311" s="2">
        <f>SUMIF(SmtRes!AQ216:'SmtRes'!AQ224,"=1",SmtRes!BU216:'SmtRes'!BU224)</f>
        <v>36.558499999999995</v>
      </c>
      <c r="CW311" s="2">
        <f>SUMIF(SmtRes!AQ216:'SmtRes'!AQ224,"=1",SmtRes!BV216:'SmtRes'!BV224)</f>
        <v>8.9749999999999996</v>
      </c>
      <c r="CX311" s="2">
        <f t="shared" si="190"/>
        <v>0</v>
      </c>
      <c r="CY311" s="2">
        <f t="shared" si="191"/>
        <v>8856.1065600000002</v>
      </c>
      <c r="CZ311" s="2">
        <f t="shared" si="192"/>
        <v>4854.1655499999997</v>
      </c>
      <c r="DA311" s="2"/>
      <c r="DB311" s="2">
        <v>5</v>
      </c>
      <c r="DC311" s="2" t="s">
        <v>3</v>
      </c>
      <c r="DD311" s="2" t="s">
        <v>3</v>
      </c>
      <c r="DE311" s="2" t="s">
        <v>242</v>
      </c>
      <c r="DF311" s="2" t="s">
        <v>242</v>
      </c>
      <c r="DG311" s="2" t="s">
        <v>243</v>
      </c>
      <c r="DH311" s="2" t="s">
        <v>3</v>
      </c>
      <c r="DI311" s="2" t="s">
        <v>243</v>
      </c>
      <c r="DJ311" s="2" t="s">
        <v>242</v>
      </c>
      <c r="DK311" s="2" t="s">
        <v>3</v>
      </c>
      <c r="DL311" s="2" t="s">
        <v>244</v>
      </c>
      <c r="DM311" s="2" t="s">
        <v>245</v>
      </c>
      <c r="DN311" s="2">
        <v>0</v>
      </c>
      <c r="DO311" s="2">
        <v>0</v>
      </c>
      <c r="DP311" s="2">
        <v>1</v>
      </c>
      <c r="DQ311" s="2">
        <v>1</v>
      </c>
      <c r="DR311" s="2"/>
      <c r="DS311" s="2"/>
      <c r="DT311" s="2"/>
      <c r="DU311" s="2">
        <v>1005</v>
      </c>
      <c r="DV311" s="2" t="s">
        <v>20</v>
      </c>
      <c r="DW311" s="2" t="s">
        <v>20</v>
      </c>
      <c r="DX311" s="2">
        <v>100</v>
      </c>
      <c r="DY311" s="2"/>
      <c r="DZ311" s="2" t="s">
        <v>3</v>
      </c>
      <c r="EA311" s="2" t="s">
        <v>3</v>
      </c>
      <c r="EB311" s="2" t="s">
        <v>3</v>
      </c>
      <c r="EC311" s="2" t="s">
        <v>3</v>
      </c>
      <c r="ED311" s="2"/>
      <c r="EE311" s="2">
        <v>89976994</v>
      </c>
      <c r="EF311" s="2">
        <v>2</v>
      </c>
      <c r="EG311" s="2" t="s">
        <v>44</v>
      </c>
      <c r="EH311" s="2">
        <v>11</v>
      </c>
      <c r="EI311" s="2" t="s">
        <v>23</v>
      </c>
      <c r="EJ311" s="2">
        <v>1</v>
      </c>
      <c r="EK311" s="2">
        <v>11001</v>
      </c>
      <c r="EL311" s="2" t="s">
        <v>23</v>
      </c>
      <c r="EM311" s="2" t="s">
        <v>74</v>
      </c>
      <c r="EN311" s="2"/>
      <c r="EO311" s="2" t="s">
        <v>246</v>
      </c>
      <c r="EP311" s="2"/>
      <c r="EQ311" s="2">
        <v>0</v>
      </c>
      <c r="ER311" s="2">
        <v>0</v>
      </c>
      <c r="ES311" s="2">
        <v>0</v>
      </c>
      <c r="ET311" s="2">
        <v>0</v>
      </c>
      <c r="EU311" s="2">
        <v>0</v>
      </c>
      <c r="EV311" s="2">
        <v>0</v>
      </c>
      <c r="EW311" s="2">
        <v>31.79</v>
      </c>
      <c r="EX311" s="2">
        <v>7.18</v>
      </c>
      <c r="EY311" s="2">
        <v>0</v>
      </c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>
        <v>0</v>
      </c>
      <c r="FR311" s="2">
        <v>0</v>
      </c>
      <c r="FS311" s="2">
        <v>0</v>
      </c>
      <c r="FT311" s="2"/>
      <c r="FU311" s="2"/>
      <c r="FV311" s="2"/>
      <c r="FW311" s="2"/>
      <c r="FX311" s="2">
        <v>100.8</v>
      </c>
      <c r="FY311" s="2">
        <v>55.25</v>
      </c>
      <c r="FZ311" s="2"/>
      <c r="GA311" s="2" t="s">
        <v>3</v>
      </c>
      <c r="GB311" s="2"/>
      <c r="GC311" s="2"/>
      <c r="GD311" s="2">
        <v>1</v>
      </c>
      <c r="GE311" s="2"/>
      <c r="GF311" s="2">
        <v>-14962153</v>
      </c>
      <c r="GG311" s="2">
        <v>2</v>
      </c>
      <c r="GH311" s="2">
        <v>1</v>
      </c>
      <c r="GI311" s="2">
        <v>-2</v>
      </c>
      <c r="GJ311" s="2">
        <v>0</v>
      </c>
      <c r="GK311" s="2">
        <v>0</v>
      </c>
      <c r="GL311" s="2">
        <f t="shared" si="193"/>
        <v>0</v>
      </c>
      <c r="GM311" s="2">
        <f t="shared" si="194"/>
        <v>23624</v>
      </c>
      <c r="GN311" s="2">
        <f t="shared" si="195"/>
        <v>23624</v>
      </c>
      <c r="GO311" s="2">
        <f t="shared" si="196"/>
        <v>0</v>
      </c>
      <c r="GP311" s="2">
        <f t="shared" si="197"/>
        <v>0</v>
      </c>
      <c r="GQ311" s="2"/>
      <c r="GR311" s="2">
        <v>0</v>
      </c>
      <c r="GS311" s="2">
        <v>3</v>
      </c>
      <c r="GT311" s="2">
        <v>0</v>
      </c>
      <c r="GU311" s="2" t="s">
        <v>3</v>
      </c>
      <c r="GV311" s="2">
        <f t="shared" si="198"/>
        <v>0</v>
      </c>
      <c r="GW311" s="2">
        <v>1</v>
      </c>
      <c r="GX311" s="2">
        <f t="shared" si="199"/>
        <v>0</v>
      </c>
      <c r="GY311" s="2"/>
      <c r="GZ311" s="2"/>
      <c r="HA311" s="2">
        <v>0</v>
      </c>
      <c r="HB311" s="2">
        <v>0</v>
      </c>
      <c r="HC311" s="2">
        <f t="shared" si="200"/>
        <v>0</v>
      </c>
      <c r="HD311" s="2"/>
      <c r="HE311" s="2" t="s">
        <v>3</v>
      </c>
      <c r="HF311" s="2" t="s">
        <v>3</v>
      </c>
      <c r="HG311" s="2"/>
      <c r="HH311" s="2"/>
      <c r="HI311" s="2"/>
      <c r="HJ311" s="2"/>
      <c r="HK311" s="2"/>
      <c r="HL311" s="2"/>
      <c r="HM311" s="2" t="s">
        <v>3</v>
      </c>
      <c r="HN311" s="2" t="s">
        <v>75</v>
      </c>
      <c r="HO311" s="2" t="s">
        <v>76</v>
      </c>
      <c r="HP311" s="2" t="s">
        <v>23</v>
      </c>
      <c r="HQ311" s="2" t="s">
        <v>23</v>
      </c>
      <c r="HR311" s="2"/>
      <c r="HS311" s="2">
        <v>0</v>
      </c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>
        <v>0</v>
      </c>
      <c r="IL311" s="2"/>
      <c r="IM311" s="2"/>
      <c r="IN311" s="2"/>
      <c r="IO311" s="2"/>
      <c r="IP311" s="2"/>
      <c r="IQ311" s="2"/>
      <c r="IR311" s="2"/>
      <c r="IS311" s="2"/>
      <c r="IT311" s="2"/>
      <c r="IU311" s="2"/>
    </row>
    <row r="312" spans="1:255" x14ac:dyDescent="0.2">
      <c r="A312" s="2">
        <v>18</v>
      </c>
      <c r="B312" s="2">
        <v>1</v>
      </c>
      <c r="C312" s="2">
        <v>223</v>
      </c>
      <c r="D312" s="2"/>
      <c r="E312" s="2" t="s">
        <v>298</v>
      </c>
      <c r="F312" s="2" t="s">
        <v>299</v>
      </c>
      <c r="G312" s="2" t="s">
        <v>300</v>
      </c>
      <c r="H312" s="2" t="s">
        <v>34</v>
      </c>
      <c r="I312" s="2">
        <f>I311*J312</f>
        <v>0.33480000000000004</v>
      </c>
      <c r="J312" s="2">
        <v>1.1160000000000001</v>
      </c>
      <c r="K312" s="2">
        <v>1.1160000000000001</v>
      </c>
      <c r="L312" s="2"/>
      <c r="M312" s="2"/>
      <c r="N312" s="2"/>
      <c r="O312" s="2">
        <f t="shared" si="180"/>
        <v>10986.58</v>
      </c>
      <c r="P312" s="2">
        <f>ROUND(CQ312*I312,2)</f>
        <v>10986.58</v>
      </c>
      <c r="Q312" s="2">
        <f>ROUND(CR312*I312,2)</f>
        <v>0</v>
      </c>
      <c r="R312" s="2">
        <f>ROUND(CS312*I312,2)</f>
        <v>0</v>
      </c>
      <c r="S312" s="2">
        <f>ROUND(CT312*I312,2)</f>
        <v>0</v>
      </c>
      <c r="T312" s="2">
        <f t="shared" si="181"/>
        <v>0</v>
      </c>
      <c r="U312" s="2">
        <f>ROUND(CV312*I312,7)</f>
        <v>0</v>
      </c>
      <c r="V312" s="2">
        <f>ROUND(CW312*I312,7)</f>
        <v>0</v>
      </c>
      <c r="W312" s="2">
        <f t="shared" si="182"/>
        <v>0</v>
      </c>
      <c r="X312" s="2">
        <f t="shared" si="183"/>
        <v>0</v>
      </c>
      <c r="Y312" s="2">
        <f t="shared" si="184"/>
        <v>0</v>
      </c>
      <c r="Z312" s="2"/>
      <c r="AA312" s="2">
        <v>94104265</v>
      </c>
      <c r="AB312" s="2">
        <f t="shared" si="185"/>
        <v>32815.35</v>
      </c>
      <c r="AC312" s="2">
        <f>ROUND((ES312),6)</f>
        <v>32815.35</v>
      </c>
      <c r="AD312" s="2">
        <f>ROUND((((ET312)-(EU312))+AE312),6)</f>
        <v>0</v>
      </c>
      <c r="AE312" s="2">
        <f>ROUND((EU312),6)</f>
        <v>0</v>
      </c>
      <c r="AF312" s="2">
        <f>ROUND((EV312),6)</f>
        <v>0</v>
      </c>
      <c r="AG312" s="2">
        <f t="shared" si="186"/>
        <v>0</v>
      </c>
      <c r="AH312" s="2">
        <f>(EW312)</f>
        <v>0</v>
      </c>
      <c r="AI312" s="2">
        <f>(EX312)</f>
        <v>0</v>
      </c>
      <c r="AJ312" s="2">
        <f t="shared" si="187"/>
        <v>0</v>
      </c>
      <c r="AK312" s="2">
        <v>32815.35</v>
      </c>
      <c r="AL312" s="2">
        <v>32815.35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112</v>
      </c>
      <c r="AU312" s="2">
        <v>65</v>
      </c>
      <c r="AV312" s="2">
        <v>1</v>
      </c>
      <c r="AW312" s="2">
        <v>1</v>
      </c>
      <c r="AX312" s="2"/>
      <c r="AY312" s="2"/>
      <c r="AZ312" s="2">
        <v>1</v>
      </c>
      <c r="BA312" s="2">
        <v>1</v>
      </c>
      <c r="BB312" s="2">
        <v>1</v>
      </c>
      <c r="BC312" s="2">
        <v>1</v>
      </c>
      <c r="BD312" s="2" t="s">
        <v>3</v>
      </c>
      <c r="BE312" s="2" t="s">
        <v>3</v>
      </c>
      <c r="BF312" s="2" t="s">
        <v>3</v>
      </c>
      <c r="BG312" s="2" t="s">
        <v>3</v>
      </c>
      <c r="BH312" s="2">
        <v>3</v>
      </c>
      <c r="BI312" s="2">
        <v>1</v>
      </c>
      <c r="BJ312" s="2" t="s">
        <v>301</v>
      </c>
      <c r="BK312" s="2"/>
      <c r="BL312" s="2"/>
      <c r="BM312" s="2">
        <v>11001</v>
      </c>
      <c r="BN312" s="2">
        <v>0</v>
      </c>
      <c r="BO312" s="2" t="s">
        <v>3</v>
      </c>
      <c r="BP312" s="2">
        <v>0</v>
      </c>
      <c r="BQ312" s="2">
        <v>2</v>
      </c>
      <c r="BR312" s="2">
        <v>0</v>
      </c>
      <c r="BS312" s="2">
        <v>1</v>
      </c>
      <c r="BT312" s="2">
        <v>1</v>
      </c>
      <c r="BU312" s="2">
        <v>1</v>
      </c>
      <c r="BV312" s="2">
        <v>1</v>
      </c>
      <c r="BW312" s="2">
        <v>1</v>
      </c>
      <c r="BX312" s="2">
        <v>1</v>
      </c>
      <c r="BY312" s="2" t="s">
        <v>3</v>
      </c>
      <c r="BZ312" s="2">
        <v>112</v>
      </c>
      <c r="CA312" s="2">
        <v>65</v>
      </c>
      <c r="CB312" s="2" t="s">
        <v>3</v>
      </c>
      <c r="CC312" s="2"/>
      <c r="CD312" s="2"/>
      <c r="CE312" s="2">
        <v>0</v>
      </c>
      <c r="CF312" s="2">
        <v>0</v>
      </c>
      <c r="CG312" s="2">
        <v>0</v>
      </c>
      <c r="CH312" s="2"/>
      <c r="CI312" s="2"/>
      <c r="CJ312" s="2"/>
      <c r="CK312" s="2"/>
      <c r="CL312" s="2"/>
      <c r="CM312" s="2">
        <v>0</v>
      </c>
      <c r="CN312" s="2" t="s">
        <v>3</v>
      </c>
      <c r="CO312" s="2">
        <v>0</v>
      </c>
      <c r="CP312" s="2">
        <f t="shared" si="188"/>
        <v>10986.58</v>
      </c>
      <c r="CQ312" s="2">
        <f>ROUND(AL312*BC312,2)</f>
        <v>32815.35</v>
      </c>
      <c r="CR312" s="2">
        <f>ROUND(AM312*BB312,2)</f>
        <v>0</v>
      </c>
      <c r="CS312" s="2">
        <f>ROUND(AN312*BS312,2)</f>
        <v>0</v>
      </c>
      <c r="CT312" s="2">
        <f>ROUND(AO312*BA312,2)</f>
        <v>0</v>
      </c>
      <c r="CU312" s="2">
        <f t="shared" si="189"/>
        <v>0</v>
      </c>
      <c r="CV312" s="2">
        <f>AH312</f>
        <v>0</v>
      </c>
      <c r="CW312" s="2">
        <f>AI312</f>
        <v>0</v>
      </c>
      <c r="CX312" s="2">
        <f t="shared" si="190"/>
        <v>0</v>
      </c>
      <c r="CY312" s="2">
        <f t="shared" si="191"/>
        <v>0</v>
      </c>
      <c r="CZ312" s="2">
        <f t="shared" si="192"/>
        <v>0</v>
      </c>
      <c r="DA312" s="2"/>
      <c r="DB312" s="2"/>
      <c r="DC312" s="2" t="s">
        <v>3</v>
      </c>
      <c r="DD312" s="2" t="s">
        <v>3</v>
      </c>
      <c r="DE312" s="2" t="s">
        <v>3</v>
      </c>
      <c r="DF312" s="2" t="s">
        <v>3</v>
      </c>
      <c r="DG312" s="2" t="s">
        <v>3</v>
      </c>
      <c r="DH312" s="2" t="s">
        <v>3</v>
      </c>
      <c r="DI312" s="2" t="s">
        <v>3</v>
      </c>
      <c r="DJ312" s="2" t="s">
        <v>3</v>
      </c>
      <c r="DK312" s="2" t="s">
        <v>3</v>
      </c>
      <c r="DL312" s="2" t="s">
        <v>3</v>
      </c>
      <c r="DM312" s="2" t="s">
        <v>3</v>
      </c>
      <c r="DN312" s="2">
        <v>0</v>
      </c>
      <c r="DO312" s="2">
        <v>0</v>
      </c>
      <c r="DP312" s="2">
        <v>1</v>
      </c>
      <c r="DQ312" s="2">
        <v>1</v>
      </c>
      <c r="DR312" s="2"/>
      <c r="DS312" s="2"/>
      <c r="DT312" s="2"/>
      <c r="DU312" s="2">
        <v>1007</v>
      </c>
      <c r="DV312" s="2" t="s">
        <v>34</v>
      </c>
      <c r="DW312" s="2" t="s">
        <v>34</v>
      </c>
      <c r="DX312" s="2">
        <v>1</v>
      </c>
      <c r="DY312" s="2"/>
      <c r="DZ312" s="2" t="s">
        <v>3</v>
      </c>
      <c r="EA312" s="2" t="s">
        <v>3</v>
      </c>
      <c r="EB312" s="2" t="s">
        <v>3</v>
      </c>
      <c r="EC312" s="2" t="s">
        <v>3</v>
      </c>
      <c r="ED312" s="2"/>
      <c r="EE312" s="2">
        <v>89976994</v>
      </c>
      <c r="EF312" s="2">
        <v>2</v>
      </c>
      <c r="EG312" s="2" t="s">
        <v>44</v>
      </c>
      <c r="EH312" s="2">
        <v>11</v>
      </c>
      <c r="EI312" s="2" t="s">
        <v>23</v>
      </c>
      <c r="EJ312" s="2">
        <v>1</v>
      </c>
      <c r="EK312" s="2">
        <v>11001</v>
      </c>
      <c r="EL312" s="2" t="s">
        <v>23</v>
      </c>
      <c r="EM312" s="2" t="s">
        <v>74</v>
      </c>
      <c r="EN312" s="2"/>
      <c r="EO312" s="2" t="s">
        <v>3</v>
      </c>
      <c r="EP312" s="2"/>
      <c r="EQ312" s="2">
        <v>0</v>
      </c>
      <c r="ER312" s="2">
        <v>32815.35</v>
      </c>
      <c r="ES312" s="2">
        <v>32815.35</v>
      </c>
      <c r="ET312" s="2">
        <v>0</v>
      </c>
      <c r="EU312" s="2">
        <v>0</v>
      </c>
      <c r="EV312" s="2">
        <v>0</v>
      </c>
      <c r="EW312" s="2">
        <v>0</v>
      </c>
      <c r="EX312" s="2">
        <v>0</v>
      </c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>
        <v>0</v>
      </c>
      <c r="FR312" s="2">
        <v>0</v>
      </c>
      <c r="FS312" s="2">
        <v>0</v>
      </c>
      <c r="FT312" s="2"/>
      <c r="FU312" s="2"/>
      <c r="FV312" s="2"/>
      <c r="FW312" s="2"/>
      <c r="FX312" s="2">
        <v>112</v>
      </c>
      <c r="FY312" s="2">
        <v>65</v>
      </c>
      <c r="FZ312" s="2"/>
      <c r="GA312" s="2" t="s">
        <v>3</v>
      </c>
      <c r="GB312" s="2"/>
      <c r="GC312" s="2"/>
      <c r="GD312" s="2">
        <v>1</v>
      </c>
      <c r="GE312" s="2">
        <v>52675.86</v>
      </c>
      <c r="GF312" s="2">
        <v>1778385901</v>
      </c>
      <c r="GG312" s="2">
        <v>2</v>
      </c>
      <c r="GH312" s="2">
        <v>1</v>
      </c>
      <c r="GI312" s="2">
        <v>-2</v>
      </c>
      <c r="GJ312" s="2">
        <v>0</v>
      </c>
      <c r="GK312" s="2">
        <v>0</v>
      </c>
      <c r="GL312" s="2">
        <f t="shared" si="193"/>
        <v>0</v>
      </c>
      <c r="GM312" s="2">
        <f t="shared" si="194"/>
        <v>10986.58</v>
      </c>
      <c r="GN312" s="2">
        <f t="shared" si="195"/>
        <v>10986.58</v>
      </c>
      <c r="GO312" s="2">
        <f t="shared" si="196"/>
        <v>0</v>
      </c>
      <c r="GP312" s="2">
        <f t="shared" si="197"/>
        <v>0</v>
      </c>
      <c r="GQ312" s="2"/>
      <c r="GR312" s="2">
        <v>3</v>
      </c>
      <c r="GS312" s="2">
        <v>3</v>
      </c>
      <c r="GT312" s="2">
        <v>0</v>
      </c>
      <c r="GU312" s="2" t="s">
        <v>3</v>
      </c>
      <c r="GV312" s="2">
        <f t="shared" si="198"/>
        <v>0</v>
      </c>
      <c r="GW312" s="2">
        <v>1</v>
      </c>
      <c r="GX312" s="2">
        <f t="shared" si="199"/>
        <v>0</v>
      </c>
      <c r="GY312" s="2"/>
      <c r="GZ312" s="2"/>
      <c r="HA312" s="2">
        <v>0</v>
      </c>
      <c r="HB312" s="2">
        <v>0</v>
      </c>
      <c r="HC312" s="2">
        <f t="shared" si="200"/>
        <v>0</v>
      </c>
      <c r="HD312" s="2"/>
      <c r="HE312" s="2" t="s">
        <v>3</v>
      </c>
      <c r="HF312" s="2" t="s">
        <v>3</v>
      </c>
      <c r="HG312" s="2"/>
      <c r="HH312" s="2"/>
      <c r="HI312" s="2"/>
      <c r="HJ312" s="2"/>
      <c r="HK312" s="2"/>
      <c r="HL312" s="2"/>
      <c r="HM312" s="2" t="s">
        <v>3</v>
      </c>
      <c r="HN312" s="2" t="s">
        <v>75</v>
      </c>
      <c r="HO312" s="2" t="s">
        <v>76</v>
      </c>
      <c r="HP312" s="2" t="s">
        <v>23</v>
      </c>
      <c r="HQ312" s="2" t="s">
        <v>23</v>
      </c>
      <c r="HR312" s="2"/>
      <c r="HS312" s="2">
        <v>0</v>
      </c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>
        <v>0</v>
      </c>
      <c r="IL312" s="2"/>
      <c r="IM312" s="2"/>
      <c r="IN312" s="2"/>
      <c r="IO312" s="2"/>
      <c r="IP312" s="2"/>
      <c r="IQ312" s="2"/>
      <c r="IR312" s="2"/>
      <c r="IS312" s="2"/>
      <c r="IT312" s="2"/>
      <c r="IU312" s="2"/>
    </row>
    <row r="313" spans="1:255" ht="409.5" x14ac:dyDescent="0.2">
      <c r="A313" s="2">
        <v>17</v>
      </c>
      <c r="B313" s="2">
        <v>1</v>
      </c>
      <c r="C313" s="2">
        <f>ROW(SmtRes!A230)</f>
        <v>230</v>
      </c>
      <c r="D313" s="2">
        <f>ROW(EtalonRes!A229)</f>
        <v>229</v>
      </c>
      <c r="E313" s="2" t="s">
        <v>302</v>
      </c>
      <c r="F313" s="2" t="s">
        <v>303</v>
      </c>
      <c r="G313" s="2" t="s">
        <v>304</v>
      </c>
      <c r="H313" s="2" t="s">
        <v>20</v>
      </c>
      <c r="I313" s="2">
        <f>ROUND(30/100,7)</f>
        <v>0.3</v>
      </c>
      <c r="J313" s="2">
        <v>0</v>
      </c>
      <c r="K313" s="2">
        <f>ROUND(30/100,7)</f>
        <v>0.3</v>
      </c>
      <c r="L313" s="2"/>
      <c r="M313" s="2"/>
      <c r="N313" s="2"/>
      <c r="O313" s="2">
        <f t="shared" si="180"/>
        <v>5594.91</v>
      </c>
      <c r="P313" s="2">
        <f>SUMIF(SmtRes!AQ225:'SmtRes'!AQ230,"=1",SmtRes!DF225:'SmtRes'!DF230)</f>
        <v>496.14</v>
      </c>
      <c r="Q313" s="2">
        <f>SUMIF(SmtRes!AQ225:'SmtRes'!AQ230,"=1",SmtRes!DG225:'SmtRes'!DG230)</f>
        <v>20.43</v>
      </c>
      <c r="R313" s="2">
        <f>SUMIF(SmtRes!AQ225:'SmtRes'!AQ230,"=1",SmtRes!DH225:'SmtRes'!DH230)</f>
        <v>27.42</v>
      </c>
      <c r="S313" s="2">
        <f>SUMIF(SmtRes!AQ225:'SmtRes'!AQ230,"=1",SmtRes!DI225:'SmtRes'!DI230)</f>
        <v>5050.92</v>
      </c>
      <c r="T313" s="2">
        <f t="shared" si="181"/>
        <v>0</v>
      </c>
      <c r="U313" s="2">
        <f>SUMIF(SmtRes!AQ225:'SmtRes'!AQ230,"=1",SmtRes!CV225:'SmtRes'!CV230)</f>
        <v>7.7797499999999999</v>
      </c>
      <c r="V313" s="2">
        <f>SUMIF(SmtRes!AQ225:'SmtRes'!AQ230,"=1",SmtRes!CW225:'SmtRes'!CW230)</f>
        <v>3.7499999999999999E-2</v>
      </c>
      <c r="W313" s="2">
        <f t="shared" si="182"/>
        <v>0</v>
      </c>
      <c r="X313" s="2">
        <f t="shared" si="183"/>
        <v>5118.97</v>
      </c>
      <c r="Y313" s="2">
        <f t="shared" si="184"/>
        <v>2805.78</v>
      </c>
      <c r="Z313" s="2"/>
      <c r="AA313" s="2">
        <v>94104265</v>
      </c>
      <c r="AB313" s="2">
        <f t="shared" si="185"/>
        <v>18046.331819999999</v>
      </c>
      <c r="AC313" s="2">
        <f>ROUND((SUM(SmtRes!BQ225:'SmtRes'!BQ230)),6)</f>
        <v>1141.80052</v>
      </c>
      <c r="AD313" s="2">
        <f>ROUND((((SUM(SmtRes!BR225:'SmtRes'!BR230))-(SUM(SmtRes!BS225:'SmtRes'!BS230)))+AE313),6)</f>
        <v>68.114999999999995</v>
      </c>
      <c r="AE313" s="2">
        <f>ROUND((SUM(SmtRes!BS225:'SmtRes'!BS230)),6)</f>
        <v>91.385000000000005</v>
      </c>
      <c r="AF313" s="2">
        <f>ROUND((SUM(SmtRes!BT225:'SmtRes'!BT230)),6)</f>
        <v>16836.416300000001</v>
      </c>
      <c r="AG313" s="2">
        <f t="shared" si="186"/>
        <v>0</v>
      </c>
      <c r="AH313" s="2">
        <f>(SUM(SmtRes!BU225:'SmtRes'!BU230))</f>
        <v>25.932499999999997</v>
      </c>
      <c r="AI313" s="2">
        <f>(SUM(SmtRes!BV225:'SmtRes'!BV230))</f>
        <v>0.125</v>
      </c>
      <c r="AJ313" s="2">
        <f t="shared" si="187"/>
        <v>0</v>
      </c>
      <c r="AK313" s="2">
        <v>15909.76252</v>
      </c>
      <c r="AL313" s="2">
        <v>1141.80052</v>
      </c>
      <c r="AM313" s="2">
        <v>54.491999999999997</v>
      </c>
      <c r="AN313" s="2">
        <v>73.108000000000004</v>
      </c>
      <c r="AO313" s="2">
        <v>14640.362000000001</v>
      </c>
      <c r="AP313" s="2">
        <v>0</v>
      </c>
      <c r="AQ313" s="2">
        <v>22.55</v>
      </c>
      <c r="AR313" s="2">
        <v>0.1</v>
      </c>
      <c r="AS313" s="2">
        <v>0</v>
      </c>
      <c r="AT313" s="2">
        <v>100.8</v>
      </c>
      <c r="AU313" s="2">
        <v>55.25</v>
      </c>
      <c r="AV313" s="2">
        <v>1</v>
      </c>
      <c r="AW313" s="2">
        <v>1</v>
      </c>
      <c r="AX313" s="2"/>
      <c r="AY313" s="2"/>
      <c r="AZ313" s="2">
        <v>1</v>
      </c>
      <c r="BA313" s="2">
        <v>1</v>
      </c>
      <c r="BB313" s="2">
        <v>1</v>
      </c>
      <c r="BC313" s="2">
        <v>1</v>
      </c>
      <c r="BD313" s="2" t="s">
        <v>3</v>
      </c>
      <c r="BE313" s="2" t="s">
        <v>3</v>
      </c>
      <c r="BF313" s="2" t="s">
        <v>3</v>
      </c>
      <c r="BG313" s="2" t="s">
        <v>3</v>
      </c>
      <c r="BH313" s="2">
        <v>0</v>
      </c>
      <c r="BI313" s="2">
        <v>1</v>
      </c>
      <c r="BJ313" s="2" t="s">
        <v>305</v>
      </c>
      <c r="BK313" s="2"/>
      <c r="BL313" s="2"/>
      <c r="BM313" s="2">
        <v>11001</v>
      </c>
      <c r="BN313" s="2">
        <v>0</v>
      </c>
      <c r="BO313" s="2" t="s">
        <v>3</v>
      </c>
      <c r="BP313" s="2">
        <v>0</v>
      </c>
      <c r="BQ313" s="2">
        <v>2</v>
      </c>
      <c r="BR313" s="2">
        <v>0</v>
      </c>
      <c r="BS313" s="2">
        <v>1</v>
      </c>
      <c r="BT313" s="2">
        <v>1</v>
      </c>
      <c r="BU313" s="2">
        <v>1</v>
      </c>
      <c r="BV313" s="2">
        <v>1</v>
      </c>
      <c r="BW313" s="2">
        <v>1</v>
      </c>
      <c r="BX313" s="2">
        <v>1</v>
      </c>
      <c r="BY313" s="2" t="s">
        <v>3</v>
      </c>
      <c r="BZ313" s="2">
        <v>112</v>
      </c>
      <c r="CA313" s="2">
        <v>65</v>
      </c>
      <c r="CB313" s="2" t="s">
        <v>3</v>
      </c>
      <c r="CC313" s="2"/>
      <c r="CD313" s="2"/>
      <c r="CE313" s="2">
        <v>0</v>
      </c>
      <c r="CF313" s="2">
        <v>0</v>
      </c>
      <c r="CG313" s="2">
        <v>0</v>
      </c>
      <c r="CH313" s="2"/>
      <c r="CI313" s="2"/>
      <c r="CJ313" s="2"/>
      <c r="CK313" s="2"/>
      <c r="CL313" s="2"/>
      <c r="CM313" s="2">
        <v>0</v>
      </c>
      <c r="CN313" s="7" t="s">
        <v>681</v>
      </c>
      <c r="CO313" s="2">
        <v>0</v>
      </c>
      <c r="CP313" s="2">
        <f t="shared" si="188"/>
        <v>5594.91</v>
      </c>
      <c r="CQ313" s="2">
        <f>SUMIF(SmtRes!AQ225:'SmtRes'!AQ230,"=1",SmtRes!AA225:'SmtRes'!AA230)</f>
        <v>164.04</v>
      </c>
      <c r="CR313" s="2">
        <f>SUMIF(SmtRes!AQ225:'SmtRes'!AQ230,"=1",SmtRes!AB225:'SmtRes'!AB230)</f>
        <v>544.91999999999996</v>
      </c>
      <c r="CS313" s="2">
        <f>SUMIF(SmtRes!AQ225:'SmtRes'!AQ230,"=1",SmtRes!AC225:'SmtRes'!AC230)</f>
        <v>731.08</v>
      </c>
      <c r="CT313" s="2">
        <f>SUMIF(SmtRes!AQ225:'SmtRes'!AQ230,"=1",SmtRes!AD225:'SmtRes'!AD230)</f>
        <v>649.24</v>
      </c>
      <c r="CU313" s="2">
        <f t="shared" si="189"/>
        <v>0</v>
      </c>
      <c r="CV313" s="2">
        <f>SUMIF(SmtRes!AQ225:'SmtRes'!AQ230,"=1",SmtRes!BU225:'SmtRes'!BU230)</f>
        <v>25.932499999999997</v>
      </c>
      <c r="CW313" s="2">
        <f>SUMIF(SmtRes!AQ225:'SmtRes'!AQ230,"=1",SmtRes!BV225:'SmtRes'!BV230)</f>
        <v>0.125</v>
      </c>
      <c r="CX313" s="2">
        <f t="shared" si="190"/>
        <v>0</v>
      </c>
      <c r="CY313" s="2">
        <f t="shared" si="191"/>
        <v>5118.9667200000004</v>
      </c>
      <c r="CZ313" s="2">
        <f t="shared" si="192"/>
        <v>2805.7828500000005</v>
      </c>
      <c r="DA313" s="2"/>
      <c r="DB313" s="2">
        <v>6</v>
      </c>
      <c r="DC313" s="2" t="s">
        <v>3</v>
      </c>
      <c r="DD313" s="2" t="s">
        <v>3</v>
      </c>
      <c r="DE313" s="2" t="s">
        <v>242</v>
      </c>
      <c r="DF313" s="2" t="s">
        <v>242</v>
      </c>
      <c r="DG313" s="2" t="s">
        <v>243</v>
      </c>
      <c r="DH313" s="2" t="s">
        <v>3</v>
      </c>
      <c r="DI313" s="2" t="s">
        <v>243</v>
      </c>
      <c r="DJ313" s="2" t="s">
        <v>242</v>
      </c>
      <c r="DK313" s="2" t="s">
        <v>3</v>
      </c>
      <c r="DL313" s="2" t="s">
        <v>244</v>
      </c>
      <c r="DM313" s="2" t="s">
        <v>245</v>
      </c>
      <c r="DN313" s="2">
        <v>0</v>
      </c>
      <c r="DO313" s="2">
        <v>0</v>
      </c>
      <c r="DP313" s="2">
        <v>1</v>
      </c>
      <c r="DQ313" s="2">
        <v>1</v>
      </c>
      <c r="DR313" s="2"/>
      <c r="DS313" s="2"/>
      <c r="DT313" s="2"/>
      <c r="DU313" s="2">
        <v>1005</v>
      </c>
      <c r="DV313" s="2" t="s">
        <v>20</v>
      </c>
      <c r="DW313" s="2" t="s">
        <v>20</v>
      </c>
      <c r="DX313" s="2">
        <v>100</v>
      </c>
      <c r="DY313" s="2"/>
      <c r="DZ313" s="2" t="s">
        <v>3</v>
      </c>
      <c r="EA313" s="2" t="s">
        <v>3</v>
      </c>
      <c r="EB313" s="2" t="s">
        <v>3</v>
      </c>
      <c r="EC313" s="2" t="s">
        <v>3</v>
      </c>
      <c r="ED313" s="2"/>
      <c r="EE313" s="2">
        <v>89976994</v>
      </c>
      <c r="EF313" s="2">
        <v>2</v>
      </c>
      <c r="EG313" s="2" t="s">
        <v>44</v>
      </c>
      <c r="EH313" s="2">
        <v>11</v>
      </c>
      <c r="EI313" s="2" t="s">
        <v>23</v>
      </c>
      <c r="EJ313" s="2">
        <v>1</v>
      </c>
      <c r="EK313" s="2">
        <v>11001</v>
      </c>
      <c r="EL313" s="2" t="s">
        <v>23</v>
      </c>
      <c r="EM313" s="2" t="s">
        <v>74</v>
      </c>
      <c r="EN313" s="2"/>
      <c r="EO313" s="2" t="s">
        <v>246</v>
      </c>
      <c r="EP313" s="2"/>
      <c r="EQ313" s="2">
        <v>0</v>
      </c>
      <c r="ER313" s="2">
        <v>0</v>
      </c>
      <c r="ES313" s="2">
        <v>0</v>
      </c>
      <c r="ET313" s="2">
        <v>0</v>
      </c>
      <c r="EU313" s="2">
        <v>0</v>
      </c>
      <c r="EV313" s="2">
        <v>0</v>
      </c>
      <c r="EW313" s="2">
        <v>22.55</v>
      </c>
      <c r="EX313" s="2">
        <v>0.1</v>
      </c>
      <c r="EY313" s="2">
        <v>0</v>
      </c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>
        <v>0</v>
      </c>
      <c r="FR313" s="2">
        <v>0</v>
      </c>
      <c r="FS313" s="2">
        <v>0</v>
      </c>
      <c r="FT313" s="2"/>
      <c r="FU313" s="2"/>
      <c r="FV313" s="2"/>
      <c r="FW313" s="2"/>
      <c r="FX313" s="2">
        <v>100.8</v>
      </c>
      <c r="FY313" s="2">
        <v>55.25</v>
      </c>
      <c r="FZ313" s="2"/>
      <c r="GA313" s="2" t="s">
        <v>3</v>
      </c>
      <c r="GB313" s="2"/>
      <c r="GC313" s="2"/>
      <c r="GD313" s="2">
        <v>1</v>
      </c>
      <c r="GE313" s="2"/>
      <c r="GF313" s="2">
        <v>1224589357</v>
      </c>
      <c r="GG313" s="2">
        <v>2</v>
      </c>
      <c r="GH313" s="2">
        <v>1</v>
      </c>
      <c r="GI313" s="2">
        <v>-2</v>
      </c>
      <c r="GJ313" s="2">
        <v>0</v>
      </c>
      <c r="GK313" s="2">
        <v>0</v>
      </c>
      <c r="GL313" s="2">
        <f t="shared" si="193"/>
        <v>0</v>
      </c>
      <c r="GM313" s="2">
        <f t="shared" si="194"/>
        <v>13519.66</v>
      </c>
      <c r="GN313" s="2">
        <f t="shared" si="195"/>
        <v>13519.66</v>
      </c>
      <c r="GO313" s="2">
        <f t="shared" si="196"/>
        <v>0</v>
      </c>
      <c r="GP313" s="2">
        <f t="shared" si="197"/>
        <v>0</v>
      </c>
      <c r="GQ313" s="2"/>
      <c r="GR313" s="2">
        <v>0</v>
      </c>
      <c r="GS313" s="2">
        <v>0</v>
      </c>
      <c r="GT313" s="2">
        <v>0</v>
      </c>
      <c r="GU313" s="2" t="s">
        <v>3</v>
      </c>
      <c r="GV313" s="2">
        <f t="shared" si="198"/>
        <v>0</v>
      </c>
      <c r="GW313" s="2">
        <v>1</v>
      </c>
      <c r="GX313" s="2">
        <f t="shared" si="199"/>
        <v>0</v>
      </c>
      <c r="GY313" s="2"/>
      <c r="GZ313" s="2"/>
      <c r="HA313" s="2">
        <v>0</v>
      </c>
      <c r="HB313" s="2">
        <v>0</v>
      </c>
      <c r="HC313" s="2">
        <f t="shared" si="200"/>
        <v>0</v>
      </c>
      <c r="HD313" s="2"/>
      <c r="HE313" s="2" t="s">
        <v>3</v>
      </c>
      <c r="HF313" s="2" t="s">
        <v>3</v>
      </c>
      <c r="HG313" s="2"/>
      <c r="HH313" s="2"/>
      <c r="HI313" s="2"/>
      <c r="HJ313" s="2"/>
      <c r="HK313" s="2"/>
      <c r="HL313" s="2"/>
      <c r="HM313" s="2" t="s">
        <v>3</v>
      </c>
      <c r="HN313" s="2" t="s">
        <v>75</v>
      </c>
      <c r="HO313" s="2" t="s">
        <v>76</v>
      </c>
      <c r="HP313" s="2" t="s">
        <v>23</v>
      </c>
      <c r="HQ313" s="2" t="s">
        <v>23</v>
      </c>
      <c r="HR313" s="2"/>
      <c r="HS313" s="2">
        <v>0</v>
      </c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>
        <v>0</v>
      </c>
      <c r="IL313" s="2"/>
      <c r="IM313" s="2"/>
      <c r="IN313" s="2"/>
      <c r="IO313" s="2"/>
      <c r="IP313" s="2"/>
      <c r="IQ313" s="2"/>
      <c r="IR313" s="2"/>
      <c r="IS313" s="2"/>
      <c r="IT313" s="2"/>
      <c r="IU313" s="2"/>
    </row>
    <row r="314" spans="1:255" x14ac:dyDescent="0.2">
      <c r="A314" s="2">
        <v>18</v>
      </c>
      <c r="B314" s="2">
        <v>1</v>
      </c>
      <c r="C314" s="2">
        <v>230</v>
      </c>
      <c r="D314" s="2"/>
      <c r="E314" s="2" t="s">
        <v>306</v>
      </c>
      <c r="F314" s="2" t="s">
        <v>307</v>
      </c>
      <c r="G314" s="2" t="s">
        <v>308</v>
      </c>
      <c r="H314" s="2" t="s">
        <v>60</v>
      </c>
      <c r="I314" s="2">
        <f>I313*J314</f>
        <v>30.75</v>
      </c>
      <c r="J314" s="2">
        <v>102.5</v>
      </c>
      <c r="K314" s="2">
        <v>102.5</v>
      </c>
      <c r="L314" s="2"/>
      <c r="M314" s="2"/>
      <c r="N314" s="2"/>
      <c r="O314" s="2">
        <f t="shared" si="180"/>
        <v>67498.710000000006</v>
      </c>
      <c r="P314" s="2">
        <f>ROUND(CQ314*I314,2)</f>
        <v>67498.710000000006</v>
      </c>
      <c r="Q314" s="2">
        <f>ROUND(CR314*I314,2)</f>
        <v>0</v>
      </c>
      <c r="R314" s="2">
        <f>ROUND(CS314*I314,2)</f>
        <v>0</v>
      </c>
      <c r="S314" s="2">
        <f>ROUND(CT314*I314,2)</f>
        <v>0</v>
      </c>
      <c r="T314" s="2">
        <f t="shared" si="181"/>
        <v>0</v>
      </c>
      <c r="U314" s="2">
        <f>ROUND(CV314*I314,7)</f>
        <v>0</v>
      </c>
      <c r="V314" s="2">
        <f>ROUND(CW314*I314,7)</f>
        <v>0</v>
      </c>
      <c r="W314" s="2">
        <f t="shared" si="182"/>
        <v>0</v>
      </c>
      <c r="X314" s="2">
        <f t="shared" si="183"/>
        <v>0</v>
      </c>
      <c r="Y314" s="2">
        <f t="shared" si="184"/>
        <v>0</v>
      </c>
      <c r="Z314" s="2"/>
      <c r="AA314" s="2">
        <v>94104265</v>
      </c>
      <c r="AB314" s="2">
        <f t="shared" si="185"/>
        <v>2195.08</v>
      </c>
      <c r="AC314" s="2">
        <f>ROUND((ES314),6)</f>
        <v>2195.08</v>
      </c>
      <c r="AD314" s="2">
        <f>ROUND((ET314),6)</f>
        <v>0</v>
      </c>
      <c r="AE314" s="2">
        <f>ROUND((EU314),6)</f>
        <v>0</v>
      </c>
      <c r="AF314" s="2">
        <f>ROUND((EV314),6)</f>
        <v>0</v>
      </c>
      <c r="AG314" s="2">
        <f t="shared" si="186"/>
        <v>0</v>
      </c>
      <c r="AH314" s="2">
        <f>(EW314)</f>
        <v>0</v>
      </c>
      <c r="AI314" s="2">
        <f>(EX314)</f>
        <v>0</v>
      </c>
      <c r="AJ314" s="2">
        <f t="shared" si="187"/>
        <v>0</v>
      </c>
      <c r="AK314" s="2">
        <v>2195.08</v>
      </c>
      <c r="AL314" s="2">
        <v>2195.08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1</v>
      </c>
      <c r="AW314" s="2">
        <v>1</v>
      </c>
      <c r="AX314" s="2"/>
      <c r="AY314" s="2"/>
      <c r="AZ314" s="2">
        <v>1</v>
      </c>
      <c r="BA314" s="2">
        <v>1</v>
      </c>
      <c r="BB314" s="2">
        <v>1</v>
      </c>
      <c r="BC314" s="2">
        <v>1</v>
      </c>
      <c r="BD314" s="2" t="s">
        <v>3</v>
      </c>
      <c r="BE314" s="2" t="s">
        <v>3</v>
      </c>
      <c r="BF314" s="2" t="s">
        <v>3</v>
      </c>
      <c r="BG314" s="2" t="s">
        <v>3</v>
      </c>
      <c r="BH314" s="2">
        <v>3</v>
      </c>
      <c r="BI314" s="2">
        <v>1</v>
      </c>
      <c r="BJ314" s="2" t="s">
        <v>307</v>
      </c>
      <c r="BK314" s="2"/>
      <c r="BL314" s="2"/>
      <c r="BM314" s="2">
        <v>900</v>
      </c>
      <c r="BN314" s="2">
        <v>0</v>
      </c>
      <c r="BO314" s="2" t="s">
        <v>3</v>
      </c>
      <c r="BP314" s="2">
        <v>0</v>
      </c>
      <c r="BQ314" s="2">
        <v>90</v>
      </c>
      <c r="BR314" s="2">
        <v>0</v>
      </c>
      <c r="BS314" s="2">
        <v>1</v>
      </c>
      <c r="BT314" s="2">
        <v>1</v>
      </c>
      <c r="BU314" s="2">
        <v>1</v>
      </c>
      <c r="BV314" s="2">
        <v>1</v>
      </c>
      <c r="BW314" s="2">
        <v>1</v>
      </c>
      <c r="BX314" s="2">
        <v>1</v>
      </c>
      <c r="BY314" s="2" t="s">
        <v>3</v>
      </c>
      <c r="BZ314" s="2">
        <v>112</v>
      </c>
      <c r="CA314" s="2">
        <v>65</v>
      </c>
      <c r="CB314" s="2" t="s">
        <v>3</v>
      </c>
      <c r="CC314" s="2"/>
      <c r="CD314" s="2"/>
      <c r="CE314" s="2">
        <v>0</v>
      </c>
      <c r="CF314" s="2">
        <v>0</v>
      </c>
      <c r="CG314" s="2">
        <v>0</v>
      </c>
      <c r="CH314" s="2"/>
      <c r="CI314" s="2"/>
      <c r="CJ314" s="2"/>
      <c r="CK314" s="2"/>
      <c r="CL314" s="2"/>
      <c r="CM314" s="2">
        <v>0</v>
      </c>
      <c r="CN314" s="2" t="s">
        <v>3</v>
      </c>
      <c r="CO314" s="2">
        <v>0</v>
      </c>
      <c r="CP314" s="2">
        <f t="shared" si="188"/>
        <v>67498.710000000006</v>
      </c>
      <c r="CQ314" s="2">
        <f>ROUND(AL314,2)</f>
        <v>2195.08</v>
      </c>
      <c r="CR314" s="2">
        <f>ROUND(AM314,2)</f>
        <v>0</v>
      </c>
      <c r="CS314" s="2">
        <f>ROUND(AN314*BS314,2)</f>
        <v>0</v>
      </c>
      <c r="CT314" s="2">
        <f>ROUND(AO314*BA314,2)</f>
        <v>0</v>
      </c>
      <c r="CU314" s="2">
        <f t="shared" si="189"/>
        <v>0</v>
      </c>
      <c r="CV314" s="2">
        <f>AH314</f>
        <v>0</v>
      </c>
      <c r="CW314" s="2">
        <f>AI314</f>
        <v>0</v>
      </c>
      <c r="CX314" s="2">
        <f t="shared" si="190"/>
        <v>0</v>
      </c>
      <c r="CY314" s="2">
        <f>0</f>
        <v>0</v>
      </c>
      <c r="CZ314" s="2">
        <f>0</f>
        <v>0</v>
      </c>
      <c r="DA314" s="2"/>
      <c r="DB314" s="2"/>
      <c r="DC314" s="2" t="s">
        <v>3</v>
      </c>
      <c r="DD314" s="2" t="s">
        <v>3</v>
      </c>
      <c r="DE314" s="2" t="s">
        <v>3</v>
      </c>
      <c r="DF314" s="2" t="s">
        <v>3</v>
      </c>
      <c r="DG314" s="2" t="s">
        <v>3</v>
      </c>
      <c r="DH314" s="2" t="s">
        <v>3</v>
      </c>
      <c r="DI314" s="2" t="s">
        <v>3</v>
      </c>
      <c r="DJ314" s="2" t="s">
        <v>3</v>
      </c>
      <c r="DK314" s="2" t="s">
        <v>3</v>
      </c>
      <c r="DL314" s="2" t="s">
        <v>3</v>
      </c>
      <c r="DM314" s="2" t="s">
        <v>3</v>
      </c>
      <c r="DN314" s="2">
        <v>0</v>
      </c>
      <c r="DO314" s="2">
        <v>0</v>
      </c>
      <c r="DP314" s="2">
        <v>1</v>
      </c>
      <c r="DQ314" s="2">
        <v>1</v>
      </c>
      <c r="DR314" s="2"/>
      <c r="DS314" s="2"/>
      <c r="DT314" s="2"/>
      <c r="DU314" s="2">
        <v>1005</v>
      </c>
      <c r="DV314" s="2" t="s">
        <v>60</v>
      </c>
      <c r="DW314" s="2" t="s">
        <v>60</v>
      </c>
      <c r="DX314" s="2">
        <v>1</v>
      </c>
      <c r="DY314" s="2"/>
      <c r="DZ314" s="2" t="s">
        <v>3</v>
      </c>
      <c r="EA314" s="2" t="s">
        <v>3</v>
      </c>
      <c r="EB314" s="2" t="s">
        <v>3</v>
      </c>
      <c r="EC314" s="2" t="s">
        <v>3</v>
      </c>
      <c r="ED314" s="2"/>
      <c r="EE314" s="2">
        <v>89977453</v>
      </c>
      <c r="EF314" s="2">
        <v>90</v>
      </c>
      <c r="EG314" s="2" t="s">
        <v>309</v>
      </c>
      <c r="EH314" s="2">
        <v>0</v>
      </c>
      <c r="EI314" s="2" t="s">
        <v>3</v>
      </c>
      <c r="EJ314" s="2">
        <v>1</v>
      </c>
      <c r="EK314" s="2">
        <v>900</v>
      </c>
      <c r="EL314" s="2" t="s">
        <v>309</v>
      </c>
      <c r="EM314" s="2" t="s">
        <v>310</v>
      </c>
      <c r="EN314" s="2"/>
      <c r="EO314" s="2" t="s">
        <v>3</v>
      </c>
      <c r="EP314" s="2"/>
      <c r="EQ314" s="2">
        <v>16</v>
      </c>
      <c r="ER314" s="2">
        <v>0</v>
      </c>
      <c r="ES314" s="2">
        <v>2195.08</v>
      </c>
      <c r="ET314" s="2">
        <v>0</v>
      </c>
      <c r="EU314" s="2">
        <v>0</v>
      </c>
      <c r="EV314" s="2">
        <v>0</v>
      </c>
      <c r="EW314" s="2">
        <v>0</v>
      </c>
      <c r="EX314" s="2">
        <v>0</v>
      </c>
      <c r="EY314" s="2"/>
      <c r="EZ314" s="2">
        <v>5</v>
      </c>
      <c r="FA314" s="2"/>
      <c r="FB314" s="2"/>
      <c r="FC314" s="2">
        <v>0</v>
      </c>
      <c r="FD314" s="2">
        <v>18</v>
      </c>
      <c r="FE314" s="2"/>
      <c r="FF314" s="2">
        <v>2195.08</v>
      </c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>
        <v>0</v>
      </c>
      <c r="FR314" s="2">
        <v>0</v>
      </c>
      <c r="FS314" s="2">
        <v>0</v>
      </c>
      <c r="FT314" s="2"/>
      <c r="FU314" s="2"/>
      <c r="FV314" s="2"/>
      <c r="FW314" s="2"/>
      <c r="FX314" s="2">
        <v>112</v>
      </c>
      <c r="FY314" s="2">
        <v>65</v>
      </c>
      <c r="FZ314" s="2"/>
      <c r="GA314" s="2" t="s">
        <v>3</v>
      </c>
      <c r="GB314" s="2"/>
      <c r="GC314" s="2"/>
      <c r="GD314" s="2">
        <v>1</v>
      </c>
      <c r="GE314" s="2"/>
      <c r="GF314" s="2">
        <v>2028736237</v>
      </c>
      <c r="GG314" s="2">
        <v>2</v>
      </c>
      <c r="GH314" s="2">
        <v>3</v>
      </c>
      <c r="GI314" s="2">
        <v>-2</v>
      </c>
      <c r="GJ314" s="2">
        <v>0</v>
      </c>
      <c r="GK314" s="2">
        <v>0</v>
      </c>
      <c r="GL314" s="2">
        <f t="shared" si="193"/>
        <v>0</v>
      </c>
      <c r="GM314" s="2">
        <f t="shared" si="194"/>
        <v>67498.710000000006</v>
      </c>
      <c r="GN314" s="2">
        <f t="shared" si="195"/>
        <v>67498.710000000006</v>
      </c>
      <c r="GO314" s="2">
        <f t="shared" si="196"/>
        <v>0</v>
      </c>
      <c r="GP314" s="2">
        <f t="shared" si="197"/>
        <v>0</v>
      </c>
      <c r="GQ314" s="2"/>
      <c r="GR314" s="2">
        <v>1</v>
      </c>
      <c r="GS314" s="2">
        <v>1</v>
      </c>
      <c r="GT314" s="2">
        <v>0</v>
      </c>
      <c r="GU314" s="2" t="s">
        <v>3</v>
      </c>
      <c r="GV314" s="2">
        <f t="shared" si="198"/>
        <v>0</v>
      </c>
      <c r="GW314" s="2">
        <v>1</v>
      </c>
      <c r="GX314" s="2">
        <f t="shared" si="199"/>
        <v>0</v>
      </c>
      <c r="GY314" s="2"/>
      <c r="GZ314" s="2"/>
      <c r="HA314" s="2">
        <v>0</v>
      </c>
      <c r="HB314" s="2">
        <v>0</v>
      </c>
      <c r="HC314" s="2">
        <f t="shared" si="200"/>
        <v>0</v>
      </c>
      <c r="HD314" s="2"/>
      <c r="HE314" s="2" t="s">
        <v>3</v>
      </c>
      <c r="HF314" s="2" t="s">
        <v>3</v>
      </c>
      <c r="HG314" s="2">
        <f>ROUND(ROUND(AL314,2)*I314,2)</f>
        <v>67498.710000000006</v>
      </c>
      <c r="HH314" s="2"/>
      <c r="HI314" s="2"/>
      <c r="HJ314" s="2"/>
      <c r="HK314" s="2"/>
      <c r="HL314" s="2"/>
      <c r="HM314" s="2" t="s">
        <v>3</v>
      </c>
      <c r="HN314" s="2" t="s">
        <v>3</v>
      </c>
      <c r="HO314" s="2" t="s">
        <v>3</v>
      </c>
      <c r="HP314" s="2" t="s">
        <v>3</v>
      </c>
      <c r="HQ314" s="2" t="s">
        <v>3</v>
      </c>
      <c r="HR314" s="2"/>
      <c r="HS314" s="2">
        <v>0</v>
      </c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>
        <v>0</v>
      </c>
      <c r="IL314" s="2"/>
      <c r="IM314" s="2"/>
      <c r="IN314" s="2"/>
      <c r="IO314" s="2"/>
      <c r="IP314" s="2"/>
      <c r="IQ314" s="2"/>
      <c r="IR314" s="2"/>
      <c r="IS314" s="2"/>
      <c r="IT314" s="2"/>
      <c r="IU314" s="2"/>
    </row>
    <row r="315" spans="1:255" ht="409.5" x14ac:dyDescent="0.2">
      <c r="A315" s="2">
        <v>17</v>
      </c>
      <c r="B315" s="2">
        <v>1</v>
      </c>
      <c r="C315" s="2">
        <f>ROW(SmtRes!A236)</f>
        <v>236</v>
      </c>
      <c r="D315" s="2">
        <f>ROW(EtalonRes!A235)</f>
        <v>235</v>
      </c>
      <c r="E315" s="2" t="s">
        <v>311</v>
      </c>
      <c r="F315" s="2" t="s">
        <v>312</v>
      </c>
      <c r="G315" s="2" t="s">
        <v>313</v>
      </c>
      <c r="H315" s="2" t="s">
        <v>101</v>
      </c>
      <c r="I315" s="2">
        <f>ROUND(21/100,7)</f>
        <v>0.21</v>
      </c>
      <c r="J315" s="2">
        <v>0</v>
      </c>
      <c r="K315" s="2">
        <f>ROUND(21/100,7)</f>
        <v>0.21</v>
      </c>
      <c r="L315" s="2"/>
      <c r="M315" s="2"/>
      <c r="N315" s="2"/>
      <c r="O315" s="2">
        <f t="shared" si="180"/>
        <v>1841.32</v>
      </c>
      <c r="P315" s="2">
        <f>SUMIF(SmtRes!AQ231:'SmtRes'!AQ236,"=1",SmtRes!DF231:'SmtRes'!DF236)</f>
        <v>215.83</v>
      </c>
      <c r="Q315" s="2">
        <f>SUMIF(SmtRes!AQ231:'SmtRes'!AQ236,"=1",SmtRes!DG231:'SmtRes'!DG236)</f>
        <v>4.37</v>
      </c>
      <c r="R315" s="2">
        <f>SUMIF(SmtRes!AQ231:'SmtRes'!AQ236,"=1",SmtRes!DH231:'SmtRes'!DH236)</f>
        <v>6.6099999999999994</v>
      </c>
      <c r="S315" s="2">
        <f>SUMIF(SmtRes!AQ231:'SmtRes'!AQ236,"=1",SmtRes!DI231:'SmtRes'!DI236)</f>
        <v>1614.51</v>
      </c>
      <c r="T315" s="2">
        <f t="shared" si="181"/>
        <v>0</v>
      </c>
      <c r="U315" s="2">
        <f>SUMIF(SmtRes!AQ231:'SmtRes'!AQ236,"=1",SmtRes!CV231:'SmtRes'!CV236)</f>
        <v>2.1759149999999998</v>
      </c>
      <c r="V315" s="2">
        <f>SUMIF(SmtRes!AQ231:'SmtRes'!AQ236,"=1",SmtRes!CW231:'SmtRes'!CW236)</f>
        <v>9.1874999999999995E-3</v>
      </c>
      <c r="W315" s="2">
        <f t="shared" si="182"/>
        <v>0</v>
      </c>
      <c r="X315" s="2">
        <f t="shared" si="183"/>
        <v>1634.09</v>
      </c>
      <c r="Y315" s="2">
        <f t="shared" si="184"/>
        <v>895.67</v>
      </c>
      <c r="Z315" s="2"/>
      <c r="AA315" s="2">
        <v>94104265</v>
      </c>
      <c r="AB315" s="2">
        <f t="shared" si="185"/>
        <v>8292.7556349999995</v>
      </c>
      <c r="AC315" s="2">
        <f>ROUND((SUM(SmtRes!BQ231:'SmtRes'!BQ236)),6)</f>
        <v>583.95849999999996</v>
      </c>
      <c r="AD315" s="2">
        <f>ROUND((((SUM(SmtRes!BR231:'SmtRes'!BR236))-(SUM(SmtRes!BS231:'SmtRes'!BS236)))+AE315),6)</f>
        <v>20.667750000000002</v>
      </c>
      <c r="AE315" s="2">
        <f>ROUND((SUM(SmtRes!BS231:'SmtRes'!BS236)),6)</f>
        <v>31.47325</v>
      </c>
      <c r="AF315" s="2">
        <f>ROUND((SUM(SmtRes!BT231:'SmtRes'!BT236)),6)</f>
        <v>7688.1293850000002</v>
      </c>
      <c r="AG315" s="2">
        <f t="shared" si="186"/>
        <v>0</v>
      </c>
      <c r="AH315" s="2">
        <f>(SUM(SmtRes!BU231:'SmtRes'!BU236))</f>
        <v>10.361499999999999</v>
      </c>
      <c r="AI315" s="2">
        <f>(SUM(SmtRes!BV231:'SmtRes'!BV236))</f>
        <v>4.3749999999999997E-2</v>
      </c>
      <c r="AJ315" s="2">
        <f t="shared" si="187"/>
        <v>0</v>
      </c>
      <c r="AK315" s="2">
        <v>7311.0011999999997</v>
      </c>
      <c r="AL315" s="2">
        <v>583.95850000000007</v>
      </c>
      <c r="AM315" s="2">
        <v>16.534199999999998</v>
      </c>
      <c r="AN315" s="2">
        <v>25.178600000000003</v>
      </c>
      <c r="AO315" s="2">
        <v>6685.3298999999997</v>
      </c>
      <c r="AP315" s="2">
        <v>0</v>
      </c>
      <c r="AQ315" s="2">
        <v>9.01</v>
      </c>
      <c r="AR315" s="2">
        <v>3.4999999999999996E-2</v>
      </c>
      <c r="AS315" s="2">
        <v>0</v>
      </c>
      <c r="AT315" s="2">
        <v>100.8</v>
      </c>
      <c r="AU315" s="2">
        <v>55.25</v>
      </c>
      <c r="AV315" s="2">
        <v>1</v>
      </c>
      <c r="AW315" s="2">
        <v>1</v>
      </c>
      <c r="AX315" s="2"/>
      <c r="AY315" s="2"/>
      <c r="AZ315" s="2">
        <v>1</v>
      </c>
      <c r="BA315" s="2">
        <v>1</v>
      </c>
      <c r="BB315" s="2">
        <v>1</v>
      </c>
      <c r="BC315" s="2">
        <v>1</v>
      </c>
      <c r="BD315" s="2" t="s">
        <v>3</v>
      </c>
      <c r="BE315" s="2" t="s">
        <v>3</v>
      </c>
      <c r="BF315" s="2" t="s">
        <v>3</v>
      </c>
      <c r="BG315" s="2" t="s">
        <v>3</v>
      </c>
      <c r="BH315" s="2">
        <v>0</v>
      </c>
      <c r="BI315" s="2">
        <v>1</v>
      </c>
      <c r="BJ315" s="2" t="s">
        <v>314</v>
      </c>
      <c r="BK315" s="2"/>
      <c r="BL315" s="2"/>
      <c r="BM315" s="2">
        <v>11001</v>
      </c>
      <c r="BN315" s="2">
        <v>0</v>
      </c>
      <c r="BO315" s="2" t="s">
        <v>3</v>
      </c>
      <c r="BP315" s="2">
        <v>0</v>
      </c>
      <c r="BQ315" s="2">
        <v>2</v>
      </c>
      <c r="BR315" s="2">
        <v>0</v>
      </c>
      <c r="BS315" s="2">
        <v>1</v>
      </c>
      <c r="BT315" s="2">
        <v>1</v>
      </c>
      <c r="BU315" s="2">
        <v>1</v>
      </c>
      <c r="BV315" s="2">
        <v>1</v>
      </c>
      <c r="BW315" s="2">
        <v>1</v>
      </c>
      <c r="BX315" s="2">
        <v>1</v>
      </c>
      <c r="BY315" s="2" t="s">
        <v>3</v>
      </c>
      <c r="BZ315" s="2">
        <v>112</v>
      </c>
      <c r="CA315" s="2">
        <v>65</v>
      </c>
      <c r="CB315" s="2" t="s">
        <v>3</v>
      </c>
      <c r="CC315" s="2"/>
      <c r="CD315" s="2"/>
      <c r="CE315" s="2">
        <v>0</v>
      </c>
      <c r="CF315" s="2">
        <v>0</v>
      </c>
      <c r="CG315" s="2">
        <v>0</v>
      </c>
      <c r="CH315" s="2"/>
      <c r="CI315" s="2"/>
      <c r="CJ315" s="2"/>
      <c r="CK315" s="2"/>
      <c r="CL315" s="2"/>
      <c r="CM315" s="2">
        <v>0</v>
      </c>
      <c r="CN315" s="7" t="s">
        <v>681</v>
      </c>
      <c r="CO315" s="2">
        <v>0</v>
      </c>
      <c r="CP315" s="2">
        <f t="shared" si="188"/>
        <v>1841.32</v>
      </c>
      <c r="CQ315" s="2">
        <f>SUMIF(SmtRes!AQ231:'SmtRes'!AQ236,"=1",SmtRes!AA231:'SmtRes'!AA236)</f>
        <v>199.57</v>
      </c>
      <c r="CR315" s="2">
        <f>SUMIF(SmtRes!AQ231:'SmtRes'!AQ236,"=1",SmtRes!AB231:'SmtRes'!AB236)</f>
        <v>603.51</v>
      </c>
      <c r="CS315" s="2">
        <f>SUMIF(SmtRes!AQ231:'SmtRes'!AQ236,"=1",SmtRes!AC231:'SmtRes'!AC236)</f>
        <v>1380.3200000000002</v>
      </c>
      <c r="CT315" s="2">
        <f>SUMIF(SmtRes!AQ231:'SmtRes'!AQ236,"=1",SmtRes!AD231:'SmtRes'!AD236)</f>
        <v>741.99</v>
      </c>
      <c r="CU315" s="2">
        <f t="shared" si="189"/>
        <v>0</v>
      </c>
      <c r="CV315" s="2">
        <f>SUMIF(SmtRes!AQ231:'SmtRes'!AQ236,"=1",SmtRes!BU231:'SmtRes'!BU236)</f>
        <v>10.361499999999999</v>
      </c>
      <c r="CW315" s="2">
        <f>SUMIF(SmtRes!AQ231:'SmtRes'!AQ236,"=1",SmtRes!BV231:'SmtRes'!BV236)</f>
        <v>4.3749999999999997E-2</v>
      </c>
      <c r="CX315" s="2">
        <f t="shared" si="190"/>
        <v>0</v>
      </c>
      <c r="CY315" s="2">
        <f>(((S315+R315)*AT315)/100)</f>
        <v>1634.0889599999998</v>
      </c>
      <c r="CZ315" s="2">
        <f>(((S315+R315)*AU315)/100)</f>
        <v>895.66879999999992</v>
      </c>
      <c r="DA315" s="2"/>
      <c r="DB315" s="2">
        <v>7</v>
      </c>
      <c r="DC315" s="2" t="s">
        <v>3</v>
      </c>
      <c r="DD315" s="2" t="s">
        <v>3</v>
      </c>
      <c r="DE315" s="2" t="s">
        <v>242</v>
      </c>
      <c r="DF315" s="2" t="s">
        <v>242</v>
      </c>
      <c r="DG315" s="2" t="s">
        <v>243</v>
      </c>
      <c r="DH315" s="2" t="s">
        <v>3</v>
      </c>
      <c r="DI315" s="2" t="s">
        <v>243</v>
      </c>
      <c r="DJ315" s="2" t="s">
        <v>242</v>
      </c>
      <c r="DK315" s="2" t="s">
        <v>3</v>
      </c>
      <c r="DL315" s="2" t="s">
        <v>244</v>
      </c>
      <c r="DM315" s="2" t="s">
        <v>245</v>
      </c>
      <c r="DN315" s="2">
        <v>0</v>
      </c>
      <c r="DO315" s="2">
        <v>0</v>
      </c>
      <c r="DP315" s="2">
        <v>1</v>
      </c>
      <c r="DQ315" s="2">
        <v>1</v>
      </c>
      <c r="DR315" s="2"/>
      <c r="DS315" s="2"/>
      <c r="DT315" s="2"/>
      <c r="DU315" s="2">
        <v>1003</v>
      </c>
      <c r="DV315" s="2" t="s">
        <v>101</v>
      </c>
      <c r="DW315" s="2" t="s">
        <v>101</v>
      </c>
      <c r="DX315" s="2">
        <v>100</v>
      </c>
      <c r="DY315" s="2"/>
      <c r="DZ315" s="2" t="s">
        <v>3</v>
      </c>
      <c r="EA315" s="2" t="s">
        <v>3</v>
      </c>
      <c r="EB315" s="2" t="s">
        <v>3</v>
      </c>
      <c r="EC315" s="2" t="s">
        <v>3</v>
      </c>
      <c r="ED315" s="2"/>
      <c r="EE315" s="2">
        <v>89976994</v>
      </c>
      <c r="EF315" s="2">
        <v>2</v>
      </c>
      <c r="EG315" s="2" t="s">
        <v>44</v>
      </c>
      <c r="EH315" s="2">
        <v>11</v>
      </c>
      <c r="EI315" s="2" t="s">
        <v>23</v>
      </c>
      <c r="EJ315" s="2">
        <v>1</v>
      </c>
      <c r="EK315" s="2">
        <v>11001</v>
      </c>
      <c r="EL315" s="2" t="s">
        <v>23</v>
      </c>
      <c r="EM315" s="2" t="s">
        <v>74</v>
      </c>
      <c r="EN315" s="2"/>
      <c r="EO315" s="2" t="s">
        <v>246</v>
      </c>
      <c r="EP315" s="2"/>
      <c r="EQ315" s="2">
        <v>0</v>
      </c>
      <c r="ER315" s="2">
        <v>0</v>
      </c>
      <c r="ES315" s="2">
        <v>0</v>
      </c>
      <c r="ET315" s="2">
        <v>0</v>
      </c>
      <c r="EU315" s="2">
        <v>0</v>
      </c>
      <c r="EV315" s="2">
        <v>0</v>
      </c>
      <c r="EW315" s="2">
        <v>9.01</v>
      </c>
      <c r="EX315" s="2">
        <v>0.04</v>
      </c>
      <c r="EY315" s="2">
        <v>0</v>
      </c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>
        <v>0</v>
      </c>
      <c r="FR315" s="2">
        <v>0</v>
      </c>
      <c r="FS315" s="2">
        <v>0</v>
      </c>
      <c r="FT315" s="2"/>
      <c r="FU315" s="2"/>
      <c r="FV315" s="2"/>
      <c r="FW315" s="2"/>
      <c r="FX315" s="2">
        <v>100.8</v>
      </c>
      <c r="FY315" s="2">
        <v>55.25</v>
      </c>
      <c r="FZ315" s="2"/>
      <c r="GA315" s="2" t="s">
        <v>3</v>
      </c>
      <c r="GB315" s="2"/>
      <c r="GC315" s="2"/>
      <c r="GD315" s="2">
        <v>1</v>
      </c>
      <c r="GE315" s="2"/>
      <c r="GF315" s="2">
        <v>1130561247</v>
      </c>
      <c r="GG315" s="2">
        <v>2</v>
      </c>
      <c r="GH315" s="2">
        <v>1</v>
      </c>
      <c r="GI315" s="2">
        <v>-2</v>
      </c>
      <c r="GJ315" s="2">
        <v>0</v>
      </c>
      <c r="GK315" s="2">
        <v>0</v>
      </c>
      <c r="GL315" s="2">
        <f t="shared" si="193"/>
        <v>0</v>
      </c>
      <c r="GM315" s="2">
        <f t="shared" si="194"/>
        <v>4371.08</v>
      </c>
      <c r="GN315" s="2">
        <f t="shared" si="195"/>
        <v>4371.08</v>
      </c>
      <c r="GO315" s="2">
        <f t="shared" si="196"/>
        <v>0</v>
      </c>
      <c r="GP315" s="2">
        <f t="shared" si="197"/>
        <v>0</v>
      </c>
      <c r="GQ315" s="2"/>
      <c r="GR315" s="2">
        <v>0</v>
      </c>
      <c r="GS315" s="2">
        <v>3</v>
      </c>
      <c r="GT315" s="2">
        <v>0</v>
      </c>
      <c r="GU315" s="2" t="s">
        <v>3</v>
      </c>
      <c r="GV315" s="2">
        <f t="shared" si="198"/>
        <v>0</v>
      </c>
      <c r="GW315" s="2">
        <v>1</v>
      </c>
      <c r="GX315" s="2">
        <f t="shared" si="199"/>
        <v>0</v>
      </c>
      <c r="GY315" s="2"/>
      <c r="GZ315" s="2"/>
      <c r="HA315" s="2">
        <v>0</v>
      </c>
      <c r="HB315" s="2">
        <v>0</v>
      </c>
      <c r="HC315" s="2">
        <f t="shared" si="200"/>
        <v>0</v>
      </c>
      <c r="HD315" s="2"/>
      <c r="HE315" s="2" t="s">
        <v>3</v>
      </c>
      <c r="HF315" s="2" t="s">
        <v>3</v>
      </c>
      <c r="HG315" s="2"/>
      <c r="HH315" s="2"/>
      <c r="HI315" s="2"/>
      <c r="HJ315" s="2"/>
      <c r="HK315" s="2"/>
      <c r="HL315" s="2"/>
      <c r="HM315" s="2" t="s">
        <v>3</v>
      </c>
      <c r="HN315" s="2" t="s">
        <v>75</v>
      </c>
      <c r="HO315" s="2" t="s">
        <v>76</v>
      </c>
      <c r="HP315" s="2" t="s">
        <v>23</v>
      </c>
      <c r="HQ315" s="2" t="s">
        <v>23</v>
      </c>
      <c r="HR315" s="2"/>
      <c r="HS315" s="2">
        <v>0</v>
      </c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>
        <v>0</v>
      </c>
      <c r="IL315" s="2"/>
      <c r="IM315" s="2"/>
      <c r="IN315" s="2"/>
      <c r="IO315" s="2"/>
      <c r="IP315" s="2"/>
      <c r="IQ315" s="2"/>
      <c r="IR315" s="2"/>
      <c r="IS315" s="2"/>
      <c r="IT315" s="2"/>
      <c r="IU315" s="2"/>
    </row>
    <row r="316" spans="1:255" x14ac:dyDescent="0.2">
      <c r="A316" s="2">
        <v>18</v>
      </c>
      <c r="B316" s="2">
        <v>1</v>
      </c>
      <c r="C316" s="2">
        <v>236</v>
      </c>
      <c r="D316" s="2"/>
      <c r="E316" s="2" t="s">
        <v>315</v>
      </c>
      <c r="F316" s="2" t="s">
        <v>316</v>
      </c>
      <c r="G316" s="2" t="s">
        <v>317</v>
      </c>
      <c r="H316" s="2" t="s">
        <v>318</v>
      </c>
      <c r="I316" s="2">
        <f>I315*J316</f>
        <v>21.21</v>
      </c>
      <c r="J316" s="2">
        <v>101.00000000000001</v>
      </c>
      <c r="K316" s="2">
        <v>101</v>
      </c>
      <c r="L316" s="2"/>
      <c r="M316" s="2"/>
      <c r="N316" s="2"/>
      <c r="O316" s="2">
        <f t="shared" si="180"/>
        <v>20753.990000000002</v>
      </c>
      <c r="P316" s="2">
        <f>ROUND(CQ316*I316,2)</f>
        <v>20753.990000000002</v>
      </c>
      <c r="Q316" s="2">
        <f>ROUND(CR316*I316,2)</f>
        <v>0</v>
      </c>
      <c r="R316" s="2">
        <f>ROUND(CS316*I316,2)</f>
        <v>0</v>
      </c>
      <c r="S316" s="2">
        <f>ROUND(CT316*I316,2)</f>
        <v>0</v>
      </c>
      <c r="T316" s="2">
        <f t="shared" si="181"/>
        <v>0</v>
      </c>
      <c r="U316" s="2">
        <f>ROUND(CV316*I316,7)</f>
        <v>0</v>
      </c>
      <c r="V316" s="2">
        <f>ROUND(CW316*I316,7)</f>
        <v>0</v>
      </c>
      <c r="W316" s="2">
        <f t="shared" si="182"/>
        <v>0</v>
      </c>
      <c r="X316" s="2">
        <f t="shared" si="183"/>
        <v>0</v>
      </c>
      <c r="Y316" s="2">
        <f t="shared" si="184"/>
        <v>0</v>
      </c>
      <c r="Z316" s="2"/>
      <c r="AA316" s="2">
        <v>94104265</v>
      </c>
      <c r="AB316" s="2">
        <f t="shared" si="185"/>
        <v>978.5</v>
      </c>
      <c r="AC316" s="2">
        <f>ROUND((ES316),6)</f>
        <v>978.5</v>
      </c>
      <c r="AD316" s="2">
        <f>ROUND((ET316),6)</f>
        <v>0</v>
      </c>
      <c r="AE316" s="2">
        <f>ROUND((EU316),6)</f>
        <v>0</v>
      </c>
      <c r="AF316" s="2">
        <f>ROUND((EV316),6)</f>
        <v>0</v>
      </c>
      <c r="AG316" s="2">
        <f t="shared" si="186"/>
        <v>0</v>
      </c>
      <c r="AH316" s="2">
        <f>(EW316)</f>
        <v>0</v>
      </c>
      <c r="AI316" s="2">
        <f>(EX316)</f>
        <v>0</v>
      </c>
      <c r="AJ316" s="2">
        <f t="shared" si="187"/>
        <v>0</v>
      </c>
      <c r="AK316" s="2">
        <v>978.5</v>
      </c>
      <c r="AL316" s="2">
        <v>978.5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1</v>
      </c>
      <c r="AW316" s="2">
        <v>1</v>
      </c>
      <c r="AX316" s="2"/>
      <c r="AY316" s="2"/>
      <c r="AZ316" s="2">
        <v>1</v>
      </c>
      <c r="BA316" s="2">
        <v>1</v>
      </c>
      <c r="BB316" s="2">
        <v>1</v>
      </c>
      <c r="BC316" s="2">
        <v>1</v>
      </c>
      <c r="BD316" s="2" t="s">
        <v>3</v>
      </c>
      <c r="BE316" s="2" t="s">
        <v>3</v>
      </c>
      <c r="BF316" s="2" t="s">
        <v>3</v>
      </c>
      <c r="BG316" s="2" t="s">
        <v>3</v>
      </c>
      <c r="BH316" s="2">
        <v>3</v>
      </c>
      <c r="BI316" s="2">
        <v>1</v>
      </c>
      <c r="BJ316" s="2" t="s">
        <v>316</v>
      </c>
      <c r="BK316" s="2"/>
      <c r="BL316" s="2"/>
      <c r="BM316" s="2">
        <v>900</v>
      </c>
      <c r="BN316" s="2">
        <v>0</v>
      </c>
      <c r="BO316" s="2" t="s">
        <v>3</v>
      </c>
      <c r="BP316" s="2">
        <v>0</v>
      </c>
      <c r="BQ316" s="2">
        <v>90</v>
      </c>
      <c r="BR316" s="2">
        <v>0</v>
      </c>
      <c r="BS316" s="2">
        <v>1</v>
      </c>
      <c r="BT316" s="2">
        <v>1</v>
      </c>
      <c r="BU316" s="2">
        <v>1</v>
      </c>
      <c r="BV316" s="2">
        <v>1</v>
      </c>
      <c r="BW316" s="2">
        <v>1</v>
      </c>
      <c r="BX316" s="2">
        <v>1</v>
      </c>
      <c r="BY316" s="2" t="s">
        <v>3</v>
      </c>
      <c r="BZ316" s="2">
        <v>112</v>
      </c>
      <c r="CA316" s="2">
        <v>65</v>
      </c>
      <c r="CB316" s="2" t="s">
        <v>3</v>
      </c>
      <c r="CC316" s="2"/>
      <c r="CD316" s="2"/>
      <c r="CE316" s="2">
        <v>0</v>
      </c>
      <c r="CF316" s="2">
        <v>0</v>
      </c>
      <c r="CG316" s="2">
        <v>0</v>
      </c>
      <c r="CH316" s="2"/>
      <c r="CI316" s="2"/>
      <c r="CJ316" s="2"/>
      <c r="CK316" s="2"/>
      <c r="CL316" s="2"/>
      <c r="CM316" s="2">
        <v>0</v>
      </c>
      <c r="CN316" s="2" t="s">
        <v>3</v>
      </c>
      <c r="CO316" s="2">
        <v>0</v>
      </c>
      <c r="CP316" s="2">
        <f t="shared" si="188"/>
        <v>20753.990000000002</v>
      </c>
      <c r="CQ316" s="2">
        <f>ROUND(AL316,2)</f>
        <v>978.5</v>
      </c>
      <c r="CR316" s="2">
        <f>ROUND(AM316,2)</f>
        <v>0</v>
      </c>
      <c r="CS316" s="2">
        <f>ROUND(AN316*BS316,2)</f>
        <v>0</v>
      </c>
      <c r="CT316" s="2">
        <f>ROUND(AO316*BA316,2)</f>
        <v>0</v>
      </c>
      <c r="CU316" s="2">
        <f t="shared" si="189"/>
        <v>0</v>
      </c>
      <c r="CV316" s="2">
        <f>AH316</f>
        <v>0</v>
      </c>
      <c r="CW316" s="2">
        <f>AI316</f>
        <v>0</v>
      </c>
      <c r="CX316" s="2">
        <f t="shared" si="190"/>
        <v>0</v>
      </c>
      <c r="CY316" s="2">
        <f>0</f>
        <v>0</v>
      </c>
      <c r="CZ316" s="2">
        <f>0</f>
        <v>0</v>
      </c>
      <c r="DA316" s="2"/>
      <c r="DB316" s="2"/>
      <c r="DC316" s="2" t="s">
        <v>3</v>
      </c>
      <c r="DD316" s="2" t="s">
        <v>3</v>
      </c>
      <c r="DE316" s="2" t="s">
        <v>3</v>
      </c>
      <c r="DF316" s="2" t="s">
        <v>3</v>
      </c>
      <c r="DG316" s="2" t="s">
        <v>3</v>
      </c>
      <c r="DH316" s="2" t="s">
        <v>3</v>
      </c>
      <c r="DI316" s="2" t="s">
        <v>3</v>
      </c>
      <c r="DJ316" s="2" t="s">
        <v>3</v>
      </c>
      <c r="DK316" s="2" t="s">
        <v>3</v>
      </c>
      <c r="DL316" s="2" t="s">
        <v>3</v>
      </c>
      <c r="DM316" s="2" t="s">
        <v>3</v>
      </c>
      <c r="DN316" s="2">
        <v>0</v>
      </c>
      <c r="DO316" s="2">
        <v>0</v>
      </c>
      <c r="DP316" s="2">
        <v>1</v>
      </c>
      <c r="DQ316" s="2">
        <v>1</v>
      </c>
      <c r="DR316" s="2"/>
      <c r="DS316" s="2"/>
      <c r="DT316" s="2"/>
      <c r="DU316" s="2">
        <v>1013</v>
      </c>
      <c r="DV316" s="2" t="s">
        <v>318</v>
      </c>
      <c r="DW316" s="2" t="s">
        <v>318</v>
      </c>
      <c r="DX316" s="2">
        <v>1</v>
      </c>
      <c r="DY316" s="2"/>
      <c r="DZ316" s="2" t="s">
        <v>3</v>
      </c>
      <c r="EA316" s="2" t="s">
        <v>3</v>
      </c>
      <c r="EB316" s="2" t="s">
        <v>3</v>
      </c>
      <c r="EC316" s="2" t="s">
        <v>3</v>
      </c>
      <c r="ED316" s="2"/>
      <c r="EE316" s="2">
        <v>89977453</v>
      </c>
      <c r="EF316" s="2">
        <v>90</v>
      </c>
      <c r="EG316" s="2" t="s">
        <v>309</v>
      </c>
      <c r="EH316" s="2">
        <v>0</v>
      </c>
      <c r="EI316" s="2" t="s">
        <v>3</v>
      </c>
      <c r="EJ316" s="2">
        <v>1</v>
      </c>
      <c r="EK316" s="2">
        <v>900</v>
      </c>
      <c r="EL316" s="2" t="s">
        <v>309</v>
      </c>
      <c r="EM316" s="2" t="s">
        <v>310</v>
      </c>
      <c r="EN316" s="2"/>
      <c r="EO316" s="2" t="s">
        <v>3</v>
      </c>
      <c r="EP316" s="2"/>
      <c r="EQ316" s="2">
        <v>16</v>
      </c>
      <c r="ER316" s="2">
        <v>0</v>
      </c>
      <c r="ES316" s="2">
        <v>978.5</v>
      </c>
      <c r="ET316" s="2">
        <v>0</v>
      </c>
      <c r="EU316" s="2">
        <v>0</v>
      </c>
      <c r="EV316" s="2">
        <v>0</v>
      </c>
      <c r="EW316" s="2">
        <v>0</v>
      </c>
      <c r="EX316" s="2">
        <v>0</v>
      </c>
      <c r="EY316" s="2"/>
      <c r="EZ316" s="2">
        <v>5</v>
      </c>
      <c r="FA316" s="2"/>
      <c r="FB316" s="2"/>
      <c r="FC316" s="2">
        <v>0</v>
      </c>
      <c r="FD316" s="2">
        <v>18</v>
      </c>
      <c r="FE316" s="2"/>
      <c r="FF316" s="2">
        <v>978.5</v>
      </c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>
        <v>0</v>
      </c>
      <c r="FR316" s="2">
        <v>0</v>
      </c>
      <c r="FS316" s="2">
        <v>0</v>
      </c>
      <c r="FT316" s="2"/>
      <c r="FU316" s="2"/>
      <c r="FV316" s="2"/>
      <c r="FW316" s="2"/>
      <c r="FX316" s="2">
        <v>112</v>
      </c>
      <c r="FY316" s="2">
        <v>65</v>
      </c>
      <c r="FZ316" s="2"/>
      <c r="GA316" s="2" t="s">
        <v>3</v>
      </c>
      <c r="GB316" s="2"/>
      <c r="GC316" s="2"/>
      <c r="GD316" s="2">
        <v>1</v>
      </c>
      <c r="GE316" s="2"/>
      <c r="GF316" s="2">
        <v>399080157</v>
      </c>
      <c r="GG316" s="2">
        <v>2</v>
      </c>
      <c r="GH316" s="2">
        <v>3</v>
      </c>
      <c r="GI316" s="2">
        <v>-2</v>
      </c>
      <c r="GJ316" s="2">
        <v>0</v>
      </c>
      <c r="GK316" s="2">
        <v>0</v>
      </c>
      <c r="GL316" s="2">
        <f t="shared" si="193"/>
        <v>0</v>
      </c>
      <c r="GM316" s="2">
        <f t="shared" si="194"/>
        <v>20753.990000000002</v>
      </c>
      <c r="GN316" s="2">
        <f t="shared" si="195"/>
        <v>20753.990000000002</v>
      </c>
      <c r="GO316" s="2">
        <f t="shared" si="196"/>
        <v>0</v>
      </c>
      <c r="GP316" s="2">
        <f t="shared" si="197"/>
        <v>0</v>
      </c>
      <c r="GQ316" s="2"/>
      <c r="GR316" s="2">
        <v>1</v>
      </c>
      <c r="GS316" s="2">
        <v>1</v>
      </c>
      <c r="GT316" s="2">
        <v>0</v>
      </c>
      <c r="GU316" s="2" t="s">
        <v>3</v>
      </c>
      <c r="GV316" s="2">
        <f t="shared" si="198"/>
        <v>0</v>
      </c>
      <c r="GW316" s="2">
        <v>1</v>
      </c>
      <c r="GX316" s="2">
        <f t="shared" si="199"/>
        <v>0</v>
      </c>
      <c r="GY316" s="2"/>
      <c r="GZ316" s="2"/>
      <c r="HA316" s="2">
        <v>0</v>
      </c>
      <c r="HB316" s="2">
        <v>0</v>
      </c>
      <c r="HC316" s="2">
        <f t="shared" si="200"/>
        <v>0</v>
      </c>
      <c r="HD316" s="2"/>
      <c r="HE316" s="2" t="s">
        <v>3</v>
      </c>
      <c r="HF316" s="2" t="s">
        <v>3</v>
      </c>
      <c r="HG316" s="2">
        <f>ROUND(ROUND(AL316,2)*I316,2)</f>
        <v>20753.990000000002</v>
      </c>
      <c r="HH316" s="2"/>
      <c r="HI316" s="2"/>
      <c r="HJ316" s="2"/>
      <c r="HK316" s="2"/>
      <c r="HL316" s="2"/>
      <c r="HM316" s="2" t="s">
        <v>3</v>
      </c>
      <c r="HN316" s="2" t="s">
        <v>3</v>
      </c>
      <c r="HO316" s="2" t="s">
        <v>3</v>
      </c>
      <c r="HP316" s="2" t="s">
        <v>3</v>
      </c>
      <c r="HQ316" s="2" t="s">
        <v>3</v>
      </c>
      <c r="HR316" s="2"/>
      <c r="HS316" s="2">
        <v>0</v>
      </c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>
        <v>0</v>
      </c>
      <c r="IL316" s="2"/>
      <c r="IM316" s="2"/>
      <c r="IN316" s="2"/>
      <c r="IO316" s="2"/>
      <c r="IP316" s="2"/>
      <c r="IQ316" s="2"/>
      <c r="IR316" s="2"/>
      <c r="IS316" s="2"/>
      <c r="IT316" s="2"/>
      <c r="IU316" s="2"/>
    </row>
    <row r="317" spans="1:255" x14ac:dyDescent="0.2">
      <c r="A317" s="2">
        <v>17</v>
      </c>
      <c r="B317" s="2">
        <v>1</v>
      </c>
      <c r="C317" s="2"/>
      <c r="D317" s="2"/>
      <c r="E317" s="2" t="s">
        <v>319</v>
      </c>
      <c r="F317" s="2" t="s">
        <v>130</v>
      </c>
      <c r="G317" s="2" t="s">
        <v>131</v>
      </c>
      <c r="H317" s="2" t="s">
        <v>132</v>
      </c>
      <c r="I317" s="2">
        <f>ROUND(0.96+0.32,7)</f>
        <v>1.28</v>
      </c>
      <c r="J317" s="2">
        <v>0</v>
      </c>
      <c r="K317" s="2">
        <f>ROUND(0.96+0.32,7)</f>
        <v>1.28</v>
      </c>
      <c r="L317" s="2"/>
      <c r="M317" s="2"/>
      <c r="N317" s="2"/>
      <c r="O317" s="2">
        <f>0</f>
        <v>0</v>
      </c>
      <c r="P317" s="2">
        <f>0</f>
        <v>0</v>
      </c>
      <c r="Q317" s="2">
        <f>0</f>
        <v>0</v>
      </c>
      <c r="R317" s="2">
        <f>0</f>
        <v>0</v>
      </c>
      <c r="S317" s="2">
        <f>0</f>
        <v>0</v>
      </c>
      <c r="T317" s="2">
        <f>0</f>
        <v>0</v>
      </c>
      <c r="U317" s="2">
        <f>0</f>
        <v>0</v>
      </c>
      <c r="V317" s="2">
        <f>0</f>
        <v>0</v>
      </c>
      <c r="W317" s="2">
        <f>0</f>
        <v>0</v>
      </c>
      <c r="X317" s="2">
        <f>0</f>
        <v>0</v>
      </c>
      <c r="Y317" s="2">
        <f>0</f>
        <v>0</v>
      </c>
      <c r="Z317" s="2"/>
      <c r="AA317" s="2">
        <v>94104265</v>
      </c>
      <c r="AB317" s="2">
        <f>ROUND((AK317),6)</f>
        <v>1490.12</v>
      </c>
      <c r="AC317" s="2">
        <f>0</f>
        <v>0</v>
      </c>
      <c r="AD317" s="2">
        <f>0</f>
        <v>0</v>
      </c>
      <c r="AE317" s="2">
        <f>0</f>
        <v>0</v>
      </c>
      <c r="AF317" s="2">
        <f>0</f>
        <v>0</v>
      </c>
      <c r="AG317" s="2">
        <f>0</f>
        <v>0</v>
      </c>
      <c r="AH317" s="2">
        <f>0</f>
        <v>0</v>
      </c>
      <c r="AI317" s="2">
        <f>0</f>
        <v>0</v>
      </c>
      <c r="AJ317" s="2">
        <f>0</f>
        <v>0</v>
      </c>
      <c r="AK317" s="2">
        <v>1490.12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1</v>
      </c>
      <c r="AW317" s="2">
        <v>1</v>
      </c>
      <c r="AX317" s="2"/>
      <c r="AY317" s="2"/>
      <c r="AZ317" s="2">
        <v>1</v>
      </c>
      <c r="BA317" s="2">
        <v>1</v>
      </c>
      <c r="BB317" s="2">
        <v>1</v>
      </c>
      <c r="BC317" s="2">
        <v>1</v>
      </c>
      <c r="BD317" s="2" t="s">
        <v>3</v>
      </c>
      <c r="BE317" s="2" t="s">
        <v>3</v>
      </c>
      <c r="BF317" s="2" t="s">
        <v>3</v>
      </c>
      <c r="BG317" s="2" t="s">
        <v>3</v>
      </c>
      <c r="BH317" s="2">
        <v>0</v>
      </c>
      <c r="BI317" s="2">
        <v>1</v>
      </c>
      <c r="BJ317" s="2" t="s">
        <v>130</v>
      </c>
      <c r="BK317" s="2"/>
      <c r="BL317" s="2"/>
      <c r="BM317" s="2">
        <v>700007</v>
      </c>
      <c r="BN317" s="2">
        <v>0</v>
      </c>
      <c r="BO317" s="2" t="s">
        <v>3</v>
      </c>
      <c r="BP317" s="2">
        <v>0</v>
      </c>
      <c r="BQ317" s="2">
        <v>19</v>
      </c>
      <c r="BR317" s="2">
        <v>0</v>
      </c>
      <c r="BS317" s="2">
        <v>1</v>
      </c>
      <c r="BT317" s="2">
        <v>1</v>
      </c>
      <c r="BU317" s="2">
        <v>1</v>
      </c>
      <c r="BV317" s="2">
        <v>1</v>
      </c>
      <c r="BW317" s="2">
        <v>1</v>
      </c>
      <c r="BX317" s="2">
        <v>1</v>
      </c>
      <c r="BY317" s="2" t="s">
        <v>3</v>
      </c>
      <c r="BZ317" s="2">
        <v>90</v>
      </c>
      <c r="CA317" s="2">
        <v>42</v>
      </c>
      <c r="CB317" s="2" t="s">
        <v>3</v>
      </c>
      <c r="CC317" s="2"/>
      <c r="CD317" s="2"/>
      <c r="CE317" s="2">
        <v>0</v>
      </c>
      <c r="CF317" s="2">
        <v>0</v>
      </c>
      <c r="CG317" s="2">
        <v>0</v>
      </c>
      <c r="CH317" s="2"/>
      <c r="CI317" s="2"/>
      <c r="CJ317" s="2"/>
      <c r="CK317" s="2"/>
      <c r="CL317" s="2"/>
      <c r="CM317" s="2">
        <v>0</v>
      </c>
      <c r="CN317" s="2" t="s">
        <v>3</v>
      </c>
      <c r="CO317" s="2">
        <v>0</v>
      </c>
      <c r="CP317" s="2">
        <f>AB317*AZ317</f>
        <v>1490.12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2">
        <v>0</v>
      </c>
      <c r="CW317" s="2">
        <v>0</v>
      </c>
      <c r="CX317" s="2">
        <v>0</v>
      </c>
      <c r="CY317" s="2">
        <v>0</v>
      </c>
      <c r="CZ317" s="2">
        <v>0</v>
      </c>
      <c r="DA317" s="2"/>
      <c r="DB317" s="2"/>
      <c r="DC317" s="2" t="s">
        <v>3</v>
      </c>
      <c r="DD317" s="2" t="s">
        <v>3</v>
      </c>
      <c r="DE317" s="2" t="s">
        <v>3</v>
      </c>
      <c r="DF317" s="2" t="s">
        <v>3</v>
      </c>
      <c r="DG317" s="2" t="s">
        <v>3</v>
      </c>
      <c r="DH317" s="2" t="s">
        <v>3</v>
      </c>
      <c r="DI317" s="2" t="s">
        <v>3</v>
      </c>
      <c r="DJ317" s="2" t="s">
        <v>3</v>
      </c>
      <c r="DK317" s="2" t="s">
        <v>3</v>
      </c>
      <c r="DL317" s="2" t="s">
        <v>3</v>
      </c>
      <c r="DM317" s="2" t="s">
        <v>3</v>
      </c>
      <c r="DN317" s="2">
        <v>0</v>
      </c>
      <c r="DO317" s="2">
        <v>0</v>
      </c>
      <c r="DP317" s="2">
        <v>1</v>
      </c>
      <c r="DQ317" s="2">
        <v>1</v>
      </c>
      <c r="DR317" s="2"/>
      <c r="DS317" s="2"/>
      <c r="DT317" s="2"/>
      <c r="DU317" s="2">
        <v>1013</v>
      </c>
      <c r="DV317" s="2" t="s">
        <v>132</v>
      </c>
      <c r="DW317" s="2" t="s">
        <v>132</v>
      </c>
      <c r="DX317" s="2">
        <v>1</v>
      </c>
      <c r="DY317" s="2"/>
      <c r="DZ317" s="2" t="s">
        <v>3</v>
      </c>
      <c r="EA317" s="2" t="s">
        <v>3</v>
      </c>
      <c r="EB317" s="2" t="s">
        <v>3</v>
      </c>
      <c r="EC317" s="2" t="s">
        <v>3</v>
      </c>
      <c r="ED317" s="2"/>
      <c r="EE317" s="2">
        <v>89977456</v>
      </c>
      <c r="EF317" s="2">
        <v>19</v>
      </c>
      <c r="EG317" s="2" t="s">
        <v>133</v>
      </c>
      <c r="EH317" s="2">
        <v>106</v>
      </c>
      <c r="EI317" s="2" t="s">
        <v>133</v>
      </c>
      <c r="EJ317" s="2">
        <v>1</v>
      </c>
      <c r="EK317" s="2">
        <v>700007</v>
      </c>
      <c r="EL317" s="2" t="s">
        <v>133</v>
      </c>
      <c r="EM317" s="2" t="s">
        <v>134</v>
      </c>
      <c r="EN317" s="2"/>
      <c r="EO317" s="2" t="s">
        <v>3</v>
      </c>
      <c r="EP317" s="2"/>
      <c r="EQ317" s="2">
        <v>0</v>
      </c>
      <c r="ER317" s="2">
        <v>0</v>
      </c>
      <c r="ES317" s="2">
        <v>0</v>
      </c>
      <c r="ET317" s="2">
        <v>0</v>
      </c>
      <c r="EU317" s="2">
        <v>0</v>
      </c>
      <c r="EV317" s="2">
        <v>0</v>
      </c>
      <c r="EW317" s="2">
        <v>0</v>
      </c>
      <c r="EX317" s="2">
        <v>0</v>
      </c>
      <c r="EY317" s="2">
        <v>0</v>
      </c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>
        <v>0</v>
      </c>
      <c r="FR317" s="2">
        <v>0</v>
      </c>
      <c r="FS317" s="2">
        <v>0</v>
      </c>
      <c r="FT317" s="2"/>
      <c r="FU317" s="2"/>
      <c r="FV317" s="2"/>
      <c r="FW317" s="2"/>
      <c r="FX317" s="2">
        <v>0</v>
      </c>
      <c r="FY317" s="2">
        <v>0</v>
      </c>
      <c r="FZ317" s="2"/>
      <c r="GA317" s="2" t="s">
        <v>3</v>
      </c>
      <c r="GB317" s="2"/>
      <c r="GC317" s="2"/>
      <c r="GD317" s="2">
        <v>1</v>
      </c>
      <c r="GE317" s="2"/>
      <c r="GF317" s="2">
        <v>974204656</v>
      </c>
      <c r="GG317" s="2">
        <v>2</v>
      </c>
      <c r="GH317" s="2">
        <v>1</v>
      </c>
      <c r="GI317" s="2">
        <v>-2</v>
      </c>
      <c r="GJ317" s="2">
        <v>2</v>
      </c>
      <c r="GK317" s="2">
        <v>0</v>
      </c>
      <c r="GL317" s="2">
        <f t="shared" si="193"/>
        <v>0</v>
      </c>
      <c r="GM317" s="2">
        <f>ROUND(CP317*I317,2)</f>
        <v>1907.35</v>
      </c>
      <c r="GN317" s="2">
        <f t="shared" si="195"/>
        <v>1907.35</v>
      </c>
      <c r="GO317" s="2">
        <f t="shared" si="196"/>
        <v>0</v>
      </c>
      <c r="GP317" s="2">
        <f t="shared" si="197"/>
        <v>0</v>
      </c>
      <c r="GQ317" s="2"/>
      <c r="GR317" s="2">
        <v>0</v>
      </c>
      <c r="GS317" s="2">
        <v>0</v>
      </c>
      <c r="GT317" s="2">
        <v>0</v>
      </c>
      <c r="GU317" s="2" t="s">
        <v>3</v>
      </c>
      <c r="GV317" s="2">
        <f>0</f>
        <v>0</v>
      </c>
      <c r="GW317" s="2">
        <v>1</v>
      </c>
      <c r="GX317" s="2">
        <f>0</f>
        <v>0</v>
      </c>
      <c r="GY317" s="2"/>
      <c r="GZ317" s="2"/>
      <c r="HA317" s="2">
        <v>0</v>
      </c>
      <c r="HB317" s="2">
        <v>0</v>
      </c>
      <c r="HC317" s="2">
        <v>0</v>
      </c>
      <c r="HD317" s="2">
        <f>GM317</f>
        <v>1907.35</v>
      </c>
      <c r="HE317" s="2" t="s">
        <v>3</v>
      </c>
      <c r="HF317" s="2" t="s">
        <v>3</v>
      </c>
      <c r="HG317" s="2"/>
      <c r="HH317" s="2"/>
      <c r="HI317" s="2"/>
      <c r="HJ317" s="2"/>
      <c r="HK317" s="2"/>
      <c r="HL317" s="2"/>
      <c r="HM317" s="2" t="s">
        <v>3</v>
      </c>
      <c r="HN317" s="2" t="s">
        <v>135</v>
      </c>
      <c r="HO317" s="2" t="s">
        <v>136</v>
      </c>
      <c r="HP317" s="2" t="s">
        <v>133</v>
      </c>
      <c r="HQ317" s="2" t="s">
        <v>133</v>
      </c>
      <c r="HR317" s="2"/>
      <c r="HS317" s="2">
        <v>0</v>
      </c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>
        <v>0</v>
      </c>
      <c r="IL317" s="2"/>
      <c r="IM317" s="2"/>
      <c r="IN317" s="2"/>
      <c r="IO317" s="2"/>
      <c r="IP317" s="2"/>
      <c r="IQ317" s="2"/>
      <c r="IR317" s="2"/>
      <c r="IS317" s="2"/>
      <c r="IT317" s="2"/>
      <c r="IU317" s="2"/>
    </row>
    <row r="318" spans="1:255" x14ac:dyDescent="0.2">
      <c r="A318" s="2">
        <v>17</v>
      </c>
      <c r="B318" s="2">
        <v>1</v>
      </c>
      <c r="C318" s="2"/>
      <c r="D318" s="2"/>
      <c r="E318" s="2" t="s">
        <v>320</v>
      </c>
      <c r="F318" s="2" t="s">
        <v>138</v>
      </c>
      <c r="G318" s="2" t="s">
        <v>139</v>
      </c>
      <c r="H318" s="2" t="s">
        <v>132</v>
      </c>
      <c r="I318" s="2">
        <v>0.6</v>
      </c>
      <c r="J318" s="2">
        <v>0</v>
      </c>
      <c r="K318" s="2">
        <v>0.6</v>
      </c>
      <c r="L318" s="2"/>
      <c r="M318" s="2"/>
      <c r="N318" s="2"/>
      <c r="O318" s="2">
        <f>0</f>
        <v>0</v>
      </c>
      <c r="P318" s="2">
        <f>0</f>
        <v>0</v>
      </c>
      <c r="Q318" s="2">
        <f>0</f>
        <v>0</v>
      </c>
      <c r="R318" s="2">
        <f>0</f>
        <v>0</v>
      </c>
      <c r="S318" s="2">
        <f>0</f>
        <v>0</v>
      </c>
      <c r="T318" s="2">
        <f>0</f>
        <v>0</v>
      </c>
      <c r="U318" s="2">
        <f>0</f>
        <v>0</v>
      </c>
      <c r="V318" s="2">
        <f>0</f>
        <v>0</v>
      </c>
      <c r="W318" s="2">
        <f>0</f>
        <v>0</v>
      </c>
      <c r="X318" s="2">
        <f>0</f>
        <v>0</v>
      </c>
      <c r="Y318" s="2">
        <f>0</f>
        <v>0</v>
      </c>
      <c r="Z318" s="2"/>
      <c r="AA318" s="2">
        <v>94104265</v>
      </c>
      <c r="AB318" s="2">
        <f>ROUND((AK318),6)</f>
        <v>519.79</v>
      </c>
      <c r="AC318" s="2">
        <f>0</f>
        <v>0</v>
      </c>
      <c r="AD318" s="2">
        <f>0</f>
        <v>0</v>
      </c>
      <c r="AE318" s="2">
        <f>0</f>
        <v>0</v>
      </c>
      <c r="AF318" s="2">
        <f>0</f>
        <v>0</v>
      </c>
      <c r="AG318" s="2">
        <f>0</f>
        <v>0</v>
      </c>
      <c r="AH318" s="2">
        <f>0</f>
        <v>0</v>
      </c>
      <c r="AI318" s="2">
        <f>0</f>
        <v>0</v>
      </c>
      <c r="AJ318" s="2">
        <f>0</f>
        <v>0</v>
      </c>
      <c r="AK318" s="2">
        <v>519.79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1</v>
      </c>
      <c r="AW318" s="2">
        <v>1</v>
      </c>
      <c r="AX318" s="2"/>
      <c r="AY318" s="2"/>
      <c r="AZ318" s="2">
        <v>1</v>
      </c>
      <c r="BA318" s="2">
        <v>1</v>
      </c>
      <c r="BB318" s="2">
        <v>1</v>
      </c>
      <c r="BC318" s="2">
        <v>1</v>
      </c>
      <c r="BD318" s="2" t="s">
        <v>3</v>
      </c>
      <c r="BE318" s="2" t="s">
        <v>3</v>
      </c>
      <c r="BF318" s="2" t="s">
        <v>3</v>
      </c>
      <c r="BG318" s="2" t="s">
        <v>3</v>
      </c>
      <c r="BH318" s="2">
        <v>0</v>
      </c>
      <c r="BI318" s="2">
        <v>1</v>
      </c>
      <c r="BJ318" s="2" t="s">
        <v>138</v>
      </c>
      <c r="BK318" s="2"/>
      <c r="BL318" s="2"/>
      <c r="BM318" s="2">
        <v>700008</v>
      </c>
      <c r="BN318" s="2">
        <v>0</v>
      </c>
      <c r="BO318" s="2" t="s">
        <v>3</v>
      </c>
      <c r="BP318" s="2">
        <v>0</v>
      </c>
      <c r="BQ318" s="2">
        <v>10</v>
      </c>
      <c r="BR318" s="2">
        <v>0</v>
      </c>
      <c r="BS318" s="2">
        <v>1</v>
      </c>
      <c r="BT318" s="2">
        <v>1</v>
      </c>
      <c r="BU318" s="2">
        <v>1</v>
      </c>
      <c r="BV318" s="2">
        <v>1</v>
      </c>
      <c r="BW318" s="2">
        <v>1</v>
      </c>
      <c r="BX318" s="2">
        <v>1</v>
      </c>
      <c r="BY318" s="2" t="s">
        <v>3</v>
      </c>
      <c r="BZ318" s="2">
        <v>94</v>
      </c>
      <c r="CA318" s="2">
        <v>61</v>
      </c>
      <c r="CB318" s="2" t="s">
        <v>3</v>
      </c>
      <c r="CC318" s="2"/>
      <c r="CD318" s="2"/>
      <c r="CE318" s="2">
        <v>0</v>
      </c>
      <c r="CF318" s="2">
        <v>0</v>
      </c>
      <c r="CG318" s="2">
        <v>0</v>
      </c>
      <c r="CH318" s="2"/>
      <c r="CI318" s="2"/>
      <c r="CJ318" s="2"/>
      <c r="CK318" s="2"/>
      <c r="CL318" s="2"/>
      <c r="CM318" s="2">
        <v>0</v>
      </c>
      <c r="CN318" s="2" t="s">
        <v>3</v>
      </c>
      <c r="CO318" s="2">
        <v>0</v>
      </c>
      <c r="CP318" s="2">
        <f>AB318*AZ318</f>
        <v>519.79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/>
      <c r="DB318" s="2"/>
      <c r="DC318" s="2" t="s">
        <v>3</v>
      </c>
      <c r="DD318" s="2" t="s">
        <v>3</v>
      </c>
      <c r="DE318" s="2" t="s">
        <v>3</v>
      </c>
      <c r="DF318" s="2" t="s">
        <v>3</v>
      </c>
      <c r="DG318" s="2" t="s">
        <v>3</v>
      </c>
      <c r="DH318" s="2" t="s">
        <v>3</v>
      </c>
      <c r="DI318" s="2" t="s">
        <v>3</v>
      </c>
      <c r="DJ318" s="2" t="s">
        <v>3</v>
      </c>
      <c r="DK318" s="2" t="s">
        <v>3</v>
      </c>
      <c r="DL318" s="2" t="s">
        <v>3</v>
      </c>
      <c r="DM318" s="2" t="s">
        <v>3</v>
      </c>
      <c r="DN318" s="2">
        <v>0</v>
      </c>
      <c r="DO318" s="2">
        <v>0</v>
      </c>
      <c r="DP318" s="2">
        <v>1</v>
      </c>
      <c r="DQ318" s="2">
        <v>1</v>
      </c>
      <c r="DR318" s="2"/>
      <c r="DS318" s="2"/>
      <c r="DT318" s="2"/>
      <c r="DU318" s="2">
        <v>1013</v>
      </c>
      <c r="DV318" s="2" t="s">
        <v>132</v>
      </c>
      <c r="DW318" s="2" t="s">
        <v>132</v>
      </c>
      <c r="DX318" s="2">
        <v>1</v>
      </c>
      <c r="DY318" s="2"/>
      <c r="DZ318" s="2" t="s">
        <v>3</v>
      </c>
      <c r="EA318" s="2" t="s">
        <v>3</v>
      </c>
      <c r="EB318" s="2" t="s">
        <v>3</v>
      </c>
      <c r="EC318" s="2" t="s">
        <v>3</v>
      </c>
      <c r="ED318" s="2"/>
      <c r="EE318" s="2">
        <v>89977457</v>
      </c>
      <c r="EF318" s="2">
        <v>10</v>
      </c>
      <c r="EG318" s="2" t="s">
        <v>140</v>
      </c>
      <c r="EH318" s="2">
        <v>107</v>
      </c>
      <c r="EI318" s="2" t="s">
        <v>141</v>
      </c>
      <c r="EJ318" s="2">
        <v>1</v>
      </c>
      <c r="EK318" s="2">
        <v>700008</v>
      </c>
      <c r="EL318" s="2" t="s">
        <v>142</v>
      </c>
      <c r="EM318" s="2" t="s">
        <v>143</v>
      </c>
      <c r="EN318" s="2"/>
      <c r="EO318" s="2" t="s">
        <v>3</v>
      </c>
      <c r="EP318" s="2"/>
      <c r="EQ318" s="2">
        <v>0</v>
      </c>
      <c r="ER318" s="2">
        <v>0</v>
      </c>
      <c r="ES318" s="2">
        <v>0</v>
      </c>
      <c r="ET318" s="2">
        <v>0</v>
      </c>
      <c r="EU318" s="2">
        <v>0</v>
      </c>
      <c r="EV318" s="2">
        <v>0</v>
      </c>
      <c r="EW318" s="2">
        <v>0</v>
      </c>
      <c r="EX318" s="2">
        <v>0</v>
      </c>
      <c r="EY318" s="2">
        <v>0</v>
      </c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>
        <v>0</v>
      </c>
      <c r="FR318" s="2">
        <v>0</v>
      </c>
      <c r="FS318" s="2">
        <v>0</v>
      </c>
      <c r="FT318" s="2"/>
      <c r="FU318" s="2"/>
      <c r="FV318" s="2"/>
      <c r="FW318" s="2"/>
      <c r="FX318" s="2">
        <v>0</v>
      </c>
      <c r="FY318" s="2">
        <v>0</v>
      </c>
      <c r="FZ318" s="2"/>
      <c r="GA318" s="2" t="s">
        <v>3</v>
      </c>
      <c r="GB318" s="2"/>
      <c r="GC318" s="2"/>
      <c r="GD318" s="2">
        <v>1</v>
      </c>
      <c r="GE318" s="2"/>
      <c r="GF318" s="2">
        <v>-1584862761</v>
      </c>
      <c r="GG318" s="2">
        <v>2</v>
      </c>
      <c r="GH318" s="2">
        <v>1</v>
      </c>
      <c r="GI318" s="2">
        <v>-2</v>
      </c>
      <c r="GJ318" s="2">
        <v>2</v>
      </c>
      <c r="GK318" s="2">
        <v>0</v>
      </c>
      <c r="GL318" s="2">
        <f t="shared" si="193"/>
        <v>0</v>
      </c>
      <c r="GM318" s="2">
        <f>ROUND(CP318*I318,2)</f>
        <v>311.87</v>
      </c>
      <c r="GN318" s="2">
        <f t="shared" si="195"/>
        <v>311.87</v>
      </c>
      <c r="GO318" s="2">
        <f t="shared" si="196"/>
        <v>0</v>
      </c>
      <c r="GP318" s="2">
        <f t="shared" si="197"/>
        <v>0</v>
      </c>
      <c r="GQ318" s="2"/>
      <c r="GR318" s="2">
        <v>0</v>
      </c>
      <c r="GS318" s="2">
        <v>0</v>
      </c>
      <c r="GT318" s="2">
        <v>0</v>
      </c>
      <c r="GU318" s="2" t="s">
        <v>3</v>
      </c>
      <c r="GV318" s="2">
        <f>0</f>
        <v>0</v>
      </c>
      <c r="GW318" s="2">
        <v>1</v>
      </c>
      <c r="GX318" s="2">
        <f>0</f>
        <v>0</v>
      </c>
      <c r="GY318" s="2"/>
      <c r="GZ318" s="2"/>
      <c r="HA318" s="2">
        <v>0</v>
      </c>
      <c r="HB318" s="2">
        <v>0</v>
      </c>
      <c r="HC318" s="2">
        <v>0</v>
      </c>
      <c r="HD318" s="2">
        <f>GM318</f>
        <v>311.87</v>
      </c>
      <c r="HE318" s="2" t="s">
        <v>3</v>
      </c>
      <c r="HF318" s="2" t="s">
        <v>3</v>
      </c>
      <c r="HG318" s="2"/>
      <c r="HH318" s="2"/>
      <c r="HI318" s="2"/>
      <c r="HJ318" s="2"/>
      <c r="HK318" s="2"/>
      <c r="HL318" s="2"/>
      <c r="HM318" s="2" t="s">
        <v>3</v>
      </c>
      <c r="HN318" s="2" t="s">
        <v>144</v>
      </c>
      <c r="HO318" s="2" t="s">
        <v>145</v>
      </c>
      <c r="HP318" s="2" t="s">
        <v>141</v>
      </c>
      <c r="HQ318" s="2" t="s">
        <v>141</v>
      </c>
      <c r="HR318" s="2"/>
      <c r="HS318" s="2">
        <v>0</v>
      </c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>
        <v>0</v>
      </c>
      <c r="IL318" s="2"/>
      <c r="IM318" s="2"/>
      <c r="IN318" s="2"/>
      <c r="IO318" s="2"/>
      <c r="IP318" s="2"/>
      <c r="IQ318" s="2"/>
      <c r="IR318" s="2"/>
      <c r="IS318" s="2"/>
      <c r="IT318" s="2"/>
      <c r="IU318" s="2"/>
    </row>
    <row r="320" spans="1:255" x14ac:dyDescent="0.2">
      <c r="A320" s="3">
        <v>51</v>
      </c>
      <c r="B320" s="3">
        <f>B303</f>
        <v>1</v>
      </c>
      <c r="C320" s="3">
        <f>A303</f>
        <v>4</v>
      </c>
      <c r="D320" s="3">
        <f>ROW(A303)</f>
        <v>303</v>
      </c>
      <c r="E320" s="3"/>
      <c r="F320" s="3" t="str">
        <f>IF(F303&lt;&gt;"",F303,"")</f>
        <v>Новый раздел</v>
      </c>
      <c r="G320" s="3" t="str">
        <f>IF(G303&lt;&gt;"",G303,"")</f>
        <v>помещение 308  (земляной вал, д.73)</v>
      </c>
      <c r="H320" s="3">
        <v>0</v>
      </c>
      <c r="I320" s="3"/>
      <c r="J320" s="3"/>
      <c r="K320" s="3"/>
      <c r="L320" s="3"/>
      <c r="M320" s="3"/>
      <c r="N320" s="3"/>
      <c r="O320" s="3">
        <f t="shared" ref="O320:T320" si="201">ROUND(AB320,2)</f>
        <v>119718.26</v>
      </c>
      <c r="P320" s="3">
        <f t="shared" si="201"/>
        <v>100053.54</v>
      </c>
      <c r="Q320" s="3">
        <f t="shared" si="201"/>
        <v>1050.4100000000001</v>
      </c>
      <c r="R320" s="3">
        <f t="shared" si="201"/>
        <v>1998.47</v>
      </c>
      <c r="S320" s="3">
        <f t="shared" si="201"/>
        <v>16615.84</v>
      </c>
      <c r="T320" s="3">
        <f t="shared" si="201"/>
        <v>0</v>
      </c>
      <c r="U320" s="3">
        <f>AH320</f>
        <v>26.184915</v>
      </c>
      <c r="V320" s="3">
        <f>AI320</f>
        <v>2.7391875000000003</v>
      </c>
      <c r="W320" s="3">
        <f>ROUND(AJ320,2)</f>
        <v>0</v>
      </c>
      <c r="X320" s="3">
        <f>ROUND(AK320,2)</f>
        <v>18394.009999999998</v>
      </c>
      <c r="Y320" s="3">
        <f>ROUND(AL320,2)</f>
        <v>10088.85</v>
      </c>
      <c r="Z320" s="3"/>
      <c r="AA320" s="3"/>
      <c r="AB320" s="3">
        <f>ROUND(SUMIF(AA307:AA318,"=94104265",O307:O318),2)</f>
        <v>119718.26</v>
      </c>
      <c r="AC320" s="3">
        <f>ROUND(SUMIF(AA307:AA318,"=94104265",P307:P318),2)</f>
        <v>100053.54</v>
      </c>
      <c r="AD320" s="3">
        <f>ROUND(SUMIF(AA307:AA318,"=94104265",Q307:Q318),2)</f>
        <v>1050.4100000000001</v>
      </c>
      <c r="AE320" s="3">
        <f>ROUND(SUMIF(AA307:AA318,"=94104265",R307:R318),2)</f>
        <v>1998.47</v>
      </c>
      <c r="AF320" s="3">
        <f>ROUND(SUMIF(AA307:AA318,"=94104265",S307:S318),2)</f>
        <v>16615.84</v>
      </c>
      <c r="AG320" s="3">
        <f>ROUND(SUMIF(AA307:AA318,"=94104265",T307:T318),2)</f>
        <v>0</v>
      </c>
      <c r="AH320" s="3">
        <f>SUMIF(AA307:AA318,"=94104265",U307:U318)</f>
        <v>26.184915</v>
      </c>
      <c r="AI320" s="3">
        <f>SUMIF(AA307:AA318,"=94104265",V307:V318)</f>
        <v>2.7391875000000003</v>
      </c>
      <c r="AJ320" s="3">
        <f>ROUND(SUMIF(AA307:AA318,"=94104265",W307:W318),2)</f>
        <v>0</v>
      </c>
      <c r="AK320" s="3">
        <f>ROUND(SUMIF(AA307:AA318,"=94104265",X307:X318),2)</f>
        <v>18394.009999999998</v>
      </c>
      <c r="AL320" s="3">
        <f>ROUND(SUMIF(AA307:AA318,"=94104265",Y307:Y318),2)</f>
        <v>10088.85</v>
      </c>
      <c r="AM320" s="3"/>
      <c r="AN320" s="3"/>
      <c r="AO320" s="3">
        <f t="shared" ref="AO320:BD320" si="202">ROUND(BX320,2)</f>
        <v>0</v>
      </c>
      <c r="AP320" s="3">
        <f t="shared" si="202"/>
        <v>0</v>
      </c>
      <c r="AQ320" s="3">
        <f t="shared" si="202"/>
        <v>0</v>
      </c>
      <c r="AR320" s="3">
        <f t="shared" si="202"/>
        <v>150420.34</v>
      </c>
      <c r="AS320" s="3">
        <f t="shared" si="202"/>
        <v>150420.34</v>
      </c>
      <c r="AT320" s="3">
        <f t="shared" si="202"/>
        <v>0</v>
      </c>
      <c r="AU320" s="3">
        <f t="shared" si="202"/>
        <v>0</v>
      </c>
      <c r="AV320" s="3">
        <f t="shared" si="202"/>
        <v>100053.54</v>
      </c>
      <c r="AW320" s="3">
        <f t="shared" si="202"/>
        <v>100053.54</v>
      </c>
      <c r="AX320" s="3">
        <f t="shared" si="202"/>
        <v>0</v>
      </c>
      <c r="AY320" s="3">
        <f t="shared" si="202"/>
        <v>100053.54</v>
      </c>
      <c r="AZ320" s="3">
        <f t="shared" si="202"/>
        <v>0</v>
      </c>
      <c r="BA320" s="3">
        <f t="shared" si="202"/>
        <v>0</v>
      </c>
      <c r="BB320" s="3">
        <f t="shared" si="202"/>
        <v>0</v>
      </c>
      <c r="BC320" s="3">
        <f t="shared" si="202"/>
        <v>0</v>
      </c>
      <c r="BD320" s="3">
        <f t="shared" si="202"/>
        <v>2219.2199999999998</v>
      </c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>
        <f>ROUND(SUMIF(AA307:AA318,"=94104265",FQ307:FQ318),2)</f>
        <v>0</v>
      </c>
      <c r="BY320" s="3">
        <f>ROUND(SUMIF(AA307:AA318,"=94104265",FR307:FR318),2)</f>
        <v>0</v>
      </c>
      <c r="BZ320" s="3">
        <f>ROUND(SUMIF(AA307:AA318,"=94104265",GL307:GL318),2)</f>
        <v>0</v>
      </c>
      <c r="CA320" s="3">
        <f>ROUND(SUMIF(AA307:AA318,"=94104265",GM307:GM318),2)</f>
        <v>150420.34</v>
      </c>
      <c r="CB320" s="3">
        <f>ROUND(SUMIF(AA307:AA318,"=94104265",GN307:GN318),2)</f>
        <v>150420.34</v>
      </c>
      <c r="CC320" s="3">
        <f>ROUND(SUMIF(AA307:AA318,"=94104265",GO307:GO318),2)</f>
        <v>0</v>
      </c>
      <c r="CD320" s="3">
        <f>ROUND(SUMIF(AA307:AA318,"=94104265",GP307:GP318),2)</f>
        <v>0</v>
      </c>
      <c r="CE320" s="3">
        <f>AC320-BX320</f>
        <v>100053.54</v>
      </c>
      <c r="CF320" s="3">
        <f>AC320-BY320</f>
        <v>100053.54</v>
      </c>
      <c r="CG320" s="3">
        <f>BX320-BZ320</f>
        <v>0</v>
      </c>
      <c r="CH320" s="3">
        <f>AC320-BX320-BY320+BZ320</f>
        <v>100053.54</v>
      </c>
      <c r="CI320" s="3">
        <f>BY320-BZ320</f>
        <v>0</v>
      </c>
      <c r="CJ320" s="3">
        <f>ROUND(SUMIF(AA307:AA318,"=94104265",GX307:GX318),2)</f>
        <v>0</v>
      </c>
      <c r="CK320" s="3">
        <f>ROUND(SUMIF(AA307:AA318,"=94104265",GY307:GY318),2)</f>
        <v>0</v>
      </c>
      <c r="CL320" s="3">
        <f>ROUND(SUMIF(AA307:AA318,"=94104265",GZ307:GZ318),2)</f>
        <v>0</v>
      </c>
      <c r="CM320" s="3">
        <f>ROUND(SUMIF(AA307:AA318,"=94104265",HD307:HD318),2)</f>
        <v>2219.2199999999998</v>
      </c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4"/>
      <c r="GA320" s="4"/>
      <c r="GB320" s="4"/>
      <c r="GC320" s="4"/>
      <c r="GD320" s="4"/>
      <c r="GE320" s="4"/>
      <c r="GF320" s="4"/>
      <c r="GG320" s="4"/>
      <c r="GH320" s="4"/>
      <c r="GI320" s="4"/>
      <c r="GJ320" s="4"/>
      <c r="GK320" s="4"/>
      <c r="GL320" s="4"/>
      <c r="GM320" s="4"/>
      <c r="GN320" s="4"/>
      <c r="GO320" s="4"/>
      <c r="GP320" s="4"/>
      <c r="GQ320" s="4"/>
      <c r="GR320" s="4"/>
      <c r="GS320" s="4"/>
      <c r="GT320" s="4"/>
      <c r="GU320" s="4"/>
      <c r="GV320" s="4"/>
      <c r="GW320" s="4"/>
      <c r="GX320" s="4">
        <v>0</v>
      </c>
    </row>
    <row r="322" spans="1:28" x14ac:dyDescent="0.2">
      <c r="A322" s="5">
        <v>50</v>
      </c>
      <c r="B322" s="5">
        <v>0</v>
      </c>
      <c r="C322" s="5">
        <v>0</v>
      </c>
      <c r="D322" s="5">
        <v>1</v>
      </c>
      <c r="E322" s="5">
        <v>201</v>
      </c>
      <c r="F322" s="5">
        <f>ROUND(Source!O320,O322)</f>
        <v>119718.26</v>
      </c>
      <c r="G322" s="5" t="s">
        <v>146</v>
      </c>
      <c r="H322" s="5" t="s">
        <v>147</v>
      </c>
      <c r="I322" s="5"/>
      <c r="J322" s="5"/>
      <c r="K322" s="5">
        <v>201</v>
      </c>
      <c r="L322" s="5">
        <v>1</v>
      </c>
      <c r="M322" s="5">
        <v>3</v>
      </c>
      <c r="N322" s="5" t="s">
        <v>3</v>
      </c>
      <c r="O322" s="5">
        <v>2</v>
      </c>
      <c r="P322" s="5"/>
      <c r="Q322" s="5"/>
      <c r="R322" s="5"/>
      <c r="S322" s="5"/>
      <c r="T322" s="5"/>
      <c r="U322" s="5"/>
      <c r="V322" s="5"/>
      <c r="W322" s="5">
        <v>121937.48</v>
      </c>
      <c r="X322" s="5">
        <v>1</v>
      </c>
      <c r="Y322" s="5">
        <v>121937.48</v>
      </c>
      <c r="Z322" s="5"/>
      <c r="AA322" s="5"/>
      <c r="AB322" s="5"/>
    </row>
    <row r="323" spans="1:28" x14ac:dyDescent="0.2">
      <c r="A323" s="5">
        <v>50</v>
      </c>
      <c r="B323" s="5">
        <v>0</v>
      </c>
      <c r="C323" s="5">
        <v>0</v>
      </c>
      <c r="D323" s="5">
        <v>1</v>
      </c>
      <c r="E323" s="5">
        <v>202</v>
      </c>
      <c r="F323" s="5">
        <f>ROUND(Source!P320,O323)</f>
        <v>100053.54</v>
      </c>
      <c r="G323" s="5" t="s">
        <v>148</v>
      </c>
      <c r="H323" s="5" t="s">
        <v>149</v>
      </c>
      <c r="I323" s="5"/>
      <c r="J323" s="5"/>
      <c r="K323" s="5">
        <v>202</v>
      </c>
      <c r="L323" s="5">
        <v>2</v>
      </c>
      <c r="M323" s="5">
        <v>3</v>
      </c>
      <c r="N323" s="5" t="s">
        <v>3</v>
      </c>
      <c r="O323" s="5">
        <v>2</v>
      </c>
      <c r="P323" s="5"/>
      <c r="Q323" s="5"/>
      <c r="R323" s="5"/>
      <c r="S323" s="5"/>
      <c r="T323" s="5"/>
      <c r="U323" s="5"/>
      <c r="V323" s="5"/>
      <c r="W323" s="5">
        <v>100053.54</v>
      </c>
      <c r="X323" s="5">
        <v>1</v>
      </c>
      <c r="Y323" s="5">
        <v>100053.54</v>
      </c>
      <c r="Z323" s="5"/>
      <c r="AA323" s="5"/>
      <c r="AB323" s="5"/>
    </row>
    <row r="324" spans="1:28" x14ac:dyDescent="0.2">
      <c r="A324" s="5">
        <v>50</v>
      </c>
      <c r="B324" s="5">
        <v>0</v>
      </c>
      <c r="C324" s="5">
        <v>0</v>
      </c>
      <c r="D324" s="5">
        <v>1</v>
      </c>
      <c r="E324" s="5">
        <v>222</v>
      </c>
      <c r="F324" s="5">
        <f>ROUND(Source!AO320,O324)</f>
        <v>0</v>
      </c>
      <c r="G324" s="5" t="s">
        <v>150</v>
      </c>
      <c r="H324" s="5" t="s">
        <v>151</v>
      </c>
      <c r="I324" s="5"/>
      <c r="J324" s="5"/>
      <c r="K324" s="5">
        <v>222</v>
      </c>
      <c r="L324" s="5">
        <v>3</v>
      </c>
      <c r="M324" s="5">
        <v>3</v>
      </c>
      <c r="N324" s="5" t="s">
        <v>3</v>
      </c>
      <c r="O324" s="5">
        <v>2</v>
      </c>
      <c r="P324" s="5"/>
      <c r="Q324" s="5"/>
      <c r="R324" s="5"/>
      <c r="S324" s="5"/>
      <c r="T324" s="5"/>
      <c r="U324" s="5"/>
      <c r="V324" s="5"/>
      <c r="W324" s="5">
        <v>0</v>
      </c>
      <c r="X324" s="5">
        <v>1</v>
      </c>
      <c r="Y324" s="5">
        <v>0</v>
      </c>
      <c r="Z324" s="5"/>
      <c r="AA324" s="5"/>
      <c r="AB324" s="5"/>
    </row>
    <row r="325" spans="1:28" x14ac:dyDescent="0.2">
      <c r="A325" s="5">
        <v>50</v>
      </c>
      <c r="B325" s="5">
        <v>0</v>
      </c>
      <c r="C325" s="5">
        <v>0</v>
      </c>
      <c r="D325" s="5">
        <v>1</v>
      </c>
      <c r="E325" s="5">
        <v>225</v>
      </c>
      <c r="F325" s="5">
        <f>ROUND(Source!AV320,O325)</f>
        <v>100053.54</v>
      </c>
      <c r="G325" s="5" t="s">
        <v>152</v>
      </c>
      <c r="H325" s="5" t="s">
        <v>153</v>
      </c>
      <c r="I325" s="5"/>
      <c r="J325" s="5"/>
      <c r="K325" s="5">
        <v>225</v>
      </c>
      <c r="L325" s="5">
        <v>4</v>
      </c>
      <c r="M325" s="5">
        <v>3</v>
      </c>
      <c r="N325" s="5" t="s">
        <v>3</v>
      </c>
      <c r="O325" s="5">
        <v>2</v>
      </c>
      <c r="P325" s="5"/>
      <c r="Q325" s="5"/>
      <c r="R325" s="5"/>
      <c r="S325" s="5"/>
      <c r="T325" s="5"/>
      <c r="U325" s="5"/>
      <c r="V325" s="5"/>
      <c r="W325" s="5">
        <v>100053.54</v>
      </c>
      <c r="X325" s="5">
        <v>1</v>
      </c>
      <c r="Y325" s="5">
        <v>100053.54</v>
      </c>
      <c r="Z325" s="5"/>
      <c r="AA325" s="5"/>
      <c r="AB325" s="5"/>
    </row>
    <row r="326" spans="1:28" x14ac:dyDescent="0.2">
      <c r="A326" s="5">
        <v>50</v>
      </c>
      <c r="B326" s="5">
        <v>0</v>
      </c>
      <c r="C326" s="5">
        <v>0</v>
      </c>
      <c r="D326" s="5">
        <v>1</v>
      </c>
      <c r="E326" s="5">
        <v>226</v>
      </c>
      <c r="F326" s="5">
        <f>ROUND(Source!AW320,O326)</f>
        <v>100053.54</v>
      </c>
      <c r="G326" s="5" t="s">
        <v>154</v>
      </c>
      <c r="H326" s="5" t="s">
        <v>155</v>
      </c>
      <c r="I326" s="5"/>
      <c r="J326" s="5"/>
      <c r="K326" s="5">
        <v>226</v>
      </c>
      <c r="L326" s="5">
        <v>5</v>
      </c>
      <c r="M326" s="5">
        <v>3</v>
      </c>
      <c r="N326" s="5" t="s">
        <v>3</v>
      </c>
      <c r="O326" s="5">
        <v>2</v>
      </c>
      <c r="P326" s="5"/>
      <c r="Q326" s="5"/>
      <c r="R326" s="5"/>
      <c r="S326" s="5"/>
      <c r="T326" s="5"/>
      <c r="U326" s="5"/>
      <c r="V326" s="5"/>
      <c r="W326" s="5">
        <v>100053.54</v>
      </c>
      <c r="X326" s="5">
        <v>1</v>
      </c>
      <c r="Y326" s="5">
        <v>100053.54</v>
      </c>
      <c r="Z326" s="5"/>
      <c r="AA326" s="5"/>
      <c r="AB326" s="5"/>
    </row>
    <row r="327" spans="1:28" x14ac:dyDescent="0.2">
      <c r="A327" s="5">
        <v>50</v>
      </c>
      <c r="B327" s="5">
        <v>0</v>
      </c>
      <c r="C327" s="5">
        <v>0</v>
      </c>
      <c r="D327" s="5">
        <v>1</v>
      </c>
      <c r="E327" s="5">
        <v>227</v>
      </c>
      <c r="F327" s="5">
        <f>ROUND(Source!AX320,O327)</f>
        <v>0</v>
      </c>
      <c r="G327" s="5" t="s">
        <v>156</v>
      </c>
      <c r="H327" s="5" t="s">
        <v>157</v>
      </c>
      <c r="I327" s="5"/>
      <c r="J327" s="5"/>
      <c r="K327" s="5">
        <v>227</v>
      </c>
      <c r="L327" s="5">
        <v>6</v>
      </c>
      <c r="M327" s="5">
        <v>3</v>
      </c>
      <c r="N327" s="5" t="s">
        <v>3</v>
      </c>
      <c r="O327" s="5">
        <v>2</v>
      </c>
      <c r="P327" s="5"/>
      <c r="Q327" s="5"/>
      <c r="R327" s="5"/>
      <c r="S327" s="5"/>
      <c r="T327" s="5"/>
      <c r="U327" s="5"/>
      <c r="V327" s="5"/>
      <c r="W327" s="5">
        <v>0</v>
      </c>
      <c r="X327" s="5">
        <v>1</v>
      </c>
      <c r="Y327" s="5">
        <v>0</v>
      </c>
      <c r="Z327" s="5"/>
      <c r="AA327" s="5"/>
      <c r="AB327" s="5"/>
    </row>
    <row r="328" spans="1:28" x14ac:dyDescent="0.2">
      <c r="A328" s="5">
        <v>50</v>
      </c>
      <c r="B328" s="5">
        <v>0</v>
      </c>
      <c r="C328" s="5">
        <v>0</v>
      </c>
      <c r="D328" s="5">
        <v>1</v>
      </c>
      <c r="E328" s="5">
        <v>228</v>
      </c>
      <c r="F328" s="5">
        <f>ROUND(Source!AY320,O328)</f>
        <v>100053.54</v>
      </c>
      <c r="G328" s="5" t="s">
        <v>158</v>
      </c>
      <c r="H328" s="5" t="s">
        <v>159</v>
      </c>
      <c r="I328" s="5"/>
      <c r="J328" s="5"/>
      <c r="K328" s="5">
        <v>228</v>
      </c>
      <c r="L328" s="5">
        <v>7</v>
      </c>
      <c r="M328" s="5">
        <v>3</v>
      </c>
      <c r="N328" s="5" t="s">
        <v>3</v>
      </c>
      <c r="O328" s="5">
        <v>2</v>
      </c>
      <c r="P328" s="5"/>
      <c r="Q328" s="5"/>
      <c r="R328" s="5"/>
      <c r="S328" s="5"/>
      <c r="T328" s="5"/>
      <c r="U328" s="5"/>
      <c r="V328" s="5"/>
      <c r="W328" s="5">
        <v>100053.54</v>
      </c>
      <c r="X328" s="5">
        <v>1</v>
      </c>
      <c r="Y328" s="5">
        <v>100053.54</v>
      </c>
      <c r="Z328" s="5"/>
      <c r="AA328" s="5"/>
      <c r="AB328" s="5"/>
    </row>
    <row r="329" spans="1:28" x14ac:dyDescent="0.2">
      <c r="A329" s="5">
        <v>50</v>
      </c>
      <c r="B329" s="5">
        <v>0</v>
      </c>
      <c r="C329" s="5">
        <v>0</v>
      </c>
      <c r="D329" s="5">
        <v>1</v>
      </c>
      <c r="E329" s="5">
        <v>216</v>
      </c>
      <c r="F329" s="5">
        <f>ROUND(Source!AP320,O329)</f>
        <v>0</v>
      </c>
      <c r="G329" s="5" t="s">
        <v>160</v>
      </c>
      <c r="H329" s="5" t="s">
        <v>161</v>
      </c>
      <c r="I329" s="5"/>
      <c r="J329" s="5"/>
      <c r="K329" s="5">
        <v>216</v>
      </c>
      <c r="L329" s="5">
        <v>8</v>
      </c>
      <c r="M329" s="5">
        <v>3</v>
      </c>
      <c r="N329" s="5" t="s">
        <v>3</v>
      </c>
      <c r="O329" s="5">
        <v>2</v>
      </c>
      <c r="P329" s="5"/>
      <c r="Q329" s="5"/>
      <c r="R329" s="5"/>
      <c r="S329" s="5"/>
      <c r="T329" s="5"/>
      <c r="U329" s="5"/>
      <c r="V329" s="5"/>
      <c r="W329" s="5">
        <v>0</v>
      </c>
      <c r="X329" s="5">
        <v>1</v>
      </c>
      <c r="Y329" s="5">
        <v>0</v>
      </c>
      <c r="Z329" s="5"/>
      <c r="AA329" s="5"/>
      <c r="AB329" s="5"/>
    </row>
    <row r="330" spans="1:28" x14ac:dyDescent="0.2">
      <c r="A330" s="5">
        <v>50</v>
      </c>
      <c r="B330" s="5">
        <v>0</v>
      </c>
      <c r="C330" s="5">
        <v>0</v>
      </c>
      <c r="D330" s="5">
        <v>1</v>
      </c>
      <c r="E330" s="5">
        <v>223</v>
      </c>
      <c r="F330" s="5">
        <f>ROUND(Source!AQ320,O330)</f>
        <v>0</v>
      </c>
      <c r="G330" s="5" t="s">
        <v>162</v>
      </c>
      <c r="H330" s="5" t="s">
        <v>163</v>
      </c>
      <c r="I330" s="5"/>
      <c r="J330" s="5"/>
      <c r="K330" s="5">
        <v>223</v>
      </c>
      <c r="L330" s="5">
        <v>9</v>
      </c>
      <c r="M330" s="5">
        <v>3</v>
      </c>
      <c r="N330" s="5" t="s">
        <v>3</v>
      </c>
      <c r="O330" s="5">
        <v>2</v>
      </c>
      <c r="P330" s="5"/>
      <c r="Q330" s="5"/>
      <c r="R330" s="5"/>
      <c r="S330" s="5"/>
      <c r="T330" s="5"/>
      <c r="U330" s="5"/>
      <c r="V330" s="5"/>
      <c r="W330" s="5">
        <v>0</v>
      </c>
      <c r="X330" s="5">
        <v>1</v>
      </c>
      <c r="Y330" s="5">
        <v>0</v>
      </c>
      <c r="Z330" s="5"/>
      <c r="AA330" s="5"/>
      <c r="AB330" s="5"/>
    </row>
    <row r="331" spans="1:28" x14ac:dyDescent="0.2">
      <c r="A331" s="5">
        <v>50</v>
      </c>
      <c r="B331" s="5">
        <v>0</v>
      </c>
      <c r="C331" s="5">
        <v>0</v>
      </c>
      <c r="D331" s="5">
        <v>1</v>
      </c>
      <c r="E331" s="5">
        <v>229</v>
      </c>
      <c r="F331" s="5">
        <f>ROUND(Source!AZ320,O331)</f>
        <v>0</v>
      </c>
      <c r="G331" s="5" t="s">
        <v>164</v>
      </c>
      <c r="H331" s="5" t="s">
        <v>165</v>
      </c>
      <c r="I331" s="5"/>
      <c r="J331" s="5"/>
      <c r="K331" s="5">
        <v>229</v>
      </c>
      <c r="L331" s="5">
        <v>10</v>
      </c>
      <c r="M331" s="5">
        <v>3</v>
      </c>
      <c r="N331" s="5" t="s">
        <v>3</v>
      </c>
      <c r="O331" s="5">
        <v>2</v>
      </c>
      <c r="P331" s="5"/>
      <c r="Q331" s="5"/>
      <c r="R331" s="5"/>
      <c r="S331" s="5"/>
      <c r="T331" s="5"/>
      <c r="U331" s="5"/>
      <c r="V331" s="5"/>
      <c r="W331" s="5">
        <v>0</v>
      </c>
      <c r="X331" s="5">
        <v>1</v>
      </c>
      <c r="Y331" s="5">
        <v>0</v>
      </c>
      <c r="Z331" s="5"/>
      <c r="AA331" s="5"/>
      <c r="AB331" s="5"/>
    </row>
    <row r="332" spans="1:28" x14ac:dyDescent="0.2">
      <c r="A332" s="5">
        <v>50</v>
      </c>
      <c r="B332" s="5">
        <v>0</v>
      </c>
      <c r="C332" s="5">
        <v>0</v>
      </c>
      <c r="D332" s="5">
        <v>1</v>
      </c>
      <c r="E332" s="5">
        <v>203</v>
      </c>
      <c r="F332" s="5">
        <f>ROUND(Source!Q320,O332)</f>
        <v>1050.4100000000001</v>
      </c>
      <c r="G332" s="5" t="s">
        <v>166</v>
      </c>
      <c r="H332" s="5" t="s">
        <v>167</v>
      </c>
      <c r="I332" s="5"/>
      <c r="J332" s="5"/>
      <c r="K332" s="5">
        <v>203</v>
      </c>
      <c r="L332" s="5">
        <v>11</v>
      </c>
      <c r="M332" s="5">
        <v>3</v>
      </c>
      <c r="N332" s="5" t="s">
        <v>3</v>
      </c>
      <c r="O332" s="5">
        <v>2</v>
      </c>
      <c r="P332" s="5"/>
      <c r="Q332" s="5"/>
      <c r="R332" s="5"/>
      <c r="S332" s="5"/>
      <c r="T332" s="5"/>
      <c r="U332" s="5"/>
      <c r="V332" s="5"/>
      <c r="W332" s="5">
        <v>1050.4100000000001</v>
      </c>
      <c r="X332" s="5">
        <v>1</v>
      </c>
      <c r="Y332" s="5">
        <v>1050.4100000000001</v>
      </c>
      <c r="Z332" s="5"/>
      <c r="AA332" s="5"/>
      <c r="AB332" s="5"/>
    </row>
    <row r="333" spans="1:28" x14ac:dyDescent="0.2">
      <c r="A333" s="5">
        <v>50</v>
      </c>
      <c r="B333" s="5">
        <v>0</v>
      </c>
      <c r="C333" s="5">
        <v>0</v>
      </c>
      <c r="D333" s="5">
        <v>1</v>
      </c>
      <c r="E333" s="5">
        <v>231</v>
      </c>
      <c r="F333" s="5">
        <f>ROUND(Source!BB320,O333)</f>
        <v>0</v>
      </c>
      <c r="G333" s="5" t="s">
        <v>168</v>
      </c>
      <c r="H333" s="5" t="s">
        <v>169</v>
      </c>
      <c r="I333" s="5"/>
      <c r="J333" s="5"/>
      <c r="K333" s="5">
        <v>231</v>
      </c>
      <c r="L333" s="5">
        <v>12</v>
      </c>
      <c r="M333" s="5">
        <v>3</v>
      </c>
      <c r="N333" s="5" t="s">
        <v>3</v>
      </c>
      <c r="O333" s="5">
        <v>2</v>
      </c>
      <c r="P333" s="5"/>
      <c r="Q333" s="5"/>
      <c r="R333" s="5"/>
      <c r="S333" s="5"/>
      <c r="T333" s="5"/>
      <c r="U333" s="5"/>
      <c r="V333" s="5"/>
      <c r="W333" s="5">
        <v>0</v>
      </c>
      <c r="X333" s="5">
        <v>1</v>
      </c>
      <c r="Y333" s="5">
        <v>0</v>
      </c>
      <c r="Z333" s="5"/>
      <c r="AA333" s="5"/>
      <c r="AB333" s="5"/>
    </row>
    <row r="334" spans="1:28" x14ac:dyDescent="0.2">
      <c r="A334" s="5">
        <v>50</v>
      </c>
      <c r="B334" s="5">
        <v>0</v>
      </c>
      <c r="C334" s="5">
        <v>0</v>
      </c>
      <c r="D334" s="5">
        <v>1</v>
      </c>
      <c r="E334" s="5">
        <v>204</v>
      </c>
      <c r="F334" s="5">
        <f>ROUND(Source!R320,O334)</f>
        <v>1998.47</v>
      </c>
      <c r="G334" s="5" t="s">
        <v>170</v>
      </c>
      <c r="H334" s="5" t="s">
        <v>171</v>
      </c>
      <c r="I334" s="5"/>
      <c r="J334" s="5"/>
      <c r="K334" s="5">
        <v>204</v>
      </c>
      <c r="L334" s="5">
        <v>13</v>
      </c>
      <c r="M334" s="5">
        <v>3</v>
      </c>
      <c r="N334" s="5" t="s">
        <v>3</v>
      </c>
      <c r="O334" s="5">
        <v>2</v>
      </c>
      <c r="P334" s="5"/>
      <c r="Q334" s="5"/>
      <c r="R334" s="5"/>
      <c r="S334" s="5"/>
      <c r="T334" s="5"/>
      <c r="U334" s="5"/>
      <c r="V334" s="5"/>
      <c r="W334" s="5">
        <v>1998.4699999999998</v>
      </c>
      <c r="X334" s="5">
        <v>1</v>
      </c>
      <c r="Y334" s="5">
        <v>1998.4699999999998</v>
      </c>
      <c r="Z334" s="5"/>
      <c r="AA334" s="5"/>
      <c r="AB334" s="5"/>
    </row>
    <row r="335" spans="1:28" x14ac:dyDescent="0.2">
      <c r="A335" s="5">
        <v>50</v>
      </c>
      <c r="B335" s="5">
        <v>0</v>
      </c>
      <c r="C335" s="5">
        <v>0</v>
      </c>
      <c r="D335" s="5">
        <v>1</v>
      </c>
      <c r="E335" s="5">
        <v>205</v>
      </c>
      <c r="F335" s="5">
        <f>ROUND(Source!S320,O335)</f>
        <v>16615.84</v>
      </c>
      <c r="G335" s="5" t="s">
        <v>172</v>
      </c>
      <c r="H335" s="5" t="s">
        <v>173</v>
      </c>
      <c r="I335" s="5"/>
      <c r="J335" s="5"/>
      <c r="K335" s="5">
        <v>205</v>
      </c>
      <c r="L335" s="5">
        <v>14</v>
      </c>
      <c r="M335" s="5">
        <v>3</v>
      </c>
      <c r="N335" s="5" t="s">
        <v>3</v>
      </c>
      <c r="O335" s="5">
        <v>2</v>
      </c>
      <c r="P335" s="5"/>
      <c r="Q335" s="5"/>
      <c r="R335" s="5"/>
      <c r="S335" s="5"/>
      <c r="T335" s="5"/>
      <c r="U335" s="5"/>
      <c r="V335" s="5"/>
      <c r="W335" s="5">
        <v>16615.84</v>
      </c>
      <c r="X335" s="5">
        <v>1</v>
      </c>
      <c r="Y335" s="5">
        <v>16615.84</v>
      </c>
      <c r="Z335" s="5"/>
      <c r="AA335" s="5"/>
      <c r="AB335" s="5"/>
    </row>
    <row r="336" spans="1:28" x14ac:dyDescent="0.2">
      <c r="A336" s="5">
        <v>50</v>
      </c>
      <c r="B336" s="5">
        <v>0</v>
      </c>
      <c r="C336" s="5">
        <v>0</v>
      </c>
      <c r="D336" s="5">
        <v>1</v>
      </c>
      <c r="E336" s="5">
        <v>232</v>
      </c>
      <c r="F336" s="5">
        <f>ROUND(Source!BC320,O336)</f>
        <v>0</v>
      </c>
      <c r="G336" s="5" t="s">
        <v>174</v>
      </c>
      <c r="H336" s="5" t="s">
        <v>175</v>
      </c>
      <c r="I336" s="5"/>
      <c r="J336" s="5"/>
      <c r="K336" s="5">
        <v>232</v>
      </c>
      <c r="L336" s="5">
        <v>15</v>
      </c>
      <c r="M336" s="5">
        <v>3</v>
      </c>
      <c r="N336" s="5" t="s">
        <v>3</v>
      </c>
      <c r="O336" s="5">
        <v>2</v>
      </c>
      <c r="P336" s="5"/>
      <c r="Q336" s="5"/>
      <c r="R336" s="5"/>
      <c r="S336" s="5"/>
      <c r="T336" s="5"/>
      <c r="U336" s="5"/>
      <c r="V336" s="5"/>
      <c r="W336" s="5">
        <v>0</v>
      </c>
      <c r="X336" s="5">
        <v>1</v>
      </c>
      <c r="Y336" s="5">
        <v>0</v>
      </c>
      <c r="Z336" s="5"/>
      <c r="AA336" s="5"/>
      <c r="AB336" s="5"/>
    </row>
    <row r="337" spans="1:206" x14ac:dyDescent="0.2">
      <c r="A337" s="5">
        <v>50</v>
      </c>
      <c r="B337" s="5">
        <v>0</v>
      </c>
      <c r="C337" s="5">
        <v>0</v>
      </c>
      <c r="D337" s="5">
        <v>1</v>
      </c>
      <c r="E337" s="5">
        <v>214</v>
      </c>
      <c r="F337" s="5">
        <f>ROUND(Source!AS320,O337)</f>
        <v>150420.34</v>
      </c>
      <c r="G337" s="5" t="s">
        <v>176</v>
      </c>
      <c r="H337" s="5" t="s">
        <v>177</v>
      </c>
      <c r="I337" s="5"/>
      <c r="J337" s="5"/>
      <c r="K337" s="5">
        <v>214</v>
      </c>
      <c r="L337" s="5">
        <v>16</v>
      </c>
      <c r="M337" s="5">
        <v>3</v>
      </c>
      <c r="N337" s="5" t="s">
        <v>3</v>
      </c>
      <c r="O337" s="5">
        <v>2</v>
      </c>
      <c r="P337" s="5"/>
      <c r="Q337" s="5"/>
      <c r="R337" s="5"/>
      <c r="S337" s="5"/>
      <c r="T337" s="5"/>
      <c r="U337" s="5"/>
      <c r="V337" s="5"/>
      <c r="W337" s="5">
        <v>150420.34</v>
      </c>
      <c r="X337" s="5">
        <v>1</v>
      </c>
      <c r="Y337" s="5">
        <v>150420.34</v>
      </c>
      <c r="Z337" s="5"/>
      <c r="AA337" s="5"/>
      <c r="AB337" s="5"/>
    </row>
    <row r="338" spans="1:206" x14ac:dyDescent="0.2">
      <c r="A338" s="5">
        <v>50</v>
      </c>
      <c r="B338" s="5">
        <v>0</v>
      </c>
      <c r="C338" s="5">
        <v>0</v>
      </c>
      <c r="D338" s="5">
        <v>1</v>
      </c>
      <c r="E338" s="5">
        <v>215</v>
      </c>
      <c r="F338" s="5">
        <f>ROUND(Source!AT320,O338)</f>
        <v>0</v>
      </c>
      <c r="G338" s="5" t="s">
        <v>178</v>
      </c>
      <c r="H338" s="5" t="s">
        <v>179</v>
      </c>
      <c r="I338" s="5"/>
      <c r="J338" s="5"/>
      <c r="K338" s="5">
        <v>215</v>
      </c>
      <c r="L338" s="5">
        <v>17</v>
      </c>
      <c r="M338" s="5">
        <v>3</v>
      </c>
      <c r="N338" s="5" t="s">
        <v>3</v>
      </c>
      <c r="O338" s="5">
        <v>2</v>
      </c>
      <c r="P338" s="5"/>
      <c r="Q338" s="5"/>
      <c r="R338" s="5"/>
      <c r="S338" s="5"/>
      <c r="T338" s="5"/>
      <c r="U338" s="5"/>
      <c r="V338" s="5"/>
      <c r="W338" s="5">
        <v>0</v>
      </c>
      <c r="X338" s="5">
        <v>1</v>
      </c>
      <c r="Y338" s="5">
        <v>0</v>
      </c>
      <c r="Z338" s="5"/>
      <c r="AA338" s="5"/>
      <c r="AB338" s="5"/>
    </row>
    <row r="339" spans="1:206" x14ac:dyDescent="0.2">
      <c r="A339" s="5">
        <v>50</v>
      </c>
      <c r="B339" s="5">
        <v>0</v>
      </c>
      <c r="C339" s="5">
        <v>0</v>
      </c>
      <c r="D339" s="5">
        <v>1</v>
      </c>
      <c r="E339" s="5">
        <v>217</v>
      </c>
      <c r="F339" s="5">
        <f>ROUND(Source!AU320,O339)</f>
        <v>0</v>
      </c>
      <c r="G339" s="5" t="s">
        <v>180</v>
      </c>
      <c r="H339" s="5" t="s">
        <v>181</v>
      </c>
      <c r="I339" s="5"/>
      <c r="J339" s="5"/>
      <c r="K339" s="5">
        <v>217</v>
      </c>
      <c r="L339" s="5">
        <v>18</v>
      </c>
      <c r="M339" s="5">
        <v>3</v>
      </c>
      <c r="N339" s="5" t="s">
        <v>3</v>
      </c>
      <c r="O339" s="5">
        <v>2</v>
      </c>
      <c r="P339" s="5"/>
      <c r="Q339" s="5"/>
      <c r="R339" s="5"/>
      <c r="S339" s="5"/>
      <c r="T339" s="5"/>
      <c r="U339" s="5"/>
      <c r="V339" s="5"/>
      <c r="W339" s="5">
        <v>0</v>
      </c>
      <c r="X339" s="5">
        <v>1</v>
      </c>
      <c r="Y339" s="5">
        <v>0</v>
      </c>
      <c r="Z339" s="5"/>
      <c r="AA339" s="5"/>
      <c r="AB339" s="5"/>
    </row>
    <row r="340" spans="1:206" x14ac:dyDescent="0.2">
      <c r="A340" s="5">
        <v>50</v>
      </c>
      <c r="B340" s="5">
        <v>0</v>
      </c>
      <c r="C340" s="5">
        <v>0</v>
      </c>
      <c r="D340" s="5">
        <v>1</v>
      </c>
      <c r="E340" s="5">
        <v>230</v>
      </c>
      <c r="F340" s="5">
        <f>ROUND(Source!BA320,O340)</f>
        <v>0</v>
      </c>
      <c r="G340" s="5" t="s">
        <v>182</v>
      </c>
      <c r="H340" s="5" t="s">
        <v>183</v>
      </c>
      <c r="I340" s="5"/>
      <c r="J340" s="5"/>
      <c r="K340" s="5">
        <v>230</v>
      </c>
      <c r="L340" s="5">
        <v>19</v>
      </c>
      <c r="M340" s="5">
        <v>3</v>
      </c>
      <c r="N340" s="5" t="s">
        <v>3</v>
      </c>
      <c r="O340" s="5">
        <v>2</v>
      </c>
      <c r="P340" s="5"/>
      <c r="Q340" s="5"/>
      <c r="R340" s="5"/>
      <c r="S340" s="5"/>
      <c r="T340" s="5"/>
      <c r="U340" s="5"/>
      <c r="V340" s="5"/>
      <c r="W340" s="5">
        <v>0</v>
      </c>
      <c r="X340" s="5">
        <v>1</v>
      </c>
      <c r="Y340" s="5">
        <v>0</v>
      </c>
      <c r="Z340" s="5"/>
      <c r="AA340" s="5"/>
      <c r="AB340" s="5"/>
    </row>
    <row r="341" spans="1:206" x14ac:dyDescent="0.2">
      <c r="A341" s="5">
        <v>50</v>
      </c>
      <c r="B341" s="5">
        <v>0</v>
      </c>
      <c r="C341" s="5">
        <v>0</v>
      </c>
      <c r="D341" s="5">
        <v>1</v>
      </c>
      <c r="E341" s="5">
        <v>206</v>
      </c>
      <c r="F341" s="5">
        <f>ROUND(Source!T320,O341)</f>
        <v>0</v>
      </c>
      <c r="G341" s="5" t="s">
        <v>184</v>
      </c>
      <c r="H341" s="5" t="s">
        <v>185</v>
      </c>
      <c r="I341" s="5"/>
      <c r="J341" s="5"/>
      <c r="K341" s="5">
        <v>206</v>
      </c>
      <c r="L341" s="5">
        <v>20</v>
      </c>
      <c r="M341" s="5">
        <v>3</v>
      </c>
      <c r="N341" s="5" t="s">
        <v>3</v>
      </c>
      <c r="O341" s="5">
        <v>2</v>
      </c>
      <c r="P341" s="5"/>
      <c r="Q341" s="5"/>
      <c r="R341" s="5"/>
      <c r="S341" s="5"/>
      <c r="T341" s="5"/>
      <c r="U341" s="5"/>
      <c r="V341" s="5"/>
      <c r="W341" s="5">
        <v>0</v>
      </c>
      <c r="X341" s="5">
        <v>1</v>
      </c>
      <c r="Y341" s="5">
        <v>0</v>
      </c>
      <c r="Z341" s="5"/>
      <c r="AA341" s="5"/>
      <c r="AB341" s="5"/>
    </row>
    <row r="342" spans="1:206" x14ac:dyDescent="0.2">
      <c r="A342" s="5">
        <v>50</v>
      </c>
      <c r="B342" s="5">
        <v>0</v>
      </c>
      <c r="C342" s="5">
        <v>0</v>
      </c>
      <c r="D342" s="5">
        <v>1</v>
      </c>
      <c r="E342" s="5">
        <v>207</v>
      </c>
      <c r="F342" s="5">
        <f>ROUND(Source!U320,O342)</f>
        <v>26.184915</v>
      </c>
      <c r="G342" s="5" t="s">
        <v>186</v>
      </c>
      <c r="H342" s="5" t="s">
        <v>187</v>
      </c>
      <c r="I342" s="5"/>
      <c r="J342" s="5"/>
      <c r="K342" s="5">
        <v>207</v>
      </c>
      <c r="L342" s="5">
        <v>21</v>
      </c>
      <c r="M342" s="5">
        <v>3</v>
      </c>
      <c r="N342" s="5" t="s">
        <v>3</v>
      </c>
      <c r="O342" s="5">
        <v>7</v>
      </c>
      <c r="P342" s="5"/>
      <c r="Q342" s="5"/>
      <c r="R342" s="5"/>
      <c r="S342" s="5"/>
      <c r="T342" s="5"/>
      <c r="U342" s="5"/>
      <c r="V342" s="5"/>
      <c r="W342" s="5">
        <v>26.184915</v>
      </c>
      <c r="X342" s="5">
        <v>1</v>
      </c>
      <c r="Y342" s="5">
        <v>26.184915</v>
      </c>
      <c r="Z342" s="5"/>
      <c r="AA342" s="5"/>
      <c r="AB342" s="5"/>
    </row>
    <row r="343" spans="1:206" x14ac:dyDescent="0.2">
      <c r="A343" s="5">
        <v>50</v>
      </c>
      <c r="B343" s="5">
        <v>0</v>
      </c>
      <c r="C343" s="5">
        <v>0</v>
      </c>
      <c r="D343" s="5">
        <v>1</v>
      </c>
      <c r="E343" s="5">
        <v>208</v>
      </c>
      <c r="F343" s="5">
        <f>ROUND(Source!V320,O343)</f>
        <v>2.7391874999999999</v>
      </c>
      <c r="G343" s="5" t="s">
        <v>188</v>
      </c>
      <c r="H343" s="5" t="s">
        <v>189</v>
      </c>
      <c r="I343" s="5"/>
      <c r="J343" s="5"/>
      <c r="K343" s="5">
        <v>208</v>
      </c>
      <c r="L343" s="5">
        <v>22</v>
      </c>
      <c r="M343" s="5">
        <v>3</v>
      </c>
      <c r="N343" s="5" t="s">
        <v>3</v>
      </c>
      <c r="O343" s="5">
        <v>7</v>
      </c>
      <c r="P343" s="5"/>
      <c r="Q343" s="5"/>
      <c r="R343" s="5"/>
      <c r="S343" s="5"/>
      <c r="T343" s="5"/>
      <c r="U343" s="5"/>
      <c r="V343" s="5"/>
      <c r="W343" s="5">
        <v>2.7391874999999999</v>
      </c>
      <c r="X343" s="5">
        <v>1</v>
      </c>
      <c r="Y343" s="5">
        <v>2.7391874999999999</v>
      </c>
      <c r="Z343" s="5"/>
      <c r="AA343" s="5"/>
      <c r="AB343" s="5"/>
    </row>
    <row r="344" spans="1:206" x14ac:dyDescent="0.2">
      <c r="A344" s="5">
        <v>50</v>
      </c>
      <c r="B344" s="5">
        <v>0</v>
      </c>
      <c r="C344" s="5">
        <v>0</v>
      </c>
      <c r="D344" s="5">
        <v>1</v>
      </c>
      <c r="E344" s="5">
        <v>209</v>
      </c>
      <c r="F344" s="5">
        <f>ROUND(Source!W320,O344)</f>
        <v>0</v>
      </c>
      <c r="G344" s="5" t="s">
        <v>190</v>
      </c>
      <c r="H344" s="5" t="s">
        <v>191</v>
      </c>
      <c r="I344" s="5"/>
      <c r="J344" s="5"/>
      <c r="K344" s="5">
        <v>209</v>
      </c>
      <c r="L344" s="5">
        <v>23</v>
      </c>
      <c r="M344" s="5">
        <v>3</v>
      </c>
      <c r="N344" s="5" t="s">
        <v>3</v>
      </c>
      <c r="O344" s="5">
        <v>2</v>
      </c>
      <c r="P344" s="5"/>
      <c r="Q344" s="5"/>
      <c r="R344" s="5"/>
      <c r="S344" s="5"/>
      <c r="T344" s="5"/>
      <c r="U344" s="5"/>
      <c r="V344" s="5"/>
      <c r="W344" s="5">
        <v>0</v>
      </c>
      <c r="X344" s="5">
        <v>1</v>
      </c>
      <c r="Y344" s="5">
        <v>0</v>
      </c>
      <c r="Z344" s="5"/>
      <c r="AA344" s="5"/>
      <c r="AB344" s="5"/>
    </row>
    <row r="345" spans="1:206" x14ac:dyDescent="0.2">
      <c r="A345" s="5">
        <v>50</v>
      </c>
      <c r="B345" s="5">
        <v>0</v>
      </c>
      <c r="C345" s="5">
        <v>0</v>
      </c>
      <c r="D345" s="5">
        <v>1</v>
      </c>
      <c r="E345" s="5">
        <v>233</v>
      </c>
      <c r="F345" s="5">
        <f>ROUND(Source!BD320,O345)</f>
        <v>2219.2199999999998</v>
      </c>
      <c r="G345" s="5" t="s">
        <v>192</v>
      </c>
      <c r="H345" s="5" t="s">
        <v>193</v>
      </c>
      <c r="I345" s="5"/>
      <c r="J345" s="5"/>
      <c r="K345" s="5">
        <v>233</v>
      </c>
      <c r="L345" s="5">
        <v>24</v>
      </c>
      <c r="M345" s="5">
        <v>3</v>
      </c>
      <c r="N345" s="5" t="s">
        <v>3</v>
      </c>
      <c r="O345" s="5">
        <v>2</v>
      </c>
      <c r="P345" s="5"/>
      <c r="Q345" s="5"/>
      <c r="R345" s="5"/>
      <c r="S345" s="5"/>
      <c r="T345" s="5"/>
      <c r="U345" s="5"/>
      <c r="V345" s="5"/>
      <c r="W345" s="5">
        <v>2219.2199999999998</v>
      </c>
      <c r="X345" s="5">
        <v>1</v>
      </c>
      <c r="Y345" s="5">
        <v>2219.2199999999998</v>
      </c>
      <c r="Z345" s="5"/>
      <c r="AA345" s="5"/>
      <c r="AB345" s="5"/>
    </row>
    <row r="346" spans="1:206" x14ac:dyDescent="0.2">
      <c r="A346" s="5">
        <v>50</v>
      </c>
      <c r="B346" s="5">
        <v>0</v>
      </c>
      <c r="C346" s="5">
        <v>0</v>
      </c>
      <c r="D346" s="5">
        <v>1</v>
      </c>
      <c r="E346" s="5">
        <v>210</v>
      </c>
      <c r="F346" s="5">
        <f>ROUND(Source!X320,O346)</f>
        <v>18394.009999999998</v>
      </c>
      <c r="G346" s="5" t="s">
        <v>194</v>
      </c>
      <c r="H346" s="5" t="s">
        <v>195</v>
      </c>
      <c r="I346" s="5"/>
      <c r="J346" s="5"/>
      <c r="K346" s="5">
        <v>210</v>
      </c>
      <c r="L346" s="5">
        <v>25</v>
      </c>
      <c r="M346" s="5">
        <v>3</v>
      </c>
      <c r="N346" s="5" t="s">
        <v>3</v>
      </c>
      <c r="O346" s="5">
        <v>2</v>
      </c>
      <c r="P346" s="5"/>
      <c r="Q346" s="5"/>
      <c r="R346" s="5"/>
      <c r="S346" s="5"/>
      <c r="T346" s="5"/>
      <c r="U346" s="5"/>
      <c r="V346" s="5"/>
      <c r="W346" s="5">
        <v>18394.009999999998</v>
      </c>
      <c r="X346" s="5">
        <v>1</v>
      </c>
      <c r="Y346" s="5">
        <v>18394.009999999998</v>
      </c>
      <c r="Z346" s="5"/>
      <c r="AA346" s="5"/>
      <c r="AB346" s="5"/>
    </row>
    <row r="347" spans="1:206" x14ac:dyDescent="0.2">
      <c r="A347" s="5">
        <v>50</v>
      </c>
      <c r="B347" s="5">
        <v>0</v>
      </c>
      <c r="C347" s="5">
        <v>0</v>
      </c>
      <c r="D347" s="5">
        <v>1</v>
      </c>
      <c r="E347" s="5">
        <v>211</v>
      </c>
      <c r="F347" s="5">
        <f>ROUND(Source!Y320,O347)</f>
        <v>10088.85</v>
      </c>
      <c r="G347" s="5" t="s">
        <v>196</v>
      </c>
      <c r="H347" s="5" t="s">
        <v>197</v>
      </c>
      <c r="I347" s="5"/>
      <c r="J347" s="5"/>
      <c r="K347" s="5">
        <v>211</v>
      </c>
      <c r="L347" s="5">
        <v>26</v>
      </c>
      <c r="M347" s="5">
        <v>3</v>
      </c>
      <c r="N347" s="5" t="s">
        <v>3</v>
      </c>
      <c r="O347" s="5">
        <v>2</v>
      </c>
      <c r="P347" s="5"/>
      <c r="Q347" s="5"/>
      <c r="R347" s="5"/>
      <c r="S347" s="5"/>
      <c r="T347" s="5"/>
      <c r="U347" s="5"/>
      <c r="V347" s="5"/>
      <c r="W347" s="5">
        <v>10088.85</v>
      </c>
      <c r="X347" s="5">
        <v>1</v>
      </c>
      <c r="Y347" s="5">
        <v>10088.85</v>
      </c>
      <c r="Z347" s="5"/>
      <c r="AA347" s="5"/>
      <c r="AB347" s="5"/>
    </row>
    <row r="348" spans="1:206" x14ac:dyDescent="0.2">
      <c r="A348" s="5">
        <v>50</v>
      </c>
      <c r="B348" s="5">
        <v>0</v>
      </c>
      <c r="C348" s="5">
        <v>0</v>
      </c>
      <c r="D348" s="5">
        <v>1</v>
      </c>
      <c r="E348" s="5">
        <v>224</v>
      </c>
      <c r="F348" s="5">
        <f>ROUND(Source!AR320,O348)</f>
        <v>150420.34</v>
      </c>
      <c r="G348" s="5" t="s">
        <v>198</v>
      </c>
      <c r="H348" s="5" t="s">
        <v>199</v>
      </c>
      <c r="I348" s="5"/>
      <c r="J348" s="5"/>
      <c r="K348" s="5">
        <v>224</v>
      </c>
      <c r="L348" s="5">
        <v>27</v>
      </c>
      <c r="M348" s="5">
        <v>3</v>
      </c>
      <c r="N348" s="5" t="s">
        <v>3</v>
      </c>
      <c r="O348" s="5">
        <v>2</v>
      </c>
      <c r="P348" s="5"/>
      <c r="Q348" s="5"/>
      <c r="R348" s="5"/>
      <c r="S348" s="5"/>
      <c r="T348" s="5"/>
      <c r="U348" s="5"/>
      <c r="V348" s="5"/>
      <c r="W348" s="5">
        <v>150420.34</v>
      </c>
      <c r="X348" s="5">
        <v>1</v>
      </c>
      <c r="Y348" s="5">
        <v>150420.34</v>
      </c>
      <c r="Z348" s="5"/>
      <c r="AA348" s="5"/>
      <c r="AB348" s="5"/>
    </row>
    <row r="350" spans="1:206" x14ac:dyDescent="0.2">
      <c r="A350" s="1">
        <v>4</v>
      </c>
      <c r="B350" s="1">
        <v>1</v>
      </c>
      <c r="C350" s="1"/>
      <c r="D350" s="1">
        <f>ROW(A365)</f>
        <v>365</v>
      </c>
      <c r="E350" s="1"/>
      <c r="F350" s="1" t="s">
        <v>15</v>
      </c>
      <c r="G350" s="1" t="s">
        <v>321</v>
      </c>
      <c r="H350" s="1" t="s">
        <v>3</v>
      </c>
      <c r="I350" s="1">
        <v>0</v>
      </c>
      <c r="J350" s="1"/>
      <c r="K350" s="1">
        <v>-1</v>
      </c>
      <c r="L350" s="1"/>
      <c r="M350" s="1" t="s">
        <v>3</v>
      </c>
      <c r="N350" s="1"/>
      <c r="O350" s="1"/>
      <c r="P350" s="1"/>
      <c r="Q350" s="1"/>
      <c r="R350" s="1"/>
      <c r="S350" s="1">
        <v>0</v>
      </c>
      <c r="T350" s="1"/>
      <c r="U350" s="1" t="s">
        <v>3</v>
      </c>
      <c r="V350" s="1">
        <v>0</v>
      </c>
      <c r="W350" s="1"/>
      <c r="X350" s="1"/>
      <c r="Y350" s="1"/>
      <c r="Z350" s="1"/>
      <c r="AA350" s="1"/>
      <c r="AB350" s="1" t="s">
        <v>3</v>
      </c>
      <c r="AC350" s="1" t="s">
        <v>3</v>
      </c>
      <c r="AD350" s="1" t="s">
        <v>3</v>
      </c>
      <c r="AE350" s="1" t="s">
        <v>3</v>
      </c>
      <c r="AF350" s="1" t="s">
        <v>3</v>
      </c>
      <c r="AG350" s="1" t="s">
        <v>3</v>
      </c>
      <c r="AH350" s="1"/>
      <c r="AI350" s="1"/>
      <c r="AJ350" s="1"/>
      <c r="AK350" s="1"/>
      <c r="AL350" s="1"/>
      <c r="AM350" s="1"/>
      <c r="AN350" s="1"/>
      <c r="AO350" s="1"/>
      <c r="AP350" s="1" t="s">
        <v>3</v>
      </c>
      <c r="AQ350" s="1" t="s">
        <v>3</v>
      </c>
      <c r="AR350" s="1" t="s">
        <v>3</v>
      </c>
      <c r="AS350" s="1"/>
      <c r="AT350" s="1"/>
      <c r="AU350" s="1"/>
      <c r="AV350" s="1"/>
      <c r="AW350" s="1"/>
      <c r="AX350" s="1"/>
      <c r="AY350" s="1"/>
      <c r="AZ350" s="1" t="s">
        <v>3</v>
      </c>
      <c r="BA350" s="1"/>
      <c r="BB350" s="1" t="s">
        <v>3</v>
      </c>
      <c r="BC350" s="1" t="s">
        <v>3</v>
      </c>
      <c r="BD350" s="1" t="s">
        <v>3</v>
      </c>
      <c r="BE350" s="1" t="s">
        <v>3</v>
      </c>
      <c r="BF350" s="1" t="s">
        <v>3</v>
      </c>
      <c r="BG350" s="1" t="s">
        <v>3</v>
      </c>
      <c r="BH350" s="1" t="s">
        <v>3</v>
      </c>
      <c r="BI350" s="1" t="s">
        <v>3</v>
      </c>
      <c r="BJ350" s="1" t="s">
        <v>3</v>
      </c>
      <c r="BK350" s="1" t="s">
        <v>3</v>
      </c>
      <c r="BL350" s="1" t="s">
        <v>3</v>
      </c>
      <c r="BM350" s="1" t="s">
        <v>3</v>
      </c>
      <c r="BN350" s="1" t="s">
        <v>3</v>
      </c>
      <c r="BO350" s="1" t="s">
        <v>3</v>
      </c>
      <c r="BP350" s="1" t="s">
        <v>3</v>
      </c>
      <c r="BQ350" s="1"/>
      <c r="BR350" s="1"/>
      <c r="BS350" s="1"/>
      <c r="BT350" s="1"/>
      <c r="BU350" s="1"/>
      <c r="BV350" s="1"/>
      <c r="BW350" s="1"/>
      <c r="BX350" s="1">
        <v>0</v>
      </c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>
        <v>0</v>
      </c>
    </row>
    <row r="352" spans="1:206" x14ac:dyDescent="0.2">
      <c r="A352" s="3">
        <v>52</v>
      </c>
      <c r="B352" s="3">
        <f t="shared" ref="B352:G352" si="203">B365</f>
        <v>1</v>
      </c>
      <c r="C352" s="3">
        <f t="shared" si="203"/>
        <v>4</v>
      </c>
      <c r="D352" s="3">
        <f t="shared" si="203"/>
        <v>350</v>
      </c>
      <c r="E352" s="3">
        <f t="shared" si="203"/>
        <v>0</v>
      </c>
      <c r="F352" s="3" t="str">
        <f t="shared" si="203"/>
        <v>Новый раздел</v>
      </c>
      <c r="G352" s="3" t="str">
        <f t="shared" si="203"/>
        <v>Ремонт входной группы ул. Народного Ополчения, д.38, корп.2</v>
      </c>
      <c r="H352" s="3"/>
      <c r="I352" s="3"/>
      <c r="J352" s="3"/>
      <c r="K352" s="3"/>
      <c r="L352" s="3"/>
      <c r="M352" s="3"/>
      <c r="N352" s="3"/>
      <c r="O352" s="3">
        <f t="shared" ref="O352:AT352" si="204">O365</f>
        <v>53508.15</v>
      </c>
      <c r="P352" s="3">
        <f t="shared" si="204"/>
        <v>12630.37</v>
      </c>
      <c r="Q352" s="3">
        <f t="shared" si="204"/>
        <v>219.79</v>
      </c>
      <c r="R352" s="3">
        <f t="shared" si="204"/>
        <v>1212.2</v>
      </c>
      <c r="S352" s="3">
        <f t="shared" si="204"/>
        <v>39445.79</v>
      </c>
      <c r="T352" s="3">
        <f t="shared" si="204"/>
        <v>0</v>
      </c>
      <c r="U352" s="3">
        <f t="shared" si="204"/>
        <v>55.971949999999993</v>
      </c>
      <c r="V352" s="3">
        <f t="shared" si="204"/>
        <v>1.8321499999999997</v>
      </c>
      <c r="W352" s="3">
        <f t="shared" si="204"/>
        <v>0</v>
      </c>
      <c r="X352" s="3">
        <f t="shared" si="204"/>
        <v>36233.230000000003</v>
      </c>
      <c r="Y352" s="3">
        <f t="shared" si="204"/>
        <v>17984.75</v>
      </c>
      <c r="Z352" s="3">
        <f t="shared" si="204"/>
        <v>0</v>
      </c>
      <c r="AA352" s="3">
        <f t="shared" si="204"/>
        <v>0</v>
      </c>
      <c r="AB352" s="3">
        <f t="shared" si="204"/>
        <v>53508.15</v>
      </c>
      <c r="AC352" s="3">
        <f t="shared" si="204"/>
        <v>12630.37</v>
      </c>
      <c r="AD352" s="3">
        <f t="shared" si="204"/>
        <v>219.79</v>
      </c>
      <c r="AE352" s="3">
        <f t="shared" si="204"/>
        <v>1212.2</v>
      </c>
      <c r="AF352" s="3">
        <f t="shared" si="204"/>
        <v>39445.79</v>
      </c>
      <c r="AG352" s="3">
        <f t="shared" si="204"/>
        <v>0</v>
      </c>
      <c r="AH352" s="3">
        <f t="shared" si="204"/>
        <v>55.971949999999993</v>
      </c>
      <c r="AI352" s="3">
        <f t="shared" si="204"/>
        <v>1.8321499999999997</v>
      </c>
      <c r="AJ352" s="3">
        <f t="shared" si="204"/>
        <v>0</v>
      </c>
      <c r="AK352" s="3">
        <f t="shared" si="204"/>
        <v>36233.230000000003</v>
      </c>
      <c r="AL352" s="3">
        <f t="shared" si="204"/>
        <v>17984.75</v>
      </c>
      <c r="AM352" s="3">
        <f t="shared" si="204"/>
        <v>0</v>
      </c>
      <c r="AN352" s="3">
        <f t="shared" si="204"/>
        <v>0</v>
      </c>
      <c r="AO352" s="3">
        <f t="shared" si="204"/>
        <v>0</v>
      </c>
      <c r="AP352" s="3">
        <f t="shared" si="204"/>
        <v>0</v>
      </c>
      <c r="AQ352" s="3">
        <f t="shared" si="204"/>
        <v>0</v>
      </c>
      <c r="AR352" s="3">
        <f t="shared" si="204"/>
        <v>109390.54</v>
      </c>
      <c r="AS352" s="3">
        <f t="shared" si="204"/>
        <v>109390.54</v>
      </c>
      <c r="AT352" s="3">
        <f t="shared" si="204"/>
        <v>0</v>
      </c>
      <c r="AU352" s="3">
        <f t="shared" ref="AU352:BZ352" si="205">AU365</f>
        <v>0</v>
      </c>
      <c r="AV352" s="3">
        <f t="shared" si="205"/>
        <v>12630.37</v>
      </c>
      <c r="AW352" s="3">
        <f t="shared" si="205"/>
        <v>12630.37</v>
      </c>
      <c r="AX352" s="3">
        <f t="shared" si="205"/>
        <v>0</v>
      </c>
      <c r="AY352" s="3">
        <f t="shared" si="205"/>
        <v>12630.37</v>
      </c>
      <c r="AZ352" s="3">
        <f t="shared" si="205"/>
        <v>0</v>
      </c>
      <c r="BA352" s="3">
        <f t="shared" si="205"/>
        <v>0</v>
      </c>
      <c r="BB352" s="3">
        <f t="shared" si="205"/>
        <v>0</v>
      </c>
      <c r="BC352" s="3">
        <f t="shared" si="205"/>
        <v>0</v>
      </c>
      <c r="BD352" s="3">
        <f t="shared" si="205"/>
        <v>1664.41</v>
      </c>
      <c r="BE352" s="3">
        <f t="shared" si="205"/>
        <v>0</v>
      </c>
      <c r="BF352" s="3">
        <f t="shared" si="205"/>
        <v>0</v>
      </c>
      <c r="BG352" s="3">
        <f t="shared" si="205"/>
        <v>0</v>
      </c>
      <c r="BH352" s="3">
        <f t="shared" si="205"/>
        <v>0</v>
      </c>
      <c r="BI352" s="3">
        <f t="shared" si="205"/>
        <v>0</v>
      </c>
      <c r="BJ352" s="3">
        <f t="shared" si="205"/>
        <v>0</v>
      </c>
      <c r="BK352" s="3">
        <f t="shared" si="205"/>
        <v>0</v>
      </c>
      <c r="BL352" s="3">
        <f t="shared" si="205"/>
        <v>0</v>
      </c>
      <c r="BM352" s="3">
        <f t="shared" si="205"/>
        <v>0</v>
      </c>
      <c r="BN352" s="3">
        <f t="shared" si="205"/>
        <v>0</v>
      </c>
      <c r="BO352" s="3">
        <f t="shared" si="205"/>
        <v>0</v>
      </c>
      <c r="BP352" s="3">
        <f t="shared" si="205"/>
        <v>0</v>
      </c>
      <c r="BQ352" s="3">
        <f t="shared" si="205"/>
        <v>0</v>
      </c>
      <c r="BR352" s="3">
        <f t="shared" si="205"/>
        <v>0</v>
      </c>
      <c r="BS352" s="3">
        <f t="shared" si="205"/>
        <v>0</v>
      </c>
      <c r="BT352" s="3">
        <f t="shared" si="205"/>
        <v>0</v>
      </c>
      <c r="BU352" s="3">
        <f t="shared" si="205"/>
        <v>0</v>
      </c>
      <c r="BV352" s="3">
        <f t="shared" si="205"/>
        <v>0</v>
      </c>
      <c r="BW352" s="3">
        <f t="shared" si="205"/>
        <v>0</v>
      </c>
      <c r="BX352" s="3">
        <f t="shared" si="205"/>
        <v>0</v>
      </c>
      <c r="BY352" s="3">
        <f t="shared" si="205"/>
        <v>0</v>
      </c>
      <c r="BZ352" s="3">
        <f t="shared" si="205"/>
        <v>0</v>
      </c>
      <c r="CA352" s="3">
        <f t="shared" ref="CA352:DF352" si="206">CA365</f>
        <v>109390.54</v>
      </c>
      <c r="CB352" s="3">
        <f t="shared" si="206"/>
        <v>109390.54</v>
      </c>
      <c r="CC352" s="3">
        <f t="shared" si="206"/>
        <v>0</v>
      </c>
      <c r="CD352" s="3">
        <f t="shared" si="206"/>
        <v>0</v>
      </c>
      <c r="CE352" s="3">
        <f t="shared" si="206"/>
        <v>12630.37</v>
      </c>
      <c r="CF352" s="3">
        <f t="shared" si="206"/>
        <v>12630.37</v>
      </c>
      <c r="CG352" s="3">
        <f t="shared" si="206"/>
        <v>0</v>
      </c>
      <c r="CH352" s="3">
        <f t="shared" si="206"/>
        <v>12630.37</v>
      </c>
      <c r="CI352" s="3">
        <f t="shared" si="206"/>
        <v>0</v>
      </c>
      <c r="CJ352" s="3">
        <f t="shared" si="206"/>
        <v>0</v>
      </c>
      <c r="CK352" s="3">
        <f t="shared" si="206"/>
        <v>0</v>
      </c>
      <c r="CL352" s="3">
        <f t="shared" si="206"/>
        <v>0</v>
      </c>
      <c r="CM352" s="3">
        <f t="shared" si="206"/>
        <v>1664.41</v>
      </c>
      <c r="CN352" s="3">
        <f t="shared" si="206"/>
        <v>0</v>
      </c>
      <c r="CO352" s="3">
        <f t="shared" si="206"/>
        <v>0</v>
      </c>
      <c r="CP352" s="3">
        <f t="shared" si="206"/>
        <v>0</v>
      </c>
      <c r="CQ352" s="3">
        <f t="shared" si="206"/>
        <v>0</v>
      </c>
      <c r="CR352" s="3">
        <f t="shared" si="206"/>
        <v>0</v>
      </c>
      <c r="CS352" s="3">
        <f t="shared" si="206"/>
        <v>0</v>
      </c>
      <c r="CT352" s="3">
        <f t="shared" si="206"/>
        <v>0</v>
      </c>
      <c r="CU352" s="3">
        <f t="shared" si="206"/>
        <v>0</v>
      </c>
      <c r="CV352" s="3">
        <f t="shared" si="206"/>
        <v>0</v>
      </c>
      <c r="CW352" s="3">
        <f t="shared" si="206"/>
        <v>0</v>
      </c>
      <c r="CX352" s="3">
        <f t="shared" si="206"/>
        <v>0</v>
      </c>
      <c r="CY352" s="3">
        <f t="shared" si="206"/>
        <v>0</v>
      </c>
      <c r="CZ352" s="3">
        <f t="shared" si="206"/>
        <v>0</v>
      </c>
      <c r="DA352" s="3">
        <f t="shared" si="206"/>
        <v>0</v>
      </c>
      <c r="DB352" s="3">
        <f t="shared" si="206"/>
        <v>0</v>
      </c>
      <c r="DC352" s="3">
        <f t="shared" si="206"/>
        <v>0</v>
      </c>
      <c r="DD352" s="3">
        <f t="shared" si="206"/>
        <v>0</v>
      </c>
      <c r="DE352" s="3">
        <f t="shared" si="206"/>
        <v>0</v>
      </c>
      <c r="DF352" s="3">
        <f t="shared" si="206"/>
        <v>0</v>
      </c>
      <c r="DG352" s="4">
        <f t="shared" ref="DG352:EL352" si="207">DG365</f>
        <v>0</v>
      </c>
      <c r="DH352" s="4">
        <f t="shared" si="207"/>
        <v>0</v>
      </c>
      <c r="DI352" s="4">
        <f t="shared" si="207"/>
        <v>0</v>
      </c>
      <c r="DJ352" s="4">
        <f t="shared" si="207"/>
        <v>0</v>
      </c>
      <c r="DK352" s="4">
        <f t="shared" si="207"/>
        <v>0</v>
      </c>
      <c r="DL352" s="4">
        <f t="shared" si="207"/>
        <v>0</v>
      </c>
      <c r="DM352" s="4">
        <f t="shared" si="207"/>
        <v>0</v>
      </c>
      <c r="DN352" s="4">
        <f t="shared" si="207"/>
        <v>0</v>
      </c>
      <c r="DO352" s="4">
        <f t="shared" si="207"/>
        <v>0</v>
      </c>
      <c r="DP352" s="4">
        <f t="shared" si="207"/>
        <v>0</v>
      </c>
      <c r="DQ352" s="4">
        <f t="shared" si="207"/>
        <v>0</v>
      </c>
      <c r="DR352" s="4">
        <f t="shared" si="207"/>
        <v>0</v>
      </c>
      <c r="DS352" s="4">
        <f t="shared" si="207"/>
        <v>0</v>
      </c>
      <c r="DT352" s="4">
        <f t="shared" si="207"/>
        <v>0</v>
      </c>
      <c r="DU352" s="4">
        <f t="shared" si="207"/>
        <v>0</v>
      </c>
      <c r="DV352" s="4">
        <f t="shared" si="207"/>
        <v>0</v>
      </c>
      <c r="DW352" s="4">
        <f t="shared" si="207"/>
        <v>0</v>
      </c>
      <c r="DX352" s="4">
        <f t="shared" si="207"/>
        <v>0</v>
      </c>
      <c r="DY352" s="4">
        <f t="shared" si="207"/>
        <v>0</v>
      </c>
      <c r="DZ352" s="4">
        <f t="shared" si="207"/>
        <v>0</v>
      </c>
      <c r="EA352" s="4">
        <f t="shared" si="207"/>
        <v>0</v>
      </c>
      <c r="EB352" s="4">
        <f t="shared" si="207"/>
        <v>0</v>
      </c>
      <c r="EC352" s="4">
        <f t="shared" si="207"/>
        <v>0</v>
      </c>
      <c r="ED352" s="4">
        <f t="shared" si="207"/>
        <v>0</v>
      </c>
      <c r="EE352" s="4">
        <f t="shared" si="207"/>
        <v>0</v>
      </c>
      <c r="EF352" s="4">
        <f t="shared" si="207"/>
        <v>0</v>
      </c>
      <c r="EG352" s="4">
        <f t="shared" si="207"/>
        <v>0</v>
      </c>
      <c r="EH352" s="4">
        <f t="shared" si="207"/>
        <v>0</v>
      </c>
      <c r="EI352" s="4">
        <f t="shared" si="207"/>
        <v>0</v>
      </c>
      <c r="EJ352" s="4">
        <f t="shared" si="207"/>
        <v>0</v>
      </c>
      <c r="EK352" s="4">
        <f t="shared" si="207"/>
        <v>0</v>
      </c>
      <c r="EL352" s="4">
        <f t="shared" si="207"/>
        <v>0</v>
      </c>
      <c r="EM352" s="4">
        <f t="shared" ref="EM352:FR352" si="208">EM365</f>
        <v>0</v>
      </c>
      <c r="EN352" s="4">
        <f t="shared" si="208"/>
        <v>0</v>
      </c>
      <c r="EO352" s="4">
        <f t="shared" si="208"/>
        <v>0</v>
      </c>
      <c r="EP352" s="4">
        <f t="shared" si="208"/>
        <v>0</v>
      </c>
      <c r="EQ352" s="4">
        <f t="shared" si="208"/>
        <v>0</v>
      </c>
      <c r="ER352" s="4">
        <f t="shared" si="208"/>
        <v>0</v>
      </c>
      <c r="ES352" s="4">
        <f t="shared" si="208"/>
        <v>0</v>
      </c>
      <c r="ET352" s="4">
        <f t="shared" si="208"/>
        <v>0</v>
      </c>
      <c r="EU352" s="4">
        <f t="shared" si="208"/>
        <v>0</v>
      </c>
      <c r="EV352" s="4">
        <f t="shared" si="208"/>
        <v>0</v>
      </c>
      <c r="EW352" s="4">
        <f t="shared" si="208"/>
        <v>0</v>
      </c>
      <c r="EX352" s="4">
        <f t="shared" si="208"/>
        <v>0</v>
      </c>
      <c r="EY352" s="4">
        <f t="shared" si="208"/>
        <v>0</v>
      </c>
      <c r="EZ352" s="4">
        <f t="shared" si="208"/>
        <v>0</v>
      </c>
      <c r="FA352" s="4">
        <f t="shared" si="208"/>
        <v>0</v>
      </c>
      <c r="FB352" s="4">
        <f t="shared" si="208"/>
        <v>0</v>
      </c>
      <c r="FC352" s="4">
        <f t="shared" si="208"/>
        <v>0</v>
      </c>
      <c r="FD352" s="4">
        <f t="shared" si="208"/>
        <v>0</v>
      </c>
      <c r="FE352" s="4">
        <f t="shared" si="208"/>
        <v>0</v>
      </c>
      <c r="FF352" s="4">
        <f t="shared" si="208"/>
        <v>0</v>
      </c>
      <c r="FG352" s="4">
        <f t="shared" si="208"/>
        <v>0</v>
      </c>
      <c r="FH352" s="4">
        <f t="shared" si="208"/>
        <v>0</v>
      </c>
      <c r="FI352" s="4">
        <f t="shared" si="208"/>
        <v>0</v>
      </c>
      <c r="FJ352" s="4">
        <f t="shared" si="208"/>
        <v>0</v>
      </c>
      <c r="FK352" s="4">
        <f t="shared" si="208"/>
        <v>0</v>
      </c>
      <c r="FL352" s="4">
        <f t="shared" si="208"/>
        <v>0</v>
      </c>
      <c r="FM352" s="4">
        <f t="shared" si="208"/>
        <v>0</v>
      </c>
      <c r="FN352" s="4">
        <f t="shared" si="208"/>
        <v>0</v>
      </c>
      <c r="FO352" s="4">
        <f t="shared" si="208"/>
        <v>0</v>
      </c>
      <c r="FP352" s="4">
        <f t="shared" si="208"/>
        <v>0</v>
      </c>
      <c r="FQ352" s="4">
        <f t="shared" si="208"/>
        <v>0</v>
      </c>
      <c r="FR352" s="4">
        <f t="shared" si="208"/>
        <v>0</v>
      </c>
      <c r="FS352" s="4">
        <f t="shared" ref="FS352:GX352" si="209">FS365</f>
        <v>0</v>
      </c>
      <c r="FT352" s="4">
        <f t="shared" si="209"/>
        <v>0</v>
      </c>
      <c r="FU352" s="4">
        <f t="shared" si="209"/>
        <v>0</v>
      </c>
      <c r="FV352" s="4">
        <f t="shared" si="209"/>
        <v>0</v>
      </c>
      <c r="FW352" s="4">
        <f t="shared" si="209"/>
        <v>0</v>
      </c>
      <c r="FX352" s="4">
        <f t="shared" si="209"/>
        <v>0</v>
      </c>
      <c r="FY352" s="4">
        <f t="shared" si="209"/>
        <v>0</v>
      </c>
      <c r="FZ352" s="4">
        <f t="shared" si="209"/>
        <v>0</v>
      </c>
      <c r="GA352" s="4">
        <f t="shared" si="209"/>
        <v>0</v>
      </c>
      <c r="GB352" s="4">
        <f t="shared" si="209"/>
        <v>0</v>
      </c>
      <c r="GC352" s="4">
        <f t="shared" si="209"/>
        <v>0</v>
      </c>
      <c r="GD352" s="4">
        <f t="shared" si="209"/>
        <v>0</v>
      </c>
      <c r="GE352" s="4">
        <f t="shared" si="209"/>
        <v>0</v>
      </c>
      <c r="GF352" s="4">
        <f t="shared" si="209"/>
        <v>0</v>
      </c>
      <c r="GG352" s="4">
        <f t="shared" si="209"/>
        <v>0</v>
      </c>
      <c r="GH352" s="4">
        <f t="shared" si="209"/>
        <v>0</v>
      </c>
      <c r="GI352" s="4">
        <f t="shared" si="209"/>
        <v>0</v>
      </c>
      <c r="GJ352" s="4">
        <f t="shared" si="209"/>
        <v>0</v>
      </c>
      <c r="GK352" s="4">
        <f t="shared" si="209"/>
        <v>0</v>
      </c>
      <c r="GL352" s="4">
        <f t="shared" si="209"/>
        <v>0</v>
      </c>
      <c r="GM352" s="4">
        <f t="shared" si="209"/>
        <v>0</v>
      </c>
      <c r="GN352" s="4">
        <f t="shared" si="209"/>
        <v>0</v>
      </c>
      <c r="GO352" s="4">
        <f t="shared" si="209"/>
        <v>0</v>
      </c>
      <c r="GP352" s="4">
        <f t="shared" si="209"/>
        <v>0</v>
      </c>
      <c r="GQ352" s="4">
        <f t="shared" si="209"/>
        <v>0</v>
      </c>
      <c r="GR352" s="4">
        <f t="shared" si="209"/>
        <v>0</v>
      </c>
      <c r="GS352" s="4">
        <f t="shared" si="209"/>
        <v>0</v>
      </c>
      <c r="GT352" s="4">
        <f t="shared" si="209"/>
        <v>0</v>
      </c>
      <c r="GU352" s="4">
        <f t="shared" si="209"/>
        <v>0</v>
      </c>
      <c r="GV352" s="4">
        <f t="shared" si="209"/>
        <v>0</v>
      </c>
      <c r="GW352" s="4">
        <f t="shared" si="209"/>
        <v>0</v>
      </c>
      <c r="GX352" s="4">
        <f t="shared" si="209"/>
        <v>0</v>
      </c>
    </row>
    <row r="354" spans="1:255" x14ac:dyDescent="0.2">
      <c r="A354" s="2">
        <v>17</v>
      </c>
      <c r="B354" s="2">
        <v>1</v>
      </c>
      <c r="C354" s="2">
        <f>ROW(SmtRes!A244)</f>
        <v>244</v>
      </c>
      <c r="D354" s="2">
        <f>ROW(EtalonRes!A243)</f>
        <v>243</v>
      </c>
      <c r="E354" s="2" t="s">
        <v>322</v>
      </c>
      <c r="F354" s="2" t="s">
        <v>323</v>
      </c>
      <c r="G354" s="2" t="s">
        <v>324</v>
      </c>
      <c r="H354" s="2" t="s">
        <v>20</v>
      </c>
      <c r="I354" s="2">
        <f>ROUND(22/100,7)</f>
        <v>0.22</v>
      </c>
      <c r="J354" s="2">
        <v>0</v>
      </c>
      <c r="K354" s="2">
        <f>ROUND(22/100,7)</f>
        <v>0.22</v>
      </c>
      <c r="L354" s="2"/>
      <c r="M354" s="2"/>
      <c r="N354" s="2"/>
      <c r="O354" s="2">
        <f t="shared" ref="O354:O361" si="210">ROUND(CP354,2)</f>
        <v>13294.13</v>
      </c>
      <c r="P354" s="2">
        <f>SUMIF(SmtRes!AQ237:'SmtRes'!AQ244,"=1",SmtRes!DF237:'SmtRes'!DF244)</f>
        <v>1219.6500000000001</v>
      </c>
      <c r="Q354" s="2">
        <f>SUMIF(SmtRes!AQ237:'SmtRes'!AQ244,"=1",SmtRes!DG237:'SmtRes'!DG244)</f>
        <v>12.08</v>
      </c>
      <c r="R354" s="2">
        <f>SUMIF(SmtRes!AQ237:'SmtRes'!AQ244,"=1",SmtRes!DH237:'SmtRes'!DH244)</f>
        <v>886.99</v>
      </c>
      <c r="S354" s="2">
        <f>SUMIF(SmtRes!AQ237:'SmtRes'!AQ244,"=1",SmtRes!DI237:'SmtRes'!DI244)</f>
        <v>11175.41</v>
      </c>
      <c r="T354" s="2">
        <f t="shared" ref="T354:T361" si="211">ROUND(CU354*I354,2)</f>
        <v>0</v>
      </c>
      <c r="U354" s="2">
        <f>SUMIF(SmtRes!AQ237:'SmtRes'!AQ244,"=1",SmtRes!CV237:'SmtRes'!CV244)</f>
        <v>13.840199999999999</v>
      </c>
      <c r="V354" s="2">
        <f>SUMIF(SmtRes!AQ237:'SmtRes'!AQ244,"=1",SmtRes!CW237:'SmtRes'!CW244)</f>
        <v>1.3661999999999999</v>
      </c>
      <c r="W354" s="2">
        <f t="shared" ref="W354:W361" si="212">ROUND(CX354*I354,2)</f>
        <v>0</v>
      </c>
      <c r="X354" s="2">
        <f t="shared" ref="X354:Y361" si="213">ROUND(CY354,2)</f>
        <v>10735.54</v>
      </c>
      <c r="Y354" s="2">
        <f t="shared" si="213"/>
        <v>5307.46</v>
      </c>
      <c r="Z354" s="2"/>
      <c r="AA354" s="2">
        <v>94104265</v>
      </c>
      <c r="AB354" s="2">
        <f t="shared" ref="AB354:AB361" si="214">ROUND((AC354+AD354+AF354),6)</f>
        <v>54059.976799999997</v>
      </c>
      <c r="AC354" s="2">
        <f>ROUND((SUM(SmtRes!BQ237:'SmtRes'!BQ244)),6)</f>
        <v>3228.3674000000001</v>
      </c>
      <c r="AD354" s="2">
        <f>ROUND((((SUM(SmtRes!BR237:'SmtRes'!BR244))-(SUM(SmtRes!BS237:'SmtRes'!BS244)))+AE354),6)</f>
        <v>34.300800000000002</v>
      </c>
      <c r="AE354" s="2">
        <f>ROUND((SUM(SmtRes!BS237:'SmtRes'!BS244)),6)</f>
        <v>4031.7804000000001</v>
      </c>
      <c r="AF354" s="2">
        <f>ROUND((SUM(SmtRes!BT237:'SmtRes'!BT244)),6)</f>
        <v>50797.308599999997</v>
      </c>
      <c r="AG354" s="2">
        <f t="shared" ref="AG354:AG361" si="215">ROUND((AP354),6)</f>
        <v>0</v>
      </c>
      <c r="AH354" s="2">
        <f>(SUM(SmtRes!BU237:'SmtRes'!BU244))</f>
        <v>62.91</v>
      </c>
      <c r="AI354" s="2">
        <f>(SUM(SmtRes!BV237:'SmtRes'!BV244))</f>
        <v>6.21</v>
      </c>
      <c r="AJ354" s="2">
        <f t="shared" ref="AJ354:AJ361" si="216">(AS354)</f>
        <v>0</v>
      </c>
      <c r="AK354" s="2">
        <v>58091.7572</v>
      </c>
      <c r="AL354" s="2">
        <v>3228.3674000000001</v>
      </c>
      <c r="AM354" s="2">
        <v>34.300799999999995</v>
      </c>
      <c r="AN354" s="2">
        <v>4031.7804000000001</v>
      </c>
      <c r="AO354" s="2">
        <v>50797.308599999997</v>
      </c>
      <c r="AP354" s="2">
        <v>0</v>
      </c>
      <c r="AQ354" s="2">
        <v>62.91</v>
      </c>
      <c r="AR354" s="2">
        <v>6.21</v>
      </c>
      <c r="AS354" s="2">
        <v>0</v>
      </c>
      <c r="AT354" s="2">
        <v>89</v>
      </c>
      <c r="AU354" s="2">
        <v>44</v>
      </c>
      <c r="AV354" s="2">
        <v>1</v>
      </c>
      <c r="AW354" s="2">
        <v>1</v>
      </c>
      <c r="AX354" s="2"/>
      <c r="AY354" s="2"/>
      <c r="AZ354" s="2">
        <v>1</v>
      </c>
      <c r="BA354" s="2">
        <v>1</v>
      </c>
      <c r="BB354" s="2">
        <v>1</v>
      </c>
      <c r="BC354" s="2">
        <v>1</v>
      </c>
      <c r="BD354" s="2" t="s">
        <v>3</v>
      </c>
      <c r="BE354" s="2" t="s">
        <v>3</v>
      </c>
      <c r="BF354" s="2" t="s">
        <v>3</v>
      </c>
      <c r="BG354" s="2" t="s">
        <v>3</v>
      </c>
      <c r="BH354" s="2">
        <v>0</v>
      </c>
      <c r="BI354" s="2">
        <v>1</v>
      </c>
      <c r="BJ354" s="2" t="s">
        <v>325</v>
      </c>
      <c r="BK354" s="2"/>
      <c r="BL354" s="2"/>
      <c r="BM354" s="2">
        <v>61001</v>
      </c>
      <c r="BN354" s="2">
        <v>0</v>
      </c>
      <c r="BO354" s="2" t="s">
        <v>3</v>
      </c>
      <c r="BP354" s="2">
        <v>0</v>
      </c>
      <c r="BQ354" s="2">
        <v>6</v>
      </c>
      <c r="BR354" s="2">
        <v>0</v>
      </c>
      <c r="BS354" s="2">
        <v>1</v>
      </c>
      <c r="BT354" s="2">
        <v>1</v>
      </c>
      <c r="BU354" s="2">
        <v>1</v>
      </c>
      <c r="BV354" s="2">
        <v>1</v>
      </c>
      <c r="BW354" s="2">
        <v>1</v>
      </c>
      <c r="BX354" s="2">
        <v>1</v>
      </c>
      <c r="BY354" s="2" t="s">
        <v>3</v>
      </c>
      <c r="BZ354" s="2">
        <v>89</v>
      </c>
      <c r="CA354" s="2">
        <v>44</v>
      </c>
      <c r="CB354" s="2" t="s">
        <v>3</v>
      </c>
      <c r="CC354" s="2"/>
      <c r="CD354" s="2"/>
      <c r="CE354" s="2">
        <v>0</v>
      </c>
      <c r="CF354" s="2">
        <v>0</v>
      </c>
      <c r="CG354" s="2">
        <v>0</v>
      </c>
      <c r="CH354" s="2"/>
      <c r="CI354" s="2"/>
      <c r="CJ354" s="2"/>
      <c r="CK354" s="2"/>
      <c r="CL354" s="2"/>
      <c r="CM354" s="2">
        <v>0</v>
      </c>
      <c r="CN354" s="2" t="s">
        <v>3</v>
      </c>
      <c r="CO354" s="2">
        <v>0</v>
      </c>
      <c r="CP354" s="2">
        <f t="shared" ref="CP354:CP361" si="217">(P354+Q354+S354+R354)</f>
        <v>13294.13</v>
      </c>
      <c r="CQ354" s="2">
        <f>SUMIF(SmtRes!AQ237:'SmtRes'!AQ244,"=1",SmtRes!AA237:'SmtRes'!AA244)</f>
        <v>409432.88</v>
      </c>
      <c r="CR354" s="2">
        <f>SUMIF(SmtRes!AQ237:'SmtRes'!AQ244,"=1",SmtRes!AB237:'SmtRes'!AB244)</f>
        <v>62.400000000000006</v>
      </c>
      <c r="CS354" s="2">
        <f>SUMIF(SmtRes!AQ237:'SmtRes'!AQ244,"=1",SmtRes!AC237:'SmtRes'!AC244)</f>
        <v>1298.48</v>
      </c>
      <c r="CT354" s="2">
        <f>SUMIF(SmtRes!AQ237:'SmtRes'!AQ244,"=1",SmtRes!AD237:'SmtRes'!AD244)</f>
        <v>807.46</v>
      </c>
      <c r="CU354" s="2">
        <f t="shared" ref="CU354:CU361" si="218">AG354</f>
        <v>0</v>
      </c>
      <c r="CV354" s="2">
        <f>SUMIF(SmtRes!AQ237:'SmtRes'!AQ244,"=1",SmtRes!BU237:'SmtRes'!BU244)</f>
        <v>62.91</v>
      </c>
      <c r="CW354" s="2">
        <f>SUMIF(SmtRes!AQ237:'SmtRes'!AQ244,"=1",SmtRes!BV237:'SmtRes'!BV244)</f>
        <v>6.21</v>
      </c>
      <c r="CX354" s="2">
        <f t="shared" ref="CX354:CX361" si="219">AJ354</f>
        <v>0</v>
      </c>
      <c r="CY354" s="2">
        <f t="shared" ref="CY354:CY361" si="220">(((S354+R354)*AT354)/100)</f>
        <v>10735.535999999998</v>
      </c>
      <c r="CZ354" s="2">
        <f t="shared" ref="CZ354:CZ361" si="221">(((S354+R354)*AU354)/100)</f>
        <v>5307.4560000000001</v>
      </c>
      <c r="DA354" s="2"/>
      <c r="DB354" s="2"/>
      <c r="DC354" s="2" t="s">
        <v>3</v>
      </c>
      <c r="DD354" s="2" t="s">
        <v>3</v>
      </c>
      <c r="DE354" s="2" t="s">
        <v>3</v>
      </c>
      <c r="DF354" s="2" t="s">
        <v>3</v>
      </c>
      <c r="DG354" s="2" t="s">
        <v>3</v>
      </c>
      <c r="DH354" s="2" t="s">
        <v>3</v>
      </c>
      <c r="DI354" s="2" t="s">
        <v>3</v>
      </c>
      <c r="DJ354" s="2" t="s">
        <v>3</v>
      </c>
      <c r="DK354" s="2" t="s">
        <v>3</v>
      </c>
      <c r="DL354" s="2" t="s">
        <v>3</v>
      </c>
      <c r="DM354" s="2" t="s">
        <v>3</v>
      </c>
      <c r="DN354" s="2">
        <v>0</v>
      </c>
      <c r="DO354" s="2">
        <v>0</v>
      </c>
      <c r="DP354" s="2">
        <v>1</v>
      </c>
      <c r="DQ354" s="2">
        <v>1</v>
      </c>
      <c r="DR354" s="2"/>
      <c r="DS354" s="2"/>
      <c r="DT354" s="2"/>
      <c r="DU354" s="2">
        <v>1005</v>
      </c>
      <c r="DV354" s="2" t="s">
        <v>20</v>
      </c>
      <c r="DW354" s="2" t="s">
        <v>20</v>
      </c>
      <c r="DX354" s="2">
        <v>100</v>
      </c>
      <c r="DY354" s="2"/>
      <c r="DZ354" s="2" t="s">
        <v>3</v>
      </c>
      <c r="EA354" s="2" t="s">
        <v>3</v>
      </c>
      <c r="EB354" s="2" t="s">
        <v>3</v>
      </c>
      <c r="EC354" s="2" t="s">
        <v>3</v>
      </c>
      <c r="ED354" s="2"/>
      <c r="EE354" s="2">
        <v>89977075</v>
      </c>
      <c r="EF354" s="2">
        <v>6</v>
      </c>
      <c r="EG354" s="2" t="s">
        <v>22</v>
      </c>
      <c r="EH354" s="2">
        <v>95</v>
      </c>
      <c r="EI354" s="2" t="s">
        <v>112</v>
      </c>
      <c r="EJ354" s="2">
        <v>1</v>
      </c>
      <c r="EK354" s="2">
        <v>61001</v>
      </c>
      <c r="EL354" s="2" t="s">
        <v>112</v>
      </c>
      <c r="EM354" s="2" t="s">
        <v>113</v>
      </c>
      <c r="EN354" s="2"/>
      <c r="EO354" s="2" t="s">
        <v>3</v>
      </c>
      <c r="EP354" s="2"/>
      <c r="EQ354" s="2">
        <v>0</v>
      </c>
      <c r="ER354" s="2">
        <v>0</v>
      </c>
      <c r="ES354" s="2">
        <v>0</v>
      </c>
      <c r="ET354" s="2">
        <v>0</v>
      </c>
      <c r="EU354" s="2">
        <v>0</v>
      </c>
      <c r="EV354" s="2">
        <v>0</v>
      </c>
      <c r="EW354" s="2">
        <v>62.91</v>
      </c>
      <c r="EX354" s="2">
        <v>6.21</v>
      </c>
      <c r="EY354" s="2">
        <v>0</v>
      </c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>
        <v>0</v>
      </c>
      <c r="FR354" s="2">
        <v>0</v>
      </c>
      <c r="FS354" s="2">
        <v>0</v>
      </c>
      <c r="FT354" s="2"/>
      <c r="FU354" s="2"/>
      <c r="FV354" s="2"/>
      <c r="FW354" s="2"/>
      <c r="FX354" s="2">
        <v>89</v>
      </c>
      <c r="FY354" s="2">
        <v>44</v>
      </c>
      <c r="FZ354" s="2"/>
      <c r="GA354" s="2" t="s">
        <v>3</v>
      </c>
      <c r="GB354" s="2"/>
      <c r="GC354" s="2"/>
      <c r="GD354" s="2">
        <v>1</v>
      </c>
      <c r="GE354" s="2"/>
      <c r="GF354" s="2">
        <v>1702112367</v>
      </c>
      <c r="GG354" s="2">
        <v>2</v>
      </c>
      <c r="GH354" s="2">
        <v>1</v>
      </c>
      <c r="GI354" s="2">
        <v>-2</v>
      </c>
      <c r="GJ354" s="2">
        <v>0</v>
      </c>
      <c r="GK354" s="2">
        <v>0</v>
      </c>
      <c r="GL354" s="2">
        <f t="shared" ref="GL354:GL363" si="222">ROUND(IF(AND(BH354=3,BI354=3,FS354&lt;&gt;0),P354,0),2)</f>
        <v>0</v>
      </c>
      <c r="GM354" s="2">
        <f t="shared" ref="GM354:GM361" si="223">ROUND(O354+X354+Y354,2)+GX354</f>
        <v>29337.13</v>
      </c>
      <c r="GN354" s="2">
        <f t="shared" ref="GN354:GN363" si="224">IF(OR(BI354=0,BI354=1),GM354-GX354,0)</f>
        <v>29337.13</v>
      </c>
      <c r="GO354" s="2">
        <f t="shared" ref="GO354:GO363" si="225">IF(BI354=2,GM354-GX354,0)</f>
        <v>0</v>
      </c>
      <c r="GP354" s="2">
        <f t="shared" ref="GP354:GP363" si="226">IF(BI354=4,GM354-GX354,0)</f>
        <v>0</v>
      </c>
      <c r="GQ354" s="2"/>
      <c r="GR354" s="2">
        <v>0</v>
      </c>
      <c r="GS354" s="2">
        <v>3</v>
      </c>
      <c r="GT354" s="2">
        <v>0</v>
      </c>
      <c r="GU354" s="2" t="s">
        <v>3</v>
      </c>
      <c r="GV354" s="2">
        <f t="shared" ref="GV354:GV361" si="227">ROUND((GT354),6)</f>
        <v>0</v>
      </c>
      <c r="GW354" s="2">
        <v>1</v>
      </c>
      <c r="GX354" s="2">
        <f t="shared" ref="GX354:GX361" si="228">ROUND(HC354*I354,2)</f>
        <v>0</v>
      </c>
      <c r="GY354" s="2"/>
      <c r="GZ354" s="2"/>
      <c r="HA354" s="2">
        <v>0</v>
      </c>
      <c r="HB354" s="2">
        <v>0</v>
      </c>
      <c r="HC354" s="2">
        <f t="shared" ref="HC354:HC361" si="229">GV354*GW354</f>
        <v>0</v>
      </c>
      <c r="HD354" s="2"/>
      <c r="HE354" s="2" t="s">
        <v>3</v>
      </c>
      <c r="HF354" s="2" t="s">
        <v>3</v>
      </c>
      <c r="HG354" s="2"/>
      <c r="HH354" s="2"/>
      <c r="HI354" s="2"/>
      <c r="HJ354" s="2"/>
      <c r="HK354" s="2"/>
      <c r="HL354" s="2"/>
      <c r="HM354" s="2" t="s">
        <v>3</v>
      </c>
      <c r="HN354" s="2" t="s">
        <v>114</v>
      </c>
      <c r="HO354" s="2" t="s">
        <v>115</v>
      </c>
      <c r="HP354" s="2" t="s">
        <v>112</v>
      </c>
      <c r="HQ354" s="2" t="s">
        <v>112</v>
      </c>
      <c r="HR354" s="2"/>
      <c r="HS354" s="2">
        <v>0</v>
      </c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>
        <v>0</v>
      </c>
      <c r="IL354" s="2"/>
      <c r="IM354" s="2"/>
      <c r="IN354" s="2"/>
      <c r="IO354" s="2"/>
      <c r="IP354" s="2"/>
      <c r="IQ354" s="2"/>
      <c r="IR354" s="2"/>
      <c r="IS354" s="2"/>
      <c r="IT354" s="2"/>
      <c r="IU354" s="2"/>
    </row>
    <row r="355" spans="1:255" x14ac:dyDescent="0.2">
      <c r="A355" s="2">
        <v>18</v>
      </c>
      <c r="B355" s="2">
        <v>1</v>
      </c>
      <c r="C355" s="2">
        <v>243</v>
      </c>
      <c r="D355" s="2"/>
      <c r="E355" s="2" t="s">
        <v>326</v>
      </c>
      <c r="F355" s="2" t="s">
        <v>327</v>
      </c>
      <c r="G355" s="2" t="s">
        <v>328</v>
      </c>
      <c r="H355" s="2" t="s">
        <v>96</v>
      </c>
      <c r="I355" s="2">
        <f>I354*J355</f>
        <v>118.8</v>
      </c>
      <c r="J355" s="2">
        <v>540</v>
      </c>
      <c r="K355" s="2">
        <v>540</v>
      </c>
      <c r="L355" s="2"/>
      <c r="M355" s="2"/>
      <c r="N355" s="2"/>
      <c r="O355" s="2">
        <f t="shared" si="210"/>
        <v>3414.31</v>
      </c>
      <c r="P355" s="2">
        <f>ROUND(CQ355*I355,2)</f>
        <v>3414.31</v>
      </c>
      <c r="Q355" s="2">
        <f>ROUND(CR355*I355,2)</f>
        <v>0</v>
      </c>
      <c r="R355" s="2">
        <f>ROUND(CS355*I355,2)</f>
        <v>0</v>
      </c>
      <c r="S355" s="2">
        <f>ROUND(CT355*I355,2)</f>
        <v>0</v>
      </c>
      <c r="T355" s="2">
        <f t="shared" si="211"/>
        <v>0</v>
      </c>
      <c r="U355" s="2">
        <f>ROUND(CV355*I355,7)</f>
        <v>0</v>
      </c>
      <c r="V355" s="2">
        <f>ROUND(CW355*I355,7)</f>
        <v>0</v>
      </c>
      <c r="W355" s="2">
        <f t="shared" si="212"/>
        <v>0</v>
      </c>
      <c r="X355" s="2">
        <f t="shared" si="213"/>
        <v>0</v>
      </c>
      <c r="Y355" s="2">
        <f t="shared" si="213"/>
        <v>0</v>
      </c>
      <c r="Z355" s="2"/>
      <c r="AA355" s="2">
        <v>94104265</v>
      </c>
      <c r="AB355" s="2">
        <f t="shared" si="214"/>
        <v>19.16</v>
      </c>
      <c r="AC355" s="2">
        <f>ROUND((ES355),6)</f>
        <v>19.16</v>
      </c>
      <c r="AD355" s="2">
        <f>ROUND((((ET355)-(EU355))+AE355),6)</f>
        <v>0</v>
      </c>
      <c r="AE355" s="2">
        <f>ROUND((EU355),6)</f>
        <v>0</v>
      </c>
      <c r="AF355" s="2">
        <f>ROUND((EV355),6)</f>
        <v>0</v>
      </c>
      <c r="AG355" s="2">
        <f t="shared" si="215"/>
        <v>0</v>
      </c>
      <c r="AH355" s="2">
        <f>(EW355)</f>
        <v>0</v>
      </c>
      <c r="AI355" s="2">
        <f>(EX355)</f>
        <v>0</v>
      </c>
      <c r="AJ355" s="2">
        <f t="shared" si="216"/>
        <v>0</v>
      </c>
      <c r="AK355" s="2">
        <v>19.16</v>
      </c>
      <c r="AL355" s="2">
        <v>19.16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89</v>
      </c>
      <c r="AU355" s="2">
        <v>44</v>
      </c>
      <c r="AV355" s="2">
        <v>1</v>
      </c>
      <c r="AW355" s="2">
        <v>1</v>
      </c>
      <c r="AX355" s="2"/>
      <c r="AY355" s="2"/>
      <c r="AZ355" s="2">
        <v>1</v>
      </c>
      <c r="BA355" s="2">
        <v>1</v>
      </c>
      <c r="BB355" s="2">
        <v>1</v>
      </c>
      <c r="BC355" s="2">
        <v>1.5</v>
      </c>
      <c r="BD355" s="2" t="s">
        <v>3</v>
      </c>
      <c r="BE355" s="2" t="s">
        <v>3</v>
      </c>
      <c r="BF355" s="2" t="s">
        <v>3</v>
      </c>
      <c r="BG355" s="2" t="s">
        <v>3</v>
      </c>
      <c r="BH355" s="2">
        <v>3</v>
      </c>
      <c r="BI355" s="2">
        <v>1</v>
      </c>
      <c r="BJ355" s="2" t="s">
        <v>329</v>
      </c>
      <c r="BK355" s="2"/>
      <c r="BL355" s="2"/>
      <c r="BM355" s="2">
        <v>61001</v>
      </c>
      <c r="BN355" s="2">
        <v>0</v>
      </c>
      <c r="BO355" s="2" t="s">
        <v>327</v>
      </c>
      <c r="BP355" s="2">
        <v>1</v>
      </c>
      <c r="BQ355" s="2">
        <v>6</v>
      </c>
      <c r="BR355" s="2">
        <v>0</v>
      </c>
      <c r="BS355" s="2">
        <v>1</v>
      </c>
      <c r="BT355" s="2">
        <v>1</v>
      </c>
      <c r="BU355" s="2">
        <v>1</v>
      </c>
      <c r="BV355" s="2">
        <v>1</v>
      </c>
      <c r="BW355" s="2">
        <v>1</v>
      </c>
      <c r="BX355" s="2">
        <v>1</v>
      </c>
      <c r="BY355" s="2" t="s">
        <v>3</v>
      </c>
      <c r="BZ355" s="2">
        <v>89</v>
      </c>
      <c r="CA355" s="2">
        <v>44</v>
      </c>
      <c r="CB355" s="2" t="s">
        <v>3</v>
      </c>
      <c r="CC355" s="2"/>
      <c r="CD355" s="2"/>
      <c r="CE355" s="2">
        <v>0</v>
      </c>
      <c r="CF355" s="2">
        <v>0</v>
      </c>
      <c r="CG355" s="2">
        <v>0</v>
      </c>
      <c r="CH355" s="2"/>
      <c r="CI355" s="2"/>
      <c r="CJ355" s="2"/>
      <c r="CK355" s="2"/>
      <c r="CL355" s="2"/>
      <c r="CM355" s="2">
        <v>0</v>
      </c>
      <c r="CN355" s="2" t="s">
        <v>3</v>
      </c>
      <c r="CO355" s="2">
        <v>0</v>
      </c>
      <c r="CP355" s="2">
        <f t="shared" si="217"/>
        <v>3414.31</v>
      </c>
      <c r="CQ355" s="2">
        <f>ROUND(AL355*BC355,2)</f>
        <v>28.74</v>
      </c>
      <c r="CR355" s="2">
        <f>ROUND(AM355*BB355,2)</f>
        <v>0</v>
      </c>
      <c r="CS355" s="2">
        <f>ROUND(AN355*BS355,2)</f>
        <v>0</v>
      </c>
      <c r="CT355" s="2">
        <f>ROUND(AO355*BA355,2)</f>
        <v>0</v>
      </c>
      <c r="CU355" s="2">
        <f t="shared" si="218"/>
        <v>0</v>
      </c>
      <c r="CV355" s="2">
        <f>AH355</f>
        <v>0</v>
      </c>
      <c r="CW355" s="2">
        <f>AI355</f>
        <v>0</v>
      </c>
      <c r="CX355" s="2">
        <f t="shared" si="219"/>
        <v>0</v>
      </c>
      <c r="CY355" s="2">
        <f t="shared" si="220"/>
        <v>0</v>
      </c>
      <c r="CZ355" s="2">
        <f t="shared" si="221"/>
        <v>0</v>
      </c>
      <c r="DA355" s="2"/>
      <c r="DB355" s="2"/>
      <c r="DC355" s="2" t="s">
        <v>3</v>
      </c>
      <c r="DD355" s="2" t="s">
        <v>3</v>
      </c>
      <c r="DE355" s="2" t="s">
        <v>3</v>
      </c>
      <c r="DF355" s="2" t="s">
        <v>3</v>
      </c>
      <c r="DG355" s="2" t="s">
        <v>3</v>
      </c>
      <c r="DH355" s="2" t="s">
        <v>3</v>
      </c>
      <c r="DI355" s="2" t="s">
        <v>3</v>
      </c>
      <c r="DJ355" s="2" t="s">
        <v>3</v>
      </c>
      <c r="DK355" s="2" t="s">
        <v>3</v>
      </c>
      <c r="DL355" s="2" t="s">
        <v>3</v>
      </c>
      <c r="DM355" s="2" t="s">
        <v>3</v>
      </c>
      <c r="DN355" s="2">
        <v>0</v>
      </c>
      <c r="DO355" s="2">
        <v>0</v>
      </c>
      <c r="DP355" s="2">
        <v>1</v>
      </c>
      <c r="DQ355" s="2">
        <v>1</v>
      </c>
      <c r="DR355" s="2"/>
      <c r="DS355" s="2"/>
      <c r="DT355" s="2"/>
      <c r="DU355" s="2">
        <v>1009</v>
      </c>
      <c r="DV355" s="2" t="s">
        <v>96</v>
      </c>
      <c r="DW355" s="2" t="s">
        <v>96</v>
      </c>
      <c r="DX355" s="2">
        <v>1</v>
      </c>
      <c r="DY355" s="2"/>
      <c r="DZ355" s="2" t="s">
        <v>3</v>
      </c>
      <c r="EA355" s="2" t="s">
        <v>3</v>
      </c>
      <c r="EB355" s="2" t="s">
        <v>3</v>
      </c>
      <c r="EC355" s="2" t="s">
        <v>3</v>
      </c>
      <c r="ED355" s="2"/>
      <c r="EE355" s="2">
        <v>89977075</v>
      </c>
      <c r="EF355" s="2">
        <v>6</v>
      </c>
      <c r="EG355" s="2" t="s">
        <v>22</v>
      </c>
      <c r="EH355" s="2">
        <v>95</v>
      </c>
      <c r="EI355" s="2" t="s">
        <v>112</v>
      </c>
      <c r="EJ355" s="2">
        <v>1</v>
      </c>
      <c r="EK355" s="2">
        <v>61001</v>
      </c>
      <c r="EL355" s="2" t="s">
        <v>112</v>
      </c>
      <c r="EM355" s="2" t="s">
        <v>113</v>
      </c>
      <c r="EN355" s="2"/>
      <c r="EO355" s="2" t="s">
        <v>3</v>
      </c>
      <c r="EP355" s="2"/>
      <c r="EQ355" s="2">
        <v>0</v>
      </c>
      <c r="ER355" s="2">
        <v>19.16</v>
      </c>
      <c r="ES355" s="2">
        <v>19.16</v>
      </c>
      <c r="ET355" s="2">
        <v>0</v>
      </c>
      <c r="EU355" s="2">
        <v>0</v>
      </c>
      <c r="EV355" s="2">
        <v>0</v>
      </c>
      <c r="EW355" s="2">
        <v>0</v>
      </c>
      <c r="EX355" s="2">
        <v>0</v>
      </c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>
        <v>0</v>
      </c>
      <c r="FR355" s="2">
        <v>0</v>
      </c>
      <c r="FS355" s="2">
        <v>0</v>
      </c>
      <c r="FT355" s="2"/>
      <c r="FU355" s="2"/>
      <c r="FV355" s="2"/>
      <c r="FW355" s="2"/>
      <c r="FX355" s="2">
        <v>89</v>
      </c>
      <c r="FY355" s="2">
        <v>44</v>
      </c>
      <c r="FZ355" s="2"/>
      <c r="GA355" s="2" t="s">
        <v>3</v>
      </c>
      <c r="GB355" s="2"/>
      <c r="GC355" s="2"/>
      <c r="GD355" s="2">
        <v>1</v>
      </c>
      <c r="GE355" s="2"/>
      <c r="GF355" s="2">
        <v>-576634648</v>
      </c>
      <c r="GG355" s="2">
        <v>2</v>
      </c>
      <c r="GH355" s="2">
        <v>1</v>
      </c>
      <c r="GI355" s="2">
        <v>2</v>
      </c>
      <c r="GJ355" s="2">
        <v>0</v>
      </c>
      <c r="GK355" s="2">
        <v>0</v>
      </c>
      <c r="GL355" s="2">
        <f t="shared" si="222"/>
        <v>0</v>
      </c>
      <c r="GM355" s="2">
        <f t="shared" si="223"/>
        <v>3414.31</v>
      </c>
      <c r="GN355" s="2">
        <f t="shared" si="224"/>
        <v>3414.31</v>
      </c>
      <c r="GO355" s="2">
        <f t="shared" si="225"/>
        <v>0</v>
      </c>
      <c r="GP355" s="2">
        <f t="shared" si="226"/>
        <v>0</v>
      </c>
      <c r="GQ355" s="2"/>
      <c r="GR355" s="2">
        <v>0</v>
      </c>
      <c r="GS355" s="2">
        <v>3</v>
      </c>
      <c r="GT355" s="2">
        <v>0</v>
      </c>
      <c r="GU355" s="2" t="s">
        <v>3</v>
      </c>
      <c r="GV355" s="2">
        <f t="shared" si="227"/>
        <v>0</v>
      </c>
      <c r="GW355" s="2">
        <v>1</v>
      </c>
      <c r="GX355" s="2">
        <f t="shared" si="228"/>
        <v>0</v>
      </c>
      <c r="GY355" s="2"/>
      <c r="GZ355" s="2"/>
      <c r="HA355" s="2">
        <v>0</v>
      </c>
      <c r="HB355" s="2">
        <v>0</v>
      </c>
      <c r="HC355" s="2">
        <f t="shared" si="229"/>
        <v>0</v>
      </c>
      <c r="HD355" s="2"/>
      <c r="HE355" s="2" t="s">
        <v>3</v>
      </c>
      <c r="HF355" s="2" t="s">
        <v>3</v>
      </c>
      <c r="HG355" s="2"/>
      <c r="HH355" s="2"/>
      <c r="HI355" s="2"/>
      <c r="HJ355" s="2"/>
      <c r="HK355" s="2"/>
      <c r="HL355" s="2"/>
      <c r="HM355" s="2" t="s">
        <v>3</v>
      </c>
      <c r="HN355" s="2" t="s">
        <v>114</v>
      </c>
      <c r="HO355" s="2" t="s">
        <v>115</v>
      </c>
      <c r="HP355" s="2" t="s">
        <v>112</v>
      </c>
      <c r="HQ355" s="2" t="s">
        <v>112</v>
      </c>
      <c r="HR355" s="2"/>
      <c r="HS355" s="2">
        <v>0</v>
      </c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>
        <v>0</v>
      </c>
      <c r="IL355" s="2"/>
      <c r="IM355" s="2"/>
      <c r="IN355" s="2"/>
      <c r="IO355" s="2"/>
      <c r="IP355" s="2"/>
      <c r="IQ355" s="2"/>
      <c r="IR355" s="2"/>
      <c r="IS355" s="2"/>
      <c r="IT355" s="2"/>
      <c r="IU355" s="2"/>
    </row>
    <row r="356" spans="1:255" x14ac:dyDescent="0.2">
      <c r="A356" s="2">
        <v>17</v>
      </c>
      <c r="B356" s="2">
        <v>1</v>
      </c>
      <c r="C356" s="2">
        <f>ROW(SmtRes!A253)</f>
        <v>253</v>
      </c>
      <c r="D356" s="2">
        <f>ROW(EtalonRes!A252)</f>
        <v>252</v>
      </c>
      <c r="E356" s="2" t="s">
        <v>330</v>
      </c>
      <c r="F356" s="2" t="s">
        <v>331</v>
      </c>
      <c r="G356" s="2" t="s">
        <v>332</v>
      </c>
      <c r="H356" s="2" t="s">
        <v>20</v>
      </c>
      <c r="I356" s="2">
        <f>ROUND(22/100,7)</f>
        <v>0.22</v>
      </c>
      <c r="J356" s="2">
        <v>0</v>
      </c>
      <c r="K356" s="2">
        <f>ROUND(22/100,7)</f>
        <v>0.22</v>
      </c>
      <c r="L356" s="2"/>
      <c r="M356" s="2"/>
      <c r="N356" s="2"/>
      <c r="O356" s="2">
        <f t="shared" si="210"/>
        <v>1770.1</v>
      </c>
      <c r="P356" s="2">
        <f>SUMIF(SmtRes!AQ245:'SmtRes'!AQ253,"=1",SmtRes!DF245:'SmtRes'!DF253)</f>
        <v>38.82</v>
      </c>
      <c r="Q356" s="2">
        <f>SUMIF(SmtRes!AQ245:'SmtRes'!AQ253,"=1",SmtRes!DG245:'SmtRes'!DG253)</f>
        <v>40.67</v>
      </c>
      <c r="R356" s="2">
        <f>SUMIF(SmtRes!AQ245:'SmtRes'!AQ253,"=1",SmtRes!DH245:'SmtRes'!DH253)</f>
        <v>12.87</v>
      </c>
      <c r="S356" s="2">
        <f>SUMIF(SmtRes!AQ245:'SmtRes'!AQ253,"=1",SmtRes!DI245:'SmtRes'!DI253)</f>
        <v>1677.74</v>
      </c>
      <c r="T356" s="2">
        <f t="shared" si="211"/>
        <v>0</v>
      </c>
      <c r="U356" s="2">
        <f>SUMIF(SmtRes!AQ245:'SmtRes'!AQ253,"=1",SmtRes!CV245:'SmtRes'!CV253)</f>
        <v>2.552</v>
      </c>
      <c r="V356" s="2">
        <f>SUMIF(SmtRes!AQ245:'SmtRes'!AQ253,"=1",SmtRes!CW245:'SmtRes'!CW253)</f>
        <v>1.7600000000000001E-2</v>
      </c>
      <c r="W356" s="2">
        <f t="shared" si="212"/>
        <v>0</v>
      </c>
      <c r="X356" s="2">
        <f t="shared" si="213"/>
        <v>1521.55</v>
      </c>
      <c r="Y356" s="2">
        <f t="shared" si="213"/>
        <v>777.68</v>
      </c>
      <c r="Z356" s="2"/>
      <c r="AA356" s="2">
        <v>94104265</v>
      </c>
      <c r="AB356" s="2">
        <f t="shared" si="214"/>
        <v>7898.8545000000004</v>
      </c>
      <c r="AC356" s="2">
        <f>ROUND((SUM(SmtRes!BQ245:'SmtRes'!BQ253)),6)</f>
        <v>119.96510000000001</v>
      </c>
      <c r="AD356" s="2">
        <f>ROUND((((SUM(SmtRes!BR245:'SmtRes'!BR253))-(SUM(SmtRes!BS245:'SmtRes'!BS253)))+AE356),6)</f>
        <v>152.81739999999999</v>
      </c>
      <c r="AE356" s="2">
        <f>ROUND((SUM(SmtRes!BS245:'SmtRes'!BS253)),6)</f>
        <v>58.486400000000003</v>
      </c>
      <c r="AF356" s="2">
        <f>ROUND((SUM(SmtRes!BT245:'SmtRes'!BT253)),6)</f>
        <v>7626.0720000000001</v>
      </c>
      <c r="AG356" s="2">
        <f t="shared" si="215"/>
        <v>0</v>
      </c>
      <c r="AH356" s="2">
        <f>(SUM(SmtRes!BU245:'SmtRes'!BU253))</f>
        <v>11.6</v>
      </c>
      <c r="AI356" s="2">
        <f>(SUM(SmtRes!BV245:'SmtRes'!BV253))</f>
        <v>0.08</v>
      </c>
      <c r="AJ356" s="2">
        <f t="shared" si="216"/>
        <v>0</v>
      </c>
      <c r="AK356" s="2">
        <v>7957.3408999999992</v>
      </c>
      <c r="AL356" s="2">
        <v>119.96510000000001</v>
      </c>
      <c r="AM356" s="2">
        <v>152.81739999999996</v>
      </c>
      <c r="AN356" s="2">
        <v>58.486400000000003</v>
      </c>
      <c r="AO356" s="2">
        <v>7626.0719999999992</v>
      </c>
      <c r="AP356" s="2">
        <v>0</v>
      </c>
      <c r="AQ356" s="2">
        <v>11.6</v>
      </c>
      <c r="AR356" s="2">
        <v>0.08</v>
      </c>
      <c r="AS356" s="2">
        <v>0</v>
      </c>
      <c r="AT356" s="2">
        <v>90</v>
      </c>
      <c r="AU356" s="2">
        <v>46</v>
      </c>
      <c r="AV356" s="2">
        <v>1</v>
      </c>
      <c r="AW356" s="2">
        <v>1</v>
      </c>
      <c r="AX356" s="2"/>
      <c r="AY356" s="2"/>
      <c r="AZ356" s="2">
        <v>1</v>
      </c>
      <c r="BA356" s="2">
        <v>1</v>
      </c>
      <c r="BB356" s="2">
        <v>1</v>
      </c>
      <c r="BC356" s="2">
        <v>1</v>
      </c>
      <c r="BD356" s="2" t="s">
        <v>3</v>
      </c>
      <c r="BE356" s="2" t="s">
        <v>3</v>
      </c>
      <c r="BF356" s="2" t="s">
        <v>3</v>
      </c>
      <c r="BG356" s="2" t="s">
        <v>3</v>
      </c>
      <c r="BH356" s="2">
        <v>0</v>
      </c>
      <c r="BI356" s="2">
        <v>1</v>
      </c>
      <c r="BJ356" s="2" t="s">
        <v>333</v>
      </c>
      <c r="BK356" s="2"/>
      <c r="BL356" s="2"/>
      <c r="BM356" s="2">
        <v>62001</v>
      </c>
      <c r="BN356" s="2">
        <v>0</v>
      </c>
      <c r="BO356" s="2" t="s">
        <v>3</v>
      </c>
      <c r="BP356" s="2">
        <v>0</v>
      </c>
      <c r="BQ356" s="2">
        <v>6</v>
      </c>
      <c r="BR356" s="2">
        <v>0</v>
      </c>
      <c r="BS356" s="2">
        <v>1</v>
      </c>
      <c r="BT356" s="2">
        <v>1</v>
      </c>
      <c r="BU356" s="2">
        <v>1</v>
      </c>
      <c r="BV356" s="2">
        <v>1</v>
      </c>
      <c r="BW356" s="2">
        <v>1</v>
      </c>
      <c r="BX356" s="2">
        <v>1</v>
      </c>
      <c r="BY356" s="2" t="s">
        <v>3</v>
      </c>
      <c r="BZ356" s="2">
        <v>90</v>
      </c>
      <c r="CA356" s="2">
        <v>46</v>
      </c>
      <c r="CB356" s="2" t="s">
        <v>3</v>
      </c>
      <c r="CC356" s="2"/>
      <c r="CD356" s="2"/>
      <c r="CE356" s="2">
        <v>0</v>
      </c>
      <c r="CF356" s="2">
        <v>0</v>
      </c>
      <c r="CG356" s="2">
        <v>0</v>
      </c>
      <c r="CH356" s="2"/>
      <c r="CI356" s="2"/>
      <c r="CJ356" s="2"/>
      <c r="CK356" s="2"/>
      <c r="CL356" s="2"/>
      <c r="CM356" s="2">
        <v>0</v>
      </c>
      <c r="CN356" s="2" t="s">
        <v>3</v>
      </c>
      <c r="CO356" s="2">
        <v>0</v>
      </c>
      <c r="CP356" s="2">
        <f t="shared" si="217"/>
        <v>1770.1</v>
      </c>
      <c r="CQ356" s="2">
        <f>SUMIF(SmtRes!AQ245:'SmtRes'!AQ253,"=1",SmtRes!AA245:'SmtRes'!AA253)</f>
        <v>177.04000000000002</v>
      </c>
      <c r="CR356" s="2">
        <f>SUMIF(SmtRes!AQ245:'SmtRes'!AQ253,"=1",SmtRes!AB245:'SmtRes'!AB253)</f>
        <v>576.04999999999984</v>
      </c>
      <c r="CS356" s="2">
        <f>SUMIF(SmtRes!AQ245:'SmtRes'!AQ253,"=1",SmtRes!AC245:'SmtRes'!AC253)</f>
        <v>731.08</v>
      </c>
      <c r="CT356" s="2">
        <f>SUMIF(SmtRes!AQ245:'SmtRes'!AQ253,"=1",SmtRes!AD245:'SmtRes'!AD253)</f>
        <v>657.42</v>
      </c>
      <c r="CU356" s="2">
        <f t="shared" si="218"/>
        <v>0</v>
      </c>
      <c r="CV356" s="2">
        <f>SUMIF(SmtRes!AQ245:'SmtRes'!AQ253,"=1",SmtRes!BU245:'SmtRes'!BU253)</f>
        <v>11.6</v>
      </c>
      <c r="CW356" s="2">
        <f>SUMIF(SmtRes!AQ245:'SmtRes'!AQ253,"=1",SmtRes!BV245:'SmtRes'!BV253)</f>
        <v>0.08</v>
      </c>
      <c r="CX356" s="2">
        <f t="shared" si="219"/>
        <v>0</v>
      </c>
      <c r="CY356" s="2">
        <f t="shared" si="220"/>
        <v>1521.549</v>
      </c>
      <c r="CZ356" s="2">
        <f t="shared" si="221"/>
        <v>777.68060000000003</v>
      </c>
      <c r="DA356" s="2"/>
      <c r="DB356" s="2"/>
      <c r="DC356" s="2" t="s">
        <v>3</v>
      </c>
      <c r="DD356" s="2" t="s">
        <v>3</v>
      </c>
      <c r="DE356" s="2" t="s">
        <v>3</v>
      </c>
      <c r="DF356" s="2" t="s">
        <v>3</v>
      </c>
      <c r="DG356" s="2" t="s">
        <v>3</v>
      </c>
      <c r="DH356" s="2" t="s">
        <v>3</v>
      </c>
      <c r="DI356" s="2" t="s">
        <v>3</v>
      </c>
      <c r="DJ356" s="2" t="s">
        <v>3</v>
      </c>
      <c r="DK356" s="2" t="s">
        <v>3</v>
      </c>
      <c r="DL356" s="2" t="s">
        <v>3</v>
      </c>
      <c r="DM356" s="2" t="s">
        <v>3</v>
      </c>
      <c r="DN356" s="2">
        <v>0</v>
      </c>
      <c r="DO356" s="2">
        <v>0</v>
      </c>
      <c r="DP356" s="2">
        <v>1</v>
      </c>
      <c r="DQ356" s="2">
        <v>1</v>
      </c>
      <c r="DR356" s="2"/>
      <c r="DS356" s="2"/>
      <c r="DT356" s="2"/>
      <c r="DU356" s="2">
        <v>1005</v>
      </c>
      <c r="DV356" s="2" t="s">
        <v>20</v>
      </c>
      <c r="DW356" s="2" t="s">
        <v>20</v>
      </c>
      <c r="DX356" s="2">
        <v>100</v>
      </c>
      <c r="DY356" s="2"/>
      <c r="DZ356" s="2" t="s">
        <v>3</v>
      </c>
      <c r="EA356" s="2" t="s">
        <v>3</v>
      </c>
      <c r="EB356" s="2" t="s">
        <v>3</v>
      </c>
      <c r="EC356" s="2" t="s">
        <v>3</v>
      </c>
      <c r="ED356" s="2"/>
      <c r="EE356" s="2">
        <v>89977076</v>
      </c>
      <c r="EF356" s="2">
        <v>6</v>
      </c>
      <c r="EG356" s="2" t="s">
        <v>22</v>
      </c>
      <c r="EH356" s="2">
        <v>96</v>
      </c>
      <c r="EI356" s="2" t="s">
        <v>121</v>
      </c>
      <c r="EJ356" s="2">
        <v>1</v>
      </c>
      <c r="EK356" s="2">
        <v>62001</v>
      </c>
      <c r="EL356" s="2" t="s">
        <v>121</v>
      </c>
      <c r="EM356" s="2" t="s">
        <v>122</v>
      </c>
      <c r="EN356" s="2"/>
      <c r="EO356" s="2" t="s">
        <v>3</v>
      </c>
      <c r="EP356" s="2"/>
      <c r="EQ356" s="2">
        <v>0</v>
      </c>
      <c r="ER356" s="2">
        <v>0</v>
      </c>
      <c r="ES356" s="2">
        <v>0</v>
      </c>
      <c r="ET356" s="2">
        <v>0</v>
      </c>
      <c r="EU356" s="2">
        <v>0</v>
      </c>
      <c r="EV356" s="2">
        <v>0</v>
      </c>
      <c r="EW356" s="2">
        <v>11.6</v>
      </c>
      <c r="EX356" s="2">
        <v>0.08</v>
      </c>
      <c r="EY356" s="2">
        <v>0</v>
      </c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>
        <v>0</v>
      </c>
      <c r="FR356" s="2">
        <v>0</v>
      </c>
      <c r="FS356" s="2">
        <v>0</v>
      </c>
      <c r="FT356" s="2"/>
      <c r="FU356" s="2"/>
      <c r="FV356" s="2"/>
      <c r="FW356" s="2"/>
      <c r="FX356" s="2">
        <v>90</v>
      </c>
      <c r="FY356" s="2">
        <v>46</v>
      </c>
      <c r="FZ356" s="2"/>
      <c r="GA356" s="2" t="s">
        <v>3</v>
      </c>
      <c r="GB356" s="2"/>
      <c r="GC356" s="2"/>
      <c r="GD356" s="2">
        <v>1</v>
      </c>
      <c r="GE356" s="2"/>
      <c r="GF356" s="2">
        <v>-1559766889</v>
      </c>
      <c r="GG356" s="2">
        <v>2</v>
      </c>
      <c r="GH356" s="2">
        <v>1</v>
      </c>
      <c r="GI356" s="2">
        <v>-2</v>
      </c>
      <c r="GJ356" s="2">
        <v>0</v>
      </c>
      <c r="GK356" s="2">
        <v>0</v>
      </c>
      <c r="GL356" s="2">
        <f t="shared" si="222"/>
        <v>0</v>
      </c>
      <c r="GM356" s="2">
        <f t="shared" si="223"/>
        <v>4069.33</v>
      </c>
      <c r="GN356" s="2">
        <f t="shared" si="224"/>
        <v>4069.33</v>
      </c>
      <c r="GO356" s="2">
        <f t="shared" si="225"/>
        <v>0</v>
      </c>
      <c r="GP356" s="2">
        <f t="shared" si="226"/>
        <v>0</v>
      </c>
      <c r="GQ356" s="2"/>
      <c r="GR356" s="2">
        <v>0</v>
      </c>
      <c r="GS356" s="2">
        <v>3</v>
      </c>
      <c r="GT356" s="2">
        <v>0</v>
      </c>
      <c r="GU356" s="2" t="s">
        <v>3</v>
      </c>
      <c r="GV356" s="2">
        <f t="shared" si="227"/>
        <v>0</v>
      </c>
      <c r="GW356" s="2">
        <v>1</v>
      </c>
      <c r="GX356" s="2">
        <f t="shared" si="228"/>
        <v>0</v>
      </c>
      <c r="GY356" s="2"/>
      <c r="GZ356" s="2"/>
      <c r="HA356" s="2">
        <v>0</v>
      </c>
      <c r="HB356" s="2">
        <v>0</v>
      </c>
      <c r="HC356" s="2">
        <f t="shared" si="229"/>
        <v>0</v>
      </c>
      <c r="HD356" s="2"/>
      <c r="HE356" s="2" t="s">
        <v>3</v>
      </c>
      <c r="HF356" s="2" t="s">
        <v>3</v>
      </c>
      <c r="HG356" s="2"/>
      <c r="HH356" s="2"/>
      <c r="HI356" s="2"/>
      <c r="HJ356" s="2"/>
      <c r="HK356" s="2"/>
      <c r="HL356" s="2"/>
      <c r="HM356" s="2" t="s">
        <v>3</v>
      </c>
      <c r="HN356" s="2" t="s">
        <v>123</v>
      </c>
      <c r="HO356" s="2" t="s">
        <v>124</v>
      </c>
      <c r="HP356" s="2" t="s">
        <v>121</v>
      </c>
      <c r="HQ356" s="2" t="s">
        <v>121</v>
      </c>
      <c r="HR356" s="2"/>
      <c r="HS356" s="2">
        <v>0</v>
      </c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>
        <v>0</v>
      </c>
      <c r="IL356" s="2"/>
      <c r="IM356" s="2"/>
      <c r="IN356" s="2"/>
      <c r="IO356" s="2"/>
      <c r="IP356" s="2"/>
      <c r="IQ356" s="2"/>
      <c r="IR356" s="2"/>
      <c r="IS356" s="2"/>
      <c r="IT356" s="2"/>
      <c r="IU356" s="2"/>
    </row>
    <row r="357" spans="1:255" x14ac:dyDescent="0.2">
      <c r="A357" s="2">
        <v>18</v>
      </c>
      <c r="B357" s="2">
        <v>1</v>
      </c>
      <c r="C357" s="2">
        <v>252</v>
      </c>
      <c r="D357" s="2"/>
      <c r="E357" s="2" t="s">
        <v>334</v>
      </c>
      <c r="F357" s="2" t="s">
        <v>126</v>
      </c>
      <c r="G357" s="2" t="s">
        <v>127</v>
      </c>
      <c r="H357" s="2" t="s">
        <v>30</v>
      </c>
      <c r="I357" s="2">
        <f>I356*J357</f>
        <v>1.1835999999999999E-2</v>
      </c>
      <c r="J357" s="2">
        <v>5.3799999999999994E-2</v>
      </c>
      <c r="K357" s="2">
        <v>5.3800000000000001E-2</v>
      </c>
      <c r="L357" s="2"/>
      <c r="M357" s="2"/>
      <c r="N357" s="2"/>
      <c r="O357" s="2">
        <f t="shared" si="210"/>
        <v>1546.22</v>
      </c>
      <c r="P357" s="2">
        <f>ROUND(CQ357*I357,2)</f>
        <v>1546.22</v>
      </c>
      <c r="Q357" s="2">
        <f>ROUND(CR357*I357,2)</f>
        <v>0</v>
      </c>
      <c r="R357" s="2">
        <f>ROUND(CS357*I357,2)</f>
        <v>0</v>
      </c>
      <c r="S357" s="2">
        <f>ROUND(CT357*I357,2)</f>
        <v>0</v>
      </c>
      <c r="T357" s="2">
        <f t="shared" si="211"/>
        <v>0</v>
      </c>
      <c r="U357" s="2">
        <f>ROUND(CV357*I357,7)</f>
        <v>0</v>
      </c>
      <c r="V357" s="2">
        <f>ROUND(CW357*I357,7)</f>
        <v>0</v>
      </c>
      <c r="W357" s="2">
        <f t="shared" si="212"/>
        <v>0</v>
      </c>
      <c r="X357" s="2">
        <f t="shared" si="213"/>
        <v>0</v>
      </c>
      <c r="Y357" s="2">
        <f t="shared" si="213"/>
        <v>0</v>
      </c>
      <c r="Z357" s="2"/>
      <c r="AA357" s="2">
        <v>94104265</v>
      </c>
      <c r="AB357" s="2">
        <f t="shared" si="214"/>
        <v>119850.13</v>
      </c>
      <c r="AC357" s="2">
        <f>ROUND((ES357),6)</f>
        <v>119850.13</v>
      </c>
      <c r="AD357" s="2">
        <f>ROUND((((ET357)-(EU357))+AE357),6)</f>
        <v>0</v>
      </c>
      <c r="AE357" s="2">
        <f>ROUND((EU357),6)</f>
        <v>0</v>
      </c>
      <c r="AF357" s="2">
        <f>ROUND((EV357),6)</f>
        <v>0</v>
      </c>
      <c r="AG357" s="2">
        <f t="shared" si="215"/>
        <v>0</v>
      </c>
      <c r="AH357" s="2">
        <f>(EW357)</f>
        <v>0</v>
      </c>
      <c r="AI357" s="2">
        <f>(EX357)</f>
        <v>0</v>
      </c>
      <c r="AJ357" s="2">
        <f t="shared" si="216"/>
        <v>0</v>
      </c>
      <c r="AK357" s="2">
        <v>119850.13</v>
      </c>
      <c r="AL357" s="2">
        <v>119850.13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90</v>
      </c>
      <c r="AU357" s="2">
        <v>46</v>
      </c>
      <c r="AV357" s="2">
        <v>1</v>
      </c>
      <c r="AW357" s="2">
        <v>1</v>
      </c>
      <c r="AX357" s="2"/>
      <c r="AY357" s="2"/>
      <c r="AZ357" s="2">
        <v>1</v>
      </c>
      <c r="BA357" s="2">
        <v>1</v>
      </c>
      <c r="BB357" s="2">
        <v>1</v>
      </c>
      <c r="BC357" s="2">
        <v>1.0900000000000001</v>
      </c>
      <c r="BD357" s="2" t="s">
        <v>3</v>
      </c>
      <c r="BE357" s="2" t="s">
        <v>3</v>
      </c>
      <c r="BF357" s="2" t="s">
        <v>3</v>
      </c>
      <c r="BG357" s="2" t="s">
        <v>3</v>
      </c>
      <c r="BH357" s="2">
        <v>3</v>
      </c>
      <c r="BI357" s="2">
        <v>1</v>
      </c>
      <c r="BJ357" s="2" t="s">
        <v>128</v>
      </c>
      <c r="BK357" s="2"/>
      <c r="BL357" s="2"/>
      <c r="BM357" s="2">
        <v>62001</v>
      </c>
      <c r="BN357" s="2">
        <v>0</v>
      </c>
      <c r="BO357" s="2" t="s">
        <v>126</v>
      </c>
      <c r="BP357" s="2">
        <v>1</v>
      </c>
      <c r="BQ357" s="2">
        <v>6</v>
      </c>
      <c r="BR357" s="2">
        <v>0</v>
      </c>
      <c r="BS357" s="2">
        <v>1</v>
      </c>
      <c r="BT357" s="2">
        <v>1</v>
      </c>
      <c r="BU357" s="2">
        <v>1</v>
      </c>
      <c r="BV357" s="2">
        <v>1</v>
      </c>
      <c r="BW357" s="2">
        <v>1</v>
      </c>
      <c r="BX357" s="2">
        <v>1</v>
      </c>
      <c r="BY357" s="2" t="s">
        <v>3</v>
      </c>
      <c r="BZ357" s="2">
        <v>90</v>
      </c>
      <c r="CA357" s="2">
        <v>46</v>
      </c>
      <c r="CB357" s="2" t="s">
        <v>3</v>
      </c>
      <c r="CC357" s="2"/>
      <c r="CD357" s="2"/>
      <c r="CE357" s="2">
        <v>0</v>
      </c>
      <c r="CF357" s="2">
        <v>0</v>
      </c>
      <c r="CG357" s="2">
        <v>0</v>
      </c>
      <c r="CH357" s="2"/>
      <c r="CI357" s="2"/>
      <c r="CJ357" s="2"/>
      <c r="CK357" s="2"/>
      <c r="CL357" s="2"/>
      <c r="CM357" s="2">
        <v>0</v>
      </c>
      <c r="CN357" s="2" t="s">
        <v>3</v>
      </c>
      <c r="CO357" s="2">
        <v>0</v>
      </c>
      <c r="CP357" s="2">
        <f t="shared" si="217"/>
        <v>1546.22</v>
      </c>
      <c r="CQ357" s="2">
        <f>ROUND(AL357*BC357,2)</f>
        <v>130636.64</v>
      </c>
      <c r="CR357" s="2">
        <f>ROUND(AM357*BB357,2)</f>
        <v>0</v>
      </c>
      <c r="CS357" s="2">
        <f>ROUND(AN357*BS357,2)</f>
        <v>0</v>
      </c>
      <c r="CT357" s="2">
        <f>ROUND(AO357*BA357,2)</f>
        <v>0</v>
      </c>
      <c r="CU357" s="2">
        <f t="shared" si="218"/>
        <v>0</v>
      </c>
      <c r="CV357" s="2">
        <f>AH357</f>
        <v>0</v>
      </c>
      <c r="CW357" s="2">
        <f>AI357</f>
        <v>0</v>
      </c>
      <c r="CX357" s="2">
        <f t="shared" si="219"/>
        <v>0</v>
      </c>
      <c r="CY357" s="2">
        <f t="shared" si="220"/>
        <v>0</v>
      </c>
      <c r="CZ357" s="2">
        <f t="shared" si="221"/>
        <v>0</v>
      </c>
      <c r="DA357" s="2"/>
      <c r="DB357" s="2"/>
      <c r="DC357" s="2" t="s">
        <v>3</v>
      </c>
      <c r="DD357" s="2" t="s">
        <v>3</v>
      </c>
      <c r="DE357" s="2" t="s">
        <v>3</v>
      </c>
      <c r="DF357" s="2" t="s">
        <v>3</v>
      </c>
      <c r="DG357" s="2" t="s">
        <v>3</v>
      </c>
      <c r="DH357" s="2" t="s">
        <v>3</v>
      </c>
      <c r="DI357" s="2" t="s">
        <v>3</v>
      </c>
      <c r="DJ357" s="2" t="s">
        <v>3</v>
      </c>
      <c r="DK357" s="2" t="s">
        <v>3</v>
      </c>
      <c r="DL357" s="2" t="s">
        <v>3</v>
      </c>
      <c r="DM357" s="2" t="s">
        <v>3</v>
      </c>
      <c r="DN357" s="2">
        <v>0</v>
      </c>
      <c r="DO357" s="2">
        <v>0</v>
      </c>
      <c r="DP357" s="2">
        <v>1</v>
      </c>
      <c r="DQ357" s="2">
        <v>1</v>
      </c>
      <c r="DR357" s="2"/>
      <c r="DS357" s="2"/>
      <c r="DT357" s="2"/>
      <c r="DU357" s="2">
        <v>1009</v>
      </c>
      <c r="DV357" s="2" t="s">
        <v>30</v>
      </c>
      <c r="DW357" s="2" t="s">
        <v>30</v>
      </c>
      <c r="DX357" s="2">
        <v>1000</v>
      </c>
      <c r="DY357" s="2"/>
      <c r="DZ357" s="2" t="s">
        <v>3</v>
      </c>
      <c r="EA357" s="2" t="s">
        <v>3</v>
      </c>
      <c r="EB357" s="2" t="s">
        <v>3</v>
      </c>
      <c r="EC357" s="2" t="s">
        <v>3</v>
      </c>
      <c r="ED357" s="2"/>
      <c r="EE357" s="2">
        <v>89977076</v>
      </c>
      <c r="EF357" s="2">
        <v>6</v>
      </c>
      <c r="EG357" s="2" t="s">
        <v>22</v>
      </c>
      <c r="EH357" s="2">
        <v>96</v>
      </c>
      <c r="EI357" s="2" t="s">
        <v>121</v>
      </c>
      <c r="EJ357" s="2">
        <v>1</v>
      </c>
      <c r="EK357" s="2">
        <v>62001</v>
      </c>
      <c r="EL357" s="2" t="s">
        <v>121</v>
      </c>
      <c r="EM357" s="2" t="s">
        <v>122</v>
      </c>
      <c r="EN357" s="2"/>
      <c r="EO357" s="2" t="s">
        <v>3</v>
      </c>
      <c r="EP357" s="2"/>
      <c r="EQ357" s="2">
        <v>0</v>
      </c>
      <c r="ER357" s="2">
        <v>119850.13</v>
      </c>
      <c r="ES357" s="2">
        <v>119850.13</v>
      </c>
      <c r="ET357" s="2">
        <v>0</v>
      </c>
      <c r="EU357" s="2">
        <v>0</v>
      </c>
      <c r="EV357" s="2">
        <v>0</v>
      </c>
      <c r="EW357" s="2">
        <v>0</v>
      </c>
      <c r="EX357" s="2">
        <v>0</v>
      </c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>
        <v>0</v>
      </c>
      <c r="FR357" s="2">
        <v>0</v>
      </c>
      <c r="FS357" s="2">
        <v>0</v>
      </c>
      <c r="FT357" s="2"/>
      <c r="FU357" s="2"/>
      <c r="FV357" s="2"/>
      <c r="FW357" s="2"/>
      <c r="FX357" s="2">
        <v>90</v>
      </c>
      <c r="FY357" s="2">
        <v>46</v>
      </c>
      <c r="FZ357" s="2"/>
      <c r="GA357" s="2" t="s">
        <v>3</v>
      </c>
      <c r="GB357" s="2"/>
      <c r="GC357" s="2"/>
      <c r="GD357" s="2">
        <v>1</v>
      </c>
      <c r="GE357" s="2"/>
      <c r="GF357" s="2">
        <v>-1162192685</v>
      </c>
      <c r="GG357" s="2">
        <v>2</v>
      </c>
      <c r="GH357" s="2">
        <v>1</v>
      </c>
      <c r="GI357" s="2">
        <v>2</v>
      </c>
      <c r="GJ357" s="2">
        <v>0</v>
      </c>
      <c r="GK357" s="2">
        <v>0</v>
      </c>
      <c r="GL357" s="2">
        <f t="shared" si="222"/>
        <v>0</v>
      </c>
      <c r="GM357" s="2">
        <f t="shared" si="223"/>
        <v>1546.22</v>
      </c>
      <c r="GN357" s="2">
        <f t="shared" si="224"/>
        <v>1546.22</v>
      </c>
      <c r="GO357" s="2">
        <f t="shared" si="225"/>
        <v>0</v>
      </c>
      <c r="GP357" s="2">
        <f t="shared" si="226"/>
        <v>0</v>
      </c>
      <c r="GQ357" s="2"/>
      <c r="GR357" s="2">
        <v>0</v>
      </c>
      <c r="GS357" s="2">
        <v>3</v>
      </c>
      <c r="GT357" s="2">
        <v>0</v>
      </c>
      <c r="GU357" s="2" t="s">
        <v>3</v>
      </c>
      <c r="GV357" s="2">
        <f t="shared" si="227"/>
        <v>0</v>
      </c>
      <c r="GW357" s="2">
        <v>1</v>
      </c>
      <c r="GX357" s="2">
        <f t="shared" si="228"/>
        <v>0</v>
      </c>
      <c r="GY357" s="2"/>
      <c r="GZ357" s="2"/>
      <c r="HA357" s="2">
        <v>0</v>
      </c>
      <c r="HB357" s="2">
        <v>0</v>
      </c>
      <c r="HC357" s="2">
        <f t="shared" si="229"/>
        <v>0</v>
      </c>
      <c r="HD357" s="2"/>
      <c r="HE357" s="2" t="s">
        <v>3</v>
      </c>
      <c r="HF357" s="2" t="s">
        <v>3</v>
      </c>
      <c r="HG357" s="2"/>
      <c r="HH357" s="2"/>
      <c r="HI357" s="2"/>
      <c r="HJ357" s="2"/>
      <c r="HK357" s="2"/>
      <c r="HL357" s="2"/>
      <c r="HM357" s="2" t="s">
        <v>3</v>
      </c>
      <c r="HN357" s="2" t="s">
        <v>123</v>
      </c>
      <c r="HO357" s="2" t="s">
        <v>124</v>
      </c>
      <c r="HP357" s="2" t="s">
        <v>121</v>
      </c>
      <c r="HQ357" s="2" t="s">
        <v>121</v>
      </c>
      <c r="HR357" s="2"/>
      <c r="HS357" s="2">
        <v>0</v>
      </c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>
        <v>0</v>
      </c>
      <c r="IL357" s="2"/>
      <c r="IM357" s="2"/>
      <c r="IN357" s="2"/>
      <c r="IO357" s="2"/>
      <c r="IP357" s="2"/>
      <c r="IQ357" s="2"/>
      <c r="IR357" s="2"/>
      <c r="IS357" s="2"/>
      <c r="IT357" s="2"/>
      <c r="IU357" s="2"/>
    </row>
    <row r="358" spans="1:255" x14ac:dyDescent="0.2">
      <c r="A358" s="2">
        <v>17</v>
      </c>
      <c r="B358" s="2">
        <v>1</v>
      </c>
      <c r="C358" s="2">
        <f>ROW(SmtRes!A260)</f>
        <v>260</v>
      </c>
      <c r="D358" s="2">
        <f>ROW(EtalonRes!A259)</f>
        <v>259</v>
      </c>
      <c r="E358" s="2" t="s">
        <v>335</v>
      </c>
      <c r="F358" s="2" t="s">
        <v>336</v>
      </c>
      <c r="G358" s="2" t="s">
        <v>337</v>
      </c>
      <c r="H358" s="2" t="s">
        <v>20</v>
      </c>
      <c r="I358" s="2">
        <f>ROUND(24.5/100,7)</f>
        <v>0.245</v>
      </c>
      <c r="J358" s="2">
        <v>0</v>
      </c>
      <c r="K358" s="2">
        <f>ROUND(24.5/100,7)</f>
        <v>0.245</v>
      </c>
      <c r="L358" s="2"/>
      <c r="M358" s="2"/>
      <c r="N358" s="2"/>
      <c r="O358" s="2">
        <f t="shared" si="210"/>
        <v>26556.29</v>
      </c>
      <c r="P358" s="2">
        <f>SUMIF(SmtRes!AQ254:'SmtRes'!AQ260,"=1",SmtRes!DF254:'SmtRes'!DF260)</f>
        <v>2564.56</v>
      </c>
      <c r="Q358" s="2">
        <f>SUMIF(SmtRes!AQ254:'SmtRes'!AQ260,"=1",SmtRes!DG254:'SmtRes'!DG260)</f>
        <v>157.59</v>
      </c>
      <c r="R358" s="2">
        <f>SUMIF(SmtRes!AQ254:'SmtRes'!AQ260,"=1",SmtRes!DH254:'SmtRes'!DH260)</f>
        <v>285.68</v>
      </c>
      <c r="S358" s="2">
        <f>SUMIF(SmtRes!AQ254:'SmtRes'!AQ260,"=1",SmtRes!DI254:'SmtRes'!DI260)</f>
        <v>23548.46</v>
      </c>
      <c r="T358" s="2">
        <f t="shared" si="211"/>
        <v>0</v>
      </c>
      <c r="U358" s="2">
        <f>SUMIF(SmtRes!AQ254:'SmtRes'!AQ260,"=1",SmtRes!CV254:'SmtRes'!CV260)</f>
        <v>34.949249999999999</v>
      </c>
      <c r="V358" s="2">
        <f>SUMIF(SmtRes!AQ254:'SmtRes'!AQ260,"=1",SmtRes!CW254:'SmtRes'!CW260)</f>
        <v>0.40915000000000001</v>
      </c>
      <c r="W358" s="2">
        <f t="shared" si="212"/>
        <v>0</v>
      </c>
      <c r="X358" s="2">
        <f t="shared" si="213"/>
        <v>21212.38</v>
      </c>
      <c r="Y358" s="2">
        <f t="shared" si="213"/>
        <v>10487.02</v>
      </c>
      <c r="Z358" s="2"/>
      <c r="AA358" s="2">
        <v>94104265</v>
      </c>
      <c r="AB358" s="2">
        <f t="shared" si="214"/>
        <v>104220.7784</v>
      </c>
      <c r="AC358" s="2">
        <f>ROUND((SUM(SmtRes!BQ254:'SmtRes'!BQ260)),6)</f>
        <v>7475.6904999999997</v>
      </c>
      <c r="AD358" s="2">
        <f>ROUND((((SUM(SmtRes!BR254:'SmtRes'!BR260))-(SUM(SmtRes!BS254:'SmtRes'!BS260)))+AE358),6)</f>
        <v>628.94439999999997</v>
      </c>
      <c r="AE358" s="2">
        <f>ROUND((SUM(SmtRes!BS254:'SmtRes'!BS260)),6)</f>
        <v>1166.0708</v>
      </c>
      <c r="AF358" s="2">
        <f>ROUND((SUM(SmtRes!BT254:'SmtRes'!BT260)),6)</f>
        <v>96116.143500000006</v>
      </c>
      <c r="AG358" s="2">
        <f t="shared" si="215"/>
        <v>0</v>
      </c>
      <c r="AH358" s="2">
        <f>(SUM(SmtRes!BU254:'SmtRes'!BU260))</f>
        <v>142.65</v>
      </c>
      <c r="AI358" s="2">
        <f>(SUM(SmtRes!BV254:'SmtRes'!BV260))</f>
        <v>1.67</v>
      </c>
      <c r="AJ358" s="2">
        <f t="shared" si="216"/>
        <v>0</v>
      </c>
      <c r="AK358" s="2">
        <v>105386.84920000001</v>
      </c>
      <c r="AL358" s="2">
        <v>7475.6905000000006</v>
      </c>
      <c r="AM358" s="2">
        <v>628.94440000000009</v>
      </c>
      <c r="AN358" s="2">
        <v>1166.0708</v>
      </c>
      <c r="AO358" s="2">
        <v>96116.143500000006</v>
      </c>
      <c r="AP358" s="2">
        <v>0</v>
      </c>
      <c r="AQ358" s="2">
        <v>142.65</v>
      </c>
      <c r="AR358" s="2">
        <v>1.67</v>
      </c>
      <c r="AS358" s="2">
        <v>0</v>
      </c>
      <c r="AT358" s="2">
        <v>89</v>
      </c>
      <c r="AU358" s="2">
        <v>44</v>
      </c>
      <c r="AV358" s="2">
        <v>1</v>
      </c>
      <c r="AW358" s="2">
        <v>1</v>
      </c>
      <c r="AX358" s="2"/>
      <c r="AY358" s="2"/>
      <c r="AZ358" s="2">
        <v>1</v>
      </c>
      <c r="BA358" s="2">
        <v>1</v>
      </c>
      <c r="BB358" s="2">
        <v>1</v>
      </c>
      <c r="BC358" s="2">
        <v>1</v>
      </c>
      <c r="BD358" s="2" t="s">
        <v>3</v>
      </c>
      <c r="BE358" s="2" t="s">
        <v>3</v>
      </c>
      <c r="BF358" s="2" t="s">
        <v>3</v>
      </c>
      <c r="BG358" s="2" t="s">
        <v>3</v>
      </c>
      <c r="BH358" s="2">
        <v>0</v>
      </c>
      <c r="BI358" s="2">
        <v>1</v>
      </c>
      <c r="BJ358" s="2" t="s">
        <v>338</v>
      </c>
      <c r="BK358" s="2"/>
      <c r="BL358" s="2"/>
      <c r="BM358" s="2">
        <v>61001</v>
      </c>
      <c r="BN358" s="2">
        <v>0</v>
      </c>
      <c r="BO358" s="2" t="s">
        <v>3</v>
      </c>
      <c r="BP358" s="2">
        <v>0</v>
      </c>
      <c r="BQ358" s="2">
        <v>6</v>
      </c>
      <c r="BR358" s="2">
        <v>0</v>
      </c>
      <c r="BS358" s="2">
        <v>1</v>
      </c>
      <c r="BT358" s="2">
        <v>1</v>
      </c>
      <c r="BU358" s="2">
        <v>1</v>
      </c>
      <c r="BV358" s="2">
        <v>1</v>
      </c>
      <c r="BW358" s="2">
        <v>1</v>
      </c>
      <c r="BX358" s="2">
        <v>1</v>
      </c>
      <c r="BY358" s="2" t="s">
        <v>3</v>
      </c>
      <c r="BZ358" s="2">
        <v>89</v>
      </c>
      <c r="CA358" s="2">
        <v>44</v>
      </c>
      <c r="CB358" s="2" t="s">
        <v>3</v>
      </c>
      <c r="CC358" s="2"/>
      <c r="CD358" s="2"/>
      <c r="CE358" s="2">
        <v>0</v>
      </c>
      <c r="CF358" s="2">
        <v>0</v>
      </c>
      <c r="CG358" s="2">
        <v>0</v>
      </c>
      <c r="CH358" s="2"/>
      <c r="CI358" s="2"/>
      <c r="CJ358" s="2"/>
      <c r="CK358" s="2"/>
      <c r="CL358" s="2"/>
      <c r="CM358" s="2">
        <v>0</v>
      </c>
      <c r="CN358" s="2" t="s">
        <v>3</v>
      </c>
      <c r="CO358" s="2">
        <v>0</v>
      </c>
      <c r="CP358" s="2">
        <f t="shared" si="217"/>
        <v>26556.29</v>
      </c>
      <c r="CQ358" s="2">
        <f>SUMIF(SmtRes!AQ254:'SmtRes'!AQ260,"=1",SmtRes!AA254:'SmtRes'!AA260)</f>
        <v>4803.9400000000005</v>
      </c>
      <c r="CR358" s="2">
        <f>SUMIF(SmtRes!AQ254:'SmtRes'!AQ260,"=1",SmtRes!AB254:'SmtRes'!AB260)</f>
        <v>662.53000000000009</v>
      </c>
      <c r="CS358" s="2">
        <f>SUMIF(SmtRes!AQ254:'SmtRes'!AQ260,"=1",SmtRes!AC254:'SmtRes'!AC260)</f>
        <v>1380.3200000000002</v>
      </c>
      <c r="CT358" s="2">
        <f>SUMIF(SmtRes!AQ254:'SmtRes'!AQ260,"=1",SmtRes!AD254:'SmtRes'!AD260)</f>
        <v>673.79</v>
      </c>
      <c r="CU358" s="2">
        <f t="shared" si="218"/>
        <v>0</v>
      </c>
      <c r="CV358" s="2">
        <f>SUMIF(SmtRes!AQ254:'SmtRes'!AQ260,"=1",SmtRes!BU254:'SmtRes'!BU260)</f>
        <v>142.65</v>
      </c>
      <c r="CW358" s="2">
        <f>SUMIF(SmtRes!AQ254:'SmtRes'!AQ260,"=1",SmtRes!BV254:'SmtRes'!BV260)</f>
        <v>1.67</v>
      </c>
      <c r="CX358" s="2">
        <f t="shared" si="219"/>
        <v>0</v>
      </c>
      <c r="CY358" s="2">
        <f t="shared" si="220"/>
        <v>21212.384600000001</v>
      </c>
      <c r="CZ358" s="2">
        <f t="shared" si="221"/>
        <v>10487.0216</v>
      </c>
      <c r="DA358" s="2"/>
      <c r="DB358" s="2"/>
      <c r="DC358" s="2" t="s">
        <v>3</v>
      </c>
      <c r="DD358" s="2" t="s">
        <v>3</v>
      </c>
      <c r="DE358" s="2" t="s">
        <v>3</v>
      </c>
      <c r="DF358" s="2" t="s">
        <v>3</v>
      </c>
      <c r="DG358" s="2" t="s">
        <v>3</v>
      </c>
      <c r="DH358" s="2" t="s">
        <v>3</v>
      </c>
      <c r="DI358" s="2" t="s">
        <v>3</v>
      </c>
      <c r="DJ358" s="2" t="s">
        <v>3</v>
      </c>
      <c r="DK358" s="2" t="s">
        <v>3</v>
      </c>
      <c r="DL358" s="2" t="s">
        <v>3</v>
      </c>
      <c r="DM358" s="2" t="s">
        <v>3</v>
      </c>
      <c r="DN358" s="2">
        <v>0</v>
      </c>
      <c r="DO358" s="2">
        <v>0</v>
      </c>
      <c r="DP358" s="2">
        <v>1</v>
      </c>
      <c r="DQ358" s="2">
        <v>1</v>
      </c>
      <c r="DR358" s="2"/>
      <c r="DS358" s="2"/>
      <c r="DT358" s="2"/>
      <c r="DU358" s="2">
        <v>1005</v>
      </c>
      <c r="DV358" s="2" t="s">
        <v>20</v>
      </c>
      <c r="DW358" s="2" t="s">
        <v>20</v>
      </c>
      <c r="DX358" s="2">
        <v>100</v>
      </c>
      <c r="DY358" s="2"/>
      <c r="DZ358" s="2" t="s">
        <v>3</v>
      </c>
      <c r="EA358" s="2" t="s">
        <v>3</v>
      </c>
      <c r="EB358" s="2" t="s">
        <v>3</v>
      </c>
      <c r="EC358" s="2" t="s">
        <v>3</v>
      </c>
      <c r="ED358" s="2"/>
      <c r="EE358" s="2">
        <v>89977075</v>
      </c>
      <c r="EF358" s="2">
        <v>6</v>
      </c>
      <c r="EG358" s="2" t="s">
        <v>22</v>
      </c>
      <c r="EH358" s="2">
        <v>95</v>
      </c>
      <c r="EI358" s="2" t="s">
        <v>112</v>
      </c>
      <c r="EJ358" s="2">
        <v>1</v>
      </c>
      <c r="EK358" s="2">
        <v>61001</v>
      </c>
      <c r="EL358" s="2" t="s">
        <v>112</v>
      </c>
      <c r="EM358" s="2" t="s">
        <v>113</v>
      </c>
      <c r="EN358" s="2"/>
      <c r="EO358" s="2" t="s">
        <v>3</v>
      </c>
      <c r="EP358" s="2"/>
      <c r="EQ358" s="2">
        <v>0</v>
      </c>
      <c r="ER358" s="2">
        <v>0</v>
      </c>
      <c r="ES358" s="2">
        <v>0</v>
      </c>
      <c r="ET358" s="2">
        <v>0</v>
      </c>
      <c r="EU358" s="2">
        <v>0</v>
      </c>
      <c r="EV358" s="2">
        <v>0</v>
      </c>
      <c r="EW358" s="2">
        <v>142.65</v>
      </c>
      <c r="EX358" s="2">
        <v>1.67</v>
      </c>
      <c r="EY358" s="2">
        <v>0</v>
      </c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>
        <v>0</v>
      </c>
      <c r="FR358" s="2">
        <v>0</v>
      </c>
      <c r="FS358" s="2">
        <v>0</v>
      </c>
      <c r="FT358" s="2"/>
      <c r="FU358" s="2"/>
      <c r="FV358" s="2"/>
      <c r="FW358" s="2"/>
      <c r="FX358" s="2">
        <v>89</v>
      </c>
      <c r="FY358" s="2">
        <v>44</v>
      </c>
      <c r="FZ358" s="2"/>
      <c r="GA358" s="2" t="s">
        <v>3</v>
      </c>
      <c r="GB358" s="2"/>
      <c r="GC358" s="2"/>
      <c r="GD358" s="2">
        <v>1</v>
      </c>
      <c r="GE358" s="2"/>
      <c r="GF358" s="2">
        <v>1095652710</v>
      </c>
      <c r="GG358" s="2">
        <v>2</v>
      </c>
      <c r="GH358" s="2">
        <v>1</v>
      </c>
      <c r="GI358" s="2">
        <v>-2</v>
      </c>
      <c r="GJ358" s="2">
        <v>0</v>
      </c>
      <c r="GK358" s="2">
        <v>0</v>
      </c>
      <c r="GL358" s="2">
        <f t="shared" si="222"/>
        <v>0</v>
      </c>
      <c r="GM358" s="2">
        <f t="shared" si="223"/>
        <v>58255.69</v>
      </c>
      <c r="GN358" s="2">
        <f t="shared" si="224"/>
        <v>58255.69</v>
      </c>
      <c r="GO358" s="2">
        <f t="shared" si="225"/>
        <v>0</v>
      </c>
      <c r="GP358" s="2">
        <f t="shared" si="226"/>
        <v>0</v>
      </c>
      <c r="GQ358" s="2"/>
      <c r="GR358" s="2">
        <v>0</v>
      </c>
      <c r="GS358" s="2">
        <v>3</v>
      </c>
      <c r="GT358" s="2">
        <v>0</v>
      </c>
      <c r="GU358" s="2" t="s">
        <v>3</v>
      </c>
      <c r="GV358" s="2">
        <f t="shared" si="227"/>
        <v>0</v>
      </c>
      <c r="GW358" s="2">
        <v>1</v>
      </c>
      <c r="GX358" s="2">
        <f t="shared" si="228"/>
        <v>0</v>
      </c>
      <c r="GY358" s="2"/>
      <c r="GZ358" s="2"/>
      <c r="HA358" s="2">
        <v>0</v>
      </c>
      <c r="HB358" s="2">
        <v>0</v>
      </c>
      <c r="HC358" s="2">
        <f t="shared" si="229"/>
        <v>0</v>
      </c>
      <c r="HD358" s="2"/>
      <c r="HE358" s="2" t="s">
        <v>3</v>
      </c>
      <c r="HF358" s="2" t="s">
        <v>3</v>
      </c>
      <c r="HG358" s="2"/>
      <c r="HH358" s="2"/>
      <c r="HI358" s="2"/>
      <c r="HJ358" s="2"/>
      <c r="HK358" s="2"/>
      <c r="HL358" s="2"/>
      <c r="HM358" s="2" t="s">
        <v>3</v>
      </c>
      <c r="HN358" s="2" t="s">
        <v>114</v>
      </c>
      <c r="HO358" s="2" t="s">
        <v>115</v>
      </c>
      <c r="HP358" s="2" t="s">
        <v>112</v>
      </c>
      <c r="HQ358" s="2" t="s">
        <v>112</v>
      </c>
      <c r="HR358" s="2"/>
      <c r="HS358" s="2">
        <v>0</v>
      </c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>
        <v>0</v>
      </c>
      <c r="IL358" s="2"/>
      <c r="IM358" s="2"/>
      <c r="IN358" s="2"/>
      <c r="IO358" s="2"/>
      <c r="IP358" s="2"/>
      <c r="IQ358" s="2"/>
      <c r="IR358" s="2"/>
      <c r="IS358" s="2"/>
      <c r="IT358" s="2"/>
      <c r="IU358" s="2"/>
    </row>
    <row r="359" spans="1:255" x14ac:dyDescent="0.2">
      <c r="A359" s="2">
        <v>18</v>
      </c>
      <c r="B359" s="2">
        <v>1</v>
      </c>
      <c r="C359" s="2">
        <v>260</v>
      </c>
      <c r="D359" s="2"/>
      <c r="E359" s="2" t="s">
        <v>339</v>
      </c>
      <c r="F359" s="2" t="s">
        <v>28</v>
      </c>
      <c r="G359" s="2" t="s">
        <v>29</v>
      </c>
      <c r="H359" s="2" t="s">
        <v>30</v>
      </c>
      <c r="I359" s="2">
        <f>I358*J359</f>
        <v>0.82809999999999995</v>
      </c>
      <c r="J359" s="2">
        <v>3.38</v>
      </c>
      <c r="K359" s="2">
        <v>3.38</v>
      </c>
      <c r="L359" s="2"/>
      <c r="M359" s="2"/>
      <c r="N359" s="2"/>
      <c r="O359" s="2">
        <f t="shared" si="210"/>
        <v>0</v>
      </c>
      <c r="P359" s="2">
        <f>ROUND(CQ359*I359,2)</f>
        <v>0</v>
      </c>
      <c r="Q359" s="2">
        <f>ROUND(CR359*I359,2)</f>
        <v>0</v>
      </c>
      <c r="R359" s="2">
        <f>ROUND(CS359*I359,2)</f>
        <v>0</v>
      </c>
      <c r="S359" s="2">
        <f>ROUND(CT359*I359,2)</f>
        <v>0</v>
      </c>
      <c r="T359" s="2">
        <f t="shared" si="211"/>
        <v>0</v>
      </c>
      <c r="U359" s="2">
        <f>ROUND(CV359*I359,7)</f>
        <v>0</v>
      </c>
      <c r="V359" s="2">
        <f>ROUND(CW359*I359,7)</f>
        <v>0</v>
      </c>
      <c r="W359" s="2">
        <f t="shared" si="212"/>
        <v>0</v>
      </c>
      <c r="X359" s="2">
        <f t="shared" si="213"/>
        <v>0</v>
      </c>
      <c r="Y359" s="2">
        <f t="shared" si="213"/>
        <v>0</v>
      </c>
      <c r="Z359" s="2"/>
      <c r="AA359" s="2">
        <v>94104265</v>
      </c>
      <c r="AB359" s="2">
        <f t="shared" si="214"/>
        <v>0</v>
      </c>
      <c r="AC359" s="2">
        <f>ROUND((ES359),6)</f>
        <v>0</v>
      </c>
      <c r="AD359" s="2">
        <f>ROUND((((ET359)-(EU359))+AE359),6)</f>
        <v>0</v>
      </c>
      <c r="AE359" s="2">
        <f>ROUND((EU359),6)</f>
        <v>0</v>
      </c>
      <c r="AF359" s="2">
        <f>ROUND((EV359),6)</f>
        <v>0</v>
      </c>
      <c r="AG359" s="2">
        <f t="shared" si="215"/>
        <v>0</v>
      </c>
      <c r="AH359" s="2">
        <f>(EW359)</f>
        <v>0</v>
      </c>
      <c r="AI359" s="2">
        <f>(EX359)</f>
        <v>0</v>
      </c>
      <c r="AJ359" s="2">
        <f t="shared" si="216"/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89</v>
      </c>
      <c r="AU359" s="2">
        <v>44</v>
      </c>
      <c r="AV359" s="2">
        <v>1</v>
      </c>
      <c r="AW359" s="2">
        <v>1</v>
      </c>
      <c r="AX359" s="2"/>
      <c r="AY359" s="2"/>
      <c r="AZ359" s="2">
        <v>1</v>
      </c>
      <c r="BA359" s="2">
        <v>1</v>
      </c>
      <c r="BB359" s="2">
        <v>1</v>
      </c>
      <c r="BC359" s="2">
        <v>1</v>
      </c>
      <c r="BD359" s="2" t="s">
        <v>3</v>
      </c>
      <c r="BE359" s="2" t="s">
        <v>3</v>
      </c>
      <c r="BF359" s="2" t="s">
        <v>3</v>
      </c>
      <c r="BG359" s="2" t="s">
        <v>3</v>
      </c>
      <c r="BH359" s="2">
        <v>3</v>
      </c>
      <c r="BI359" s="2">
        <v>1</v>
      </c>
      <c r="BJ359" s="2" t="s">
        <v>3</v>
      </c>
      <c r="BK359" s="2"/>
      <c r="BL359" s="2"/>
      <c r="BM359" s="2">
        <v>61001</v>
      </c>
      <c r="BN359" s="2">
        <v>0</v>
      </c>
      <c r="BO359" s="2" t="s">
        <v>3</v>
      </c>
      <c r="BP359" s="2">
        <v>0</v>
      </c>
      <c r="BQ359" s="2">
        <v>6</v>
      </c>
      <c r="BR359" s="2">
        <v>0</v>
      </c>
      <c r="BS359" s="2">
        <v>1</v>
      </c>
      <c r="BT359" s="2">
        <v>1</v>
      </c>
      <c r="BU359" s="2">
        <v>1</v>
      </c>
      <c r="BV359" s="2">
        <v>1</v>
      </c>
      <c r="BW359" s="2">
        <v>1</v>
      </c>
      <c r="BX359" s="2">
        <v>1</v>
      </c>
      <c r="BY359" s="2" t="s">
        <v>3</v>
      </c>
      <c r="BZ359" s="2">
        <v>89</v>
      </c>
      <c r="CA359" s="2">
        <v>44</v>
      </c>
      <c r="CB359" s="2" t="s">
        <v>3</v>
      </c>
      <c r="CC359" s="2"/>
      <c r="CD359" s="2"/>
      <c r="CE359" s="2">
        <v>0</v>
      </c>
      <c r="CF359" s="2">
        <v>0</v>
      </c>
      <c r="CG359" s="2">
        <v>0</v>
      </c>
      <c r="CH359" s="2"/>
      <c r="CI359" s="2"/>
      <c r="CJ359" s="2"/>
      <c r="CK359" s="2"/>
      <c r="CL359" s="2"/>
      <c r="CM359" s="2">
        <v>0</v>
      </c>
      <c r="CN359" s="2" t="s">
        <v>3</v>
      </c>
      <c r="CO359" s="2">
        <v>0</v>
      </c>
      <c r="CP359" s="2">
        <f t="shared" si="217"/>
        <v>0</v>
      </c>
      <c r="CQ359" s="2">
        <f>ROUND(AL359*BC359,2)</f>
        <v>0</v>
      </c>
      <c r="CR359" s="2">
        <f>ROUND(AM359*BB359,2)</f>
        <v>0</v>
      </c>
      <c r="CS359" s="2">
        <f>ROUND(AN359*BS359,2)</f>
        <v>0</v>
      </c>
      <c r="CT359" s="2">
        <f>ROUND(AO359*BA359,2)</f>
        <v>0</v>
      </c>
      <c r="CU359" s="2">
        <f t="shared" si="218"/>
        <v>0</v>
      </c>
      <c r="CV359" s="2">
        <f>AH359</f>
        <v>0</v>
      </c>
      <c r="CW359" s="2">
        <f>AI359</f>
        <v>0</v>
      </c>
      <c r="CX359" s="2">
        <f t="shared" si="219"/>
        <v>0</v>
      </c>
      <c r="CY359" s="2">
        <f t="shared" si="220"/>
        <v>0</v>
      </c>
      <c r="CZ359" s="2">
        <f t="shared" si="221"/>
        <v>0</v>
      </c>
      <c r="DA359" s="2"/>
      <c r="DB359" s="2"/>
      <c r="DC359" s="2" t="s">
        <v>3</v>
      </c>
      <c r="DD359" s="2" t="s">
        <v>3</v>
      </c>
      <c r="DE359" s="2" t="s">
        <v>3</v>
      </c>
      <c r="DF359" s="2" t="s">
        <v>3</v>
      </c>
      <c r="DG359" s="2" t="s">
        <v>3</v>
      </c>
      <c r="DH359" s="2" t="s">
        <v>3</v>
      </c>
      <c r="DI359" s="2" t="s">
        <v>3</v>
      </c>
      <c r="DJ359" s="2" t="s">
        <v>3</v>
      </c>
      <c r="DK359" s="2" t="s">
        <v>3</v>
      </c>
      <c r="DL359" s="2" t="s">
        <v>3</v>
      </c>
      <c r="DM359" s="2" t="s">
        <v>3</v>
      </c>
      <c r="DN359" s="2">
        <v>0</v>
      </c>
      <c r="DO359" s="2">
        <v>0</v>
      </c>
      <c r="DP359" s="2">
        <v>1</v>
      </c>
      <c r="DQ359" s="2">
        <v>1</v>
      </c>
      <c r="DR359" s="2"/>
      <c r="DS359" s="2"/>
      <c r="DT359" s="2"/>
      <c r="DU359" s="2">
        <v>1009</v>
      </c>
      <c r="DV359" s="2" t="s">
        <v>30</v>
      </c>
      <c r="DW359" s="2" t="s">
        <v>30</v>
      </c>
      <c r="DX359" s="2">
        <v>1000</v>
      </c>
      <c r="DY359" s="2"/>
      <c r="DZ359" s="2" t="s">
        <v>3</v>
      </c>
      <c r="EA359" s="2" t="s">
        <v>3</v>
      </c>
      <c r="EB359" s="2" t="s">
        <v>3</v>
      </c>
      <c r="EC359" s="2" t="s">
        <v>3</v>
      </c>
      <c r="ED359" s="2"/>
      <c r="EE359" s="2">
        <v>89977075</v>
      </c>
      <c r="EF359" s="2">
        <v>6</v>
      </c>
      <c r="EG359" s="2" t="s">
        <v>22</v>
      </c>
      <c r="EH359" s="2">
        <v>95</v>
      </c>
      <c r="EI359" s="2" t="s">
        <v>112</v>
      </c>
      <c r="EJ359" s="2">
        <v>1</v>
      </c>
      <c r="EK359" s="2">
        <v>61001</v>
      </c>
      <c r="EL359" s="2" t="s">
        <v>112</v>
      </c>
      <c r="EM359" s="2" t="s">
        <v>113</v>
      </c>
      <c r="EN359" s="2"/>
      <c r="EO359" s="2" t="s">
        <v>3</v>
      </c>
      <c r="EP359" s="2"/>
      <c r="EQ359" s="2">
        <v>0</v>
      </c>
      <c r="ER359" s="2">
        <v>0</v>
      </c>
      <c r="ES359" s="2">
        <v>0</v>
      </c>
      <c r="ET359" s="2">
        <v>0</v>
      </c>
      <c r="EU359" s="2">
        <v>0</v>
      </c>
      <c r="EV359" s="2">
        <v>0</v>
      </c>
      <c r="EW359" s="2">
        <v>0</v>
      </c>
      <c r="EX359" s="2">
        <v>0</v>
      </c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>
        <v>0</v>
      </c>
      <c r="FR359" s="2">
        <v>0</v>
      </c>
      <c r="FS359" s="2">
        <v>0</v>
      </c>
      <c r="FT359" s="2"/>
      <c r="FU359" s="2"/>
      <c r="FV359" s="2"/>
      <c r="FW359" s="2"/>
      <c r="FX359" s="2">
        <v>89</v>
      </c>
      <c r="FY359" s="2">
        <v>44</v>
      </c>
      <c r="FZ359" s="2"/>
      <c r="GA359" s="2" t="s">
        <v>3</v>
      </c>
      <c r="GB359" s="2"/>
      <c r="GC359" s="2"/>
      <c r="GD359" s="2">
        <v>1</v>
      </c>
      <c r="GE359" s="2"/>
      <c r="GF359" s="2">
        <v>2102561428</v>
      </c>
      <c r="GG359" s="2">
        <v>2</v>
      </c>
      <c r="GH359" s="2">
        <v>1</v>
      </c>
      <c r="GI359" s="2">
        <v>-2</v>
      </c>
      <c r="GJ359" s="2">
        <v>0</v>
      </c>
      <c r="GK359" s="2">
        <v>0</v>
      </c>
      <c r="GL359" s="2">
        <f t="shared" si="222"/>
        <v>0</v>
      </c>
      <c r="GM359" s="2">
        <f t="shared" si="223"/>
        <v>0</v>
      </c>
      <c r="GN359" s="2">
        <f t="shared" si="224"/>
        <v>0</v>
      </c>
      <c r="GO359" s="2">
        <f t="shared" si="225"/>
        <v>0</v>
      </c>
      <c r="GP359" s="2">
        <f t="shared" si="226"/>
        <v>0</v>
      </c>
      <c r="GQ359" s="2"/>
      <c r="GR359" s="2">
        <v>0</v>
      </c>
      <c r="GS359" s="2">
        <v>3</v>
      </c>
      <c r="GT359" s="2">
        <v>0</v>
      </c>
      <c r="GU359" s="2" t="s">
        <v>3</v>
      </c>
      <c r="GV359" s="2">
        <f t="shared" si="227"/>
        <v>0</v>
      </c>
      <c r="GW359" s="2">
        <v>1</v>
      </c>
      <c r="GX359" s="2">
        <f t="shared" si="228"/>
        <v>0</v>
      </c>
      <c r="GY359" s="2"/>
      <c r="GZ359" s="2"/>
      <c r="HA359" s="2">
        <v>0</v>
      </c>
      <c r="HB359" s="2">
        <v>0</v>
      </c>
      <c r="HC359" s="2">
        <f t="shared" si="229"/>
        <v>0</v>
      </c>
      <c r="HD359" s="2"/>
      <c r="HE359" s="2" t="s">
        <v>3</v>
      </c>
      <c r="HF359" s="2" t="s">
        <v>3</v>
      </c>
      <c r="HG359" s="2"/>
      <c r="HH359" s="2"/>
      <c r="HI359" s="2"/>
      <c r="HJ359" s="2"/>
      <c r="HK359" s="2"/>
      <c r="HL359" s="2"/>
      <c r="HM359" s="2" t="s">
        <v>3</v>
      </c>
      <c r="HN359" s="2" t="s">
        <v>114</v>
      </c>
      <c r="HO359" s="2" t="s">
        <v>115</v>
      </c>
      <c r="HP359" s="2" t="s">
        <v>112</v>
      </c>
      <c r="HQ359" s="2" t="s">
        <v>112</v>
      </c>
      <c r="HR359" s="2"/>
      <c r="HS359" s="2">
        <v>0</v>
      </c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>
        <v>0</v>
      </c>
      <c r="IL359" s="2"/>
      <c r="IM359" s="2"/>
      <c r="IN359" s="2"/>
      <c r="IO359" s="2"/>
      <c r="IP359" s="2"/>
      <c r="IQ359" s="2"/>
      <c r="IR359" s="2"/>
      <c r="IS359" s="2"/>
      <c r="IT359" s="2"/>
      <c r="IU359" s="2"/>
    </row>
    <row r="360" spans="1:255" x14ac:dyDescent="0.2">
      <c r="A360" s="2">
        <v>17</v>
      </c>
      <c r="B360" s="2">
        <v>1</v>
      </c>
      <c r="C360" s="2">
        <f>ROW(SmtRes!A272)</f>
        <v>272</v>
      </c>
      <c r="D360" s="2">
        <f>ROW(EtalonRes!A271)</f>
        <v>271</v>
      </c>
      <c r="E360" s="2" t="s">
        <v>340</v>
      </c>
      <c r="F360" s="2" t="s">
        <v>341</v>
      </c>
      <c r="G360" s="2" t="s">
        <v>342</v>
      </c>
      <c r="H360" s="2" t="s">
        <v>20</v>
      </c>
      <c r="I360" s="2">
        <f>ROUND(24.5/100,7)</f>
        <v>0.245</v>
      </c>
      <c r="J360" s="2">
        <v>0</v>
      </c>
      <c r="K360" s="2">
        <f>ROUND(24.5/100,7)</f>
        <v>0.245</v>
      </c>
      <c r="L360" s="2"/>
      <c r="M360" s="2"/>
      <c r="N360" s="2"/>
      <c r="O360" s="2">
        <f t="shared" si="210"/>
        <v>5515.33</v>
      </c>
      <c r="P360" s="2">
        <f>SUMIF(SmtRes!AQ261:'SmtRes'!AQ272,"=1",SmtRes!DF261:'SmtRes'!DF272)</f>
        <v>2435.04</v>
      </c>
      <c r="Q360" s="2">
        <f>SUMIF(SmtRes!AQ261:'SmtRes'!AQ272,"=1",SmtRes!DG261:'SmtRes'!DG272)</f>
        <v>9.4499999999999993</v>
      </c>
      <c r="R360" s="2">
        <f>SUMIF(SmtRes!AQ261:'SmtRes'!AQ272,"=1",SmtRes!DH261:'SmtRes'!DH272)</f>
        <v>26.66</v>
      </c>
      <c r="S360" s="2">
        <f>SUMIF(SmtRes!AQ261:'SmtRes'!AQ272,"=1",SmtRes!DI261:'SmtRes'!DI272)</f>
        <v>3044.18</v>
      </c>
      <c r="T360" s="2">
        <f t="shared" si="211"/>
        <v>0</v>
      </c>
      <c r="U360" s="2">
        <f>SUMIF(SmtRes!AQ261:'SmtRes'!AQ272,"=1",SmtRes!CV261:'SmtRes'!CV272)</f>
        <v>4.6304999999999996</v>
      </c>
      <c r="V360" s="2">
        <f>SUMIF(SmtRes!AQ261:'SmtRes'!AQ272,"=1",SmtRes!CW261:'SmtRes'!CW272)</f>
        <v>3.9199999999999999E-2</v>
      </c>
      <c r="W360" s="2">
        <f t="shared" si="212"/>
        <v>0</v>
      </c>
      <c r="X360" s="2">
        <f t="shared" si="213"/>
        <v>2763.76</v>
      </c>
      <c r="Y360" s="2">
        <f t="shared" si="213"/>
        <v>1412.59</v>
      </c>
      <c r="Z360" s="2"/>
      <c r="AA360" s="2">
        <v>94104265</v>
      </c>
      <c r="AB360" s="2">
        <f t="shared" si="214"/>
        <v>19840.238566</v>
      </c>
      <c r="AC360" s="2">
        <f>ROUND((SUM(SmtRes!BQ261:'SmtRes'!BQ272)),6)</f>
        <v>7378.5733659999996</v>
      </c>
      <c r="AD360" s="2">
        <f>ROUND((((SUM(SmtRes!BR261:'SmtRes'!BR272))-(SUM(SmtRes!BS261:'SmtRes'!BS272)))+AE360),6)</f>
        <v>36.427199999999999</v>
      </c>
      <c r="AE360" s="2">
        <f>ROUND((SUM(SmtRes!BS261:'SmtRes'!BS272)),6)</f>
        <v>108.78879999999999</v>
      </c>
      <c r="AF360" s="2">
        <f>ROUND((SUM(SmtRes!BT261:'SmtRes'!BT272)),6)</f>
        <v>12425.237999999999</v>
      </c>
      <c r="AG360" s="2">
        <f t="shared" si="215"/>
        <v>0</v>
      </c>
      <c r="AH360" s="2">
        <f>(SUM(SmtRes!BU261:'SmtRes'!BU272))</f>
        <v>18.899999999999999</v>
      </c>
      <c r="AI360" s="2">
        <f>(SUM(SmtRes!BV261:'SmtRes'!BV272))</f>
        <v>0.16</v>
      </c>
      <c r="AJ360" s="2">
        <f t="shared" si="216"/>
        <v>0</v>
      </c>
      <c r="AK360" s="2">
        <v>19949.027365999995</v>
      </c>
      <c r="AL360" s="2">
        <v>7378.5733659999987</v>
      </c>
      <c r="AM360" s="2">
        <v>36.427199999999999</v>
      </c>
      <c r="AN360" s="2">
        <v>108.78880000000001</v>
      </c>
      <c r="AO360" s="2">
        <v>12425.237999999998</v>
      </c>
      <c r="AP360" s="2">
        <v>0</v>
      </c>
      <c r="AQ360" s="2">
        <v>18.899999999999999</v>
      </c>
      <c r="AR360" s="2">
        <v>0.16</v>
      </c>
      <c r="AS360" s="2">
        <v>0</v>
      </c>
      <c r="AT360" s="2">
        <v>90</v>
      </c>
      <c r="AU360" s="2">
        <v>46</v>
      </c>
      <c r="AV360" s="2">
        <v>1</v>
      </c>
      <c r="AW360" s="2">
        <v>1</v>
      </c>
      <c r="AX360" s="2"/>
      <c r="AY360" s="2"/>
      <c r="AZ360" s="2">
        <v>1</v>
      </c>
      <c r="BA360" s="2">
        <v>1</v>
      </c>
      <c r="BB360" s="2">
        <v>1</v>
      </c>
      <c r="BC360" s="2">
        <v>1</v>
      </c>
      <c r="BD360" s="2" t="s">
        <v>3</v>
      </c>
      <c r="BE360" s="2" t="s">
        <v>3</v>
      </c>
      <c r="BF360" s="2" t="s">
        <v>3</v>
      </c>
      <c r="BG360" s="2" t="s">
        <v>3</v>
      </c>
      <c r="BH360" s="2">
        <v>0</v>
      </c>
      <c r="BI360" s="2">
        <v>1</v>
      </c>
      <c r="BJ360" s="2" t="s">
        <v>343</v>
      </c>
      <c r="BK360" s="2"/>
      <c r="BL360" s="2"/>
      <c r="BM360" s="2">
        <v>62001</v>
      </c>
      <c r="BN360" s="2">
        <v>0</v>
      </c>
      <c r="BO360" s="2" t="s">
        <v>3</v>
      </c>
      <c r="BP360" s="2">
        <v>0</v>
      </c>
      <c r="BQ360" s="2">
        <v>6</v>
      </c>
      <c r="BR360" s="2">
        <v>0</v>
      </c>
      <c r="BS360" s="2">
        <v>1</v>
      </c>
      <c r="BT360" s="2">
        <v>1</v>
      </c>
      <c r="BU360" s="2">
        <v>1</v>
      </c>
      <c r="BV360" s="2">
        <v>1</v>
      </c>
      <c r="BW360" s="2">
        <v>1</v>
      </c>
      <c r="BX360" s="2">
        <v>1</v>
      </c>
      <c r="BY360" s="2" t="s">
        <v>3</v>
      </c>
      <c r="BZ360" s="2">
        <v>90</v>
      </c>
      <c r="CA360" s="2">
        <v>46</v>
      </c>
      <c r="CB360" s="2" t="s">
        <v>3</v>
      </c>
      <c r="CC360" s="2"/>
      <c r="CD360" s="2"/>
      <c r="CE360" s="2">
        <v>0</v>
      </c>
      <c r="CF360" s="2">
        <v>0</v>
      </c>
      <c r="CG360" s="2">
        <v>0</v>
      </c>
      <c r="CH360" s="2"/>
      <c r="CI360" s="2"/>
      <c r="CJ360" s="2"/>
      <c r="CK360" s="2"/>
      <c r="CL360" s="2"/>
      <c r="CM360" s="2">
        <v>0</v>
      </c>
      <c r="CN360" s="2" t="s">
        <v>3</v>
      </c>
      <c r="CO360" s="2">
        <v>0</v>
      </c>
      <c r="CP360" s="2">
        <f t="shared" si="217"/>
        <v>5515.33</v>
      </c>
      <c r="CQ360" s="2">
        <f>SUMIF(SmtRes!AQ261:'SmtRes'!AQ272,"=1",SmtRes!AA261:'SmtRes'!AA272)</f>
        <v>45508.39</v>
      </c>
      <c r="CR360" s="2">
        <f>SUMIF(SmtRes!AQ261:'SmtRes'!AQ272,"=1",SmtRes!AB261:'SmtRes'!AB272)</f>
        <v>603.51</v>
      </c>
      <c r="CS360" s="2">
        <f>SUMIF(SmtRes!AQ261:'SmtRes'!AQ272,"=1",SmtRes!AC261:'SmtRes'!AC272)</f>
        <v>1380.3200000000002</v>
      </c>
      <c r="CT360" s="2">
        <f>SUMIF(SmtRes!AQ261:'SmtRes'!AQ272,"=1",SmtRes!AD261:'SmtRes'!AD272)</f>
        <v>657.42</v>
      </c>
      <c r="CU360" s="2">
        <f t="shared" si="218"/>
        <v>0</v>
      </c>
      <c r="CV360" s="2">
        <f>SUMIF(SmtRes!AQ261:'SmtRes'!AQ272,"=1",SmtRes!BU261:'SmtRes'!BU272)</f>
        <v>18.899999999999999</v>
      </c>
      <c r="CW360" s="2">
        <f>SUMIF(SmtRes!AQ261:'SmtRes'!AQ272,"=1",SmtRes!BV261:'SmtRes'!BV272)</f>
        <v>0.16</v>
      </c>
      <c r="CX360" s="2">
        <f t="shared" si="219"/>
        <v>0</v>
      </c>
      <c r="CY360" s="2">
        <f t="shared" si="220"/>
        <v>2763.7559999999999</v>
      </c>
      <c r="CZ360" s="2">
        <f t="shared" si="221"/>
        <v>1412.5863999999999</v>
      </c>
      <c r="DA360" s="2"/>
      <c r="DB360" s="2"/>
      <c r="DC360" s="2" t="s">
        <v>3</v>
      </c>
      <c r="DD360" s="2" t="s">
        <v>3</v>
      </c>
      <c r="DE360" s="2" t="s">
        <v>3</v>
      </c>
      <c r="DF360" s="2" t="s">
        <v>3</v>
      </c>
      <c r="DG360" s="2" t="s">
        <v>3</v>
      </c>
      <c r="DH360" s="2" t="s">
        <v>3</v>
      </c>
      <c r="DI360" s="2" t="s">
        <v>3</v>
      </c>
      <c r="DJ360" s="2" t="s">
        <v>3</v>
      </c>
      <c r="DK360" s="2" t="s">
        <v>3</v>
      </c>
      <c r="DL360" s="2" t="s">
        <v>3</v>
      </c>
      <c r="DM360" s="2" t="s">
        <v>3</v>
      </c>
      <c r="DN360" s="2">
        <v>0</v>
      </c>
      <c r="DO360" s="2">
        <v>0</v>
      </c>
      <c r="DP360" s="2">
        <v>1</v>
      </c>
      <c r="DQ360" s="2">
        <v>1</v>
      </c>
      <c r="DR360" s="2"/>
      <c r="DS360" s="2"/>
      <c r="DT360" s="2"/>
      <c r="DU360" s="2">
        <v>1005</v>
      </c>
      <c r="DV360" s="2" t="s">
        <v>20</v>
      </c>
      <c r="DW360" s="2" t="s">
        <v>20</v>
      </c>
      <c r="DX360" s="2">
        <v>100</v>
      </c>
      <c r="DY360" s="2"/>
      <c r="DZ360" s="2" t="s">
        <v>3</v>
      </c>
      <c r="EA360" s="2" t="s">
        <v>3</v>
      </c>
      <c r="EB360" s="2" t="s">
        <v>3</v>
      </c>
      <c r="EC360" s="2" t="s">
        <v>3</v>
      </c>
      <c r="ED360" s="2"/>
      <c r="EE360" s="2">
        <v>89977076</v>
      </c>
      <c r="EF360" s="2">
        <v>6</v>
      </c>
      <c r="EG360" s="2" t="s">
        <v>22</v>
      </c>
      <c r="EH360" s="2">
        <v>96</v>
      </c>
      <c r="EI360" s="2" t="s">
        <v>121</v>
      </c>
      <c r="EJ360" s="2">
        <v>1</v>
      </c>
      <c r="EK360" s="2">
        <v>62001</v>
      </c>
      <c r="EL360" s="2" t="s">
        <v>121</v>
      </c>
      <c r="EM360" s="2" t="s">
        <v>122</v>
      </c>
      <c r="EN360" s="2"/>
      <c r="EO360" s="2" t="s">
        <v>3</v>
      </c>
      <c r="EP360" s="2"/>
      <c r="EQ360" s="2">
        <v>0</v>
      </c>
      <c r="ER360" s="2">
        <v>0</v>
      </c>
      <c r="ES360" s="2">
        <v>0</v>
      </c>
      <c r="ET360" s="2">
        <v>0</v>
      </c>
      <c r="EU360" s="2">
        <v>0</v>
      </c>
      <c r="EV360" s="2">
        <v>0</v>
      </c>
      <c r="EW360" s="2">
        <v>18.899999999999999</v>
      </c>
      <c r="EX360" s="2">
        <v>0.16</v>
      </c>
      <c r="EY360" s="2">
        <v>0</v>
      </c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>
        <v>0</v>
      </c>
      <c r="FR360" s="2">
        <v>0</v>
      </c>
      <c r="FS360" s="2">
        <v>0</v>
      </c>
      <c r="FT360" s="2"/>
      <c r="FU360" s="2"/>
      <c r="FV360" s="2"/>
      <c r="FW360" s="2"/>
      <c r="FX360" s="2">
        <v>90</v>
      </c>
      <c r="FY360" s="2">
        <v>46</v>
      </c>
      <c r="FZ360" s="2"/>
      <c r="GA360" s="2" t="s">
        <v>3</v>
      </c>
      <c r="GB360" s="2"/>
      <c r="GC360" s="2"/>
      <c r="GD360" s="2">
        <v>1</v>
      </c>
      <c r="GE360" s="2"/>
      <c r="GF360" s="2">
        <v>-1569442063</v>
      </c>
      <c r="GG360" s="2">
        <v>2</v>
      </c>
      <c r="GH360" s="2">
        <v>1</v>
      </c>
      <c r="GI360" s="2">
        <v>-2</v>
      </c>
      <c r="GJ360" s="2">
        <v>0</v>
      </c>
      <c r="GK360" s="2">
        <v>0</v>
      </c>
      <c r="GL360" s="2">
        <f t="shared" si="222"/>
        <v>0</v>
      </c>
      <c r="GM360" s="2">
        <f t="shared" si="223"/>
        <v>9691.68</v>
      </c>
      <c r="GN360" s="2">
        <f t="shared" si="224"/>
        <v>9691.68</v>
      </c>
      <c r="GO360" s="2">
        <f t="shared" si="225"/>
        <v>0</v>
      </c>
      <c r="GP360" s="2">
        <f t="shared" si="226"/>
        <v>0</v>
      </c>
      <c r="GQ360" s="2"/>
      <c r="GR360" s="2">
        <v>0</v>
      </c>
      <c r="GS360" s="2">
        <v>3</v>
      </c>
      <c r="GT360" s="2">
        <v>0</v>
      </c>
      <c r="GU360" s="2" t="s">
        <v>3</v>
      </c>
      <c r="GV360" s="2">
        <f t="shared" si="227"/>
        <v>0</v>
      </c>
      <c r="GW360" s="2">
        <v>1</v>
      </c>
      <c r="GX360" s="2">
        <f t="shared" si="228"/>
        <v>0</v>
      </c>
      <c r="GY360" s="2"/>
      <c r="GZ360" s="2"/>
      <c r="HA360" s="2">
        <v>0</v>
      </c>
      <c r="HB360" s="2">
        <v>0</v>
      </c>
      <c r="HC360" s="2">
        <f t="shared" si="229"/>
        <v>0</v>
      </c>
      <c r="HD360" s="2"/>
      <c r="HE360" s="2" t="s">
        <v>3</v>
      </c>
      <c r="HF360" s="2" t="s">
        <v>3</v>
      </c>
      <c r="HG360" s="2"/>
      <c r="HH360" s="2"/>
      <c r="HI360" s="2"/>
      <c r="HJ360" s="2"/>
      <c r="HK360" s="2"/>
      <c r="HL360" s="2"/>
      <c r="HM360" s="2" t="s">
        <v>3</v>
      </c>
      <c r="HN360" s="2" t="s">
        <v>123</v>
      </c>
      <c r="HO360" s="2" t="s">
        <v>124</v>
      </c>
      <c r="HP360" s="2" t="s">
        <v>121</v>
      </c>
      <c r="HQ360" s="2" t="s">
        <v>121</v>
      </c>
      <c r="HR360" s="2"/>
      <c r="HS360" s="2">
        <v>0</v>
      </c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>
        <v>0</v>
      </c>
      <c r="IL360" s="2"/>
      <c r="IM360" s="2"/>
      <c r="IN360" s="2"/>
      <c r="IO360" s="2"/>
      <c r="IP360" s="2"/>
      <c r="IQ360" s="2"/>
      <c r="IR360" s="2"/>
      <c r="IS360" s="2"/>
      <c r="IT360" s="2"/>
      <c r="IU360" s="2"/>
    </row>
    <row r="361" spans="1:255" x14ac:dyDescent="0.2">
      <c r="A361" s="2">
        <v>18</v>
      </c>
      <c r="B361" s="2">
        <v>1</v>
      </c>
      <c r="C361" s="2">
        <v>271</v>
      </c>
      <c r="D361" s="2"/>
      <c r="E361" s="2" t="s">
        <v>344</v>
      </c>
      <c r="F361" s="2" t="s">
        <v>345</v>
      </c>
      <c r="G361" s="2" t="s">
        <v>346</v>
      </c>
      <c r="H361" s="2" t="s">
        <v>30</v>
      </c>
      <c r="I361" s="2">
        <f>I360*J361</f>
        <v>1.5434999999999999E-2</v>
      </c>
      <c r="J361" s="2">
        <v>6.3E-2</v>
      </c>
      <c r="K361" s="2">
        <v>6.3E-2</v>
      </c>
      <c r="L361" s="2"/>
      <c r="M361" s="2"/>
      <c r="N361" s="2"/>
      <c r="O361" s="2">
        <f t="shared" si="210"/>
        <v>1411.77</v>
      </c>
      <c r="P361" s="2">
        <f>ROUND(CQ361*I361,2)</f>
        <v>1411.77</v>
      </c>
      <c r="Q361" s="2">
        <f>ROUND(CR361*I361,2)</f>
        <v>0</v>
      </c>
      <c r="R361" s="2">
        <f>ROUND(CS361*I361,2)</f>
        <v>0</v>
      </c>
      <c r="S361" s="2">
        <f>ROUND(CT361*I361,2)</f>
        <v>0</v>
      </c>
      <c r="T361" s="2">
        <f t="shared" si="211"/>
        <v>0</v>
      </c>
      <c r="U361" s="2">
        <f>ROUND(CV361*I361,7)</f>
        <v>0</v>
      </c>
      <c r="V361" s="2">
        <f>ROUND(CW361*I361,7)</f>
        <v>0</v>
      </c>
      <c r="W361" s="2">
        <f t="shared" si="212"/>
        <v>0</v>
      </c>
      <c r="X361" s="2">
        <f t="shared" si="213"/>
        <v>0</v>
      </c>
      <c r="Y361" s="2">
        <f t="shared" si="213"/>
        <v>0</v>
      </c>
      <c r="Z361" s="2"/>
      <c r="AA361" s="2">
        <v>94104265</v>
      </c>
      <c r="AB361" s="2">
        <f t="shared" si="214"/>
        <v>52265.82</v>
      </c>
      <c r="AC361" s="2">
        <f>ROUND((ES361),6)</f>
        <v>52265.82</v>
      </c>
      <c r="AD361" s="2">
        <f>ROUND((((ET361)-(EU361))+AE361),6)</f>
        <v>0</v>
      </c>
      <c r="AE361" s="2">
        <f>ROUND((EU361),6)</f>
        <v>0</v>
      </c>
      <c r="AF361" s="2">
        <f>ROUND((EV361),6)</f>
        <v>0</v>
      </c>
      <c r="AG361" s="2">
        <f t="shared" si="215"/>
        <v>0</v>
      </c>
      <c r="AH361" s="2">
        <f>(EW361)</f>
        <v>0</v>
      </c>
      <c r="AI361" s="2">
        <f>(EX361)</f>
        <v>0</v>
      </c>
      <c r="AJ361" s="2">
        <f t="shared" si="216"/>
        <v>0</v>
      </c>
      <c r="AK361" s="2">
        <v>52265.82</v>
      </c>
      <c r="AL361" s="2">
        <v>52265.82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90</v>
      </c>
      <c r="AU361" s="2">
        <v>46</v>
      </c>
      <c r="AV361" s="2">
        <v>1</v>
      </c>
      <c r="AW361" s="2">
        <v>1</v>
      </c>
      <c r="AX361" s="2"/>
      <c r="AY361" s="2"/>
      <c r="AZ361" s="2">
        <v>1</v>
      </c>
      <c r="BA361" s="2">
        <v>1</v>
      </c>
      <c r="BB361" s="2">
        <v>1</v>
      </c>
      <c r="BC361" s="2">
        <v>1.75</v>
      </c>
      <c r="BD361" s="2" t="s">
        <v>3</v>
      </c>
      <c r="BE361" s="2" t="s">
        <v>3</v>
      </c>
      <c r="BF361" s="2" t="s">
        <v>3</v>
      </c>
      <c r="BG361" s="2" t="s">
        <v>3</v>
      </c>
      <c r="BH361" s="2">
        <v>3</v>
      </c>
      <c r="BI361" s="2">
        <v>1</v>
      </c>
      <c r="BJ361" s="2" t="s">
        <v>347</v>
      </c>
      <c r="BK361" s="2"/>
      <c r="BL361" s="2"/>
      <c r="BM361" s="2">
        <v>62001</v>
      </c>
      <c r="BN361" s="2">
        <v>0</v>
      </c>
      <c r="BO361" s="2" t="s">
        <v>345</v>
      </c>
      <c r="BP361" s="2">
        <v>1</v>
      </c>
      <c r="BQ361" s="2">
        <v>6</v>
      </c>
      <c r="BR361" s="2">
        <v>0</v>
      </c>
      <c r="BS361" s="2">
        <v>1</v>
      </c>
      <c r="BT361" s="2">
        <v>1</v>
      </c>
      <c r="BU361" s="2">
        <v>1</v>
      </c>
      <c r="BV361" s="2">
        <v>1</v>
      </c>
      <c r="BW361" s="2">
        <v>1</v>
      </c>
      <c r="BX361" s="2">
        <v>1</v>
      </c>
      <c r="BY361" s="2" t="s">
        <v>3</v>
      </c>
      <c r="BZ361" s="2">
        <v>90</v>
      </c>
      <c r="CA361" s="2">
        <v>46</v>
      </c>
      <c r="CB361" s="2" t="s">
        <v>3</v>
      </c>
      <c r="CC361" s="2"/>
      <c r="CD361" s="2"/>
      <c r="CE361" s="2">
        <v>0</v>
      </c>
      <c r="CF361" s="2">
        <v>0</v>
      </c>
      <c r="CG361" s="2">
        <v>0</v>
      </c>
      <c r="CH361" s="2"/>
      <c r="CI361" s="2"/>
      <c r="CJ361" s="2"/>
      <c r="CK361" s="2"/>
      <c r="CL361" s="2"/>
      <c r="CM361" s="2">
        <v>0</v>
      </c>
      <c r="CN361" s="2" t="s">
        <v>3</v>
      </c>
      <c r="CO361" s="2">
        <v>0</v>
      </c>
      <c r="CP361" s="2">
        <f t="shared" si="217"/>
        <v>1411.77</v>
      </c>
      <c r="CQ361" s="2">
        <f>ROUND(AL361*BC361,2)</f>
        <v>91465.19</v>
      </c>
      <c r="CR361" s="2">
        <f>ROUND(AM361*BB361,2)</f>
        <v>0</v>
      </c>
      <c r="CS361" s="2">
        <f>ROUND(AN361*BS361,2)</f>
        <v>0</v>
      </c>
      <c r="CT361" s="2">
        <f>ROUND(AO361*BA361,2)</f>
        <v>0</v>
      </c>
      <c r="CU361" s="2">
        <f t="shared" si="218"/>
        <v>0</v>
      </c>
      <c r="CV361" s="2">
        <f>AH361</f>
        <v>0</v>
      </c>
      <c r="CW361" s="2">
        <f>AI361</f>
        <v>0</v>
      </c>
      <c r="CX361" s="2">
        <f t="shared" si="219"/>
        <v>0</v>
      </c>
      <c r="CY361" s="2">
        <f t="shared" si="220"/>
        <v>0</v>
      </c>
      <c r="CZ361" s="2">
        <f t="shared" si="221"/>
        <v>0</v>
      </c>
      <c r="DA361" s="2"/>
      <c r="DB361" s="2"/>
      <c r="DC361" s="2" t="s">
        <v>3</v>
      </c>
      <c r="DD361" s="2" t="s">
        <v>3</v>
      </c>
      <c r="DE361" s="2" t="s">
        <v>3</v>
      </c>
      <c r="DF361" s="2" t="s">
        <v>3</v>
      </c>
      <c r="DG361" s="2" t="s">
        <v>3</v>
      </c>
      <c r="DH361" s="2" t="s">
        <v>3</v>
      </c>
      <c r="DI361" s="2" t="s">
        <v>3</v>
      </c>
      <c r="DJ361" s="2" t="s">
        <v>3</v>
      </c>
      <c r="DK361" s="2" t="s">
        <v>3</v>
      </c>
      <c r="DL361" s="2" t="s">
        <v>3</v>
      </c>
      <c r="DM361" s="2" t="s">
        <v>3</v>
      </c>
      <c r="DN361" s="2">
        <v>0</v>
      </c>
      <c r="DO361" s="2">
        <v>0</v>
      </c>
      <c r="DP361" s="2">
        <v>1</v>
      </c>
      <c r="DQ361" s="2">
        <v>1</v>
      </c>
      <c r="DR361" s="2"/>
      <c r="DS361" s="2"/>
      <c r="DT361" s="2"/>
      <c r="DU361" s="2">
        <v>1009</v>
      </c>
      <c r="DV361" s="2" t="s">
        <v>30</v>
      </c>
      <c r="DW361" s="2" t="s">
        <v>30</v>
      </c>
      <c r="DX361" s="2">
        <v>1000</v>
      </c>
      <c r="DY361" s="2"/>
      <c r="DZ361" s="2" t="s">
        <v>3</v>
      </c>
      <c r="EA361" s="2" t="s">
        <v>3</v>
      </c>
      <c r="EB361" s="2" t="s">
        <v>3</v>
      </c>
      <c r="EC361" s="2" t="s">
        <v>3</v>
      </c>
      <c r="ED361" s="2"/>
      <c r="EE361" s="2">
        <v>89977076</v>
      </c>
      <c r="EF361" s="2">
        <v>6</v>
      </c>
      <c r="EG361" s="2" t="s">
        <v>22</v>
      </c>
      <c r="EH361" s="2">
        <v>96</v>
      </c>
      <c r="EI361" s="2" t="s">
        <v>121</v>
      </c>
      <c r="EJ361" s="2">
        <v>1</v>
      </c>
      <c r="EK361" s="2">
        <v>62001</v>
      </c>
      <c r="EL361" s="2" t="s">
        <v>121</v>
      </c>
      <c r="EM361" s="2" t="s">
        <v>122</v>
      </c>
      <c r="EN361" s="2"/>
      <c r="EO361" s="2" t="s">
        <v>3</v>
      </c>
      <c r="EP361" s="2"/>
      <c r="EQ361" s="2">
        <v>0</v>
      </c>
      <c r="ER361" s="2">
        <v>52265.82</v>
      </c>
      <c r="ES361" s="2">
        <v>52265.82</v>
      </c>
      <c r="ET361" s="2">
        <v>0</v>
      </c>
      <c r="EU361" s="2">
        <v>0</v>
      </c>
      <c r="EV361" s="2">
        <v>0</v>
      </c>
      <c r="EW361" s="2">
        <v>0</v>
      </c>
      <c r="EX361" s="2">
        <v>0</v>
      </c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>
        <v>0</v>
      </c>
      <c r="FR361" s="2">
        <v>0</v>
      </c>
      <c r="FS361" s="2">
        <v>0</v>
      </c>
      <c r="FT361" s="2"/>
      <c r="FU361" s="2"/>
      <c r="FV361" s="2"/>
      <c r="FW361" s="2"/>
      <c r="FX361" s="2">
        <v>90</v>
      </c>
      <c r="FY361" s="2">
        <v>46</v>
      </c>
      <c r="FZ361" s="2"/>
      <c r="GA361" s="2" t="s">
        <v>3</v>
      </c>
      <c r="GB361" s="2"/>
      <c r="GC361" s="2"/>
      <c r="GD361" s="2">
        <v>1</v>
      </c>
      <c r="GE361" s="2"/>
      <c r="GF361" s="2">
        <v>-1675905325</v>
      </c>
      <c r="GG361" s="2">
        <v>2</v>
      </c>
      <c r="GH361" s="2">
        <v>1</v>
      </c>
      <c r="GI361" s="2">
        <v>2</v>
      </c>
      <c r="GJ361" s="2">
        <v>0</v>
      </c>
      <c r="GK361" s="2">
        <v>0</v>
      </c>
      <c r="GL361" s="2">
        <f t="shared" si="222"/>
        <v>0</v>
      </c>
      <c r="GM361" s="2">
        <f t="shared" si="223"/>
        <v>1411.77</v>
      </c>
      <c r="GN361" s="2">
        <f t="shared" si="224"/>
        <v>1411.77</v>
      </c>
      <c r="GO361" s="2">
        <f t="shared" si="225"/>
        <v>0</v>
      </c>
      <c r="GP361" s="2">
        <f t="shared" si="226"/>
        <v>0</v>
      </c>
      <c r="GQ361" s="2"/>
      <c r="GR361" s="2">
        <v>0</v>
      </c>
      <c r="GS361" s="2">
        <v>3</v>
      </c>
      <c r="GT361" s="2">
        <v>0</v>
      </c>
      <c r="GU361" s="2" t="s">
        <v>3</v>
      </c>
      <c r="GV361" s="2">
        <f t="shared" si="227"/>
        <v>0</v>
      </c>
      <c r="GW361" s="2">
        <v>1</v>
      </c>
      <c r="GX361" s="2">
        <f t="shared" si="228"/>
        <v>0</v>
      </c>
      <c r="GY361" s="2"/>
      <c r="GZ361" s="2"/>
      <c r="HA361" s="2">
        <v>0</v>
      </c>
      <c r="HB361" s="2">
        <v>0</v>
      </c>
      <c r="HC361" s="2">
        <f t="shared" si="229"/>
        <v>0</v>
      </c>
      <c r="HD361" s="2"/>
      <c r="HE361" s="2" t="s">
        <v>3</v>
      </c>
      <c r="HF361" s="2" t="s">
        <v>3</v>
      </c>
      <c r="HG361" s="2"/>
      <c r="HH361" s="2"/>
      <c r="HI361" s="2"/>
      <c r="HJ361" s="2"/>
      <c r="HK361" s="2"/>
      <c r="HL361" s="2"/>
      <c r="HM361" s="2" t="s">
        <v>3</v>
      </c>
      <c r="HN361" s="2" t="s">
        <v>123</v>
      </c>
      <c r="HO361" s="2" t="s">
        <v>124</v>
      </c>
      <c r="HP361" s="2" t="s">
        <v>121</v>
      </c>
      <c r="HQ361" s="2" t="s">
        <v>121</v>
      </c>
      <c r="HR361" s="2"/>
      <c r="HS361" s="2">
        <v>0</v>
      </c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>
        <v>0</v>
      </c>
      <c r="IL361" s="2"/>
      <c r="IM361" s="2"/>
      <c r="IN361" s="2"/>
      <c r="IO361" s="2"/>
      <c r="IP361" s="2"/>
      <c r="IQ361" s="2"/>
      <c r="IR361" s="2"/>
      <c r="IS361" s="2"/>
      <c r="IT361" s="2"/>
      <c r="IU361" s="2"/>
    </row>
    <row r="362" spans="1:255" x14ac:dyDescent="0.2">
      <c r="A362" s="2">
        <v>17</v>
      </c>
      <c r="B362" s="2">
        <v>1</v>
      </c>
      <c r="C362" s="2"/>
      <c r="D362" s="2"/>
      <c r="E362" s="2" t="s">
        <v>348</v>
      </c>
      <c r="F362" s="2" t="s">
        <v>130</v>
      </c>
      <c r="G362" s="2" t="s">
        <v>131</v>
      </c>
      <c r="H362" s="2" t="s">
        <v>132</v>
      </c>
      <c r="I362" s="2">
        <v>0.82809999999999995</v>
      </c>
      <c r="J362" s="2">
        <v>0</v>
      </c>
      <c r="K362" s="2">
        <v>0.82809999999999995</v>
      </c>
      <c r="L362" s="2"/>
      <c r="M362" s="2"/>
      <c r="N362" s="2"/>
      <c r="O362" s="2">
        <f>0</f>
        <v>0</v>
      </c>
      <c r="P362" s="2">
        <f>0</f>
        <v>0</v>
      </c>
      <c r="Q362" s="2">
        <f>0</f>
        <v>0</v>
      </c>
      <c r="R362" s="2">
        <f>0</f>
        <v>0</v>
      </c>
      <c r="S362" s="2">
        <f>0</f>
        <v>0</v>
      </c>
      <c r="T362" s="2">
        <f>0</f>
        <v>0</v>
      </c>
      <c r="U362" s="2">
        <f>0</f>
        <v>0</v>
      </c>
      <c r="V362" s="2">
        <f>0</f>
        <v>0</v>
      </c>
      <c r="W362" s="2">
        <f>0</f>
        <v>0</v>
      </c>
      <c r="X362" s="2">
        <f>0</f>
        <v>0</v>
      </c>
      <c r="Y362" s="2">
        <f>0</f>
        <v>0</v>
      </c>
      <c r="Z362" s="2"/>
      <c r="AA362" s="2">
        <v>94104265</v>
      </c>
      <c r="AB362" s="2">
        <f>ROUND((AK362),6)</f>
        <v>1490.12</v>
      </c>
      <c r="AC362" s="2">
        <f>0</f>
        <v>0</v>
      </c>
      <c r="AD362" s="2">
        <f>0</f>
        <v>0</v>
      </c>
      <c r="AE362" s="2">
        <f>0</f>
        <v>0</v>
      </c>
      <c r="AF362" s="2">
        <f>0</f>
        <v>0</v>
      </c>
      <c r="AG362" s="2">
        <f>0</f>
        <v>0</v>
      </c>
      <c r="AH362" s="2">
        <f>0</f>
        <v>0</v>
      </c>
      <c r="AI362" s="2">
        <f>0</f>
        <v>0</v>
      </c>
      <c r="AJ362" s="2">
        <f>0</f>
        <v>0</v>
      </c>
      <c r="AK362" s="2">
        <v>1490.12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1</v>
      </c>
      <c r="AW362" s="2">
        <v>1</v>
      </c>
      <c r="AX362" s="2"/>
      <c r="AY362" s="2"/>
      <c r="AZ362" s="2">
        <v>1</v>
      </c>
      <c r="BA362" s="2">
        <v>1</v>
      </c>
      <c r="BB362" s="2">
        <v>1</v>
      </c>
      <c r="BC362" s="2">
        <v>1</v>
      </c>
      <c r="BD362" s="2" t="s">
        <v>3</v>
      </c>
      <c r="BE362" s="2" t="s">
        <v>3</v>
      </c>
      <c r="BF362" s="2" t="s">
        <v>3</v>
      </c>
      <c r="BG362" s="2" t="s">
        <v>3</v>
      </c>
      <c r="BH362" s="2">
        <v>0</v>
      </c>
      <c r="BI362" s="2">
        <v>1</v>
      </c>
      <c r="BJ362" s="2" t="s">
        <v>130</v>
      </c>
      <c r="BK362" s="2"/>
      <c r="BL362" s="2"/>
      <c r="BM362" s="2">
        <v>700007</v>
      </c>
      <c r="BN362" s="2">
        <v>0</v>
      </c>
      <c r="BO362" s="2" t="s">
        <v>3</v>
      </c>
      <c r="BP362" s="2">
        <v>0</v>
      </c>
      <c r="BQ362" s="2">
        <v>19</v>
      </c>
      <c r="BR362" s="2">
        <v>0</v>
      </c>
      <c r="BS362" s="2">
        <v>1</v>
      </c>
      <c r="BT362" s="2">
        <v>1</v>
      </c>
      <c r="BU362" s="2">
        <v>1</v>
      </c>
      <c r="BV362" s="2">
        <v>1</v>
      </c>
      <c r="BW362" s="2">
        <v>1</v>
      </c>
      <c r="BX362" s="2">
        <v>1</v>
      </c>
      <c r="BY362" s="2" t="s">
        <v>3</v>
      </c>
      <c r="BZ362" s="2">
        <v>90</v>
      </c>
      <c r="CA362" s="2">
        <v>42</v>
      </c>
      <c r="CB362" s="2" t="s">
        <v>3</v>
      </c>
      <c r="CC362" s="2"/>
      <c r="CD362" s="2"/>
      <c r="CE362" s="2">
        <v>0</v>
      </c>
      <c r="CF362" s="2">
        <v>0</v>
      </c>
      <c r="CG362" s="2">
        <v>0</v>
      </c>
      <c r="CH362" s="2"/>
      <c r="CI362" s="2"/>
      <c r="CJ362" s="2"/>
      <c r="CK362" s="2"/>
      <c r="CL362" s="2"/>
      <c r="CM362" s="2">
        <v>0</v>
      </c>
      <c r="CN362" s="2" t="s">
        <v>3</v>
      </c>
      <c r="CO362" s="2">
        <v>0</v>
      </c>
      <c r="CP362" s="2">
        <f>AB362*AZ362</f>
        <v>1490.12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2">
        <v>0</v>
      </c>
      <c r="CW362" s="2">
        <v>0</v>
      </c>
      <c r="CX362" s="2">
        <v>0</v>
      </c>
      <c r="CY362" s="2">
        <v>0</v>
      </c>
      <c r="CZ362" s="2">
        <v>0</v>
      </c>
      <c r="DA362" s="2"/>
      <c r="DB362" s="2"/>
      <c r="DC362" s="2" t="s">
        <v>3</v>
      </c>
      <c r="DD362" s="2" t="s">
        <v>3</v>
      </c>
      <c r="DE362" s="2" t="s">
        <v>3</v>
      </c>
      <c r="DF362" s="2" t="s">
        <v>3</v>
      </c>
      <c r="DG362" s="2" t="s">
        <v>3</v>
      </c>
      <c r="DH362" s="2" t="s">
        <v>3</v>
      </c>
      <c r="DI362" s="2" t="s">
        <v>3</v>
      </c>
      <c r="DJ362" s="2" t="s">
        <v>3</v>
      </c>
      <c r="DK362" s="2" t="s">
        <v>3</v>
      </c>
      <c r="DL362" s="2" t="s">
        <v>3</v>
      </c>
      <c r="DM362" s="2" t="s">
        <v>3</v>
      </c>
      <c r="DN362" s="2">
        <v>0</v>
      </c>
      <c r="DO362" s="2">
        <v>0</v>
      </c>
      <c r="DP362" s="2">
        <v>1</v>
      </c>
      <c r="DQ362" s="2">
        <v>1</v>
      </c>
      <c r="DR362" s="2"/>
      <c r="DS362" s="2"/>
      <c r="DT362" s="2"/>
      <c r="DU362" s="2">
        <v>1013</v>
      </c>
      <c r="DV362" s="2" t="s">
        <v>132</v>
      </c>
      <c r="DW362" s="2" t="s">
        <v>132</v>
      </c>
      <c r="DX362" s="2">
        <v>1</v>
      </c>
      <c r="DY362" s="2"/>
      <c r="DZ362" s="2" t="s">
        <v>3</v>
      </c>
      <c r="EA362" s="2" t="s">
        <v>3</v>
      </c>
      <c r="EB362" s="2" t="s">
        <v>3</v>
      </c>
      <c r="EC362" s="2" t="s">
        <v>3</v>
      </c>
      <c r="ED362" s="2"/>
      <c r="EE362" s="2">
        <v>89977456</v>
      </c>
      <c r="EF362" s="2">
        <v>19</v>
      </c>
      <c r="EG362" s="2" t="s">
        <v>133</v>
      </c>
      <c r="EH362" s="2">
        <v>106</v>
      </c>
      <c r="EI362" s="2" t="s">
        <v>133</v>
      </c>
      <c r="EJ362" s="2">
        <v>1</v>
      </c>
      <c r="EK362" s="2">
        <v>700007</v>
      </c>
      <c r="EL362" s="2" t="s">
        <v>133</v>
      </c>
      <c r="EM362" s="2" t="s">
        <v>134</v>
      </c>
      <c r="EN362" s="2"/>
      <c r="EO362" s="2" t="s">
        <v>3</v>
      </c>
      <c r="EP362" s="2"/>
      <c r="EQ362" s="2">
        <v>0</v>
      </c>
      <c r="ER362" s="2">
        <v>0</v>
      </c>
      <c r="ES362" s="2">
        <v>0</v>
      </c>
      <c r="ET362" s="2">
        <v>0</v>
      </c>
      <c r="EU362" s="2">
        <v>0</v>
      </c>
      <c r="EV362" s="2">
        <v>0</v>
      </c>
      <c r="EW362" s="2">
        <v>0</v>
      </c>
      <c r="EX362" s="2">
        <v>0</v>
      </c>
      <c r="EY362" s="2">
        <v>0</v>
      </c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>
        <v>0</v>
      </c>
      <c r="FR362" s="2">
        <v>0</v>
      </c>
      <c r="FS362" s="2">
        <v>0</v>
      </c>
      <c r="FT362" s="2"/>
      <c r="FU362" s="2"/>
      <c r="FV362" s="2"/>
      <c r="FW362" s="2"/>
      <c r="FX362" s="2">
        <v>0</v>
      </c>
      <c r="FY362" s="2">
        <v>0</v>
      </c>
      <c r="FZ362" s="2"/>
      <c r="GA362" s="2" t="s">
        <v>3</v>
      </c>
      <c r="GB362" s="2"/>
      <c r="GC362" s="2"/>
      <c r="GD362" s="2">
        <v>1</v>
      </c>
      <c r="GE362" s="2"/>
      <c r="GF362" s="2">
        <v>974204656</v>
      </c>
      <c r="GG362" s="2">
        <v>2</v>
      </c>
      <c r="GH362" s="2">
        <v>1</v>
      </c>
      <c r="GI362" s="2">
        <v>-2</v>
      </c>
      <c r="GJ362" s="2">
        <v>2</v>
      </c>
      <c r="GK362" s="2">
        <v>0</v>
      </c>
      <c r="GL362" s="2">
        <f t="shared" si="222"/>
        <v>0</v>
      </c>
      <c r="GM362" s="2">
        <f>ROUND(CP362*I362,2)</f>
        <v>1233.97</v>
      </c>
      <c r="GN362" s="2">
        <f t="shared" si="224"/>
        <v>1233.97</v>
      </c>
      <c r="GO362" s="2">
        <f t="shared" si="225"/>
        <v>0</v>
      </c>
      <c r="GP362" s="2">
        <f t="shared" si="226"/>
        <v>0</v>
      </c>
      <c r="GQ362" s="2"/>
      <c r="GR362" s="2">
        <v>0</v>
      </c>
      <c r="GS362" s="2">
        <v>0</v>
      </c>
      <c r="GT362" s="2">
        <v>0</v>
      </c>
      <c r="GU362" s="2" t="s">
        <v>3</v>
      </c>
      <c r="GV362" s="2">
        <f>0</f>
        <v>0</v>
      </c>
      <c r="GW362" s="2">
        <v>1</v>
      </c>
      <c r="GX362" s="2">
        <f>0</f>
        <v>0</v>
      </c>
      <c r="GY362" s="2"/>
      <c r="GZ362" s="2"/>
      <c r="HA362" s="2">
        <v>0</v>
      </c>
      <c r="HB362" s="2">
        <v>0</v>
      </c>
      <c r="HC362" s="2">
        <v>0</v>
      </c>
      <c r="HD362" s="2">
        <f>GM362</f>
        <v>1233.97</v>
      </c>
      <c r="HE362" s="2" t="s">
        <v>3</v>
      </c>
      <c r="HF362" s="2" t="s">
        <v>3</v>
      </c>
      <c r="HG362" s="2"/>
      <c r="HH362" s="2"/>
      <c r="HI362" s="2"/>
      <c r="HJ362" s="2"/>
      <c r="HK362" s="2"/>
      <c r="HL362" s="2"/>
      <c r="HM362" s="2" t="s">
        <v>3</v>
      </c>
      <c r="HN362" s="2" t="s">
        <v>135</v>
      </c>
      <c r="HO362" s="2" t="s">
        <v>136</v>
      </c>
      <c r="HP362" s="2" t="s">
        <v>133</v>
      </c>
      <c r="HQ362" s="2" t="s">
        <v>133</v>
      </c>
      <c r="HR362" s="2"/>
      <c r="HS362" s="2">
        <v>0</v>
      </c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>
        <v>0</v>
      </c>
      <c r="IL362" s="2"/>
      <c r="IM362" s="2"/>
      <c r="IN362" s="2"/>
      <c r="IO362" s="2"/>
      <c r="IP362" s="2"/>
      <c r="IQ362" s="2"/>
      <c r="IR362" s="2"/>
      <c r="IS362" s="2"/>
      <c r="IT362" s="2"/>
      <c r="IU362" s="2"/>
    </row>
    <row r="363" spans="1:255" x14ac:dyDescent="0.2">
      <c r="A363" s="2">
        <v>17</v>
      </c>
      <c r="B363" s="2">
        <v>1</v>
      </c>
      <c r="C363" s="2"/>
      <c r="D363" s="2"/>
      <c r="E363" s="2" t="s">
        <v>349</v>
      </c>
      <c r="F363" s="2" t="s">
        <v>138</v>
      </c>
      <c r="G363" s="2" t="s">
        <v>139</v>
      </c>
      <c r="H363" s="2" t="s">
        <v>132</v>
      </c>
      <c r="I363" s="2">
        <v>0.82809999999999995</v>
      </c>
      <c r="J363" s="2">
        <v>0</v>
      </c>
      <c r="K363" s="2">
        <v>0.82809999999999995</v>
      </c>
      <c r="L363" s="2"/>
      <c r="M363" s="2"/>
      <c r="N363" s="2"/>
      <c r="O363" s="2">
        <f>0</f>
        <v>0</v>
      </c>
      <c r="P363" s="2">
        <f>0</f>
        <v>0</v>
      </c>
      <c r="Q363" s="2">
        <f>0</f>
        <v>0</v>
      </c>
      <c r="R363" s="2">
        <f>0</f>
        <v>0</v>
      </c>
      <c r="S363" s="2">
        <f>0</f>
        <v>0</v>
      </c>
      <c r="T363" s="2">
        <f>0</f>
        <v>0</v>
      </c>
      <c r="U363" s="2">
        <f>0</f>
        <v>0</v>
      </c>
      <c r="V363" s="2">
        <f>0</f>
        <v>0</v>
      </c>
      <c r="W363" s="2">
        <f>0</f>
        <v>0</v>
      </c>
      <c r="X363" s="2">
        <f>0</f>
        <v>0</v>
      </c>
      <c r="Y363" s="2">
        <f>0</f>
        <v>0</v>
      </c>
      <c r="Z363" s="2"/>
      <c r="AA363" s="2">
        <v>94104265</v>
      </c>
      <c r="AB363" s="2">
        <f>ROUND((AK363),6)</f>
        <v>519.79</v>
      </c>
      <c r="AC363" s="2">
        <f>0</f>
        <v>0</v>
      </c>
      <c r="AD363" s="2">
        <f>0</f>
        <v>0</v>
      </c>
      <c r="AE363" s="2">
        <f>0</f>
        <v>0</v>
      </c>
      <c r="AF363" s="2">
        <f>0</f>
        <v>0</v>
      </c>
      <c r="AG363" s="2">
        <f>0</f>
        <v>0</v>
      </c>
      <c r="AH363" s="2">
        <f>0</f>
        <v>0</v>
      </c>
      <c r="AI363" s="2">
        <f>0</f>
        <v>0</v>
      </c>
      <c r="AJ363" s="2">
        <f>0</f>
        <v>0</v>
      </c>
      <c r="AK363" s="2">
        <v>519.79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1</v>
      </c>
      <c r="AW363" s="2">
        <v>1</v>
      </c>
      <c r="AX363" s="2"/>
      <c r="AY363" s="2"/>
      <c r="AZ363" s="2">
        <v>1</v>
      </c>
      <c r="BA363" s="2">
        <v>1</v>
      </c>
      <c r="BB363" s="2">
        <v>1</v>
      </c>
      <c r="BC363" s="2">
        <v>1</v>
      </c>
      <c r="BD363" s="2" t="s">
        <v>3</v>
      </c>
      <c r="BE363" s="2" t="s">
        <v>3</v>
      </c>
      <c r="BF363" s="2" t="s">
        <v>3</v>
      </c>
      <c r="BG363" s="2" t="s">
        <v>3</v>
      </c>
      <c r="BH363" s="2">
        <v>0</v>
      </c>
      <c r="BI363" s="2">
        <v>1</v>
      </c>
      <c r="BJ363" s="2" t="s">
        <v>138</v>
      </c>
      <c r="BK363" s="2"/>
      <c r="BL363" s="2"/>
      <c r="BM363" s="2">
        <v>700008</v>
      </c>
      <c r="BN363" s="2">
        <v>0</v>
      </c>
      <c r="BO363" s="2" t="s">
        <v>3</v>
      </c>
      <c r="BP363" s="2">
        <v>0</v>
      </c>
      <c r="BQ363" s="2">
        <v>10</v>
      </c>
      <c r="BR363" s="2">
        <v>0</v>
      </c>
      <c r="BS363" s="2">
        <v>1</v>
      </c>
      <c r="BT363" s="2">
        <v>1</v>
      </c>
      <c r="BU363" s="2">
        <v>1</v>
      </c>
      <c r="BV363" s="2">
        <v>1</v>
      </c>
      <c r="BW363" s="2">
        <v>1</v>
      </c>
      <c r="BX363" s="2">
        <v>1</v>
      </c>
      <c r="BY363" s="2" t="s">
        <v>3</v>
      </c>
      <c r="BZ363" s="2">
        <v>94</v>
      </c>
      <c r="CA363" s="2">
        <v>61</v>
      </c>
      <c r="CB363" s="2" t="s">
        <v>3</v>
      </c>
      <c r="CC363" s="2"/>
      <c r="CD363" s="2"/>
      <c r="CE363" s="2">
        <v>0</v>
      </c>
      <c r="CF363" s="2">
        <v>0</v>
      </c>
      <c r="CG363" s="2">
        <v>0</v>
      </c>
      <c r="CH363" s="2"/>
      <c r="CI363" s="2"/>
      <c r="CJ363" s="2"/>
      <c r="CK363" s="2"/>
      <c r="CL363" s="2"/>
      <c r="CM363" s="2">
        <v>0</v>
      </c>
      <c r="CN363" s="2" t="s">
        <v>3</v>
      </c>
      <c r="CO363" s="2">
        <v>0</v>
      </c>
      <c r="CP363" s="2">
        <f>AB363*AZ363</f>
        <v>519.79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0</v>
      </c>
      <c r="DA363" s="2"/>
      <c r="DB363" s="2"/>
      <c r="DC363" s="2" t="s">
        <v>3</v>
      </c>
      <c r="DD363" s="2" t="s">
        <v>3</v>
      </c>
      <c r="DE363" s="2" t="s">
        <v>3</v>
      </c>
      <c r="DF363" s="2" t="s">
        <v>3</v>
      </c>
      <c r="DG363" s="2" t="s">
        <v>3</v>
      </c>
      <c r="DH363" s="2" t="s">
        <v>3</v>
      </c>
      <c r="DI363" s="2" t="s">
        <v>3</v>
      </c>
      <c r="DJ363" s="2" t="s">
        <v>3</v>
      </c>
      <c r="DK363" s="2" t="s">
        <v>3</v>
      </c>
      <c r="DL363" s="2" t="s">
        <v>3</v>
      </c>
      <c r="DM363" s="2" t="s">
        <v>3</v>
      </c>
      <c r="DN363" s="2">
        <v>0</v>
      </c>
      <c r="DO363" s="2">
        <v>0</v>
      </c>
      <c r="DP363" s="2">
        <v>1</v>
      </c>
      <c r="DQ363" s="2">
        <v>1</v>
      </c>
      <c r="DR363" s="2"/>
      <c r="DS363" s="2"/>
      <c r="DT363" s="2"/>
      <c r="DU363" s="2">
        <v>1013</v>
      </c>
      <c r="DV363" s="2" t="s">
        <v>132</v>
      </c>
      <c r="DW363" s="2" t="s">
        <v>132</v>
      </c>
      <c r="DX363" s="2">
        <v>1</v>
      </c>
      <c r="DY363" s="2"/>
      <c r="DZ363" s="2" t="s">
        <v>3</v>
      </c>
      <c r="EA363" s="2" t="s">
        <v>3</v>
      </c>
      <c r="EB363" s="2" t="s">
        <v>3</v>
      </c>
      <c r="EC363" s="2" t="s">
        <v>3</v>
      </c>
      <c r="ED363" s="2"/>
      <c r="EE363" s="2">
        <v>89977457</v>
      </c>
      <c r="EF363" s="2">
        <v>10</v>
      </c>
      <c r="EG363" s="2" t="s">
        <v>140</v>
      </c>
      <c r="EH363" s="2">
        <v>107</v>
      </c>
      <c r="EI363" s="2" t="s">
        <v>141</v>
      </c>
      <c r="EJ363" s="2">
        <v>1</v>
      </c>
      <c r="EK363" s="2">
        <v>700008</v>
      </c>
      <c r="EL363" s="2" t="s">
        <v>142</v>
      </c>
      <c r="EM363" s="2" t="s">
        <v>143</v>
      </c>
      <c r="EN363" s="2"/>
      <c r="EO363" s="2" t="s">
        <v>3</v>
      </c>
      <c r="EP363" s="2"/>
      <c r="EQ363" s="2">
        <v>0</v>
      </c>
      <c r="ER363" s="2">
        <v>0</v>
      </c>
      <c r="ES363" s="2">
        <v>0</v>
      </c>
      <c r="ET363" s="2">
        <v>0</v>
      </c>
      <c r="EU363" s="2">
        <v>0</v>
      </c>
      <c r="EV363" s="2">
        <v>0</v>
      </c>
      <c r="EW363" s="2">
        <v>0</v>
      </c>
      <c r="EX363" s="2">
        <v>0</v>
      </c>
      <c r="EY363" s="2">
        <v>0</v>
      </c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>
        <v>0</v>
      </c>
      <c r="FR363" s="2">
        <v>0</v>
      </c>
      <c r="FS363" s="2">
        <v>0</v>
      </c>
      <c r="FT363" s="2"/>
      <c r="FU363" s="2"/>
      <c r="FV363" s="2"/>
      <c r="FW363" s="2"/>
      <c r="FX363" s="2">
        <v>0</v>
      </c>
      <c r="FY363" s="2">
        <v>0</v>
      </c>
      <c r="FZ363" s="2"/>
      <c r="GA363" s="2" t="s">
        <v>3</v>
      </c>
      <c r="GB363" s="2"/>
      <c r="GC363" s="2"/>
      <c r="GD363" s="2">
        <v>1</v>
      </c>
      <c r="GE363" s="2"/>
      <c r="GF363" s="2">
        <v>-1584862761</v>
      </c>
      <c r="GG363" s="2">
        <v>2</v>
      </c>
      <c r="GH363" s="2">
        <v>1</v>
      </c>
      <c r="GI363" s="2">
        <v>-2</v>
      </c>
      <c r="GJ363" s="2">
        <v>2</v>
      </c>
      <c r="GK363" s="2">
        <v>0</v>
      </c>
      <c r="GL363" s="2">
        <f t="shared" si="222"/>
        <v>0</v>
      </c>
      <c r="GM363" s="2">
        <f>ROUND(CP363*I363,2)</f>
        <v>430.44</v>
      </c>
      <c r="GN363" s="2">
        <f t="shared" si="224"/>
        <v>430.44</v>
      </c>
      <c r="GO363" s="2">
        <f t="shared" si="225"/>
        <v>0</v>
      </c>
      <c r="GP363" s="2">
        <f t="shared" si="226"/>
        <v>0</v>
      </c>
      <c r="GQ363" s="2"/>
      <c r="GR363" s="2">
        <v>0</v>
      </c>
      <c r="GS363" s="2">
        <v>0</v>
      </c>
      <c r="GT363" s="2">
        <v>0</v>
      </c>
      <c r="GU363" s="2" t="s">
        <v>3</v>
      </c>
      <c r="GV363" s="2">
        <f>0</f>
        <v>0</v>
      </c>
      <c r="GW363" s="2">
        <v>1</v>
      </c>
      <c r="GX363" s="2">
        <f>0</f>
        <v>0</v>
      </c>
      <c r="GY363" s="2"/>
      <c r="GZ363" s="2"/>
      <c r="HA363" s="2">
        <v>0</v>
      </c>
      <c r="HB363" s="2">
        <v>0</v>
      </c>
      <c r="HC363" s="2">
        <v>0</v>
      </c>
      <c r="HD363" s="2">
        <f>GM363</f>
        <v>430.44</v>
      </c>
      <c r="HE363" s="2" t="s">
        <v>3</v>
      </c>
      <c r="HF363" s="2" t="s">
        <v>3</v>
      </c>
      <c r="HG363" s="2"/>
      <c r="HH363" s="2"/>
      <c r="HI363" s="2"/>
      <c r="HJ363" s="2"/>
      <c r="HK363" s="2"/>
      <c r="HL363" s="2"/>
      <c r="HM363" s="2" t="s">
        <v>3</v>
      </c>
      <c r="HN363" s="2" t="s">
        <v>144</v>
      </c>
      <c r="HO363" s="2" t="s">
        <v>145</v>
      </c>
      <c r="HP363" s="2" t="s">
        <v>141</v>
      </c>
      <c r="HQ363" s="2" t="s">
        <v>141</v>
      </c>
      <c r="HR363" s="2"/>
      <c r="HS363" s="2">
        <v>0</v>
      </c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>
        <v>0</v>
      </c>
      <c r="IL363" s="2"/>
      <c r="IM363" s="2"/>
      <c r="IN363" s="2"/>
      <c r="IO363" s="2"/>
      <c r="IP363" s="2"/>
      <c r="IQ363" s="2"/>
      <c r="IR363" s="2"/>
      <c r="IS363" s="2"/>
      <c r="IT363" s="2"/>
      <c r="IU363" s="2"/>
    </row>
    <row r="365" spans="1:255" x14ac:dyDescent="0.2">
      <c r="A365" s="3">
        <v>51</v>
      </c>
      <c r="B365" s="3">
        <f>B350</f>
        <v>1</v>
      </c>
      <c r="C365" s="3">
        <f>A350</f>
        <v>4</v>
      </c>
      <c r="D365" s="3">
        <f>ROW(A350)</f>
        <v>350</v>
      </c>
      <c r="E365" s="3"/>
      <c r="F365" s="3" t="str">
        <f>IF(F350&lt;&gt;"",F350,"")</f>
        <v>Новый раздел</v>
      </c>
      <c r="G365" s="3" t="str">
        <f>IF(G350&lt;&gt;"",G350,"")</f>
        <v>Ремонт входной группы ул. Народного Ополчения, д.38, корп.2</v>
      </c>
      <c r="H365" s="3">
        <v>0</v>
      </c>
      <c r="I365" s="3"/>
      <c r="J365" s="3"/>
      <c r="K365" s="3"/>
      <c r="L365" s="3"/>
      <c r="M365" s="3"/>
      <c r="N365" s="3"/>
      <c r="O365" s="3">
        <f t="shared" ref="O365:T365" si="230">ROUND(AB365,2)</f>
        <v>53508.15</v>
      </c>
      <c r="P365" s="3">
        <f t="shared" si="230"/>
        <v>12630.37</v>
      </c>
      <c r="Q365" s="3">
        <f t="shared" si="230"/>
        <v>219.79</v>
      </c>
      <c r="R365" s="3">
        <f t="shared" si="230"/>
        <v>1212.2</v>
      </c>
      <c r="S365" s="3">
        <f t="shared" si="230"/>
        <v>39445.79</v>
      </c>
      <c r="T365" s="3">
        <f t="shared" si="230"/>
        <v>0</v>
      </c>
      <c r="U365" s="3">
        <f>AH365</f>
        <v>55.971949999999993</v>
      </c>
      <c r="V365" s="3">
        <f>AI365</f>
        <v>1.8321499999999997</v>
      </c>
      <c r="W365" s="3">
        <f>ROUND(AJ365,2)</f>
        <v>0</v>
      </c>
      <c r="X365" s="3">
        <f>ROUND(AK365,2)</f>
        <v>36233.230000000003</v>
      </c>
      <c r="Y365" s="3">
        <f>ROUND(AL365,2)</f>
        <v>17984.75</v>
      </c>
      <c r="Z365" s="3"/>
      <c r="AA365" s="3"/>
      <c r="AB365" s="3">
        <f>ROUND(SUMIF(AA354:AA363,"=94104265",O354:O363),2)</f>
        <v>53508.15</v>
      </c>
      <c r="AC365" s="3">
        <f>ROUND(SUMIF(AA354:AA363,"=94104265",P354:P363),2)</f>
        <v>12630.37</v>
      </c>
      <c r="AD365" s="3">
        <f>ROUND(SUMIF(AA354:AA363,"=94104265",Q354:Q363),2)</f>
        <v>219.79</v>
      </c>
      <c r="AE365" s="3">
        <f>ROUND(SUMIF(AA354:AA363,"=94104265",R354:R363),2)</f>
        <v>1212.2</v>
      </c>
      <c r="AF365" s="3">
        <f>ROUND(SUMIF(AA354:AA363,"=94104265",S354:S363),2)</f>
        <v>39445.79</v>
      </c>
      <c r="AG365" s="3">
        <f>ROUND(SUMIF(AA354:AA363,"=94104265",T354:T363),2)</f>
        <v>0</v>
      </c>
      <c r="AH365" s="3">
        <f>SUMIF(AA354:AA363,"=94104265",U354:U363)</f>
        <v>55.971949999999993</v>
      </c>
      <c r="AI365" s="3">
        <f>SUMIF(AA354:AA363,"=94104265",V354:V363)</f>
        <v>1.8321499999999997</v>
      </c>
      <c r="AJ365" s="3">
        <f>ROUND(SUMIF(AA354:AA363,"=94104265",W354:W363),2)</f>
        <v>0</v>
      </c>
      <c r="AK365" s="3">
        <f>ROUND(SUMIF(AA354:AA363,"=94104265",X354:X363),2)</f>
        <v>36233.230000000003</v>
      </c>
      <c r="AL365" s="3">
        <f>ROUND(SUMIF(AA354:AA363,"=94104265",Y354:Y363),2)</f>
        <v>17984.75</v>
      </c>
      <c r="AM365" s="3"/>
      <c r="AN365" s="3"/>
      <c r="AO365" s="3">
        <f t="shared" ref="AO365:BD365" si="231">ROUND(BX365,2)</f>
        <v>0</v>
      </c>
      <c r="AP365" s="3">
        <f t="shared" si="231"/>
        <v>0</v>
      </c>
      <c r="AQ365" s="3">
        <f t="shared" si="231"/>
        <v>0</v>
      </c>
      <c r="AR365" s="3">
        <f t="shared" si="231"/>
        <v>109390.54</v>
      </c>
      <c r="AS365" s="3">
        <f t="shared" si="231"/>
        <v>109390.54</v>
      </c>
      <c r="AT365" s="3">
        <f t="shared" si="231"/>
        <v>0</v>
      </c>
      <c r="AU365" s="3">
        <f t="shared" si="231"/>
        <v>0</v>
      </c>
      <c r="AV365" s="3">
        <f t="shared" si="231"/>
        <v>12630.37</v>
      </c>
      <c r="AW365" s="3">
        <f t="shared" si="231"/>
        <v>12630.37</v>
      </c>
      <c r="AX365" s="3">
        <f t="shared" si="231"/>
        <v>0</v>
      </c>
      <c r="AY365" s="3">
        <f t="shared" si="231"/>
        <v>12630.37</v>
      </c>
      <c r="AZ365" s="3">
        <f t="shared" si="231"/>
        <v>0</v>
      </c>
      <c r="BA365" s="3">
        <f t="shared" si="231"/>
        <v>0</v>
      </c>
      <c r="BB365" s="3">
        <f t="shared" si="231"/>
        <v>0</v>
      </c>
      <c r="BC365" s="3">
        <f t="shared" si="231"/>
        <v>0</v>
      </c>
      <c r="BD365" s="3">
        <f t="shared" si="231"/>
        <v>1664.41</v>
      </c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>
        <f>ROUND(SUMIF(AA354:AA363,"=94104265",FQ354:FQ363),2)</f>
        <v>0</v>
      </c>
      <c r="BY365" s="3">
        <f>ROUND(SUMIF(AA354:AA363,"=94104265",FR354:FR363),2)</f>
        <v>0</v>
      </c>
      <c r="BZ365" s="3">
        <f>ROUND(SUMIF(AA354:AA363,"=94104265",GL354:GL363),2)</f>
        <v>0</v>
      </c>
      <c r="CA365" s="3">
        <f>ROUND(SUMIF(AA354:AA363,"=94104265",GM354:GM363),2)</f>
        <v>109390.54</v>
      </c>
      <c r="CB365" s="3">
        <f>ROUND(SUMIF(AA354:AA363,"=94104265",GN354:GN363),2)</f>
        <v>109390.54</v>
      </c>
      <c r="CC365" s="3">
        <f>ROUND(SUMIF(AA354:AA363,"=94104265",GO354:GO363),2)</f>
        <v>0</v>
      </c>
      <c r="CD365" s="3">
        <f>ROUND(SUMIF(AA354:AA363,"=94104265",GP354:GP363),2)</f>
        <v>0</v>
      </c>
      <c r="CE365" s="3">
        <f>AC365-BX365</f>
        <v>12630.37</v>
      </c>
      <c r="CF365" s="3">
        <f>AC365-BY365</f>
        <v>12630.37</v>
      </c>
      <c r="CG365" s="3">
        <f>BX365-BZ365</f>
        <v>0</v>
      </c>
      <c r="CH365" s="3">
        <f>AC365-BX365-BY365+BZ365</f>
        <v>12630.37</v>
      </c>
      <c r="CI365" s="3">
        <f>BY365-BZ365</f>
        <v>0</v>
      </c>
      <c r="CJ365" s="3">
        <f>ROUND(SUMIF(AA354:AA363,"=94104265",GX354:GX363),2)</f>
        <v>0</v>
      </c>
      <c r="CK365" s="3">
        <f>ROUND(SUMIF(AA354:AA363,"=94104265",GY354:GY363),2)</f>
        <v>0</v>
      </c>
      <c r="CL365" s="3">
        <f>ROUND(SUMIF(AA354:AA363,"=94104265",GZ354:GZ363),2)</f>
        <v>0</v>
      </c>
      <c r="CM365" s="3">
        <f>ROUND(SUMIF(AA354:AA363,"=94104265",HD354:HD363),2)</f>
        <v>1664.41</v>
      </c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  <c r="FW365" s="4"/>
      <c r="FX365" s="4"/>
      <c r="FY365" s="4"/>
      <c r="FZ365" s="4"/>
      <c r="GA365" s="4"/>
      <c r="GB365" s="4"/>
      <c r="GC365" s="4"/>
      <c r="GD365" s="4"/>
      <c r="GE365" s="4"/>
      <c r="GF365" s="4"/>
      <c r="GG365" s="4"/>
      <c r="GH365" s="4"/>
      <c r="GI365" s="4"/>
      <c r="GJ365" s="4"/>
      <c r="GK365" s="4"/>
      <c r="GL365" s="4"/>
      <c r="GM365" s="4"/>
      <c r="GN365" s="4"/>
      <c r="GO365" s="4"/>
      <c r="GP365" s="4"/>
      <c r="GQ365" s="4"/>
      <c r="GR365" s="4"/>
      <c r="GS365" s="4"/>
      <c r="GT365" s="4"/>
      <c r="GU365" s="4"/>
      <c r="GV365" s="4"/>
      <c r="GW365" s="4"/>
      <c r="GX365" s="4">
        <v>0</v>
      </c>
    </row>
    <row r="367" spans="1:255" x14ac:dyDescent="0.2">
      <c r="A367" s="5">
        <v>50</v>
      </c>
      <c r="B367" s="5">
        <v>0</v>
      </c>
      <c r="C367" s="5">
        <v>0</v>
      </c>
      <c r="D367" s="5">
        <v>1</v>
      </c>
      <c r="E367" s="5">
        <v>201</v>
      </c>
      <c r="F367" s="5">
        <f>ROUND(Source!O365,O367)</f>
        <v>53508.15</v>
      </c>
      <c r="G367" s="5" t="s">
        <v>146</v>
      </c>
      <c r="H367" s="5" t="s">
        <v>147</v>
      </c>
      <c r="I367" s="5"/>
      <c r="J367" s="5"/>
      <c r="K367" s="5">
        <v>201</v>
      </c>
      <c r="L367" s="5">
        <v>1</v>
      </c>
      <c r="M367" s="5">
        <v>3</v>
      </c>
      <c r="N367" s="5" t="s">
        <v>3</v>
      </c>
      <c r="O367" s="5">
        <v>2</v>
      </c>
      <c r="P367" s="5"/>
      <c r="Q367" s="5"/>
      <c r="R367" s="5"/>
      <c r="S367" s="5"/>
      <c r="T367" s="5"/>
      <c r="U367" s="5"/>
      <c r="V367" s="5"/>
      <c r="W367" s="5">
        <v>55172.56</v>
      </c>
      <c r="X367" s="5">
        <v>1</v>
      </c>
      <c r="Y367" s="5">
        <v>55172.56</v>
      </c>
      <c r="Z367" s="5"/>
      <c r="AA367" s="5"/>
      <c r="AB367" s="5"/>
    </row>
    <row r="368" spans="1:255" x14ac:dyDescent="0.2">
      <c r="A368" s="5">
        <v>50</v>
      </c>
      <c r="B368" s="5">
        <v>0</v>
      </c>
      <c r="C368" s="5">
        <v>0</v>
      </c>
      <c r="D368" s="5">
        <v>1</v>
      </c>
      <c r="E368" s="5">
        <v>202</v>
      </c>
      <c r="F368" s="5">
        <f>ROUND(Source!P365,O368)</f>
        <v>12630.37</v>
      </c>
      <c r="G368" s="5" t="s">
        <v>148</v>
      </c>
      <c r="H368" s="5" t="s">
        <v>149</v>
      </c>
      <c r="I368" s="5"/>
      <c r="J368" s="5"/>
      <c r="K368" s="5">
        <v>202</v>
      </c>
      <c r="L368" s="5">
        <v>2</v>
      </c>
      <c r="M368" s="5">
        <v>3</v>
      </c>
      <c r="N368" s="5" t="s">
        <v>3</v>
      </c>
      <c r="O368" s="5">
        <v>2</v>
      </c>
      <c r="P368" s="5"/>
      <c r="Q368" s="5"/>
      <c r="R368" s="5"/>
      <c r="S368" s="5"/>
      <c r="T368" s="5"/>
      <c r="U368" s="5"/>
      <c r="V368" s="5"/>
      <c r="W368" s="5">
        <v>12630.37</v>
      </c>
      <c r="X368" s="5">
        <v>1</v>
      </c>
      <c r="Y368" s="5">
        <v>12630.37</v>
      </c>
      <c r="Z368" s="5"/>
      <c r="AA368" s="5"/>
      <c r="AB368" s="5"/>
    </row>
    <row r="369" spans="1:28" x14ac:dyDescent="0.2">
      <c r="A369" s="5">
        <v>50</v>
      </c>
      <c r="B369" s="5">
        <v>0</v>
      </c>
      <c r="C369" s="5">
        <v>0</v>
      </c>
      <c r="D369" s="5">
        <v>1</v>
      </c>
      <c r="E369" s="5">
        <v>222</v>
      </c>
      <c r="F369" s="5">
        <f>ROUND(Source!AO365,O369)</f>
        <v>0</v>
      </c>
      <c r="G369" s="5" t="s">
        <v>150</v>
      </c>
      <c r="H369" s="5" t="s">
        <v>151</v>
      </c>
      <c r="I369" s="5"/>
      <c r="J369" s="5"/>
      <c r="K369" s="5">
        <v>222</v>
      </c>
      <c r="L369" s="5">
        <v>3</v>
      </c>
      <c r="M369" s="5">
        <v>3</v>
      </c>
      <c r="N369" s="5" t="s">
        <v>3</v>
      </c>
      <c r="O369" s="5">
        <v>2</v>
      </c>
      <c r="P369" s="5"/>
      <c r="Q369" s="5"/>
      <c r="R369" s="5"/>
      <c r="S369" s="5"/>
      <c r="T369" s="5"/>
      <c r="U369" s="5"/>
      <c r="V369" s="5"/>
      <c r="W369" s="5">
        <v>0</v>
      </c>
      <c r="X369" s="5">
        <v>1</v>
      </c>
      <c r="Y369" s="5">
        <v>0</v>
      </c>
      <c r="Z369" s="5"/>
      <c r="AA369" s="5"/>
      <c r="AB369" s="5"/>
    </row>
    <row r="370" spans="1:28" x14ac:dyDescent="0.2">
      <c r="A370" s="5">
        <v>50</v>
      </c>
      <c r="B370" s="5">
        <v>0</v>
      </c>
      <c r="C370" s="5">
        <v>0</v>
      </c>
      <c r="D370" s="5">
        <v>1</v>
      </c>
      <c r="E370" s="5">
        <v>225</v>
      </c>
      <c r="F370" s="5">
        <f>ROUND(Source!AV365,O370)</f>
        <v>12630.37</v>
      </c>
      <c r="G370" s="5" t="s">
        <v>152</v>
      </c>
      <c r="H370" s="5" t="s">
        <v>153</v>
      </c>
      <c r="I370" s="5"/>
      <c r="J370" s="5"/>
      <c r="K370" s="5">
        <v>225</v>
      </c>
      <c r="L370" s="5">
        <v>4</v>
      </c>
      <c r="M370" s="5">
        <v>3</v>
      </c>
      <c r="N370" s="5" t="s">
        <v>3</v>
      </c>
      <c r="O370" s="5">
        <v>2</v>
      </c>
      <c r="P370" s="5"/>
      <c r="Q370" s="5"/>
      <c r="R370" s="5"/>
      <c r="S370" s="5"/>
      <c r="T370" s="5"/>
      <c r="U370" s="5"/>
      <c r="V370" s="5"/>
      <c r="W370" s="5">
        <v>12630.37</v>
      </c>
      <c r="X370" s="5">
        <v>1</v>
      </c>
      <c r="Y370" s="5">
        <v>12630.37</v>
      </c>
      <c r="Z370" s="5"/>
      <c r="AA370" s="5"/>
      <c r="AB370" s="5"/>
    </row>
    <row r="371" spans="1:28" x14ac:dyDescent="0.2">
      <c r="A371" s="5">
        <v>50</v>
      </c>
      <c r="B371" s="5">
        <v>0</v>
      </c>
      <c r="C371" s="5">
        <v>0</v>
      </c>
      <c r="D371" s="5">
        <v>1</v>
      </c>
      <c r="E371" s="5">
        <v>226</v>
      </c>
      <c r="F371" s="5">
        <f>ROUND(Source!AW365,O371)</f>
        <v>12630.37</v>
      </c>
      <c r="G371" s="5" t="s">
        <v>154</v>
      </c>
      <c r="H371" s="5" t="s">
        <v>155</v>
      </c>
      <c r="I371" s="5"/>
      <c r="J371" s="5"/>
      <c r="K371" s="5">
        <v>226</v>
      </c>
      <c r="L371" s="5">
        <v>5</v>
      </c>
      <c r="M371" s="5">
        <v>3</v>
      </c>
      <c r="N371" s="5" t="s">
        <v>3</v>
      </c>
      <c r="O371" s="5">
        <v>2</v>
      </c>
      <c r="P371" s="5"/>
      <c r="Q371" s="5"/>
      <c r="R371" s="5"/>
      <c r="S371" s="5"/>
      <c r="T371" s="5"/>
      <c r="U371" s="5"/>
      <c r="V371" s="5"/>
      <c r="W371" s="5">
        <v>12630.37</v>
      </c>
      <c r="X371" s="5">
        <v>1</v>
      </c>
      <c r="Y371" s="5">
        <v>12630.37</v>
      </c>
      <c r="Z371" s="5"/>
      <c r="AA371" s="5"/>
      <c r="AB371" s="5"/>
    </row>
    <row r="372" spans="1:28" x14ac:dyDescent="0.2">
      <c r="A372" s="5">
        <v>50</v>
      </c>
      <c r="B372" s="5">
        <v>0</v>
      </c>
      <c r="C372" s="5">
        <v>0</v>
      </c>
      <c r="D372" s="5">
        <v>1</v>
      </c>
      <c r="E372" s="5">
        <v>227</v>
      </c>
      <c r="F372" s="5">
        <f>ROUND(Source!AX365,O372)</f>
        <v>0</v>
      </c>
      <c r="G372" s="5" t="s">
        <v>156</v>
      </c>
      <c r="H372" s="5" t="s">
        <v>157</v>
      </c>
      <c r="I372" s="5"/>
      <c r="J372" s="5"/>
      <c r="K372" s="5">
        <v>227</v>
      </c>
      <c r="L372" s="5">
        <v>6</v>
      </c>
      <c r="M372" s="5">
        <v>3</v>
      </c>
      <c r="N372" s="5" t="s">
        <v>3</v>
      </c>
      <c r="O372" s="5">
        <v>2</v>
      </c>
      <c r="P372" s="5"/>
      <c r="Q372" s="5"/>
      <c r="R372" s="5"/>
      <c r="S372" s="5"/>
      <c r="T372" s="5"/>
      <c r="U372" s="5"/>
      <c r="V372" s="5"/>
      <c r="W372" s="5">
        <v>0</v>
      </c>
      <c r="X372" s="5">
        <v>1</v>
      </c>
      <c r="Y372" s="5">
        <v>0</v>
      </c>
      <c r="Z372" s="5"/>
      <c r="AA372" s="5"/>
      <c r="AB372" s="5"/>
    </row>
    <row r="373" spans="1:28" x14ac:dyDescent="0.2">
      <c r="A373" s="5">
        <v>50</v>
      </c>
      <c r="B373" s="5">
        <v>0</v>
      </c>
      <c r="C373" s="5">
        <v>0</v>
      </c>
      <c r="D373" s="5">
        <v>1</v>
      </c>
      <c r="E373" s="5">
        <v>228</v>
      </c>
      <c r="F373" s="5">
        <f>ROUND(Source!AY365,O373)</f>
        <v>12630.37</v>
      </c>
      <c r="G373" s="5" t="s">
        <v>158</v>
      </c>
      <c r="H373" s="5" t="s">
        <v>159</v>
      </c>
      <c r="I373" s="5"/>
      <c r="J373" s="5"/>
      <c r="K373" s="5">
        <v>228</v>
      </c>
      <c r="L373" s="5">
        <v>7</v>
      </c>
      <c r="M373" s="5">
        <v>3</v>
      </c>
      <c r="N373" s="5" t="s">
        <v>3</v>
      </c>
      <c r="O373" s="5">
        <v>2</v>
      </c>
      <c r="P373" s="5"/>
      <c r="Q373" s="5"/>
      <c r="R373" s="5"/>
      <c r="S373" s="5"/>
      <c r="T373" s="5"/>
      <c r="U373" s="5"/>
      <c r="V373" s="5"/>
      <c r="W373" s="5">
        <v>12630.37</v>
      </c>
      <c r="X373" s="5">
        <v>1</v>
      </c>
      <c r="Y373" s="5">
        <v>12630.37</v>
      </c>
      <c r="Z373" s="5"/>
      <c r="AA373" s="5"/>
      <c r="AB373" s="5"/>
    </row>
    <row r="374" spans="1:28" x14ac:dyDescent="0.2">
      <c r="A374" s="5">
        <v>50</v>
      </c>
      <c r="B374" s="5">
        <v>0</v>
      </c>
      <c r="C374" s="5">
        <v>0</v>
      </c>
      <c r="D374" s="5">
        <v>1</v>
      </c>
      <c r="E374" s="5">
        <v>216</v>
      </c>
      <c r="F374" s="5">
        <f>ROUND(Source!AP365,O374)</f>
        <v>0</v>
      </c>
      <c r="G374" s="5" t="s">
        <v>160</v>
      </c>
      <c r="H374" s="5" t="s">
        <v>161</v>
      </c>
      <c r="I374" s="5"/>
      <c r="J374" s="5"/>
      <c r="K374" s="5">
        <v>216</v>
      </c>
      <c r="L374" s="5">
        <v>8</v>
      </c>
      <c r="M374" s="5">
        <v>3</v>
      </c>
      <c r="N374" s="5" t="s">
        <v>3</v>
      </c>
      <c r="O374" s="5">
        <v>2</v>
      </c>
      <c r="P374" s="5"/>
      <c r="Q374" s="5"/>
      <c r="R374" s="5"/>
      <c r="S374" s="5"/>
      <c r="T374" s="5"/>
      <c r="U374" s="5"/>
      <c r="V374" s="5"/>
      <c r="W374" s="5">
        <v>0</v>
      </c>
      <c r="X374" s="5">
        <v>1</v>
      </c>
      <c r="Y374" s="5">
        <v>0</v>
      </c>
      <c r="Z374" s="5"/>
      <c r="AA374" s="5"/>
      <c r="AB374" s="5"/>
    </row>
    <row r="375" spans="1:28" x14ac:dyDescent="0.2">
      <c r="A375" s="5">
        <v>50</v>
      </c>
      <c r="B375" s="5">
        <v>0</v>
      </c>
      <c r="C375" s="5">
        <v>0</v>
      </c>
      <c r="D375" s="5">
        <v>1</v>
      </c>
      <c r="E375" s="5">
        <v>223</v>
      </c>
      <c r="F375" s="5">
        <f>ROUND(Source!AQ365,O375)</f>
        <v>0</v>
      </c>
      <c r="G375" s="5" t="s">
        <v>162</v>
      </c>
      <c r="H375" s="5" t="s">
        <v>163</v>
      </c>
      <c r="I375" s="5"/>
      <c r="J375" s="5"/>
      <c r="K375" s="5">
        <v>223</v>
      </c>
      <c r="L375" s="5">
        <v>9</v>
      </c>
      <c r="M375" s="5">
        <v>3</v>
      </c>
      <c r="N375" s="5" t="s">
        <v>3</v>
      </c>
      <c r="O375" s="5">
        <v>2</v>
      </c>
      <c r="P375" s="5"/>
      <c r="Q375" s="5"/>
      <c r="R375" s="5"/>
      <c r="S375" s="5"/>
      <c r="T375" s="5"/>
      <c r="U375" s="5"/>
      <c r="V375" s="5"/>
      <c r="W375" s="5">
        <v>0</v>
      </c>
      <c r="X375" s="5">
        <v>1</v>
      </c>
      <c r="Y375" s="5">
        <v>0</v>
      </c>
      <c r="Z375" s="5"/>
      <c r="AA375" s="5"/>
      <c r="AB375" s="5"/>
    </row>
    <row r="376" spans="1:28" x14ac:dyDescent="0.2">
      <c r="A376" s="5">
        <v>50</v>
      </c>
      <c r="B376" s="5">
        <v>0</v>
      </c>
      <c r="C376" s="5">
        <v>0</v>
      </c>
      <c r="D376" s="5">
        <v>1</v>
      </c>
      <c r="E376" s="5">
        <v>229</v>
      </c>
      <c r="F376" s="5">
        <f>ROUND(Source!AZ365,O376)</f>
        <v>0</v>
      </c>
      <c r="G376" s="5" t="s">
        <v>164</v>
      </c>
      <c r="H376" s="5" t="s">
        <v>165</v>
      </c>
      <c r="I376" s="5"/>
      <c r="J376" s="5"/>
      <c r="K376" s="5">
        <v>229</v>
      </c>
      <c r="L376" s="5">
        <v>10</v>
      </c>
      <c r="M376" s="5">
        <v>3</v>
      </c>
      <c r="N376" s="5" t="s">
        <v>3</v>
      </c>
      <c r="O376" s="5">
        <v>2</v>
      </c>
      <c r="P376" s="5"/>
      <c r="Q376" s="5"/>
      <c r="R376" s="5"/>
      <c r="S376" s="5"/>
      <c r="T376" s="5"/>
      <c r="U376" s="5"/>
      <c r="V376" s="5"/>
      <c r="W376" s="5">
        <v>0</v>
      </c>
      <c r="X376" s="5">
        <v>1</v>
      </c>
      <c r="Y376" s="5">
        <v>0</v>
      </c>
      <c r="Z376" s="5"/>
      <c r="AA376" s="5"/>
      <c r="AB376" s="5"/>
    </row>
    <row r="377" spans="1:28" x14ac:dyDescent="0.2">
      <c r="A377" s="5">
        <v>50</v>
      </c>
      <c r="B377" s="5">
        <v>0</v>
      </c>
      <c r="C377" s="5">
        <v>0</v>
      </c>
      <c r="D377" s="5">
        <v>1</v>
      </c>
      <c r="E377" s="5">
        <v>203</v>
      </c>
      <c r="F377" s="5">
        <f>ROUND(Source!Q365,O377)</f>
        <v>219.79</v>
      </c>
      <c r="G377" s="5" t="s">
        <v>166</v>
      </c>
      <c r="H377" s="5" t="s">
        <v>167</v>
      </c>
      <c r="I377" s="5"/>
      <c r="J377" s="5"/>
      <c r="K377" s="5">
        <v>203</v>
      </c>
      <c r="L377" s="5">
        <v>11</v>
      </c>
      <c r="M377" s="5">
        <v>3</v>
      </c>
      <c r="N377" s="5" t="s">
        <v>3</v>
      </c>
      <c r="O377" s="5">
        <v>2</v>
      </c>
      <c r="P377" s="5"/>
      <c r="Q377" s="5"/>
      <c r="R377" s="5"/>
      <c r="S377" s="5"/>
      <c r="T377" s="5"/>
      <c r="U377" s="5"/>
      <c r="V377" s="5"/>
      <c r="W377" s="5">
        <v>219.79000000000002</v>
      </c>
      <c r="X377" s="5">
        <v>1</v>
      </c>
      <c r="Y377" s="5">
        <v>219.79000000000002</v>
      </c>
      <c r="Z377" s="5"/>
      <c r="AA377" s="5"/>
      <c r="AB377" s="5"/>
    </row>
    <row r="378" spans="1:28" x14ac:dyDescent="0.2">
      <c r="A378" s="5">
        <v>50</v>
      </c>
      <c r="B378" s="5">
        <v>0</v>
      </c>
      <c r="C378" s="5">
        <v>0</v>
      </c>
      <c r="D378" s="5">
        <v>1</v>
      </c>
      <c r="E378" s="5">
        <v>231</v>
      </c>
      <c r="F378" s="5">
        <f>ROUND(Source!BB365,O378)</f>
        <v>0</v>
      </c>
      <c r="G378" s="5" t="s">
        <v>168</v>
      </c>
      <c r="H378" s="5" t="s">
        <v>169</v>
      </c>
      <c r="I378" s="5"/>
      <c r="J378" s="5"/>
      <c r="K378" s="5">
        <v>231</v>
      </c>
      <c r="L378" s="5">
        <v>12</v>
      </c>
      <c r="M378" s="5">
        <v>3</v>
      </c>
      <c r="N378" s="5" t="s">
        <v>3</v>
      </c>
      <c r="O378" s="5">
        <v>2</v>
      </c>
      <c r="P378" s="5"/>
      <c r="Q378" s="5"/>
      <c r="R378" s="5"/>
      <c r="S378" s="5"/>
      <c r="T378" s="5"/>
      <c r="U378" s="5"/>
      <c r="V378" s="5"/>
      <c r="W378" s="5">
        <v>0</v>
      </c>
      <c r="X378" s="5">
        <v>1</v>
      </c>
      <c r="Y378" s="5">
        <v>0</v>
      </c>
      <c r="Z378" s="5"/>
      <c r="AA378" s="5"/>
      <c r="AB378" s="5"/>
    </row>
    <row r="379" spans="1:28" x14ac:dyDescent="0.2">
      <c r="A379" s="5">
        <v>50</v>
      </c>
      <c r="B379" s="5">
        <v>0</v>
      </c>
      <c r="C379" s="5">
        <v>0</v>
      </c>
      <c r="D379" s="5">
        <v>1</v>
      </c>
      <c r="E379" s="5">
        <v>204</v>
      </c>
      <c r="F379" s="5">
        <f>ROUND(Source!R365,O379)</f>
        <v>1212.2</v>
      </c>
      <c r="G379" s="5" t="s">
        <v>170</v>
      </c>
      <c r="H379" s="5" t="s">
        <v>171</v>
      </c>
      <c r="I379" s="5"/>
      <c r="J379" s="5"/>
      <c r="K379" s="5">
        <v>204</v>
      </c>
      <c r="L379" s="5">
        <v>13</v>
      </c>
      <c r="M379" s="5">
        <v>3</v>
      </c>
      <c r="N379" s="5" t="s">
        <v>3</v>
      </c>
      <c r="O379" s="5">
        <v>2</v>
      </c>
      <c r="P379" s="5"/>
      <c r="Q379" s="5"/>
      <c r="R379" s="5"/>
      <c r="S379" s="5"/>
      <c r="T379" s="5"/>
      <c r="U379" s="5"/>
      <c r="V379" s="5"/>
      <c r="W379" s="5">
        <v>1212.1999999999998</v>
      </c>
      <c r="X379" s="5">
        <v>1</v>
      </c>
      <c r="Y379" s="5">
        <v>1212.1999999999998</v>
      </c>
      <c r="Z379" s="5"/>
      <c r="AA379" s="5"/>
      <c r="AB379" s="5"/>
    </row>
    <row r="380" spans="1:28" x14ac:dyDescent="0.2">
      <c r="A380" s="5">
        <v>50</v>
      </c>
      <c r="B380" s="5">
        <v>0</v>
      </c>
      <c r="C380" s="5">
        <v>0</v>
      </c>
      <c r="D380" s="5">
        <v>1</v>
      </c>
      <c r="E380" s="5">
        <v>205</v>
      </c>
      <c r="F380" s="5">
        <f>ROUND(Source!S365,O380)</f>
        <v>39445.79</v>
      </c>
      <c r="G380" s="5" t="s">
        <v>172</v>
      </c>
      <c r="H380" s="5" t="s">
        <v>173</v>
      </c>
      <c r="I380" s="5"/>
      <c r="J380" s="5"/>
      <c r="K380" s="5">
        <v>205</v>
      </c>
      <c r="L380" s="5">
        <v>14</v>
      </c>
      <c r="M380" s="5">
        <v>3</v>
      </c>
      <c r="N380" s="5" t="s">
        <v>3</v>
      </c>
      <c r="O380" s="5">
        <v>2</v>
      </c>
      <c r="P380" s="5"/>
      <c r="Q380" s="5"/>
      <c r="R380" s="5"/>
      <c r="S380" s="5"/>
      <c r="T380" s="5"/>
      <c r="U380" s="5"/>
      <c r="V380" s="5"/>
      <c r="W380" s="5">
        <v>39445.79</v>
      </c>
      <c r="X380" s="5">
        <v>1</v>
      </c>
      <c r="Y380" s="5">
        <v>39445.79</v>
      </c>
      <c r="Z380" s="5"/>
      <c r="AA380" s="5"/>
      <c r="AB380" s="5"/>
    </row>
    <row r="381" spans="1:28" x14ac:dyDescent="0.2">
      <c r="A381" s="5">
        <v>50</v>
      </c>
      <c r="B381" s="5">
        <v>0</v>
      </c>
      <c r="C381" s="5">
        <v>0</v>
      </c>
      <c r="D381" s="5">
        <v>1</v>
      </c>
      <c r="E381" s="5">
        <v>232</v>
      </c>
      <c r="F381" s="5">
        <f>ROUND(Source!BC365,O381)</f>
        <v>0</v>
      </c>
      <c r="G381" s="5" t="s">
        <v>174</v>
      </c>
      <c r="H381" s="5" t="s">
        <v>175</v>
      </c>
      <c r="I381" s="5"/>
      <c r="J381" s="5"/>
      <c r="K381" s="5">
        <v>232</v>
      </c>
      <c r="L381" s="5">
        <v>15</v>
      </c>
      <c r="M381" s="5">
        <v>3</v>
      </c>
      <c r="N381" s="5" t="s">
        <v>3</v>
      </c>
      <c r="O381" s="5">
        <v>2</v>
      </c>
      <c r="P381" s="5"/>
      <c r="Q381" s="5"/>
      <c r="R381" s="5"/>
      <c r="S381" s="5"/>
      <c r="T381" s="5"/>
      <c r="U381" s="5"/>
      <c r="V381" s="5"/>
      <c r="W381" s="5">
        <v>0</v>
      </c>
      <c r="X381" s="5">
        <v>1</v>
      </c>
      <c r="Y381" s="5">
        <v>0</v>
      </c>
      <c r="Z381" s="5"/>
      <c r="AA381" s="5"/>
      <c r="AB381" s="5"/>
    </row>
    <row r="382" spans="1:28" x14ac:dyDescent="0.2">
      <c r="A382" s="5">
        <v>50</v>
      </c>
      <c r="B382" s="5">
        <v>0</v>
      </c>
      <c r="C382" s="5">
        <v>0</v>
      </c>
      <c r="D382" s="5">
        <v>1</v>
      </c>
      <c r="E382" s="5">
        <v>214</v>
      </c>
      <c r="F382" s="5">
        <f>ROUND(Source!AS365,O382)</f>
        <v>109390.54</v>
      </c>
      <c r="G382" s="5" t="s">
        <v>176</v>
      </c>
      <c r="H382" s="5" t="s">
        <v>177</v>
      </c>
      <c r="I382" s="5"/>
      <c r="J382" s="5"/>
      <c r="K382" s="5">
        <v>214</v>
      </c>
      <c r="L382" s="5">
        <v>16</v>
      </c>
      <c r="M382" s="5">
        <v>3</v>
      </c>
      <c r="N382" s="5" t="s">
        <v>3</v>
      </c>
      <c r="O382" s="5">
        <v>2</v>
      </c>
      <c r="P382" s="5"/>
      <c r="Q382" s="5"/>
      <c r="R382" s="5"/>
      <c r="S382" s="5"/>
      <c r="T382" s="5"/>
      <c r="U382" s="5"/>
      <c r="V382" s="5"/>
      <c r="W382" s="5">
        <v>109390.54</v>
      </c>
      <c r="X382" s="5">
        <v>1</v>
      </c>
      <c r="Y382" s="5">
        <v>109390.54</v>
      </c>
      <c r="Z382" s="5"/>
      <c r="AA382" s="5"/>
      <c r="AB382" s="5"/>
    </row>
    <row r="383" spans="1:28" x14ac:dyDescent="0.2">
      <c r="A383" s="5">
        <v>50</v>
      </c>
      <c r="B383" s="5">
        <v>0</v>
      </c>
      <c r="C383" s="5">
        <v>0</v>
      </c>
      <c r="D383" s="5">
        <v>1</v>
      </c>
      <c r="E383" s="5">
        <v>215</v>
      </c>
      <c r="F383" s="5">
        <f>ROUND(Source!AT365,O383)</f>
        <v>0</v>
      </c>
      <c r="G383" s="5" t="s">
        <v>178</v>
      </c>
      <c r="H383" s="5" t="s">
        <v>179</v>
      </c>
      <c r="I383" s="5"/>
      <c r="J383" s="5"/>
      <c r="K383" s="5">
        <v>215</v>
      </c>
      <c r="L383" s="5">
        <v>17</v>
      </c>
      <c r="M383" s="5">
        <v>3</v>
      </c>
      <c r="N383" s="5" t="s">
        <v>3</v>
      </c>
      <c r="O383" s="5">
        <v>2</v>
      </c>
      <c r="P383" s="5"/>
      <c r="Q383" s="5"/>
      <c r="R383" s="5"/>
      <c r="S383" s="5"/>
      <c r="T383" s="5"/>
      <c r="U383" s="5"/>
      <c r="V383" s="5"/>
      <c r="W383" s="5">
        <v>0</v>
      </c>
      <c r="X383" s="5">
        <v>1</v>
      </c>
      <c r="Y383" s="5">
        <v>0</v>
      </c>
      <c r="Z383" s="5"/>
      <c r="AA383" s="5"/>
      <c r="AB383" s="5"/>
    </row>
    <row r="384" spans="1:28" x14ac:dyDescent="0.2">
      <c r="A384" s="5">
        <v>50</v>
      </c>
      <c r="B384" s="5">
        <v>0</v>
      </c>
      <c r="C384" s="5">
        <v>0</v>
      </c>
      <c r="D384" s="5">
        <v>1</v>
      </c>
      <c r="E384" s="5">
        <v>217</v>
      </c>
      <c r="F384" s="5">
        <f>ROUND(Source!AU365,O384)</f>
        <v>0</v>
      </c>
      <c r="G384" s="5" t="s">
        <v>180</v>
      </c>
      <c r="H384" s="5" t="s">
        <v>181</v>
      </c>
      <c r="I384" s="5"/>
      <c r="J384" s="5"/>
      <c r="K384" s="5">
        <v>217</v>
      </c>
      <c r="L384" s="5">
        <v>18</v>
      </c>
      <c r="M384" s="5">
        <v>3</v>
      </c>
      <c r="N384" s="5" t="s">
        <v>3</v>
      </c>
      <c r="O384" s="5">
        <v>2</v>
      </c>
      <c r="P384" s="5"/>
      <c r="Q384" s="5"/>
      <c r="R384" s="5"/>
      <c r="S384" s="5"/>
      <c r="T384" s="5"/>
      <c r="U384" s="5"/>
      <c r="V384" s="5"/>
      <c r="W384" s="5">
        <v>0</v>
      </c>
      <c r="X384" s="5">
        <v>1</v>
      </c>
      <c r="Y384" s="5">
        <v>0</v>
      </c>
      <c r="Z384" s="5"/>
      <c r="AA384" s="5"/>
      <c r="AB384" s="5"/>
    </row>
    <row r="385" spans="1:206" x14ac:dyDescent="0.2">
      <c r="A385" s="5">
        <v>50</v>
      </c>
      <c r="B385" s="5">
        <v>0</v>
      </c>
      <c r="C385" s="5">
        <v>0</v>
      </c>
      <c r="D385" s="5">
        <v>1</v>
      </c>
      <c r="E385" s="5">
        <v>230</v>
      </c>
      <c r="F385" s="5">
        <f>ROUND(Source!BA365,O385)</f>
        <v>0</v>
      </c>
      <c r="G385" s="5" t="s">
        <v>182</v>
      </c>
      <c r="H385" s="5" t="s">
        <v>183</v>
      </c>
      <c r="I385" s="5"/>
      <c r="J385" s="5"/>
      <c r="K385" s="5">
        <v>230</v>
      </c>
      <c r="L385" s="5">
        <v>19</v>
      </c>
      <c r="M385" s="5">
        <v>3</v>
      </c>
      <c r="N385" s="5" t="s">
        <v>3</v>
      </c>
      <c r="O385" s="5">
        <v>2</v>
      </c>
      <c r="P385" s="5"/>
      <c r="Q385" s="5"/>
      <c r="R385" s="5"/>
      <c r="S385" s="5"/>
      <c r="T385" s="5"/>
      <c r="U385" s="5"/>
      <c r="V385" s="5"/>
      <c r="W385" s="5">
        <v>0</v>
      </c>
      <c r="X385" s="5">
        <v>1</v>
      </c>
      <c r="Y385" s="5">
        <v>0</v>
      </c>
      <c r="Z385" s="5"/>
      <c r="AA385" s="5"/>
      <c r="AB385" s="5"/>
    </row>
    <row r="386" spans="1:206" x14ac:dyDescent="0.2">
      <c r="A386" s="5">
        <v>50</v>
      </c>
      <c r="B386" s="5">
        <v>0</v>
      </c>
      <c r="C386" s="5">
        <v>0</v>
      </c>
      <c r="D386" s="5">
        <v>1</v>
      </c>
      <c r="E386" s="5">
        <v>206</v>
      </c>
      <c r="F386" s="5">
        <f>ROUND(Source!T365,O386)</f>
        <v>0</v>
      </c>
      <c r="G386" s="5" t="s">
        <v>184</v>
      </c>
      <c r="H386" s="5" t="s">
        <v>185</v>
      </c>
      <c r="I386" s="5"/>
      <c r="J386" s="5"/>
      <c r="K386" s="5">
        <v>206</v>
      </c>
      <c r="L386" s="5">
        <v>20</v>
      </c>
      <c r="M386" s="5">
        <v>3</v>
      </c>
      <c r="N386" s="5" t="s">
        <v>3</v>
      </c>
      <c r="O386" s="5">
        <v>2</v>
      </c>
      <c r="P386" s="5"/>
      <c r="Q386" s="5"/>
      <c r="R386" s="5"/>
      <c r="S386" s="5"/>
      <c r="T386" s="5"/>
      <c r="U386" s="5"/>
      <c r="V386" s="5"/>
      <c r="W386" s="5">
        <v>0</v>
      </c>
      <c r="X386" s="5">
        <v>1</v>
      </c>
      <c r="Y386" s="5">
        <v>0</v>
      </c>
      <c r="Z386" s="5"/>
      <c r="AA386" s="5"/>
      <c r="AB386" s="5"/>
    </row>
    <row r="387" spans="1:206" x14ac:dyDescent="0.2">
      <c r="A387" s="5">
        <v>50</v>
      </c>
      <c r="B387" s="5">
        <v>0</v>
      </c>
      <c r="C387" s="5">
        <v>0</v>
      </c>
      <c r="D387" s="5">
        <v>1</v>
      </c>
      <c r="E387" s="5">
        <v>207</v>
      </c>
      <c r="F387" s="5">
        <f>ROUND(Source!U365,O387)</f>
        <v>55.97195</v>
      </c>
      <c r="G387" s="5" t="s">
        <v>186</v>
      </c>
      <c r="H387" s="5" t="s">
        <v>187</v>
      </c>
      <c r="I387" s="5"/>
      <c r="J387" s="5"/>
      <c r="K387" s="5">
        <v>207</v>
      </c>
      <c r="L387" s="5">
        <v>21</v>
      </c>
      <c r="M387" s="5">
        <v>3</v>
      </c>
      <c r="N387" s="5" t="s">
        <v>3</v>
      </c>
      <c r="O387" s="5">
        <v>7</v>
      </c>
      <c r="P387" s="5"/>
      <c r="Q387" s="5"/>
      <c r="R387" s="5"/>
      <c r="S387" s="5"/>
      <c r="T387" s="5"/>
      <c r="U387" s="5"/>
      <c r="V387" s="5"/>
      <c r="W387" s="5">
        <v>55.97195</v>
      </c>
      <c r="X387" s="5">
        <v>1</v>
      </c>
      <c r="Y387" s="5">
        <v>55.97195</v>
      </c>
      <c r="Z387" s="5"/>
      <c r="AA387" s="5"/>
      <c r="AB387" s="5"/>
    </row>
    <row r="388" spans="1:206" x14ac:dyDescent="0.2">
      <c r="A388" s="5">
        <v>50</v>
      </c>
      <c r="B388" s="5">
        <v>0</v>
      </c>
      <c r="C388" s="5">
        <v>0</v>
      </c>
      <c r="D388" s="5">
        <v>1</v>
      </c>
      <c r="E388" s="5">
        <v>208</v>
      </c>
      <c r="F388" s="5">
        <f>ROUND(Source!V365,O388)</f>
        <v>1.8321499999999999</v>
      </c>
      <c r="G388" s="5" t="s">
        <v>188</v>
      </c>
      <c r="H388" s="5" t="s">
        <v>189</v>
      </c>
      <c r="I388" s="5"/>
      <c r="J388" s="5"/>
      <c r="K388" s="5">
        <v>208</v>
      </c>
      <c r="L388" s="5">
        <v>22</v>
      </c>
      <c r="M388" s="5">
        <v>3</v>
      </c>
      <c r="N388" s="5" t="s">
        <v>3</v>
      </c>
      <c r="O388" s="5">
        <v>7</v>
      </c>
      <c r="P388" s="5"/>
      <c r="Q388" s="5"/>
      <c r="R388" s="5"/>
      <c r="S388" s="5"/>
      <c r="T388" s="5"/>
      <c r="U388" s="5"/>
      <c r="V388" s="5"/>
      <c r="W388" s="5">
        <v>1.8321499999999999</v>
      </c>
      <c r="X388" s="5">
        <v>1</v>
      </c>
      <c r="Y388" s="5">
        <v>1.8321499999999999</v>
      </c>
      <c r="Z388" s="5"/>
      <c r="AA388" s="5"/>
      <c r="AB388" s="5"/>
    </row>
    <row r="389" spans="1:206" x14ac:dyDescent="0.2">
      <c r="A389" s="5">
        <v>50</v>
      </c>
      <c r="B389" s="5">
        <v>0</v>
      </c>
      <c r="C389" s="5">
        <v>0</v>
      </c>
      <c r="D389" s="5">
        <v>1</v>
      </c>
      <c r="E389" s="5">
        <v>209</v>
      </c>
      <c r="F389" s="5">
        <f>ROUND(Source!W365,O389)</f>
        <v>0</v>
      </c>
      <c r="G389" s="5" t="s">
        <v>190</v>
      </c>
      <c r="H389" s="5" t="s">
        <v>191</v>
      </c>
      <c r="I389" s="5"/>
      <c r="J389" s="5"/>
      <c r="K389" s="5">
        <v>209</v>
      </c>
      <c r="L389" s="5">
        <v>23</v>
      </c>
      <c r="M389" s="5">
        <v>3</v>
      </c>
      <c r="N389" s="5" t="s">
        <v>3</v>
      </c>
      <c r="O389" s="5">
        <v>2</v>
      </c>
      <c r="P389" s="5"/>
      <c r="Q389" s="5"/>
      <c r="R389" s="5"/>
      <c r="S389" s="5"/>
      <c r="T389" s="5"/>
      <c r="U389" s="5"/>
      <c r="V389" s="5"/>
      <c r="W389" s="5">
        <v>0</v>
      </c>
      <c r="X389" s="5">
        <v>1</v>
      </c>
      <c r="Y389" s="5">
        <v>0</v>
      </c>
      <c r="Z389" s="5"/>
      <c r="AA389" s="5"/>
      <c r="AB389" s="5"/>
    </row>
    <row r="390" spans="1:206" x14ac:dyDescent="0.2">
      <c r="A390" s="5">
        <v>50</v>
      </c>
      <c r="B390" s="5">
        <v>0</v>
      </c>
      <c r="C390" s="5">
        <v>0</v>
      </c>
      <c r="D390" s="5">
        <v>1</v>
      </c>
      <c r="E390" s="5">
        <v>233</v>
      </c>
      <c r="F390" s="5">
        <f>ROUND(Source!BD365,O390)</f>
        <v>1664.41</v>
      </c>
      <c r="G390" s="5" t="s">
        <v>192</v>
      </c>
      <c r="H390" s="5" t="s">
        <v>193</v>
      </c>
      <c r="I390" s="5"/>
      <c r="J390" s="5"/>
      <c r="K390" s="5">
        <v>233</v>
      </c>
      <c r="L390" s="5">
        <v>24</v>
      </c>
      <c r="M390" s="5">
        <v>3</v>
      </c>
      <c r="N390" s="5" t="s">
        <v>3</v>
      </c>
      <c r="O390" s="5">
        <v>2</v>
      </c>
      <c r="P390" s="5"/>
      <c r="Q390" s="5"/>
      <c r="R390" s="5"/>
      <c r="S390" s="5"/>
      <c r="T390" s="5"/>
      <c r="U390" s="5"/>
      <c r="V390" s="5"/>
      <c r="W390" s="5">
        <v>1664.41</v>
      </c>
      <c r="X390" s="5">
        <v>1</v>
      </c>
      <c r="Y390" s="5">
        <v>1664.41</v>
      </c>
      <c r="Z390" s="5"/>
      <c r="AA390" s="5"/>
      <c r="AB390" s="5"/>
    </row>
    <row r="391" spans="1:206" x14ac:dyDescent="0.2">
      <c r="A391" s="5">
        <v>50</v>
      </c>
      <c r="B391" s="5">
        <v>0</v>
      </c>
      <c r="C391" s="5">
        <v>0</v>
      </c>
      <c r="D391" s="5">
        <v>1</v>
      </c>
      <c r="E391" s="5">
        <v>210</v>
      </c>
      <c r="F391" s="5">
        <f>ROUND(Source!X365,O391)</f>
        <v>36233.230000000003</v>
      </c>
      <c r="G391" s="5" t="s">
        <v>194</v>
      </c>
      <c r="H391" s="5" t="s">
        <v>195</v>
      </c>
      <c r="I391" s="5"/>
      <c r="J391" s="5"/>
      <c r="K391" s="5">
        <v>210</v>
      </c>
      <c r="L391" s="5">
        <v>25</v>
      </c>
      <c r="M391" s="5">
        <v>3</v>
      </c>
      <c r="N391" s="5" t="s">
        <v>3</v>
      </c>
      <c r="O391" s="5">
        <v>2</v>
      </c>
      <c r="P391" s="5"/>
      <c r="Q391" s="5"/>
      <c r="R391" s="5"/>
      <c r="S391" s="5"/>
      <c r="T391" s="5"/>
      <c r="U391" s="5"/>
      <c r="V391" s="5"/>
      <c r="W391" s="5">
        <v>36233.230000000003</v>
      </c>
      <c r="X391" s="5">
        <v>1</v>
      </c>
      <c r="Y391" s="5">
        <v>36233.230000000003</v>
      </c>
      <c r="Z391" s="5"/>
      <c r="AA391" s="5"/>
      <c r="AB391" s="5"/>
    </row>
    <row r="392" spans="1:206" x14ac:dyDescent="0.2">
      <c r="A392" s="5">
        <v>50</v>
      </c>
      <c r="B392" s="5">
        <v>0</v>
      </c>
      <c r="C392" s="5">
        <v>0</v>
      </c>
      <c r="D392" s="5">
        <v>1</v>
      </c>
      <c r="E392" s="5">
        <v>211</v>
      </c>
      <c r="F392" s="5">
        <f>ROUND(Source!Y365,O392)</f>
        <v>17984.75</v>
      </c>
      <c r="G392" s="5" t="s">
        <v>196</v>
      </c>
      <c r="H392" s="5" t="s">
        <v>197</v>
      </c>
      <c r="I392" s="5"/>
      <c r="J392" s="5"/>
      <c r="K392" s="5">
        <v>211</v>
      </c>
      <c r="L392" s="5">
        <v>26</v>
      </c>
      <c r="M392" s="5">
        <v>3</v>
      </c>
      <c r="N392" s="5" t="s">
        <v>3</v>
      </c>
      <c r="O392" s="5">
        <v>2</v>
      </c>
      <c r="P392" s="5"/>
      <c r="Q392" s="5"/>
      <c r="R392" s="5"/>
      <c r="S392" s="5"/>
      <c r="T392" s="5"/>
      <c r="U392" s="5"/>
      <c r="V392" s="5"/>
      <c r="W392" s="5">
        <v>17984.75</v>
      </c>
      <c r="X392" s="5">
        <v>1</v>
      </c>
      <c r="Y392" s="5">
        <v>17984.75</v>
      </c>
      <c r="Z392" s="5"/>
      <c r="AA392" s="5"/>
      <c r="AB392" s="5"/>
    </row>
    <row r="393" spans="1:206" x14ac:dyDescent="0.2">
      <c r="A393" s="5">
        <v>50</v>
      </c>
      <c r="B393" s="5">
        <v>0</v>
      </c>
      <c r="C393" s="5">
        <v>0</v>
      </c>
      <c r="D393" s="5">
        <v>1</v>
      </c>
      <c r="E393" s="5">
        <v>224</v>
      </c>
      <c r="F393" s="5">
        <f>ROUND(Source!AR365,O393)</f>
        <v>109390.54</v>
      </c>
      <c r="G393" s="5" t="s">
        <v>198</v>
      </c>
      <c r="H393" s="5" t="s">
        <v>199</v>
      </c>
      <c r="I393" s="5"/>
      <c r="J393" s="5"/>
      <c r="K393" s="5">
        <v>224</v>
      </c>
      <c r="L393" s="5">
        <v>27</v>
      </c>
      <c r="M393" s="5">
        <v>3</v>
      </c>
      <c r="N393" s="5" t="s">
        <v>3</v>
      </c>
      <c r="O393" s="5">
        <v>2</v>
      </c>
      <c r="P393" s="5"/>
      <c r="Q393" s="5"/>
      <c r="R393" s="5"/>
      <c r="S393" s="5"/>
      <c r="T393" s="5"/>
      <c r="U393" s="5"/>
      <c r="V393" s="5"/>
      <c r="W393" s="5">
        <v>109390.54</v>
      </c>
      <c r="X393" s="5">
        <v>1</v>
      </c>
      <c r="Y393" s="5">
        <v>109390.54</v>
      </c>
      <c r="Z393" s="5"/>
      <c r="AA393" s="5"/>
      <c r="AB393" s="5"/>
    </row>
    <row r="395" spans="1:206" x14ac:dyDescent="0.2">
      <c r="A395" s="3">
        <v>51</v>
      </c>
      <c r="B395" s="3">
        <f>B20</f>
        <v>1</v>
      </c>
      <c r="C395" s="3">
        <f>A20</f>
        <v>3</v>
      </c>
      <c r="D395" s="3">
        <f>ROW(A20)</f>
        <v>20</v>
      </c>
      <c r="E395" s="3"/>
      <c r="F395" s="3" t="str">
        <f>IF(F20&lt;&gt;"",F20,"")</f>
        <v>Новая локальная смета</v>
      </c>
      <c r="G395" s="3" t="str">
        <f>IF(G20&lt;&gt;"",G20,"")</f>
        <v>Новая локальная смета</v>
      </c>
      <c r="H395" s="3">
        <v>0</v>
      </c>
      <c r="I395" s="3"/>
      <c r="J395" s="3"/>
      <c r="K395" s="3"/>
      <c r="L395" s="3"/>
      <c r="M395" s="3"/>
      <c r="N395" s="3"/>
      <c r="O395" s="3">
        <f t="shared" ref="O395:T395" si="232">ROUND(O52+O273+O320+O365+AB395,2)</f>
        <v>294265.86</v>
      </c>
      <c r="P395" s="3">
        <f t="shared" si="232"/>
        <v>161397.82999999999</v>
      </c>
      <c r="Q395" s="3">
        <f t="shared" si="232"/>
        <v>1980.22</v>
      </c>
      <c r="R395" s="3">
        <f t="shared" si="232"/>
        <v>3708.52</v>
      </c>
      <c r="S395" s="3">
        <f t="shared" si="232"/>
        <v>127179.29</v>
      </c>
      <c r="T395" s="3">
        <f t="shared" si="232"/>
        <v>0</v>
      </c>
      <c r="U395" s="3">
        <f>U52+U273+U320+U365+AH395</f>
        <v>189.8517406</v>
      </c>
      <c r="V395" s="3">
        <f>V52+V273+V320+V365+AI395</f>
        <v>5.2866957000000001</v>
      </c>
      <c r="W395" s="3">
        <f>ROUND(W52+W273+W320+W365+AJ395,2)</f>
        <v>0</v>
      </c>
      <c r="X395" s="3">
        <f>ROUND(X52+X273+X320+X365+AK395,2)</f>
        <v>123710.2</v>
      </c>
      <c r="Y395" s="3">
        <f>ROUND(Y52+Y273+Y320+Y365+AL395,2)</f>
        <v>64937.54</v>
      </c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>
        <f t="shared" ref="AO395:BD395" si="233">ROUND(AO52+AO273+AO320+AO365+BX395,2)</f>
        <v>0</v>
      </c>
      <c r="AP395" s="3">
        <f t="shared" si="233"/>
        <v>0</v>
      </c>
      <c r="AQ395" s="3">
        <f t="shared" si="233"/>
        <v>0</v>
      </c>
      <c r="AR395" s="3">
        <f t="shared" si="233"/>
        <v>491621</v>
      </c>
      <c r="AS395" s="3">
        <f t="shared" si="233"/>
        <v>491621</v>
      </c>
      <c r="AT395" s="3">
        <f t="shared" si="233"/>
        <v>0</v>
      </c>
      <c r="AU395" s="3">
        <f t="shared" si="233"/>
        <v>0</v>
      </c>
      <c r="AV395" s="3">
        <f t="shared" si="233"/>
        <v>161397.82999999999</v>
      </c>
      <c r="AW395" s="3">
        <f t="shared" si="233"/>
        <v>161397.82999999999</v>
      </c>
      <c r="AX395" s="3">
        <f t="shared" si="233"/>
        <v>0</v>
      </c>
      <c r="AY395" s="3">
        <f t="shared" si="233"/>
        <v>161397.82999999999</v>
      </c>
      <c r="AZ395" s="3">
        <f t="shared" si="233"/>
        <v>0</v>
      </c>
      <c r="BA395" s="3">
        <f t="shared" si="233"/>
        <v>0</v>
      </c>
      <c r="BB395" s="3">
        <f t="shared" si="233"/>
        <v>0</v>
      </c>
      <c r="BC395" s="3">
        <f t="shared" si="233"/>
        <v>0</v>
      </c>
      <c r="BD395" s="3">
        <f t="shared" si="233"/>
        <v>8707.4</v>
      </c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  <c r="FW395" s="4"/>
      <c r="FX395" s="4"/>
      <c r="FY395" s="4"/>
      <c r="FZ395" s="4"/>
      <c r="GA395" s="4"/>
      <c r="GB395" s="4"/>
      <c r="GC395" s="4"/>
      <c r="GD395" s="4"/>
      <c r="GE395" s="4"/>
      <c r="GF395" s="4"/>
      <c r="GG395" s="4"/>
      <c r="GH395" s="4"/>
      <c r="GI395" s="4"/>
      <c r="GJ395" s="4"/>
      <c r="GK395" s="4"/>
      <c r="GL395" s="4"/>
      <c r="GM395" s="4"/>
      <c r="GN395" s="4"/>
      <c r="GO395" s="4"/>
      <c r="GP395" s="4"/>
      <c r="GQ395" s="4"/>
      <c r="GR395" s="4"/>
      <c r="GS395" s="4"/>
      <c r="GT395" s="4"/>
      <c r="GU395" s="4"/>
      <c r="GV395" s="4"/>
      <c r="GW395" s="4"/>
      <c r="GX395" s="4">
        <v>0</v>
      </c>
    </row>
    <row r="397" spans="1:206" x14ac:dyDescent="0.2">
      <c r="A397" s="5">
        <v>50</v>
      </c>
      <c r="B397" s="5">
        <v>0</v>
      </c>
      <c r="C397" s="5">
        <v>0</v>
      </c>
      <c r="D397" s="5">
        <v>1</v>
      </c>
      <c r="E397" s="5">
        <v>201</v>
      </c>
      <c r="F397" s="5">
        <f>ROUND(Source!O395,O397)</f>
        <v>294265.86</v>
      </c>
      <c r="G397" s="5" t="s">
        <v>146</v>
      </c>
      <c r="H397" s="5" t="s">
        <v>147</v>
      </c>
      <c r="I397" s="5"/>
      <c r="J397" s="5"/>
      <c r="K397" s="5">
        <v>201</v>
      </c>
      <c r="L397" s="5">
        <v>1</v>
      </c>
      <c r="M397" s="5">
        <v>3</v>
      </c>
      <c r="N397" s="5" t="s">
        <v>3</v>
      </c>
      <c r="O397" s="5">
        <v>2</v>
      </c>
      <c r="P397" s="5"/>
      <c r="Q397" s="5"/>
      <c r="R397" s="5"/>
      <c r="S397" s="5"/>
      <c r="T397" s="5"/>
      <c r="U397" s="5"/>
      <c r="V397" s="5"/>
      <c r="W397" s="5">
        <v>302973.26</v>
      </c>
      <c r="X397" s="5">
        <v>1</v>
      </c>
      <c r="Y397" s="5">
        <v>302973.26</v>
      </c>
      <c r="Z397" s="5"/>
      <c r="AA397" s="5"/>
      <c r="AB397" s="5"/>
    </row>
    <row r="398" spans="1:206" x14ac:dyDescent="0.2">
      <c r="A398" s="5">
        <v>50</v>
      </c>
      <c r="B398" s="5">
        <v>0</v>
      </c>
      <c r="C398" s="5">
        <v>0</v>
      </c>
      <c r="D398" s="5">
        <v>1</v>
      </c>
      <c r="E398" s="5">
        <v>202</v>
      </c>
      <c r="F398" s="5">
        <f>ROUND(Source!P395,O398)</f>
        <v>161397.82999999999</v>
      </c>
      <c r="G398" s="5" t="s">
        <v>148</v>
      </c>
      <c r="H398" s="5" t="s">
        <v>149</v>
      </c>
      <c r="I398" s="5"/>
      <c r="J398" s="5"/>
      <c r="K398" s="5">
        <v>202</v>
      </c>
      <c r="L398" s="5">
        <v>2</v>
      </c>
      <c r="M398" s="5">
        <v>3</v>
      </c>
      <c r="N398" s="5" t="s">
        <v>3</v>
      </c>
      <c r="O398" s="5">
        <v>2</v>
      </c>
      <c r="P398" s="5"/>
      <c r="Q398" s="5"/>
      <c r="R398" s="5"/>
      <c r="S398" s="5"/>
      <c r="T398" s="5"/>
      <c r="U398" s="5"/>
      <c r="V398" s="5"/>
      <c r="W398" s="5">
        <v>161397.82999999999</v>
      </c>
      <c r="X398" s="5">
        <v>1</v>
      </c>
      <c r="Y398" s="5">
        <v>161397.82999999999</v>
      </c>
      <c r="Z398" s="5"/>
      <c r="AA398" s="5"/>
      <c r="AB398" s="5"/>
    </row>
    <row r="399" spans="1:206" x14ac:dyDescent="0.2">
      <c r="A399" s="5">
        <v>50</v>
      </c>
      <c r="B399" s="5">
        <v>0</v>
      </c>
      <c r="C399" s="5">
        <v>0</v>
      </c>
      <c r="D399" s="5">
        <v>1</v>
      </c>
      <c r="E399" s="5">
        <v>222</v>
      </c>
      <c r="F399" s="5">
        <f>ROUND(Source!AO395,O399)</f>
        <v>0</v>
      </c>
      <c r="G399" s="5" t="s">
        <v>150</v>
      </c>
      <c r="H399" s="5" t="s">
        <v>151</v>
      </c>
      <c r="I399" s="5"/>
      <c r="J399" s="5"/>
      <c r="K399" s="5">
        <v>222</v>
      </c>
      <c r="L399" s="5">
        <v>3</v>
      </c>
      <c r="M399" s="5">
        <v>3</v>
      </c>
      <c r="N399" s="5" t="s">
        <v>3</v>
      </c>
      <c r="O399" s="5">
        <v>2</v>
      </c>
      <c r="P399" s="5"/>
      <c r="Q399" s="5"/>
      <c r="R399" s="5"/>
      <c r="S399" s="5"/>
      <c r="T399" s="5"/>
      <c r="U399" s="5"/>
      <c r="V399" s="5"/>
      <c r="W399" s="5">
        <v>0</v>
      </c>
      <c r="X399" s="5">
        <v>1</v>
      </c>
      <c r="Y399" s="5">
        <v>0</v>
      </c>
      <c r="Z399" s="5"/>
      <c r="AA399" s="5"/>
      <c r="AB399" s="5"/>
    </row>
    <row r="400" spans="1:206" x14ac:dyDescent="0.2">
      <c r="A400" s="5">
        <v>50</v>
      </c>
      <c r="B400" s="5">
        <v>0</v>
      </c>
      <c r="C400" s="5">
        <v>0</v>
      </c>
      <c r="D400" s="5">
        <v>1</v>
      </c>
      <c r="E400" s="5">
        <v>225</v>
      </c>
      <c r="F400" s="5">
        <f>ROUND(Source!AV395,O400)</f>
        <v>161397.82999999999</v>
      </c>
      <c r="G400" s="5" t="s">
        <v>152</v>
      </c>
      <c r="H400" s="5" t="s">
        <v>153</v>
      </c>
      <c r="I400" s="5"/>
      <c r="J400" s="5"/>
      <c r="K400" s="5">
        <v>225</v>
      </c>
      <c r="L400" s="5">
        <v>4</v>
      </c>
      <c r="M400" s="5">
        <v>3</v>
      </c>
      <c r="N400" s="5" t="s">
        <v>3</v>
      </c>
      <c r="O400" s="5">
        <v>2</v>
      </c>
      <c r="P400" s="5"/>
      <c r="Q400" s="5"/>
      <c r="R400" s="5"/>
      <c r="S400" s="5"/>
      <c r="T400" s="5"/>
      <c r="U400" s="5"/>
      <c r="V400" s="5"/>
      <c r="W400" s="5">
        <v>161397.82999999999</v>
      </c>
      <c r="X400" s="5">
        <v>1</v>
      </c>
      <c r="Y400" s="5">
        <v>161397.82999999999</v>
      </c>
      <c r="Z400" s="5"/>
      <c r="AA400" s="5"/>
      <c r="AB400" s="5"/>
    </row>
    <row r="401" spans="1:28" x14ac:dyDescent="0.2">
      <c r="A401" s="5">
        <v>50</v>
      </c>
      <c r="B401" s="5">
        <v>0</v>
      </c>
      <c r="C401" s="5">
        <v>0</v>
      </c>
      <c r="D401" s="5">
        <v>1</v>
      </c>
      <c r="E401" s="5">
        <v>226</v>
      </c>
      <c r="F401" s="5">
        <f>ROUND(Source!AW395,O401)</f>
        <v>161397.82999999999</v>
      </c>
      <c r="G401" s="5" t="s">
        <v>154</v>
      </c>
      <c r="H401" s="5" t="s">
        <v>155</v>
      </c>
      <c r="I401" s="5"/>
      <c r="J401" s="5"/>
      <c r="K401" s="5">
        <v>226</v>
      </c>
      <c r="L401" s="5">
        <v>5</v>
      </c>
      <c r="M401" s="5">
        <v>3</v>
      </c>
      <c r="N401" s="5" t="s">
        <v>3</v>
      </c>
      <c r="O401" s="5">
        <v>2</v>
      </c>
      <c r="P401" s="5"/>
      <c r="Q401" s="5"/>
      <c r="R401" s="5"/>
      <c r="S401" s="5"/>
      <c r="T401" s="5"/>
      <c r="U401" s="5"/>
      <c r="V401" s="5"/>
      <c r="W401" s="5">
        <v>161397.82999999999</v>
      </c>
      <c r="X401" s="5">
        <v>1</v>
      </c>
      <c r="Y401" s="5">
        <v>161397.82999999999</v>
      </c>
      <c r="Z401" s="5"/>
      <c r="AA401" s="5"/>
      <c r="AB401" s="5"/>
    </row>
    <row r="402" spans="1:28" x14ac:dyDescent="0.2">
      <c r="A402" s="5">
        <v>50</v>
      </c>
      <c r="B402" s="5">
        <v>0</v>
      </c>
      <c r="C402" s="5">
        <v>0</v>
      </c>
      <c r="D402" s="5">
        <v>1</v>
      </c>
      <c r="E402" s="5">
        <v>227</v>
      </c>
      <c r="F402" s="5">
        <f>ROUND(Source!AX395,O402)</f>
        <v>0</v>
      </c>
      <c r="G402" s="5" t="s">
        <v>156</v>
      </c>
      <c r="H402" s="5" t="s">
        <v>157</v>
      </c>
      <c r="I402" s="5"/>
      <c r="J402" s="5"/>
      <c r="K402" s="5">
        <v>227</v>
      </c>
      <c r="L402" s="5">
        <v>6</v>
      </c>
      <c r="M402" s="5">
        <v>3</v>
      </c>
      <c r="N402" s="5" t="s">
        <v>3</v>
      </c>
      <c r="O402" s="5">
        <v>2</v>
      </c>
      <c r="P402" s="5"/>
      <c r="Q402" s="5"/>
      <c r="R402" s="5"/>
      <c r="S402" s="5"/>
      <c r="T402" s="5"/>
      <c r="U402" s="5"/>
      <c r="V402" s="5"/>
      <c r="W402" s="5">
        <v>0</v>
      </c>
      <c r="X402" s="5">
        <v>1</v>
      </c>
      <c r="Y402" s="5">
        <v>0</v>
      </c>
      <c r="Z402" s="5"/>
      <c r="AA402" s="5"/>
      <c r="AB402" s="5"/>
    </row>
    <row r="403" spans="1:28" x14ac:dyDescent="0.2">
      <c r="A403" s="5">
        <v>50</v>
      </c>
      <c r="B403" s="5">
        <v>0</v>
      </c>
      <c r="C403" s="5">
        <v>0</v>
      </c>
      <c r="D403" s="5">
        <v>1</v>
      </c>
      <c r="E403" s="5">
        <v>228</v>
      </c>
      <c r="F403" s="5">
        <f>ROUND(Source!AY395,O403)</f>
        <v>161397.82999999999</v>
      </c>
      <c r="G403" s="5" t="s">
        <v>158</v>
      </c>
      <c r="H403" s="5" t="s">
        <v>159</v>
      </c>
      <c r="I403" s="5"/>
      <c r="J403" s="5"/>
      <c r="K403" s="5">
        <v>228</v>
      </c>
      <c r="L403" s="5">
        <v>7</v>
      </c>
      <c r="M403" s="5">
        <v>3</v>
      </c>
      <c r="N403" s="5" t="s">
        <v>3</v>
      </c>
      <c r="O403" s="5">
        <v>2</v>
      </c>
      <c r="P403" s="5"/>
      <c r="Q403" s="5"/>
      <c r="R403" s="5"/>
      <c r="S403" s="5"/>
      <c r="T403" s="5"/>
      <c r="U403" s="5"/>
      <c r="V403" s="5"/>
      <c r="W403" s="5">
        <v>161397.82999999999</v>
      </c>
      <c r="X403" s="5">
        <v>1</v>
      </c>
      <c r="Y403" s="5">
        <v>161397.82999999999</v>
      </c>
      <c r="Z403" s="5"/>
      <c r="AA403" s="5"/>
      <c r="AB403" s="5"/>
    </row>
    <row r="404" spans="1:28" x14ac:dyDescent="0.2">
      <c r="A404" s="5">
        <v>50</v>
      </c>
      <c r="B404" s="5">
        <v>0</v>
      </c>
      <c r="C404" s="5">
        <v>0</v>
      </c>
      <c r="D404" s="5">
        <v>1</v>
      </c>
      <c r="E404" s="5">
        <v>216</v>
      </c>
      <c r="F404" s="5">
        <f>ROUND(Source!AP395,O404)</f>
        <v>0</v>
      </c>
      <c r="G404" s="5" t="s">
        <v>160</v>
      </c>
      <c r="H404" s="5" t="s">
        <v>161</v>
      </c>
      <c r="I404" s="5"/>
      <c r="J404" s="5"/>
      <c r="K404" s="5">
        <v>216</v>
      </c>
      <c r="L404" s="5">
        <v>8</v>
      </c>
      <c r="M404" s="5">
        <v>3</v>
      </c>
      <c r="N404" s="5" t="s">
        <v>3</v>
      </c>
      <c r="O404" s="5">
        <v>2</v>
      </c>
      <c r="P404" s="5"/>
      <c r="Q404" s="5"/>
      <c r="R404" s="5"/>
      <c r="S404" s="5"/>
      <c r="T404" s="5"/>
      <c r="U404" s="5"/>
      <c r="V404" s="5"/>
      <c r="W404" s="5">
        <v>0</v>
      </c>
      <c r="X404" s="5">
        <v>1</v>
      </c>
      <c r="Y404" s="5">
        <v>0</v>
      </c>
      <c r="Z404" s="5"/>
      <c r="AA404" s="5"/>
      <c r="AB404" s="5"/>
    </row>
    <row r="405" spans="1:28" x14ac:dyDescent="0.2">
      <c r="A405" s="5">
        <v>50</v>
      </c>
      <c r="B405" s="5">
        <v>0</v>
      </c>
      <c r="C405" s="5">
        <v>0</v>
      </c>
      <c r="D405" s="5">
        <v>1</v>
      </c>
      <c r="E405" s="5">
        <v>223</v>
      </c>
      <c r="F405" s="5">
        <f>ROUND(Source!AQ395,O405)</f>
        <v>0</v>
      </c>
      <c r="G405" s="5" t="s">
        <v>162</v>
      </c>
      <c r="H405" s="5" t="s">
        <v>163</v>
      </c>
      <c r="I405" s="5"/>
      <c r="J405" s="5"/>
      <c r="K405" s="5">
        <v>223</v>
      </c>
      <c r="L405" s="5">
        <v>9</v>
      </c>
      <c r="M405" s="5">
        <v>3</v>
      </c>
      <c r="N405" s="5" t="s">
        <v>3</v>
      </c>
      <c r="O405" s="5">
        <v>2</v>
      </c>
      <c r="P405" s="5"/>
      <c r="Q405" s="5"/>
      <c r="R405" s="5"/>
      <c r="S405" s="5"/>
      <c r="T405" s="5"/>
      <c r="U405" s="5"/>
      <c r="V405" s="5"/>
      <c r="W405" s="5">
        <v>0</v>
      </c>
      <c r="X405" s="5">
        <v>1</v>
      </c>
      <c r="Y405" s="5">
        <v>0</v>
      </c>
      <c r="Z405" s="5"/>
      <c r="AA405" s="5"/>
      <c r="AB405" s="5"/>
    </row>
    <row r="406" spans="1:28" x14ac:dyDescent="0.2">
      <c r="A406" s="5">
        <v>50</v>
      </c>
      <c r="B406" s="5">
        <v>0</v>
      </c>
      <c r="C406" s="5">
        <v>0</v>
      </c>
      <c r="D406" s="5">
        <v>1</v>
      </c>
      <c r="E406" s="5">
        <v>229</v>
      </c>
      <c r="F406" s="5">
        <f>ROUND(Source!AZ395,O406)</f>
        <v>0</v>
      </c>
      <c r="G406" s="5" t="s">
        <v>164</v>
      </c>
      <c r="H406" s="5" t="s">
        <v>165</v>
      </c>
      <c r="I406" s="5"/>
      <c r="J406" s="5"/>
      <c r="K406" s="5">
        <v>229</v>
      </c>
      <c r="L406" s="5">
        <v>10</v>
      </c>
      <c r="M406" s="5">
        <v>3</v>
      </c>
      <c r="N406" s="5" t="s">
        <v>3</v>
      </c>
      <c r="O406" s="5">
        <v>2</v>
      </c>
      <c r="P406" s="5"/>
      <c r="Q406" s="5"/>
      <c r="R406" s="5"/>
      <c r="S406" s="5"/>
      <c r="T406" s="5"/>
      <c r="U406" s="5"/>
      <c r="V406" s="5"/>
      <c r="W406" s="5">
        <v>0</v>
      </c>
      <c r="X406" s="5">
        <v>1</v>
      </c>
      <c r="Y406" s="5">
        <v>0</v>
      </c>
      <c r="Z406" s="5"/>
      <c r="AA406" s="5"/>
      <c r="AB406" s="5"/>
    </row>
    <row r="407" spans="1:28" x14ac:dyDescent="0.2">
      <c r="A407" s="5">
        <v>50</v>
      </c>
      <c r="B407" s="5">
        <v>0</v>
      </c>
      <c r="C407" s="5">
        <v>0</v>
      </c>
      <c r="D407" s="5">
        <v>1</v>
      </c>
      <c r="E407" s="5">
        <v>203</v>
      </c>
      <c r="F407" s="5">
        <f>ROUND(Source!Q395,O407)</f>
        <v>1980.22</v>
      </c>
      <c r="G407" s="5" t="s">
        <v>166</v>
      </c>
      <c r="H407" s="5" t="s">
        <v>167</v>
      </c>
      <c r="I407" s="5"/>
      <c r="J407" s="5"/>
      <c r="K407" s="5">
        <v>203</v>
      </c>
      <c r="L407" s="5">
        <v>11</v>
      </c>
      <c r="M407" s="5">
        <v>3</v>
      </c>
      <c r="N407" s="5" t="s">
        <v>3</v>
      </c>
      <c r="O407" s="5">
        <v>2</v>
      </c>
      <c r="P407" s="5"/>
      <c r="Q407" s="5"/>
      <c r="R407" s="5"/>
      <c r="S407" s="5"/>
      <c r="T407" s="5"/>
      <c r="U407" s="5"/>
      <c r="V407" s="5"/>
      <c r="W407" s="5">
        <v>1980.22</v>
      </c>
      <c r="X407" s="5">
        <v>1</v>
      </c>
      <c r="Y407" s="5">
        <v>1980.22</v>
      </c>
      <c r="Z407" s="5"/>
      <c r="AA407" s="5"/>
      <c r="AB407" s="5"/>
    </row>
    <row r="408" spans="1:28" x14ac:dyDescent="0.2">
      <c r="A408" s="5">
        <v>50</v>
      </c>
      <c r="B408" s="5">
        <v>0</v>
      </c>
      <c r="C408" s="5">
        <v>0</v>
      </c>
      <c r="D408" s="5">
        <v>1</v>
      </c>
      <c r="E408" s="5">
        <v>231</v>
      </c>
      <c r="F408" s="5">
        <f>ROUND(Source!BB395,O408)</f>
        <v>0</v>
      </c>
      <c r="G408" s="5" t="s">
        <v>168</v>
      </c>
      <c r="H408" s="5" t="s">
        <v>169</v>
      </c>
      <c r="I408" s="5"/>
      <c r="J408" s="5"/>
      <c r="K408" s="5">
        <v>231</v>
      </c>
      <c r="L408" s="5">
        <v>12</v>
      </c>
      <c r="M408" s="5">
        <v>3</v>
      </c>
      <c r="N408" s="5" t="s">
        <v>3</v>
      </c>
      <c r="O408" s="5">
        <v>2</v>
      </c>
      <c r="P408" s="5"/>
      <c r="Q408" s="5"/>
      <c r="R408" s="5"/>
      <c r="S408" s="5"/>
      <c r="T408" s="5"/>
      <c r="U408" s="5"/>
      <c r="V408" s="5"/>
      <c r="W408" s="5">
        <v>0</v>
      </c>
      <c r="X408" s="5">
        <v>1</v>
      </c>
      <c r="Y408" s="5">
        <v>0</v>
      </c>
      <c r="Z408" s="5"/>
      <c r="AA408" s="5"/>
      <c r="AB408" s="5"/>
    </row>
    <row r="409" spans="1:28" x14ac:dyDescent="0.2">
      <c r="A409" s="5">
        <v>50</v>
      </c>
      <c r="B409" s="5">
        <v>0</v>
      </c>
      <c r="C409" s="5">
        <v>0</v>
      </c>
      <c r="D409" s="5">
        <v>1</v>
      </c>
      <c r="E409" s="5">
        <v>204</v>
      </c>
      <c r="F409" s="5">
        <f>ROUND(Source!R395,O409)</f>
        <v>3708.52</v>
      </c>
      <c r="G409" s="5" t="s">
        <v>170</v>
      </c>
      <c r="H409" s="5" t="s">
        <v>171</v>
      </c>
      <c r="I409" s="5"/>
      <c r="J409" s="5"/>
      <c r="K409" s="5">
        <v>204</v>
      </c>
      <c r="L409" s="5">
        <v>13</v>
      </c>
      <c r="M409" s="5">
        <v>3</v>
      </c>
      <c r="N409" s="5" t="s">
        <v>3</v>
      </c>
      <c r="O409" s="5">
        <v>2</v>
      </c>
      <c r="P409" s="5"/>
      <c r="Q409" s="5"/>
      <c r="R409" s="5"/>
      <c r="S409" s="5"/>
      <c r="T409" s="5"/>
      <c r="U409" s="5"/>
      <c r="V409" s="5"/>
      <c r="W409" s="5">
        <v>3708.5199999999995</v>
      </c>
      <c r="X409" s="5">
        <v>1</v>
      </c>
      <c r="Y409" s="5">
        <v>3708.5199999999995</v>
      </c>
      <c r="Z409" s="5"/>
      <c r="AA409" s="5"/>
      <c r="AB409" s="5"/>
    </row>
    <row r="410" spans="1:28" x14ac:dyDescent="0.2">
      <c r="A410" s="5">
        <v>50</v>
      </c>
      <c r="B410" s="5">
        <v>0</v>
      </c>
      <c r="C410" s="5">
        <v>0</v>
      </c>
      <c r="D410" s="5">
        <v>1</v>
      </c>
      <c r="E410" s="5">
        <v>205</v>
      </c>
      <c r="F410" s="5">
        <f>ROUND(Source!S395,O410)</f>
        <v>127179.29</v>
      </c>
      <c r="G410" s="5" t="s">
        <v>172</v>
      </c>
      <c r="H410" s="5" t="s">
        <v>173</v>
      </c>
      <c r="I410" s="5"/>
      <c r="J410" s="5"/>
      <c r="K410" s="5">
        <v>205</v>
      </c>
      <c r="L410" s="5">
        <v>14</v>
      </c>
      <c r="M410" s="5">
        <v>3</v>
      </c>
      <c r="N410" s="5" t="s">
        <v>3</v>
      </c>
      <c r="O410" s="5">
        <v>2</v>
      </c>
      <c r="P410" s="5"/>
      <c r="Q410" s="5"/>
      <c r="R410" s="5"/>
      <c r="S410" s="5"/>
      <c r="T410" s="5"/>
      <c r="U410" s="5"/>
      <c r="V410" s="5"/>
      <c r="W410" s="5">
        <v>127179.29000000001</v>
      </c>
      <c r="X410" s="5">
        <v>1</v>
      </c>
      <c r="Y410" s="5">
        <v>127179.29000000001</v>
      </c>
      <c r="Z410" s="5"/>
      <c r="AA410" s="5"/>
      <c r="AB410" s="5"/>
    </row>
    <row r="411" spans="1:28" x14ac:dyDescent="0.2">
      <c r="A411" s="5">
        <v>50</v>
      </c>
      <c r="B411" s="5">
        <v>0</v>
      </c>
      <c r="C411" s="5">
        <v>0</v>
      </c>
      <c r="D411" s="5">
        <v>1</v>
      </c>
      <c r="E411" s="5">
        <v>232</v>
      </c>
      <c r="F411" s="5">
        <f>ROUND(Source!BC395,O411)</f>
        <v>0</v>
      </c>
      <c r="G411" s="5" t="s">
        <v>174</v>
      </c>
      <c r="H411" s="5" t="s">
        <v>175</v>
      </c>
      <c r="I411" s="5"/>
      <c r="J411" s="5"/>
      <c r="K411" s="5">
        <v>232</v>
      </c>
      <c r="L411" s="5">
        <v>15</v>
      </c>
      <c r="M411" s="5">
        <v>3</v>
      </c>
      <c r="N411" s="5" t="s">
        <v>3</v>
      </c>
      <c r="O411" s="5">
        <v>2</v>
      </c>
      <c r="P411" s="5"/>
      <c r="Q411" s="5"/>
      <c r="R411" s="5"/>
      <c r="S411" s="5"/>
      <c r="T411" s="5"/>
      <c r="U411" s="5"/>
      <c r="V411" s="5"/>
      <c r="W411" s="5">
        <v>0</v>
      </c>
      <c r="X411" s="5">
        <v>1</v>
      </c>
      <c r="Y411" s="5">
        <v>0</v>
      </c>
      <c r="Z411" s="5"/>
      <c r="AA411" s="5"/>
      <c r="AB411" s="5"/>
    </row>
    <row r="412" spans="1:28" x14ac:dyDescent="0.2">
      <c r="A412" s="5">
        <v>50</v>
      </c>
      <c r="B412" s="5">
        <v>0</v>
      </c>
      <c r="C412" s="5">
        <v>0</v>
      </c>
      <c r="D412" s="5">
        <v>1</v>
      </c>
      <c r="E412" s="5">
        <v>214</v>
      </c>
      <c r="F412" s="5">
        <f>ROUND(Source!AS395,O412)</f>
        <v>491621</v>
      </c>
      <c r="G412" s="5" t="s">
        <v>176</v>
      </c>
      <c r="H412" s="5" t="s">
        <v>177</v>
      </c>
      <c r="I412" s="5"/>
      <c r="J412" s="5"/>
      <c r="K412" s="5">
        <v>214</v>
      </c>
      <c r="L412" s="5">
        <v>16</v>
      </c>
      <c r="M412" s="5">
        <v>3</v>
      </c>
      <c r="N412" s="5" t="s">
        <v>3</v>
      </c>
      <c r="O412" s="5">
        <v>2</v>
      </c>
      <c r="P412" s="5"/>
      <c r="Q412" s="5"/>
      <c r="R412" s="5"/>
      <c r="S412" s="5"/>
      <c r="T412" s="5"/>
      <c r="U412" s="5"/>
      <c r="V412" s="5"/>
      <c r="W412" s="5">
        <v>491621</v>
      </c>
      <c r="X412" s="5">
        <v>1</v>
      </c>
      <c r="Y412" s="5">
        <v>491621</v>
      </c>
      <c r="Z412" s="5"/>
      <c r="AA412" s="5"/>
      <c r="AB412" s="5"/>
    </row>
    <row r="413" spans="1:28" x14ac:dyDescent="0.2">
      <c r="A413" s="5">
        <v>50</v>
      </c>
      <c r="B413" s="5">
        <v>0</v>
      </c>
      <c r="C413" s="5">
        <v>0</v>
      </c>
      <c r="D413" s="5">
        <v>1</v>
      </c>
      <c r="E413" s="5">
        <v>215</v>
      </c>
      <c r="F413" s="5">
        <f>ROUND(Source!AT395,O413)</f>
        <v>0</v>
      </c>
      <c r="G413" s="5" t="s">
        <v>178</v>
      </c>
      <c r="H413" s="5" t="s">
        <v>179</v>
      </c>
      <c r="I413" s="5"/>
      <c r="J413" s="5"/>
      <c r="K413" s="5">
        <v>215</v>
      </c>
      <c r="L413" s="5">
        <v>17</v>
      </c>
      <c r="M413" s="5">
        <v>3</v>
      </c>
      <c r="N413" s="5" t="s">
        <v>3</v>
      </c>
      <c r="O413" s="5">
        <v>2</v>
      </c>
      <c r="P413" s="5"/>
      <c r="Q413" s="5"/>
      <c r="R413" s="5"/>
      <c r="S413" s="5"/>
      <c r="T413" s="5"/>
      <c r="U413" s="5"/>
      <c r="V413" s="5"/>
      <c r="W413" s="5">
        <v>0</v>
      </c>
      <c r="X413" s="5">
        <v>1</v>
      </c>
      <c r="Y413" s="5">
        <v>0</v>
      </c>
      <c r="Z413" s="5"/>
      <c r="AA413" s="5"/>
      <c r="AB413" s="5"/>
    </row>
    <row r="414" spans="1:28" x14ac:dyDescent="0.2">
      <c r="A414" s="5">
        <v>50</v>
      </c>
      <c r="B414" s="5">
        <v>0</v>
      </c>
      <c r="C414" s="5">
        <v>0</v>
      </c>
      <c r="D414" s="5">
        <v>1</v>
      </c>
      <c r="E414" s="5">
        <v>217</v>
      </c>
      <c r="F414" s="5">
        <f>ROUND(Source!AU395,O414)</f>
        <v>0</v>
      </c>
      <c r="G414" s="5" t="s">
        <v>180</v>
      </c>
      <c r="H414" s="5" t="s">
        <v>181</v>
      </c>
      <c r="I414" s="5"/>
      <c r="J414" s="5"/>
      <c r="K414" s="5">
        <v>217</v>
      </c>
      <c r="L414" s="5">
        <v>18</v>
      </c>
      <c r="M414" s="5">
        <v>3</v>
      </c>
      <c r="N414" s="5" t="s">
        <v>3</v>
      </c>
      <c r="O414" s="5">
        <v>2</v>
      </c>
      <c r="P414" s="5"/>
      <c r="Q414" s="5"/>
      <c r="R414" s="5"/>
      <c r="S414" s="5"/>
      <c r="T414" s="5"/>
      <c r="U414" s="5"/>
      <c r="V414" s="5"/>
      <c r="W414" s="5">
        <v>0</v>
      </c>
      <c r="X414" s="5">
        <v>1</v>
      </c>
      <c r="Y414" s="5">
        <v>0</v>
      </c>
      <c r="Z414" s="5"/>
      <c r="AA414" s="5"/>
      <c r="AB414" s="5"/>
    </row>
    <row r="415" spans="1:28" x14ac:dyDescent="0.2">
      <c r="A415" s="5">
        <v>50</v>
      </c>
      <c r="B415" s="5">
        <v>0</v>
      </c>
      <c r="C415" s="5">
        <v>0</v>
      </c>
      <c r="D415" s="5">
        <v>1</v>
      </c>
      <c r="E415" s="5">
        <v>230</v>
      </c>
      <c r="F415" s="5">
        <f>ROUND(Source!BA395,O415)</f>
        <v>0</v>
      </c>
      <c r="G415" s="5" t="s">
        <v>182</v>
      </c>
      <c r="H415" s="5" t="s">
        <v>183</v>
      </c>
      <c r="I415" s="5"/>
      <c r="J415" s="5"/>
      <c r="K415" s="5">
        <v>230</v>
      </c>
      <c r="L415" s="5">
        <v>19</v>
      </c>
      <c r="M415" s="5">
        <v>3</v>
      </c>
      <c r="N415" s="5" t="s">
        <v>3</v>
      </c>
      <c r="O415" s="5">
        <v>2</v>
      </c>
      <c r="P415" s="5"/>
      <c r="Q415" s="5"/>
      <c r="R415" s="5"/>
      <c r="S415" s="5"/>
      <c r="T415" s="5"/>
      <c r="U415" s="5"/>
      <c r="V415" s="5"/>
      <c r="W415" s="5">
        <v>0</v>
      </c>
      <c r="X415" s="5">
        <v>1</v>
      </c>
      <c r="Y415" s="5">
        <v>0</v>
      </c>
      <c r="Z415" s="5"/>
      <c r="AA415" s="5"/>
      <c r="AB415" s="5"/>
    </row>
    <row r="416" spans="1:28" x14ac:dyDescent="0.2">
      <c r="A416" s="5">
        <v>50</v>
      </c>
      <c r="B416" s="5">
        <v>0</v>
      </c>
      <c r="C416" s="5">
        <v>0</v>
      </c>
      <c r="D416" s="5">
        <v>1</v>
      </c>
      <c r="E416" s="5">
        <v>206</v>
      </c>
      <c r="F416" s="5">
        <f>ROUND(Source!T395,O416)</f>
        <v>0</v>
      </c>
      <c r="G416" s="5" t="s">
        <v>184</v>
      </c>
      <c r="H416" s="5" t="s">
        <v>185</v>
      </c>
      <c r="I416" s="5"/>
      <c r="J416" s="5"/>
      <c r="K416" s="5">
        <v>206</v>
      </c>
      <c r="L416" s="5">
        <v>20</v>
      </c>
      <c r="M416" s="5">
        <v>3</v>
      </c>
      <c r="N416" s="5" t="s">
        <v>3</v>
      </c>
      <c r="O416" s="5">
        <v>2</v>
      </c>
      <c r="P416" s="5"/>
      <c r="Q416" s="5"/>
      <c r="R416" s="5"/>
      <c r="S416" s="5"/>
      <c r="T416" s="5"/>
      <c r="U416" s="5"/>
      <c r="V416" s="5"/>
      <c r="W416" s="5">
        <v>0</v>
      </c>
      <c r="X416" s="5">
        <v>1</v>
      </c>
      <c r="Y416" s="5">
        <v>0</v>
      </c>
      <c r="Z416" s="5"/>
      <c r="AA416" s="5"/>
      <c r="AB416" s="5"/>
    </row>
    <row r="417" spans="1:206" x14ac:dyDescent="0.2">
      <c r="A417" s="5">
        <v>50</v>
      </c>
      <c r="B417" s="5">
        <v>0</v>
      </c>
      <c r="C417" s="5">
        <v>0</v>
      </c>
      <c r="D417" s="5">
        <v>1</v>
      </c>
      <c r="E417" s="5">
        <v>207</v>
      </c>
      <c r="F417" s="5">
        <f>ROUND(Source!U395,O417)</f>
        <v>189.8517406</v>
      </c>
      <c r="G417" s="5" t="s">
        <v>186</v>
      </c>
      <c r="H417" s="5" t="s">
        <v>187</v>
      </c>
      <c r="I417" s="5"/>
      <c r="J417" s="5"/>
      <c r="K417" s="5">
        <v>207</v>
      </c>
      <c r="L417" s="5">
        <v>21</v>
      </c>
      <c r="M417" s="5">
        <v>3</v>
      </c>
      <c r="N417" s="5" t="s">
        <v>3</v>
      </c>
      <c r="O417" s="5">
        <v>7</v>
      </c>
      <c r="P417" s="5"/>
      <c r="Q417" s="5"/>
      <c r="R417" s="5"/>
      <c r="S417" s="5"/>
      <c r="T417" s="5"/>
      <c r="U417" s="5"/>
      <c r="V417" s="5"/>
      <c r="W417" s="5">
        <v>189.8517406</v>
      </c>
      <c r="X417" s="5">
        <v>1</v>
      </c>
      <c r="Y417" s="5">
        <v>189.8517406</v>
      </c>
      <c r="Z417" s="5"/>
      <c r="AA417" s="5"/>
      <c r="AB417" s="5"/>
    </row>
    <row r="418" spans="1:206" x14ac:dyDescent="0.2">
      <c r="A418" s="5">
        <v>50</v>
      </c>
      <c r="B418" s="5">
        <v>0</v>
      </c>
      <c r="C418" s="5">
        <v>0</v>
      </c>
      <c r="D418" s="5">
        <v>1</v>
      </c>
      <c r="E418" s="5">
        <v>208</v>
      </c>
      <c r="F418" s="5">
        <f>ROUND(Source!V395,O418)</f>
        <v>5.2866957000000001</v>
      </c>
      <c r="G418" s="5" t="s">
        <v>188</v>
      </c>
      <c r="H418" s="5" t="s">
        <v>189</v>
      </c>
      <c r="I418" s="5"/>
      <c r="J418" s="5"/>
      <c r="K418" s="5">
        <v>208</v>
      </c>
      <c r="L418" s="5">
        <v>22</v>
      </c>
      <c r="M418" s="5">
        <v>3</v>
      </c>
      <c r="N418" s="5" t="s">
        <v>3</v>
      </c>
      <c r="O418" s="5">
        <v>7</v>
      </c>
      <c r="P418" s="5"/>
      <c r="Q418" s="5"/>
      <c r="R418" s="5"/>
      <c r="S418" s="5"/>
      <c r="T418" s="5"/>
      <c r="U418" s="5"/>
      <c r="V418" s="5"/>
      <c r="W418" s="5">
        <v>5.2866957000000001</v>
      </c>
      <c r="X418" s="5">
        <v>1</v>
      </c>
      <c r="Y418" s="5">
        <v>5.2866957000000001</v>
      </c>
      <c r="Z418" s="5"/>
      <c r="AA418" s="5"/>
      <c r="AB418" s="5"/>
    </row>
    <row r="419" spans="1:206" x14ac:dyDescent="0.2">
      <c r="A419" s="5">
        <v>50</v>
      </c>
      <c r="B419" s="5">
        <v>0</v>
      </c>
      <c r="C419" s="5">
        <v>0</v>
      </c>
      <c r="D419" s="5">
        <v>1</v>
      </c>
      <c r="E419" s="5">
        <v>209</v>
      </c>
      <c r="F419" s="5">
        <f>ROUND(Source!W395,O419)</f>
        <v>0</v>
      </c>
      <c r="G419" s="5" t="s">
        <v>190</v>
      </c>
      <c r="H419" s="5" t="s">
        <v>191</v>
      </c>
      <c r="I419" s="5"/>
      <c r="J419" s="5"/>
      <c r="K419" s="5">
        <v>209</v>
      </c>
      <c r="L419" s="5">
        <v>23</v>
      </c>
      <c r="M419" s="5">
        <v>3</v>
      </c>
      <c r="N419" s="5" t="s">
        <v>3</v>
      </c>
      <c r="O419" s="5">
        <v>2</v>
      </c>
      <c r="P419" s="5"/>
      <c r="Q419" s="5"/>
      <c r="R419" s="5"/>
      <c r="S419" s="5"/>
      <c r="T419" s="5"/>
      <c r="U419" s="5"/>
      <c r="V419" s="5"/>
      <c r="W419" s="5">
        <v>0</v>
      </c>
      <c r="X419" s="5">
        <v>1</v>
      </c>
      <c r="Y419" s="5">
        <v>0</v>
      </c>
      <c r="Z419" s="5"/>
      <c r="AA419" s="5"/>
      <c r="AB419" s="5"/>
    </row>
    <row r="420" spans="1:206" x14ac:dyDescent="0.2">
      <c r="A420" s="5">
        <v>50</v>
      </c>
      <c r="B420" s="5">
        <v>0</v>
      </c>
      <c r="C420" s="5">
        <v>0</v>
      </c>
      <c r="D420" s="5">
        <v>1</v>
      </c>
      <c r="E420" s="5">
        <v>233</v>
      </c>
      <c r="F420" s="5">
        <f>ROUND(Source!BD395,O420)</f>
        <v>8707.4</v>
      </c>
      <c r="G420" s="5" t="s">
        <v>192</v>
      </c>
      <c r="H420" s="5" t="s">
        <v>193</v>
      </c>
      <c r="I420" s="5"/>
      <c r="J420" s="5"/>
      <c r="K420" s="5">
        <v>233</v>
      </c>
      <c r="L420" s="5">
        <v>24</v>
      </c>
      <c r="M420" s="5">
        <v>3</v>
      </c>
      <c r="N420" s="5" t="s">
        <v>3</v>
      </c>
      <c r="O420" s="5">
        <v>2</v>
      </c>
      <c r="P420" s="5"/>
      <c r="Q420" s="5"/>
      <c r="R420" s="5"/>
      <c r="S420" s="5"/>
      <c r="T420" s="5"/>
      <c r="U420" s="5"/>
      <c r="V420" s="5"/>
      <c r="W420" s="5">
        <v>8707.4</v>
      </c>
      <c r="X420" s="5">
        <v>1</v>
      </c>
      <c r="Y420" s="5">
        <v>8707.4</v>
      </c>
      <c r="Z420" s="5"/>
      <c r="AA420" s="5"/>
      <c r="AB420" s="5"/>
    </row>
    <row r="421" spans="1:206" x14ac:dyDescent="0.2">
      <c r="A421" s="5">
        <v>50</v>
      </c>
      <c r="B421" s="5">
        <v>0</v>
      </c>
      <c r="C421" s="5">
        <v>0</v>
      </c>
      <c r="D421" s="5">
        <v>1</v>
      </c>
      <c r="E421" s="5">
        <v>210</v>
      </c>
      <c r="F421" s="5">
        <f>ROUND(Source!X395,O421)</f>
        <v>123710.2</v>
      </c>
      <c r="G421" s="5" t="s">
        <v>194</v>
      </c>
      <c r="H421" s="5" t="s">
        <v>195</v>
      </c>
      <c r="I421" s="5"/>
      <c r="J421" s="5"/>
      <c r="K421" s="5">
        <v>210</v>
      </c>
      <c r="L421" s="5">
        <v>25</v>
      </c>
      <c r="M421" s="5">
        <v>3</v>
      </c>
      <c r="N421" s="5" t="s">
        <v>3</v>
      </c>
      <c r="O421" s="5">
        <v>2</v>
      </c>
      <c r="P421" s="5"/>
      <c r="Q421" s="5"/>
      <c r="R421" s="5"/>
      <c r="S421" s="5"/>
      <c r="T421" s="5"/>
      <c r="U421" s="5"/>
      <c r="V421" s="5"/>
      <c r="W421" s="5">
        <v>123710.2</v>
      </c>
      <c r="X421" s="5">
        <v>1</v>
      </c>
      <c r="Y421" s="5">
        <v>123710.2</v>
      </c>
      <c r="Z421" s="5"/>
      <c r="AA421" s="5"/>
      <c r="AB421" s="5"/>
    </row>
    <row r="422" spans="1:206" x14ac:dyDescent="0.2">
      <c r="A422" s="5">
        <v>50</v>
      </c>
      <c r="B422" s="5">
        <v>0</v>
      </c>
      <c r="C422" s="5">
        <v>0</v>
      </c>
      <c r="D422" s="5">
        <v>1</v>
      </c>
      <c r="E422" s="5">
        <v>211</v>
      </c>
      <c r="F422" s="5">
        <f>ROUND(Source!Y395,O422)</f>
        <v>64937.54</v>
      </c>
      <c r="G422" s="5" t="s">
        <v>196</v>
      </c>
      <c r="H422" s="5" t="s">
        <v>197</v>
      </c>
      <c r="I422" s="5"/>
      <c r="J422" s="5"/>
      <c r="K422" s="5">
        <v>211</v>
      </c>
      <c r="L422" s="5">
        <v>26</v>
      </c>
      <c r="M422" s="5">
        <v>3</v>
      </c>
      <c r="N422" s="5" t="s">
        <v>3</v>
      </c>
      <c r="O422" s="5">
        <v>2</v>
      </c>
      <c r="P422" s="5"/>
      <c r="Q422" s="5"/>
      <c r="R422" s="5"/>
      <c r="S422" s="5"/>
      <c r="T422" s="5"/>
      <c r="U422" s="5"/>
      <c r="V422" s="5"/>
      <c r="W422" s="5">
        <v>64937.54</v>
      </c>
      <c r="X422" s="5">
        <v>1</v>
      </c>
      <c r="Y422" s="5">
        <v>64937.54</v>
      </c>
      <c r="Z422" s="5"/>
      <c r="AA422" s="5"/>
      <c r="AB422" s="5"/>
    </row>
    <row r="423" spans="1:206" x14ac:dyDescent="0.2">
      <c r="A423" s="5">
        <v>50</v>
      </c>
      <c r="B423" s="5">
        <v>0</v>
      </c>
      <c r="C423" s="5">
        <v>0</v>
      </c>
      <c r="D423" s="5">
        <v>1</v>
      </c>
      <c r="E423" s="5">
        <v>224</v>
      </c>
      <c r="F423" s="5">
        <f>ROUND(Source!AR395,O423)</f>
        <v>491621</v>
      </c>
      <c r="G423" s="5" t="s">
        <v>198</v>
      </c>
      <c r="H423" s="5" t="s">
        <v>199</v>
      </c>
      <c r="I423" s="5"/>
      <c r="J423" s="5"/>
      <c r="K423" s="5">
        <v>224</v>
      </c>
      <c r="L423" s="5">
        <v>27</v>
      </c>
      <c r="M423" s="5">
        <v>3</v>
      </c>
      <c r="N423" s="5" t="s">
        <v>3</v>
      </c>
      <c r="O423" s="5">
        <v>2</v>
      </c>
      <c r="P423" s="5"/>
      <c r="Q423" s="5"/>
      <c r="R423" s="5"/>
      <c r="S423" s="5"/>
      <c r="T423" s="5"/>
      <c r="U423" s="5"/>
      <c r="V423" s="5"/>
      <c r="W423" s="5">
        <v>491621</v>
      </c>
      <c r="X423" s="5">
        <v>1</v>
      </c>
      <c r="Y423" s="5">
        <v>491621</v>
      </c>
      <c r="Z423" s="5"/>
      <c r="AA423" s="5"/>
      <c r="AB423" s="5"/>
    </row>
    <row r="424" spans="1:206" x14ac:dyDescent="0.2">
      <c r="A424" s="5">
        <v>50</v>
      </c>
      <c r="B424" s="5">
        <v>1</v>
      </c>
      <c r="C424" s="5">
        <v>0</v>
      </c>
      <c r="D424" s="5">
        <v>2</v>
      </c>
      <c r="E424" s="5">
        <v>0</v>
      </c>
      <c r="F424" s="5">
        <f>ROUND(F423,O424)</f>
        <v>491621</v>
      </c>
      <c r="G424" s="5" t="s">
        <v>200</v>
      </c>
      <c r="H424" s="5" t="s">
        <v>200</v>
      </c>
      <c r="I424" s="5"/>
      <c r="J424" s="5"/>
      <c r="K424" s="5">
        <v>212</v>
      </c>
      <c r="L424" s="5">
        <v>28</v>
      </c>
      <c r="M424" s="5">
        <v>0</v>
      </c>
      <c r="N424" s="5" t="s">
        <v>3</v>
      </c>
      <c r="O424" s="5">
        <v>2</v>
      </c>
      <c r="P424" s="5"/>
      <c r="Q424" s="5"/>
      <c r="R424" s="5"/>
      <c r="S424" s="5"/>
      <c r="T424" s="5"/>
      <c r="U424" s="5"/>
      <c r="V424" s="5"/>
      <c r="W424" s="5">
        <v>491621</v>
      </c>
      <c r="X424" s="5">
        <v>1</v>
      </c>
      <c r="Y424" s="5">
        <v>491621</v>
      </c>
      <c r="Z424" s="5"/>
      <c r="AA424" s="5"/>
      <c r="AB424" s="5"/>
    </row>
    <row r="425" spans="1:206" x14ac:dyDescent="0.2">
      <c r="A425" s="5">
        <v>50</v>
      </c>
      <c r="B425" s="5">
        <v>1</v>
      </c>
      <c r="C425" s="5">
        <v>0</v>
      </c>
      <c r="D425" s="5">
        <v>2</v>
      </c>
      <c r="E425" s="5">
        <v>0</v>
      </c>
      <c r="F425" s="5">
        <f>ROUND(F424*0.22,O425)</f>
        <v>108156.62</v>
      </c>
      <c r="G425" s="5" t="s">
        <v>201</v>
      </c>
      <c r="H425" s="5" t="s">
        <v>202</v>
      </c>
      <c r="I425" s="5"/>
      <c r="J425" s="5"/>
      <c r="K425" s="5">
        <v>212</v>
      </c>
      <c r="L425" s="5">
        <v>29</v>
      </c>
      <c r="M425" s="5">
        <v>0</v>
      </c>
      <c r="N425" s="5" t="s">
        <v>3</v>
      </c>
      <c r="O425" s="5">
        <v>2</v>
      </c>
      <c r="P425" s="5"/>
      <c r="Q425" s="5"/>
      <c r="R425" s="5"/>
      <c r="S425" s="5"/>
      <c r="T425" s="5"/>
      <c r="U425" s="5"/>
      <c r="V425" s="5"/>
      <c r="W425" s="5">
        <v>108156.62</v>
      </c>
      <c r="X425" s="5">
        <v>1</v>
      </c>
      <c r="Y425" s="5">
        <v>108156.62</v>
      </c>
      <c r="Z425" s="5"/>
      <c r="AA425" s="5"/>
      <c r="AB425" s="5"/>
    </row>
    <row r="426" spans="1:206" x14ac:dyDescent="0.2">
      <c r="A426" s="5">
        <v>50</v>
      </c>
      <c r="B426" s="5">
        <v>1</v>
      </c>
      <c r="C426" s="5">
        <v>0</v>
      </c>
      <c r="D426" s="5">
        <v>2</v>
      </c>
      <c r="E426" s="5">
        <v>213</v>
      </c>
      <c r="F426" s="5">
        <f>ROUND(F424+F425,O426)</f>
        <v>599777.62</v>
      </c>
      <c r="G426" s="5" t="s">
        <v>203</v>
      </c>
      <c r="H426" s="5" t="s">
        <v>204</v>
      </c>
      <c r="I426" s="5"/>
      <c r="J426" s="5"/>
      <c r="K426" s="5">
        <v>212</v>
      </c>
      <c r="L426" s="5">
        <v>30</v>
      </c>
      <c r="M426" s="5">
        <v>0</v>
      </c>
      <c r="N426" s="5" t="s">
        <v>3</v>
      </c>
      <c r="O426" s="5">
        <v>2</v>
      </c>
      <c r="P426" s="5"/>
      <c r="Q426" s="5"/>
      <c r="R426" s="5"/>
      <c r="S426" s="5"/>
      <c r="T426" s="5"/>
      <c r="U426" s="5"/>
      <c r="V426" s="5"/>
      <c r="W426" s="5">
        <v>599777.62</v>
      </c>
      <c r="X426" s="5">
        <v>1</v>
      </c>
      <c r="Y426" s="5">
        <v>599777.62</v>
      </c>
      <c r="Z426" s="5"/>
      <c r="AA426" s="5"/>
      <c r="AB426" s="5"/>
    </row>
    <row r="428" spans="1:206" x14ac:dyDescent="0.2">
      <c r="A428" s="3">
        <v>51</v>
      </c>
      <c r="B428" s="3">
        <f>B12</f>
        <v>488</v>
      </c>
      <c r="C428" s="3">
        <f>A12</f>
        <v>1</v>
      </c>
      <c r="D428" s="3">
        <f>ROW(A12)</f>
        <v>12</v>
      </c>
      <c r="E428" s="3"/>
      <c r="F428" s="3" t="str">
        <f>IF(F12&lt;&gt;"",F12,"")</f>
        <v>Новый объект</v>
      </c>
      <c r="G428" s="3" t="str">
        <f>IF(G12&lt;&gt;"",G12,"")</f>
        <v>крыльца, цоколь, ФОК, пом 308</v>
      </c>
      <c r="H428" s="3">
        <v>0</v>
      </c>
      <c r="I428" s="3"/>
      <c r="J428" s="3"/>
      <c r="K428" s="3"/>
      <c r="L428" s="3"/>
      <c r="M428" s="3"/>
      <c r="N428" s="3"/>
      <c r="O428" s="3">
        <f t="shared" ref="O428:T428" si="234">ROUND(O395,2)</f>
        <v>294265.86</v>
      </c>
      <c r="P428" s="3">
        <f t="shared" si="234"/>
        <v>161397.82999999999</v>
      </c>
      <c r="Q428" s="3">
        <f t="shared" si="234"/>
        <v>1980.22</v>
      </c>
      <c r="R428" s="3">
        <f t="shared" si="234"/>
        <v>3708.52</v>
      </c>
      <c r="S428" s="3">
        <f t="shared" si="234"/>
        <v>127179.29</v>
      </c>
      <c r="T428" s="3">
        <f t="shared" si="234"/>
        <v>0</v>
      </c>
      <c r="U428" s="3">
        <f>U395</f>
        <v>189.8517406</v>
      </c>
      <c r="V428" s="3">
        <f>V395</f>
        <v>5.2866957000000001</v>
      </c>
      <c r="W428" s="3">
        <f>ROUND(W395,2)</f>
        <v>0</v>
      </c>
      <c r="X428" s="3">
        <f>ROUND(X395,2)</f>
        <v>123710.2</v>
      </c>
      <c r="Y428" s="3">
        <f>ROUND(Y395,2)</f>
        <v>64937.54</v>
      </c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>
        <f t="shared" ref="AO428:BD428" si="235">ROUND(AO395,2)</f>
        <v>0</v>
      </c>
      <c r="AP428" s="3">
        <f t="shared" si="235"/>
        <v>0</v>
      </c>
      <c r="AQ428" s="3">
        <f t="shared" si="235"/>
        <v>0</v>
      </c>
      <c r="AR428" s="3">
        <f t="shared" si="235"/>
        <v>491621</v>
      </c>
      <c r="AS428" s="3">
        <f t="shared" si="235"/>
        <v>491621</v>
      </c>
      <c r="AT428" s="3">
        <f t="shared" si="235"/>
        <v>0</v>
      </c>
      <c r="AU428" s="3">
        <f t="shared" si="235"/>
        <v>0</v>
      </c>
      <c r="AV428" s="3">
        <f t="shared" si="235"/>
        <v>161397.82999999999</v>
      </c>
      <c r="AW428" s="3">
        <f t="shared" si="235"/>
        <v>161397.82999999999</v>
      </c>
      <c r="AX428" s="3">
        <f t="shared" si="235"/>
        <v>0</v>
      </c>
      <c r="AY428" s="3">
        <f t="shared" si="235"/>
        <v>161397.82999999999</v>
      </c>
      <c r="AZ428" s="3">
        <f t="shared" si="235"/>
        <v>0</v>
      </c>
      <c r="BA428" s="3">
        <f t="shared" si="235"/>
        <v>0</v>
      </c>
      <c r="BB428" s="3">
        <f t="shared" si="235"/>
        <v>0</v>
      </c>
      <c r="BC428" s="3">
        <f t="shared" si="235"/>
        <v>0</v>
      </c>
      <c r="BD428" s="3">
        <f t="shared" si="235"/>
        <v>8707.4</v>
      </c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  <c r="FY428" s="4"/>
      <c r="FZ428" s="4"/>
      <c r="GA428" s="4"/>
      <c r="GB428" s="4"/>
      <c r="GC428" s="4"/>
      <c r="GD428" s="4"/>
      <c r="GE428" s="4"/>
      <c r="GF428" s="4"/>
      <c r="GG428" s="4"/>
      <c r="GH428" s="4"/>
      <c r="GI428" s="4"/>
      <c r="GJ428" s="4"/>
      <c r="GK428" s="4"/>
      <c r="GL428" s="4"/>
      <c r="GM428" s="4"/>
      <c r="GN428" s="4"/>
      <c r="GO428" s="4"/>
      <c r="GP428" s="4"/>
      <c r="GQ428" s="4"/>
      <c r="GR428" s="4"/>
      <c r="GS428" s="4"/>
      <c r="GT428" s="4"/>
      <c r="GU428" s="4"/>
      <c r="GV428" s="4"/>
      <c r="GW428" s="4"/>
      <c r="GX428" s="4">
        <v>0</v>
      </c>
    </row>
    <row r="430" spans="1:206" x14ac:dyDescent="0.2">
      <c r="A430" s="5">
        <v>50</v>
      </c>
      <c r="B430" s="5">
        <v>0</v>
      </c>
      <c r="C430" s="5">
        <v>0</v>
      </c>
      <c r="D430" s="5">
        <v>1</v>
      </c>
      <c r="E430" s="5">
        <v>201</v>
      </c>
      <c r="F430" s="5">
        <f>ROUND(Source!O428,O430)</f>
        <v>294265.86</v>
      </c>
      <c r="G430" s="5" t="s">
        <v>146</v>
      </c>
      <c r="H430" s="5" t="s">
        <v>147</v>
      </c>
      <c r="I430" s="5"/>
      <c r="J430" s="5"/>
      <c r="K430" s="5">
        <v>201</v>
      </c>
      <c r="L430" s="5">
        <v>1</v>
      </c>
      <c r="M430" s="5">
        <v>3</v>
      </c>
      <c r="N430" s="5" t="s">
        <v>3</v>
      </c>
      <c r="O430" s="5">
        <v>2</v>
      </c>
      <c r="P430" s="5"/>
      <c r="Q430" s="5"/>
      <c r="R430" s="5"/>
      <c r="S430" s="5"/>
      <c r="T430" s="5"/>
      <c r="U430" s="5"/>
      <c r="V430" s="5"/>
      <c r="W430" s="5">
        <v>302973.26</v>
      </c>
      <c r="X430" s="5">
        <v>1</v>
      </c>
      <c r="Y430" s="5">
        <v>302973.26</v>
      </c>
      <c r="Z430" s="5"/>
      <c r="AA430" s="5"/>
      <c r="AB430" s="5"/>
    </row>
    <row r="431" spans="1:206" x14ac:dyDescent="0.2">
      <c r="A431" s="5">
        <v>50</v>
      </c>
      <c r="B431" s="5">
        <v>0</v>
      </c>
      <c r="C431" s="5">
        <v>0</v>
      </c>
      <c r="D431" s="5">
        <v>1</v>
      </c>
      <c r="E431" s="5">
        <v>202</v>
      </c>
      <c r="F431" s="5">
        <f>ROUND(Source!P428,O431)</f>
        <v>161397.82999999999</v>
      </c>
      <c r="G431" s="5" t="s">
        <v>148</v>
      </c>
      <c r="H431" s="5" t="s">
        <v>149</v>
      </c>
      <c r="I431" s="5"/>
      <c r="J431" s="5"/>
      <c r="K431" s="5">
        <v>202</v>
      </c>
      <c r="L431" s="5">
        <v>2</v>
      </c>
      <c r="M431" s="5">
        <v>3</v>
      </c>
      <c r="N431" s="5" t="s">
        <v>3</v>
      </c>
      <c r="O431" s="5">
        <v>2</v>
      </c>
      <c r="P431" s="5"/>
      <c r="Q431" s="5"/>
      <c r="R431" s="5"/>
      <c r="S431" s="5"/>
      <c r="T431" s="5"/>
      <c r="U431" s="5"/>
      <c r="V431" s="5"/>
      <c r="W431" s="5">
        <v>161397.82999999999</v>
      </c>
      <c r="X431" s="5">
        <v>1</v>
      </c>
      <c r="Y431" s="5">
        <v>161397.82999999999</v>
      </c>
      <c r="Z431" s="5"/>
      <c r="AA431" s="5"/>
      <c r="AB431" s="5"/>
    </row>
    <row r="432" spans="1:206" x14ac:dyDescent="0.2">
      <c r="A432" s="5">
        <v>50</v>
      </c>
      <c r="B432" s="5">
        <v>0</v>
      </c>
      <c r="C432" s="5">
        <v>0</v>
      </c>
      <c r="D432" s="5">
        <v>1</v>
      </c>
      <c r="E432" s="5">
        <v>222</v>
      </c>
      <c r="F432" s="5">
        <f>ROUND(Source!AO428,O432)</f>
        <v>0</v>
      </c>
      <c r="G432" s="5" t="s">
        <v>150</v>
      </c>
      <c r="H432" s="5" t="s">
        <v>151</v>
      </c>
      <c r="I432" s="5"/>
      <c r="J432" s="5"/>
      <c r="K432" s="5">
        <v>222</v>
      </c>
      <c r="L432" s="5">
        <v>3</v>
      </c>
      <c r="M432" s="5">
        <v>3</v>
      </c>
      <c r="N432" s="5" t="s">
        <v>3</v>
      </c>
      <c r="O432" s="5">
        <v>2</v>
      </c>
      <c r="P432" s="5"/>
      <c r="Q432" s="5"/>
      <c r="R432" s="5"/>
      <c r="S432" s="5"/>
      <c r="T432" s="5"/>
      <c r="U432" s="5"/>
      <c r="V432" s="5"/>
      <c r="W432" s="5">
        <v>0</v>
      </c>
      <c r="X432" s="5">
        <v>1</v>
      </c>
      <c r="Y432" s="5">
        <v>0</v>
      </c>
      <c r="Z432" s="5"/>
      <c r="AA432" s="5"/>
      <c r="AB432" s="5"/>
    </row>
    <row r="433" spans="1:28" x14ac:dyDescent="0.2">
      <c r="A433" s="5">
        <v>50</v>
      </c>
      <c r="B433" s="5">
        <v>0</v>
      </c>
      <c r="C433" s="5">
        <v>0</v>
      </c>
      <c r="D433" s="5">
        <v>1</v>
      </c>
      <c r="E433" s="5">
        <v>225</v>
      </c>
      <c r="F433" s="5">
        <f>ROUND(Source!AV428,O433)</f>
        <v>161397.82999999999</v>
      </c>
      <c r="G433" s="5" t="s">
        <v>152</v>
      </c>
      <c r="H433" s="5" t="s">
        <v>153</v>
      </c>
      <c r="I433" s="5"/>
      <c r="J433" s="5"/>
      <c r="K433" s="5">
        <v>225</v>
      </c>
      <c r="L433" s="5">
        <v>4</v>
      </c>
      <c r="M433" s="5">
        <v>3</v>
      </c>
      <c r="N433" s="5" t="s">
        <v>3</v>
      </c>
      <c r="O433" s="5">
        <v>2</v>
      </c>
      <c r="P433" s="5"/>
      <c r="Q433" s="5"/>
      <c r="R433" s="5"/>
      <c r="S433" s="5"/>
      <c r="T433" s="5"/>
      <c r="U433" s="5"/>
      <c r="V433" s="5"/>
      <c r="W433" s="5">
        <v>161397.82999999999</v>
      </c>
      <c r="X433" s="5">
        <v>1</v>
      </c>
      <c r="Y433" s="5">
        <v>161397.82999999999</v>
      </c>
      <c r="Z433" s="5"/>
      <c r="AA433" s="5"/>
      <c r="AB433" s="5"/>
    </row>
    <row r="434" spans="1:28" x14ac:dyDescent="0.2">
      <c r="A434" s="5">
        <v>50</v>
      </c>
      <c r="B434" s="5">
        <v>0</v>
      </c>
      <c r="C434" s="5">
        <v>0</v>
      </c>
      <c r="D434" s="5">
        <v>1</v>
      </c>
      <c r="E434" s="5">
        <v>226</v>
      </c>
      <c r="F434" s="5">
        <f>ROUND(Source!AW428,O434)</f>
        <v>161397.82999999999</v>
      </c>
      <c r="G434" s="5" t="s">
        <v>154</v>
      </c>
      <c r="H434" s="5" t="s">
        <v>155</v>
      </c>
      <c r="I434" s="5"/>
      <c r="J434" s="5"/>
      <c r="K434" s="5">
        <v>226</v>
      </c>
      <c r="L434" s="5">
        <v>5</v>
      </c>
      <c r="M434" s="5">
        <v>3</v>
      </c>
      <c r="N434" s="5" t="s">
        <v>3</v>
      </c>
      <c r="O434" s="5">
        <v>2</v>
      </c>
      <c r="P434" s="5"/>
      <c r="Q434" s="5"/>
      <c r="R434" s="5"/>
      <c r="S434" s="5"/>
      <c r="T434" s="5"/>
      <c r="U434" s="5"/>
      <c r="V434" s="5"/>
      <c r="W434" s="5">
        <v>161397.82999999999</v>
      </c>
      <c r="X434" s="5">
        <v>1</v>
      </c>
      <c r="Y434" s="5">
        <v>161397.82999999999</v>
      </c>
      <c r="Z434" s="5"/>
      <c r="AA434" s="5"/>
      <c r="AB434" s="5"/>
    </row>
    <row r="435" spans="1:28" x14ac:dyDescent="0.2">
      <c r="A435" s="5">
        <v>50</v>
      </c>
      <c r="B435" s="5">
        <v>0</v>
      </c>
      <c r="C435" s="5">
        <v>0</v>
      </c>
      <c r="D435" s="5">
        <v>1</v>
      </c>
      <c r="E435" s="5">
        <v>227</v>
      </c>
      <c r="F435" s="5">
        <f>ROUND(Source!AX428,O435)</f>
        <v>0</v>
      </c>
      <c r="G435" s="5" t="s">
        <v>156</v>
      </c>
      <c r="H435" s="5" t="s">
        <v>157</v>
      </c>
      <c r="I435" s="5"/>
      <c r="J435" s="5"/>
      <c r="K435" s="5">
        <v>227</v>
      </c>
      <c r="L435" s="5">
        <v>6</v>
      </c>
      <c r="M435" s="5">
        <v>3</v>
      </c>
      <c r="N435" s="5" t="s">
        <v>3</v>
      </c>
      <c r="O435" s="5">
        <v>2</v>
      </c>
      <c r="P435" s="5"/>
      <c r="Q435" s="5"/>
      <c r="R435" s="5"/>
      <c r="S435" s="5"/>
      <c r="T435" s="5"/>
      <c r="U435" s="5"/>
      <c r="V435" s="5"/>
      <c r="W435" s="5">
        <v>0</v>
      </c>
      <c r="X435" s="5">
        <v>1</v>
      </c>
      <c r="Y435" s="5">
        <v>0</v>
      </c>
      <c r="Z435" s="5"/>
      <c r="AA435" s="5"/>
      <c r="AB435" s="5"/>
    </row>
    <row r="436" spans="1:28" x14ac:dyDescent="0.2">
      <c r="A436" s="5">
        <v>50</v>
      </c>
      <c r="B436" s="5">
        <v>0</v>
      </c>
      <c r="C436" s="5">
        <v>0</v>
      </c>
      <c r="D436" s="5">
        <v>1</v>
      </c>
      <c r="E436" s="5">
        <v>228</v>
      </c>
      <c r="F436" s="5">
        <f>ROUND(Source!AY428,O436)</f>
        <v>161397.82999999999</v>
      </c>
      <c r="G436" s="5" t="s">
        <v>158</v>
      </c>
      <c r="H436" s="5" t="s">
        <v>159</v>
      </c>
      <c r="I436" s="5"/>
      <c r="J436" s="5"/>
      <c r="K436" s="5">
        <v>228</v>
      </c>
      <c r="L436" s="5">
        <v>7</v>
      </c>
      <c r="M436" s="5">
        <v>3</v>
      </c>
      <c r="N436" s="5" t="s">
        <v>3</v>
      </c>
      <c r="O436" s="5">
        <v>2</v>
      </c>
      <c r="P436" s="5"/>
      <c r="Q436" s="5"/>
      <c r="R436" s="5"/>
      <c r="S436" s="5"/>
      <c r="T436" s="5"/>
      <c r="U436" s="5"/>
      <c r="V436" s="5"/>
      <c r="W436" s="5">
        <v>161397.82999999999</v>
      </c>
      <c r="X436" s="5">
        <v>1</v>
      </c>
      <c r="Y436" s="5">
        <v>161397.82999999999</v>
      </c>
      <c r="Z436" s="5"/>
      <c r="AA436" s="5"/>
      <c r="AB436" s="5"/>
    </row>
    <row r="437" spans="1:28" x14ac:dyDescent="0.2">
      <c r="A437" s="5">
        <v>50</v>
      </c>
      <c r="B437" s="5">
        <v>0</v>
      </c>
      <c r="C437" s="5">
        <v>0</v>
      </c>
      <c r="D437" s="5">
        <v>1</v>
      </c>
      <c r="E437" s="5">
        <v>216</v>
      </c>
      <c r="F437" s="5">
        <f>ROUND(Source!AP428,O437)</f>
        <v>0</v>
      </c>
      <c r="G437" s="5" t="s">
        <v>160</v>
      </c>
      <c r="H437" s="5" t="s">
        <v>161</v>
      </c>
      <c r="I437" s="5"/>
      <c r="J437" s="5"/>
      <c r="K437" s="5">
        <v>216</v>
      </c>
      <c r="L437" s="5">
        <v>8</v>
      </c>
      <c r="M437" s="5">
        <v>3</v>
      </c>
      <c r="N437" s="5" t="s">
        <v>3</v>
      </c>
      <c r="O437" s="5">
        <v>2</v>
      </c>
      <c r="P437" s="5"/>
      <c r="Q437" s="5"/>
      <c r="R437" s="5"/>
      <c r="S437" s="5"/>
      <c r="T437" s="5"/>
      <c r="U437" s="5"/>
      <c r="V437" s="5"/>
      <c r="W437" s="5">
        <v>0</v>
      </c>
      <c r="X437" s="5">
        <v>1</v>
      </c>
      <c r="Y437" s="5">
        <v>0</v>
      </c>
      <c r="Z437" s="5"/>
      <c r="AA437" s="5"/>
      <c r="AB437" s="5"/>
    </row>
    <row r="438" spans="1:28" x14ac:dyDescent="0.2">
      <c r="A438" s="5">
        <v>50</v>
      </c>
      <c r="B438" s="5">
        <v>0</v>
      </c>
      <c r="C438" s="5">
        <v>0</v>
      </c>
      <c r="D438" s="5">
        <v>1</v>
      </c>
      <c r="E438" s="5">
        <v>223</v>
      </c>
      <c r="F438" s="5">
        <f>ROUND(Source!AQ428,O438)</f>
        <v>0</v>
      </c>
      <c r="G438" s="5" t="s">
        <v>162</v>
      </c>
      <c r="H438" s="5" t="s">
        <v>163</v>
      </c>
      <c r="I438" s="5"/>
      <c r="J438" s="5"/>
      <c r="K438" s="5">
        <v>223</v>
      </c>
      <c r="L438" s="5">
        <v>9</v>
      </c>
      <c r="M438" s="5">
        <v>3</v>
      </c>
      <c r="N438" s="5" t="s">
        <v>3</v>
      </c>
      <c r="O438" s="5">
        <v>2</v>
      </c>
      <c r="P438" s="5"/>
      <c r="Q438" s="5"/>
      <c r="R438" s="5"/>
      <c r="S438" s="5"/>
      <c r="T438" s="5"/>
      <c r="U438" s="5"/>
      <c r="V438" s="5"/>
      <c r="W438" s="5">
        <v>0</v>
      </c>
      <c r="X438" s="5">
        <v>1</v>
      </c>
      <c r="Y438" s="5">
        <v>0</v>
      </c>
      <c r="Z438" s="5"/>
      <c r="AA438" s="5"/>
      <c r="AB438" s="5"/>
    </row>
    <row r="439" spans="1:28" x14ac:dyDescent="0.2">
      <c r="A439" s="5">
        <v>50</v>
      </c>
      <c r="B439" s="5">
        <v>0</v>
      </c>
      <c r="C439" s="5">
        <v>0</v>
      </c>
      <c r="D439" s="5">
        <v>1</v>
      </c>
      <c r="E439" s="5">
        <v>229</v>
      </c>
      <c r="F439" s="5">
        <f>ROUND(Source!AZ428,O439)</f>
        <v>0</v>
      </c>
      <c r="G439" s="5" t="s">
        <v>164</v>
      </c>
      <c r="H439" s="5" t="s">
        <v>165</v>
      </c>
      <c r="I439" s="5"/>
      <c r="J439" s="5"/>
      <c r="K439" s="5">
        <v>229</v>
      </c>
      <c r="L439" s="5">
        <v>10</v>
      </c>
      <c r="M439" s="5">
        <v>3</v>
      </c>
      <c r="N439" s="5" t="s">
        <v>3</v>
      </c>
      <c r="O439" s="5">
        <v>2</v>
      </c>
      <c r="P439" s="5"/>
      <c r="Q439" s="5"/>
      <c r="R439" s="5"/>
      <c r="S439" s="5"/>
      <c r="T439" s="5"/>
      <c r="U439" s="5"/>
      <c r="V439" s="5"/>
      <c r="W439" s="5">
        <v>0</v>
      </c>
      <c r="X439" s="5">
        <v>1</v>
      </c>
      <c r="Y439" s="5">
        <v>0</v>
      </c>
      <c r="Z439" s="5"/>
      <c r="AA439" s="5"/>
      <c r="AB439" s="5"/>
    </row>
    <row r="440" spans="1:28" x14ac:dyDescent="0.2">
      <c r="A440" s="5">
        <v>50</v>
      </c>
      <c r="B440" s="5">
        <v>0</v>
      </c>
      <c r="C440" s="5">
        <v>0</v>
      </c>
      <c r="D440" s="5">
        <v>1</v>
      </c>
      <c r="E440" s="5">
        <v>203</v>
      </c>
      <c r="F440" s="5">
        <f>ROUND(Source!Q428,O440)</f>
        <v>1980.22</v>
      </c>
      <c r="G440" s="5" t="s">
        <v>166</v>
      </c>
      <c r="H440" s="5" t="s">
        <v>167</v>
      </c>
      <c r="I440" s="5"/>
      <c r="J440" s="5"/>
      <c r="K440" s="5">
        <v>203</v>
      </c>
      <c r="L440" s="5">
        <v>11</v>
      </c>
      <c r="M440" s="5">
        <v>3</v>
      </c>
      <c r="N440" s="5" t="s">
        <v>3</v>
      </c>
      <c r="O440" s="5">
        <v>2</v>
      </c>
      <c r="P440" s="5"/>
      <c r="Q440" s="5"/>
      <c r="R440" s="5"/>
      <c r="S440" s="5"/>
      <c r="T440" s="5"/>
      <c r="U440" s="5"/>
      <c r="V440" s="5"/>
      <c r="W440" s="5">
        <v>1980.22</v>
      </c>
      <c r="X440" s="5">
        <v>1</v>
      </c>
      <c r="Y440" s="5">
        <v>1980.22</v>
      </c>
      <c r="Z440" s="5"/>
      <c r="AA440" s="5"/>
      <c r="AB440" s="5"/>
    </row>
    <row r="441" spans="1:28" x14ac:dyDescent="0.2">
      <c r="A441" s="5">
        <v>50</v>
      </c>
      <c r="B441" s="5">
        <v>0</v>
      </c>
      <c r="C441" s="5">
        <v>0</v>
      </c>
      <c r="D441" s="5">
        <v>1</v>
      </c>
      <c r="E441" s="5">
        <v>231</v>
      </c>
      <c r="F441" s="5">
        <f>ROUND(Source!BB428,O441)</f>
        <v>0</v>
      </c>
      <c r="G441" s="5" t="s">
        <v>168</v>
      </c>
      <c r="H441" s="5" t="s">
        <v>169</v>
      </c>
      <c r="I441" s="5"/>
      <c r="J441" s="5"/>
      <c r="K441" s="5">
        <v>231</v>
      </c>
      <c r="L441" s="5">
        <v>12</v>
      </c>
      <c r="M441" s="5">
        <v>3</v>
      </c>
      <c r="N441" s="5" t="s">
        <v>3</v>
      </c>
      <c r="O441" s="5">
        <v>2</v>
      </c>
      <c r="P441" s="5"/>
      <c r="Q441" s="5"/>
      <c r="R441" s="5"/>
      <c r="S441" s="5"/>
      <c r="T441" s="5"/>
      <c r="U441" s="5"/>
      <c r="V441" s="5"/>
      <c r="W441" s="5">
        <v>0</v>
      </c>
      <c r="X441" s="5">
        <v>1</v>
      </c>
      <c r="Y441" s="5">
        <v>0</v>
      </c>
      <c r="Z441" s="5"/>
      <c r="AA441" s="5"/>
      <c r="AB441" s="5"/>
    </row>
    <row r="442" spans="1:28" x14ac:dyDescent="0.2">
      <c r="A442" s="5">
        <v>50</v>
      </c>
      <c r="B442" s="5">
        <v>0</v>
      </c>
      <c r="C442" s="5">
        <v>0</v>
      </c>
      <c r="D442" s="5">
        <v>1</v>
      </c>
      <c r="E442" s="5">
        <v>204</v>
      </c>
      <c r="F442" s="5">
        <f>ROUND(Source!R428,O442)</f>
        <v>3708.52</v>
      </c>
      <c r="G442" s="5" t="s">
        <v>170</v>
      </c>
      <c r="H442" s="5" t="s">
        <v>171</v>
      </c>
      <c r="I442" s="5"/>
      <c r="J442" s="5"/>
      <c r="K442" s="5">
        <v>204</v>
      </c>
      <c r="L442" s="5">
        <v>13</v>
      </c>
      <c r="M442" s="5">
        <v>3</v>
      </c>
      <c r="N442" s="5" t="s">
        <v>3</v>
      </c>
      <c r="O442" s="5">
        <v>2</v>
      </c>
      <c r="P442" s="5"/>
      <c r="Q442" s="5"/>
      <c r="R442" s="5"/>
      <c r="S442" s="5"/>
      <c r="T442" s="5"/>
      <c r="U442" s="5"/>
      <c r="V442" s="5"/>
      <c r="W442" s="5">
        <v>3708.5199999999995</v>
      </c>
      <c r="X442" s="5">
        <v>1</v>
      </c>
      <c r="Y442" s="5">
        <v>3708.5199999999995</v>
      </c>
      <c r="Z442" s="5"/>
      <c r="AA442" s="5"/>
      <c r="AB442" s="5"/>
    </row>
    <row r="443" spans="1:28" x14ac:dyDescent="0.2">
      <c r="A443" s="5">
        <v>50</v>
      </c>
      <c r="B443" s="5">
        <v>0</v>
      </c>
      <c r="C443" s="5">
        <v>0</v>
      </c>
      <c r="D443" s="5">
        <v>1</v>
      </c>
      <c r="E443" s="5">
        <v>205</v>
      </c>
      <c r="F443" s="5">
        <f>ROUND(Source!S428,O443)</f>
        <v>127179.29</v>
      </c>
      <c r="G443" s="5" t="s">
        <v>172</v>
      </c>
      <c r="H443" s="5" t="s">
        <v>173</v>
      </c>
      <c r="I443" s="5"/>
      <c r="J443" s="5"/>
      <c r="K443" s="5">
        <v>205</v>
      </c>
      <c r="L443" s="5">
        <v>14</v>
      </c>
      <c r="M443" s="5">
        <v>3</v>
      </c>
      <c r="N443" s="5" t="s">
        <v>3</v>
      </c>
      <c r="O443" s="5">
        <v>2</v>
      </c>
      <c r="P443" s="5"/>
      <c r="Q443" s="5"/>
      <c r="R443" s="5"/>
      <c r="S443" s="5"/>
      <c r="T443" s="5"/>
      <c r="U443" s="5"/>
      <c r="V443" s="5"/>
      <c r="W443" s="5">
        <v>127179.29</v>
      </c>
      <c r="X443" s="5">
        <v>1</v>
      </c>
      <c r="Y443" s="5">
        <v>127179.29</v>
      </c>
      <c r="Z443" s="5"/>
      <c r="AA443" s="5"/>
      <c r="AB443" s="5"/>
    </row>
    <row r="444" spans="1:28" x14ac:dyDescent="0.2">
      <c r="A444" s="5">
        <v>50</v>
      </c>
      <c r="B444" s="5">
        <v>0</v>
      </c>
      <c r="C444" s="5">
        <v>0</v>
      </c>
      <c r="D444" s="5">
        <v>1</v>
      </c>
      <c r="E444" s="5">
        <v>232</v>
      </c>
      <c r="F444" s="5">
        <f>ROUND(Source!BC428,O444)</f>
        <v>0</v>
      </c>
      <c r="G444" s="5" t="s">
        <v>174</v>
      </c>
      <c r="H444" s="5" t="s">
        <v>175</v>
      </c>
      <c r="I444" s="5"/>
      <c r="J444" s="5"/>
      <c r="K444" s="5">
        <v>232</v>
      </c>
      <c r="L444" s="5">
        <v>15</v>
      </c>
      <c r="M444" s="5">
        <v>3</v>
      </c>
      <c r="N444" s="5" t="s">
        <v>3</v>
      </c>
      <c r="O444" s="5">
        <v>2</v>
      </c>
      <c r="P444" s="5"/>
      <c r="Q444" s="5"/>
      <c r="R444" s="5"/>
      <c r="S444" s="5"/>
      <c r="T444" s="5"/>
      <c r="U444" s="5"/>
      <c r="V444" s="5"/>
      <c r="W444" s="5">
        <v>0</v>
      </c>
      <c r="X444" s="5">
        <v>1</v>
      </c>
      <c r="Y444" s="5">
        <v>0</v>
      </c>
      <c r="Z444" s="5"/>
      <c r="AA444" s="5"/>
      <c r="AB444" s="5"/>
    </row>
    <row r="445" spans="1:28" x14ac:dyDescent="0.2">
      <c r="A445" s="5">
        <v>50</v>
      </c>
      <c r="B445" s="5">
        <v>0</v>
      </c>
      <c r="C445" s="5">
        <v>0</v>
      </c>
      <c r="D445" s="5">
        <v>1</v>
      </c>
      <c r="E445" s="5">
        <v>214</v>
      </c>
      <c r="F445" s="5">
        <f>ROUND(Source!AS428,O445)</f>
        <v>491621</v>
      </c>
      <c r="G445" s="5" t="s">
        <v>176</v>
      </c>
      <c r="H445" s="5" t="s">
        <v>177</v>
      </c>
      <c r="I445" s="5"/>
      <c r="J445" s="5"/>
      <c r="K445" s="5">
        <v>214</v>
      </c>
      <c r="L445" s="5">
        <v>16</v>
      </c>
      <c r="M445" s="5">
        <v>3</v>
      </c>
      <c r="N445" s="5" t="s">
        <v>3</v>
      </c>
      <c r="O445" s="5">
        <v>2</v>
      </c>
      <c r="P445" s="5"/>
      <c r="Q445" s="5"/>
      <c r="R445" s="5"/>
      <c r="S445" s="5"/>
      <c r="T445" s="5"/>
      <c r="U445" s="5"/>
      <c r="V445" s="5"/>
      <c r="W445" s="5">
        <v>491621</v>
      </c>
      <c r="X445" s="5">
        <v>1</v>
      </c>
      <c r="Y445" s="5">
        <v>491621</v>
      </c>
      <c r="Z445" s="5"/>
      <c r="AA445" s="5"/>
      <c r="AB445" s="5"/>
    </row>
    <row r="446" spans="1:28" x14ac:dyDescent="0.2">
      <c r="A446" s="5">
        <v>50</v>
      </c>
      <c r="B446" s="5">
        <v>0</v>
      </c>
      <c r="C446" s="5">
        <v>0</v>
      </c>
      <c r="D446" s="5">
        <v>1</v>
      </c>
      <c r="E446" s="5">
        <v>215</v>
      </c>
      <c r="F446" s="5">
        <f>ROUND(Source!AT428,O446)</f>
        <v>0</v>
      </c>
      <c r="G446" s="5" t="s">
        <v>178</v>
      </c>
      <c r="H446" s="5" t="s">
        <v>179</v>
      </c>
      <c r="I446" s="5"/>
      <c r="J446" s="5"/>
      <c r="K446" s="5">
        <v>215</v>
      </c>
      <c r="L446" s="5">
        <v>17</v>
      </c>
      <c r="M446" s="5">
        <v>3</v>
      </c>
      <c r="N446" s="5" t="s">
        <v>3</v>
      </c>
      <c r="O446" s="5">
        <v>2</v>
      </c>
      <c r="P446" s="5"/>
      <c r="Q446" s="5"/>
      <c r="R446" s="5"/>
      <c r="S446" s="5"/>
      <c r="T446" s="5"/>
      <c r="U446" s="5"/>
      <c r="V446" s="5"/>
      <c r="W446" s="5">
        <v>0</v>
      </c>
      <c r="X446" s="5">
        <v>1</v>
      </c>
      <c r="Y446" s="5">
        <v>0</v>
      </c>
      <c r="Z446" s="5"/>
      <c r="AA446" s="5"/>
      <c r="AB446" s="5"/>
    </row>
    <row r="447" spans="1:28" x14ac:dyDescent="0.2">
      <c r="A447" s="5">
        <v>50</v>
      </c>
      <c r="B447" s="5">
        <v>0</v>
      </c>
      <c r="C447" s="5">
        <v>0</v>
      </c>
      <c r="D447" s="5">
        <v>1</v>
      </c>
      <c r="E447" s="5">
        <v>217</v>
      </c>
      <c r="F447" s="5">
        <f>ROUND(Source!AU428,O447)</f>
        <v>0</v>
      </c>
      <c r="G447" s="5" t="s">
        <v>180</v>
      </c>
      <c r="H447" s="5" t="s">
        <v>181</v>
      </c>
      <c r="I447" s="5"/>
      <c r="J447" s="5"/>
      <c r="K447" s="5">
        <v>217</v>
      </c>
      <c r="L447" s="5">
        <v>18</v>
      </c>
      <c r="M447" s="5">
        <v>3</v>
      </c>
      <c r="N447" s="5" t="s">
        <v>3</v>
      </c>
      <c r="O447" s="5">
        <v>2</v>
      </c>
      <c r="P447" s="5"/>
      <c r="Q447" s="5"/>
      <c r="R447" s="5"/>
      <c r="S447" s="5"/>
      <c r="T447" s="5"/>
      <c r="U447" s="5"/>
      <c r="V447" s="5"/>
      <c r="W447" s="5">
        <v>0</v>
      </c>
      <c r="X447" s="5">
        <v>1</v>
      </c>
      <c r="Y447" s="5">
        <v>0</v>
      </c>
      <c r="Z447" s="5"/>
      <c r="AA447" s="5"/>
      <c r="AB447" s="5"/>
    </row>
    <row r="448" spans="1:28" x14ac:dyDescent="0.2">
      <c r="A448" s="5">
        <v>50</v>
      </c>
      <c r="B448" s="5">
        <v>0</v>
      </c>
      <c r="C448" s="5">
        <v>0</v>
      </c>
      <c r="D448" s="5">
        <v>1</v>
      </c>
      <c r="E448" s="5">
        <v>230</v>
      </c>
      <c r="F448" s="5">
        <f>ROUND(Source!BA428,O448)</f>
        <v>0</v>
      </c>
      <c r="G448" s="5" t="s">
        <v>182</v>
      </c>
      <c r="H448" s="5" t="s">
        <v>183</v>
      </c>
      <c r="I448" s="5"/>
      <c r="J448" s="5"/>
      <c r="K448" s="5">
        <v>230</v>
      </c>
      <c r="L448" s="5">
        <v>19</v>
      </c>
      <c r="M448" s="5">
        <v>3</v>
      </c>
      <c r="N448" s="5" t="s">
        <v>3</v>
      </c>
      <c r="O448" s="5">
        <v>2</v>
      </c>
      <c r="P448" s="5"/>
      <c r="Q448" s="5"/>
      <c r="R448" s="5"/>
      <c r="S448" s="5"/>
      <c r="T448" s="5"/>
      <c r="U448" s="5"/>
      <c r="V448" s="5"/>
      <c r="W448" s="5">
        <v>0</v>
      </c>
      <c r="X448" s="5">
        <v>1</v>
      </c>
      <c r="Y448" s="5">
        <v>0</v>
      </c>
      <c r="Z448" s="5"/>
      <c r="AA448" s="5"/>
      <c r="AB448" s="5"/>
    </row>
    <row r="449" spans="1:28" x14ac:dyDescent="0.2">
      <c r="A449" s="5">
        <v>50</v>
      </c>
      <c r="B449" s="5">
        <v>0</v>
      </c>
      <c r="C449" s="5">
        <v>0</v>
      </c>
      <c r="D449" s="5">
        <v>1</v>
      </c>
      <c r="E449" s="5">
        <v>206</v>
      </c>
      <c r="F449" s="5">
        <f>ROUND(Source!T428,O449)</f>
        <v>0</v>
      </c>
      <c r="G449" s="5" t="s">
        <v>184</v>
      </c>
      <c r="H449" s="5" t="s">
        <v>185</v>
      </c>
      <c r="I449" s="5"/>
      <c r="J449" s="5"/>
      <c r="K449" s="5">
        <v>206</v>
      </c>
      <c r="L449" s="5">
        <v>20</v>
      </c>
      <c r="M449" s="5">
        <v>3</v>
      </c>
      <c r="N449" s="5" t="s">
        <v>3</v>
      </c>
      <c r="O449" s="5">
        <v>2</v>
      </c>
      <c r="P449" s="5"/>
      <c r="Q449" s="5"/>
      <c r="R449" s="5"/>
      <c r="S449" s="5"/>
      <c r="T449" s="5"/>
      <c r="U449" s="5"/>
      <c r="V449" s="5"/>
      <c r="W449" s="5">
        <v>0</v>
      </c>
      <c r="X449" s="5">
        <v>1</v>
      </c>
      <c r="Y449" s="5">
        <v>0</v>
      </c>
      <c r="Z449" s="5"/>
      <c r="AA449" s="5"/>
      <c r="AB449" s="5"/>
    </row>
    <row r="450" spans="1:28" x14ac:dyDescent="0.2">
      <c r="A450" s="5">
        <v>50</v>
      </c>
      <c r="B450" s="5">
        <v>0</v>
      </c>
      <c r="C450" s="5">
        <v>0</v>
      </c>
      <c r="D450" s="5">
        <v>1</v>
      </c>
      <c r="E450" s="5">
        <v>207</v>
      </c>
      <c r="F450" s="5">
        <f>ROUND(Source!U428,O450)</f>
        <v>189.8517406</v>
      </c>
      <c r="G450" s="5" t="s">
        <v>186</v>
      </c>
      <c r="H450" s="5" t="s">
        <v>187</v>
      </c>
      <c r="I450" s="5"/>
      <c r="J450" s="5"/>
      <c r="K450" s="5">
        <v>207</v>
      </c>
      <c r="L450" s="5">
        <v>21</v>
      </c>
      <c r="M450" s="5">
        <v>3</v>
      </c>
      <c r="N450" s="5" t="s">
        <v>3</v>
      </c>
      <c r="O450" s="5">
        <v>7</v>
      </c>
      <c r="P450" s="5"/>
      <c r="Q450" s="5"/>
      <c r="R450" s="5"/>
      <c r="S450" s="5"/>
      <c r="T450" s="5"/>
      <c r="U450" s="5"/>
      <c r="V450" s="5"/>
      <c r="W450" s="5">
        <v>189.8517406</v>
      </c>
      <c r="X450" s="5">
        <v>1</v>
      </c>
      <c r="Y450" s="5">
        <v>189.8517406</v>
      </c>
      <c r="Z450" s="5"/>
      <c r="AA450" s="5"/>
      <c r="AB450" s="5"/>
    </row>
    <row r="451" spans="1:28" x14ac:dyDescent="0.2">
      <c r="A451" s="5">
        <v>50</v>
      </c>
      <c r="B451" s="5">
        <v>0</v>
      </c>
      <c r="C451" s="5">
        <v>0</v>
      </c>
      <c r="D451" s="5">
        <v>1</v>
      </c>
      <c r="E451" s="5">
        <v>208</v>
      </c>
      <c r="F451" s="5">
        <f>ROUND(Source!V428,O451)</f>
        <v>5.2866957000000001</v>
      </c>
      <c r="G451" s="5" t="s">
        <v>188</v>
      </c>
      <c r="H451" s="5" t="s">
        <v>189</v>
      </c>
      <c r="I451" s="5"/>
      <c r="J451" s="5"/>
      <c r="K451" s="5">
        <v>208</v>
      </c>
      <c r="L451" s="5">
        <v>22</v>
      </c>
      <c r="M451" s="5">
        <v>3</v>
      </c>
      <c r="N451" s="5" t="s">
        <v>3</v>
      </c>
      <c r="O451" s="5">
        <v>7</v>
      </c>
      <c r="P451" s="5"/>
      <c r="Q451" s="5"/>
      <c r="R451" s="5"/>
      <c r="S451" s="5"/>
      <c r="T451" s="5"/>
      <c r="U451" s="5"/>
      <c r="V451" s="5"/>
      <c r="W451" s="5">
        <v>5.2866957000000001</v>
      </c>
      <c r="X451" s="5">
        <v>1</v>
      </c>
      <c r="Y451" s="5">
        <v>5.2866957000000001</v>
      </c>
      <c r="Z451" s="5"/>
      <c r="AA451" s="5"/>
      <c r="AB451" s="5"/>
    </row>
    <row r="452" spans="1:28" x14ac:dyDescent="0.2">
      <c r="A452" s="5">
        <v>50</v>
      </c>
      <c r="B452" s="5">
        <v>0</v>
      </c>
      <c r="C452" s="5">
        <v>0</v>
      </c>
      <c r="D452" s="5">
        <v>1</v>
      </c>
      <c r="E452" s="5">
        <v>209</v>
      </c>
      <c r="F452" s="5">
        <f>ROUND(Source!W428,O452)</f>
        <v>0</v>
      </c>
      <c r="G452" s="5" t="s">
        <v>190</v>
      </c>
      <c r="H452" s="5" t="s">
        <v>191</v>
      </c>
      <c r="I452" s="5"/>
      <c r="J452" s="5"/>
      <c r="K452" s="5">
        <v>209</v>
      </c>
      <c r="L452" s="5">
        <v>23</v>
      </c>
      <c r="M452" s="5">
        <v>3</v>
      </c>
      <c r="N452" s="5" t="s">
        <v>3</v>
      </c>
      <c r="O452" s="5">
        <v>2</v>
      </c>
      <c r="P452" s="5"/>
      <c r="Q452" s="5"/>
      <c r="R452" s="5"/>
      <c r="S452" s="5"/>
      <c r="T452" s="5"/>
      <c r="U452" s="5"/>
      <c r="V452" s="5"/>
      <c r="W452" s="5">
        <v>0</v>
      </c>
      <c r="X452" s="5">
        <v>1</v>
      </c>
      <c r="Y452" s="5">
        <v>0</v>
      </c>
      <c r="Z452" s="5"/>
      <c r="AA452" s="5"/>
      <c r="AB452" s="5"/>
    </row>
    <row r="453" spans="1:28" x14ac:dyDescent="0.2">
      <c r="A453" s="5">
        <v>50</v>
      </c>
      <c r="B453" s="5">
        <v>0</v>
      </c>
      <c r="C453" s="5">
        <v>0</v>
      </c>
      <c r="D453" s="5">
        <v>1</v>
      </c>
      <c r="E453" s="5">
        <v>233</v>
      </c>
      <c r="F453" s="5">
        <f>ROUND(Source!BD428,O453)</f>
        <v>8707.4</v>
      </c>
      <c r="G453" s="5" t="s">
        <v>192</v>
      </c>
      <c r="H453" s="5" t="s">
        <v>193</v>
      </c>
      <c r="I453" s="5"/>
      <c r="J453" s="5"/>
      <c r="K453" s="5">
        <v>233</v>
      </c>
      <c r="L453" s="5">
        <v>24</v>
      </c>
      <c r="M453" s="5">
        <v>3</v>
      </c>
      <c r="N453" s="5" t="s">
        <v>3</v>
      </c>
      <c r="O453" s="5">
        <v>2</v>
      </c>
      <c r="P453" s="5"/>
      <c r="Q453" s="5"/>
      <c r="R453" s="5"/>
      <c r="S453" s="5"/>
      <c r="T453" s="5"/>
      <c r="U453" s="5"/>
      <c r="V453" s="5"/>
      <c r="W453" s="5">
        <v>8707.4</v>
      </c>
      <c r="X453" s="5">
        <v>1</v>
      </c>
      <c r="Y453" s="5">
        <v>8707.4</v>
      </c>
      <c r="Z453" s="5"/>
      <c r="AA453" s="5"/>
      <c r="AB453" s="5"/>
    </row>
    <row r="454" spans="1:28" x14ac:dyDescent="0.2">
      <c r="A454" s="5">
        <v>50</v>
      </c>
      <c r="B454" s="5">
        <v>0</v>
      </c>
      <c r="C454" s="5">
        <v>0</v>
      </c>
      <c r="D454" s="5">
        <v>1</v>
      </c>
      <c r="E454" s="5">
        <v>210</v>
      </c>
      <c r="F454" s="5">
        <f>ROUND(Source!X428,O454)</f>
        <v>123710.2</v>
      </c>
      <c r="G454" s="5" t="s">
        <v>194</v>
      </c>
      <c r="H454" s="5" t="s">
        <v>195</v>
      </c>
      <c r="I454" s="5"/>
      <c r="J454" s="5"/>
      <c r="K454" s="5">
        <v>210</v>
      </c>
      <c r="L454" s="5">
        <v>25</v>
      </c>
      <c r="M454" s="5">
        <v>3</v>
      </c>
      <c r="N454" s="5" t="s">
        <v>3</v>
      </c>
      <c r="O454" s="5">
        <v>2</v>
      </c>
      <c r="P454" s="5"/>
      <c r="Q454" s="5"/>
      <c r="R454" s="5"/>
      <c r="S454" s="5"/>
      <c r="T454" s="5"/>
      <c r="U454" s="5"/>
      <c r="V454" s="5"/>
      <c r="W454" s="5">
        <v>123710.2</v>
      </c>
      <c r="X454" s="5">
        <v>1</v>
      </c>
      <c r="Y454" s="5">
        <v>123710.2</v>
      </c>
      <c r="Z454" s="5"/>
      <c r="AA454" s="5"/>
      <c r="AB454" s="5"/>
    </row>
    <row r="455" spans="1:28" x14ac:dyDescent="0.2">
      <c r="A455" s="5">
        <v>50</v>
      </c>
      <c r="B455" s="5">
        <v>0</v>
      </c>
      <c r="C455" s="5">
        <v>0</v>
      </c>
      <c r="D455" s="5">
        <v>1</v>
      </c>
      <c r="E455" s="5">
        <v>211</v>
      </c>
      <c r="F455" s="5">
        <f>ROUND(Source!Y428,O455)</f>
        <v>64937.54</v>
      </c>
      <c r="G455" s="5" t="s">
        <v>196</v>
      </c>
      <c r="H455" s="5" t="s">
        <v>197</v>
      </c>
      <c r="I455" s="5"/>
      <c r="J455" s="5"/>
      <c r="K455" s="5">
        <v>211</v>
      </c>
      <c r="L455" s="5">
        <v>26</v>
      </c>
      <c r="M455" s="5">
        <v>3</v>
      </c>
      <c r="N455" s="5" t="s">
        <v>3</v>
      </c>
      <c r="O455" s="5">
        <v>2</v>
      </c>
      <c r="P455" s="5"/>
      <c r="Q455" s="5"/>
      <c r="R455" s="5"/>
      <c r="S455" s="5"/>
      <c r="T455" s="5"/>
      <c r="U455" s="5"/>
      <c r="V455" s="5"/>
      <c r="W455" s="5">
        <v>64937.54</v>
      </c>
      <c r="X455" s="5">
        <v>1</v>
      </c>
      <c r="Y455" s="5">
        <v>64937.54</v>
      </c>
      <c r="Z455" s="5"/>
      <c r="AA455" s="5"/>
      <c r="AB455" s="5"/>
    </row>
    <row r="456" spans="1:28" x14ac:dyDescent="0.2">
      <c r="A456" s="5">
        <v>50</v>
      </c>
      <c r="B456" s="5">
        <v>0</v>
      </c>
      <c r="C456" s="5">
        <v>0</v>
      </c>
      <c r="D456" s="5">
        <v>1</v>
      </c>
      <c r="E456" s="5">
        <v>224</v>
      </c>
      <c r="F456" s="5">
        <f>ROUND(Source!AR428,O456)</f>
        <v>491621</v>
      </c>
      <c r="G456" s="5" t="s">
        <v>198</v>
      </c>
      <c r="H456" s="5" t="s">
        <v>199</v>
      </c>
      <c r="I456" s="5"/>
      <c r="J456" s="5"/>
      <c r="K456" s="5">
        <v>224</v>
      </c>
      <c r="L456" s="5">
        <v>27</v>
      </c>
      <c r="M456" s="5">
        <v>3</v>
      </c>
      <c r="N456" s="5" t="s">
        <v>3</v>
      </c>
      <c r="O456" s="5">
        <v>2</v>
      </c>
      <c r="P456" s="5"/>
      <c r="Q456" s="5"/>
      <c r="R456" s="5"/>
      <c r="S456" s="5"/>
      <c r="T456" s="5"/>
      <c r="U456" s="5"/>
      <c r="V456" s="5"/>
      <c r="W456" s="5">
        <v>491621</v>
      </c>
      <c r="X456" s="5">
        <v>1</v>
      </c>
      <c r="Y456" s="5">
        <v>491621</v>
      </c>
      <c r="Z456" s="5"/>
      <c r="AA456" s="5"/>
      <c r="AB456" s="5"/>
    </row>
    <row r="457" spans="1:28" x14ac:dyDescent="0.2">
      <c r="A457" s="5">
        <v>50</v>
      </c>
      <c r="B457" s="5">
        <v>1</v>
      </c>
      <c r="C457" s="5">
        <v>0</v>
      </c>
      <c r="D457" s="5">
        <v>2</v>
      </c>
      <c r="E457" s="5">
        <v>0</v>
      </c>
      <c r="F457" s="5">
        <f>ROUND(F456,O457)</f>
        <v>491621</v>
      </c>
      <c r="G457" s="5" t="s">
        <v>200</v>
      </c>
      <c r="H457" s="5" t="s">
        <v>200</v>
      </c>
      <c r="I457" s="5"/>
      <c r="J457" s="5"/>
      <c r="K457" s="5">
        <v>212</v>
      </c>
      <c r="L457" s="5">
        <v>28</v>
      </c>
      <c r="M457" s="5">
        <v>0</v>
      </c>
      <c r="N457" s="5" t="s">
        <v>3</v>
      </c>
      <c r="O457" s="5">
        <v>2</v>
      </c>
      <c r="P457" s="5"/>
      <c r="Q457" s="5"/>
      <c r="R457" s="5"/>
      <c r="S457" s="5"/>
      <c r="T457" s="5"/>
      <c r="U457" s="5"/>
      <c r="V457" s="5"/>
      <c r="W457" s="5">
        <v>491621</v>
      </c>
      <c r="X457" s="5">
        <v>1</v>
      </c>
      <c r="Y457" s="5">
        <v>491621</v>
      </c>
      <c r="Z457" s="5"/>
      <c r="AA457" s="5"/>
      <c r="AB457" s="5"/>
    </row>
    <row r="458" spans="1:28" x14ac:dyDescent="0.2">
      <c r="A458" s="5">
        <v>50</v>
      </c>
      <c r="B458" s="5">
        <v>1</v>
      </c>
      <c r="C458" s="5">
        <v>0</v>
      </c>
      <c r="D458" s="5">
        <v>2</v>
      </c>
      <c r="E458" s="5">
        <v>0</v>
      </c>
      <c r="F458" s="5">
        <f>ROUND(F457*0.22,O458)</f>
        <v>108156.62</v>
      </c>
      <c r="G458" s="5" t="s">
        <v>201</v>
      </c>
      <c r="H458" s="5" t="s">
        <v>202</v>
      </c>
      <c r="I458" s="5"/>
      <c r="J458" s="5"/>
      <c r="K458" s="5">
        <v>212</v>
      </c>
      <c r="L458" s="5">
        <v>29</v>
      </c>
      <c r="M458" s="5">
        <v>0</v>
      </c>
      <c r="N458" s="5" t="s">
        <v>3</v>
      </c>
      <c r="O458" s="5">
        <v>2</v>
      </c>
      <c r="P458" s="5"/>
      <c r="Q458" s="5"/>
      <c r="R458" s="5"/>
      <c r="S458" s="5"/>
      <c r="T458" s="5"/>
      <c r="U458" s="5"/>
      <c r="V458" s="5"/>
      <c r="W458" s="5">
        <v>108156.62</v>
      </c>
      <c r="X458" s="5">
        <v>1</v>
      </c>
      <c r="Y458" s="5">
        <v>108156.62</v>
      </c>
      <c r="Z458" s="5"/>
      <c r="AA458" s="5"/>
      <c r="AB458" s="5"/>
    </row>
    <row r="459" spans="1:28" x14ac:dyDescent="0.2">
      <c r="A459" s="5">
        <v>50</v>
      </c>
      <c r="B459" s="5">
        <v>1</v>
      </c>
      <c r="C459" s="5">
        <v>0</v>
      </c>
      <c r="D459" s="5">
        <v>2</v>
      </c>
      <c r="E459" s="5">
        <v>213</v>
      </c>
      <c r="F459" s="5">
        <f>ROUND(F457+F458,O459)</f>
        <v>599777.62</v>
      </c>
      <c r="G459" s="5" t="s">
        <v>203</v>
      </c>
      <c r="H459" s="5" t="s">
        <v>204</v>
      </c>
      <c r="I459" s="5"/>
      <c r="J459" s="5"/>
      <c r="K459" s="5">
        <v>212</v>
      </c>
      <c r="L459" s="5">
        <v>30</v>
      </c>
      <c r="M459" s="5">
        <v>0</v>
      </c>
      <c r="N459" s="5" t="s">
        <v>3</v>
      </c>
      <c r="O459" s="5">
        <v>2</v>
      </c>
      <c r="P459" s="5"/>
      <c r="Q459" s="5"/>
      <c r="R459" s="5"/>
      <c r="S459" s="5"/>
      <c r="T459" s="5"/>
      <c r="U459" s="5"/>
      <c r="V459" s="5"/>
      <c r="W459" s="5">
        <v>599777.62</v>
      </c>
      <c r="X459" s="5">
        <v>1</v>
      </c>
      <c r="Y459" s="5">
        <v>599777.62</v>
      </c>
      <c r="Z459" s="5"/>
      <c r="AA459" s="5"/>
      <c r="AB459" s="5"/>
    </row>
    <row r="462" spans="1:28" x14ac:dyDescent="0.2">
      <c r="A462">
        <v>70</v>
      </c>
      <c r="B462">
        <v>1</v>
      </c>
      <c r="D462">
        <v>1</v>
      </c>
      <c r="E462" t="s">
        <v>350</v>
      </c>
      <c r="F462" t="s">
        <v>351</v>
      </c>
      <c r="G462">
        <v>0</v>
      </c>
      <c r="H462">
        <v>0</v>
      </c>
      <c r="I462" t="s">
        <v>3</v>
      </c>
      <c r="J462">
        <v>1</v>
      </c>
      <c r="K462">
        <v>0</v>
      </c>
      <c r="L462" t="s">
        <v>3</v>
      </c>
      <c r="M462" t="s">
        <v>3</v>
      </c>
      <c r="N462">
        <v>0</v>
      </c>
      <c r="P462" t="s">
        <v>352</v>
      </c>
    </row>
    <row r="463" spans="1:28" x14ac:dyDescent="0.2">
      <c r="A463">
        <v>70</v>
      </c>
      <c r="B463">
        <v>1</v>
      </c>
      <c r="D463">
        <v>2</v>
      </c>
      <c r="E463" t="s">
        <v>353</v>
      </c>
      <c r="F463" t="s">
        <v>354</v>
      </c>
      <c r="G463">
        <v>1</v>
      </c>
      <c r="H463">
        <v>0</v>
      </c>
      <c r="I463" t="s">
        <v>3</v>
      </c>
      <c r="J463">
        <v>1</v>
      </c>
      <c r="K463">
        <v>0</v>
      </c>
      <c r="L463" t="s">
        <v>3</v>
      </c>
      <c r="M463" t="s">
        <v>3</v>
      </c>
      <c r="N463">
        <v>0</v>
      </c>
      <c r="P463" t="s">
        <v>355</v>
      </c>
    </row>
    <row r="464" spans="1:28" x14ac:dyDescent="0.2">
      <c r="A464">
        <v>70</v>
      </c>
      <c r="B464">
        <v>1</v>
      </c>
      <c r="D464">
        <v>3</v>
      </c>
      <c r="E464" t="s">
        <v>356</v>
      </c>
      <c r="F464" t="s">
        <v>357</v>
      </c>
      <c r="G464">
        <v>0</v>
      </c>
      <c r="H464">
        <v>0</v>
      </c>
      <c r="I464" t="s">
        <v>3</v>
      </c>
      <c r="J464">
        <v>1</v>
      </c>
      <c r="K464">
        <v>0</v>
      </c>
      <c r="L464" t="s">
        <v>3</v>
      </c>
      <c r="M464" t="s">
        <v>3</v>
      </c>
      <c r="N464">
        <v>0</v>
      </c>
      <c r="P464" t="s">
        <v>358</v>
      </c>
    </row>
    <row r="465" spans="1:16" x14ac:dyDescent="0.2">
      <c r="A465">
        <v>70</v>
      </c>
      <c r="B465">
        <v>1</v>
      </c>
      <c r="D465">
        <v>4</v>
      </c>
      <c r="E465" t="s">
        <v>359</v>
      </c>
      <c r="F465" t="s">
        <v>360</v>
      </c>
      <c r="G465">
        <v>1</v>
      </c>
      <c r="H465">
        <v>0</v>
      </c>
      <c r="I465" t="s">
        <v>3</v>
      </c>
      <c r="J465">
        <v>2</v>
      </c>
      <c r="K465">
        <v>0</v>
      </c>
      <c r="L465" t="s">
        <v>3</v>
      </c>
      <c r="M465" t="s">
        <v>3</v>
      </c>
      <c r="N465">
        <v>0</v>
      </c>
      <c r="P465" t="s">
        <v>3</v>
      </c>
    </row>
    <row r="466" spans="1:16" x14ac:dyDescent="0.2">
      <c r="A466">
        <v>70</v>
      </c>
      <c r="B466">
        <v>1</v>
      </c>
      <c r="D466">
        <v>5</v>
      </c>
      <c r="E466" t="s">
        <v>361</v>
      </c>
      <c r="F466" t="s">
        <v>362</v>
      </c>
      <c r="G466">
        <v>0</v>
      </c>
      <c r="H466">
        <v>0</v>
      </c>
      <c r="I466" t="s">
        <v>3</v>
      </c>
      <c r="J466">
        <v>2</v>
      </c>
      <c r="K466">
        <v>0</v>
      </c>
      <c r="L466" t="s">
        <v>3</v>
      </c>
      <c r="M466" t="s">
        <v>3</v>
      </c>
      <c r="N466">
        <v>0</v>
      </c>
      <c r="P466" t="s">
        <v>3</v>
      </c>
    </row>
    <row r="467" spans="1:16" x14ac:dyDescent="0.2">
      <c r="A467">
        <v>70</v>
      </c>
      <c r="B467">
        <v>1</v>
      </c>
      <c r="D467">
        <v>6</v>
      </c>
      <c r="E467" t="s">
        <v>363</v>
      </c>
      <c r="F467" t="s">
        <v>364</v>
      </c>
      <c r="G467">
        <v>0</v>
      </c>
      <c r="H467">
        <v>0</v>
      </c>
      <c r="I467" t="s">
        <v>3</v>
      </c>
      <c r="J467">
        <v>2</v>
      </c>
      <c r="K467">
        <v>0</v>
      </c>
      <c r="L467" t="s">
        <v>3</v>
      </c>
      <c r="M467" t="s">
        <v>3</v>
      </c>
      <c r="N467">
        <v>0</v>
      </c>
      <c r="P467" t="s">
        <v>3</v>
      </c>
    </row>
    <row r="468" spans="1:16" x14ac:dyDescent="0.2">
      <c r="A468">
        <v>70</v>
      </c>
      <c r="B468">
        <v>1</v>
      </c>
      <c r="D468">
        <v>7</v>
      </c>
      <c r="E468" t="s">
        <v>365</v>
      </c>
      <c r="F468" t="s">
        <v>366</v>
      </c>
      <c r="G468">
        <v>0</v>
      </c>
      <c r="H468">
        <v>0</v>
      </c>
      <c r="I468" t="s">
        <v>367</v>
      </c>
      <c r="J468">
        <v>0</v>
      </c>
      <c r="K468">
        <v>0</v>
      </c>
      <c r="L468" t="s">
        <v>3</v>
      </c>
      <c r="M468" t="s">
        <v>3</v>
      </c>
      <c r="N468">
        <v>0</v>
      </c>
      <c r="P468" t="s">
        <v>368</v>
      </c>
    </row>
    <row r="469" spans="1:16" x14ac:dyDescent="0.2">
      <c r="A469">
        <v>70</v>
      </c>
      <c r="B469">
        <v>1</v>
      </c>
      <c r="D469">
        <v>8</v>
      </c>
      <c r="E469" t="s">
        <v>369</v>
      </c>
      <c r="F469" t="s">
        <v>370</v>
      </c>
      <c r="G469">
        <v>1</v>
      </c>
      <c r="H469">
        <v>0</v>
      </c>
      <c r="I469" t="s">
        <v>3</v>
      </c>
      <c r="J469">
        <v>5</v>
      </c>
      <c r="K469">
        <v>0</v>
      </c>
      <c r="L469" t="s">
        <v>3</v>
      </c>
      <c r="M469" t="s">
        <v>3</v>
      </c>
      <c r="N469">
        <v>0</v>
      </c>
      <c r="P469" t="s">
        <v>3</v>
      </c>
    </row>
    <row r="470" spans="1:16" x14ac:dyDescent="0.2">
      <c r="A470">
        <v>70</v>
      </c>
      <c r="B470">
        <v>1</v>
      </c>
      <c r="D470">
        <v>9</v>
      </c>
      <c r="E470" t="s">
        <v>371</v>
      </c>
      <c r="F470" t="s">
        <v>372</v>
      </c>
      <c r="G470">
        <v>0</v>
      </c>
      <c r="H470">
        <v>0</v>
      </c>
      <c r="I470" t="s">
        <v>3</v>
      </c>
      <c r="J470">
        <v>5</v>
      </c>
      <c r="K470">
        <v>0</v>
      </c>
      <c r="L470" t="s">
        <v>3</v>
      </c>
      <c r="M470" t="s">
        <v>3</v>
      </c>
      <c r="N470">
        <v>0</v>
      </c>
      <c r="P470" t="s">
        <v>373</v>
      </c>
    </row>
    <row r="471" spans="1:16" x14ac:dyDescent="0.2">
      <c r="A471">
        <v>70</v>
      </c>
      <c r="B471">
        <v>1</v>
      </c>
      <c r="D471">
        <v>10</v>
      </c>
      <c r="E471" t="s">
        <v>374</v>
      </c>
      <c r="F471" t="s">
        <v>375</v>
      </c>
      <c r="G471">
        <v>0</v>
      </c>
      <c r="H471">
        <v>0</v>
      </c>
      <c r="I471" t="s">
        <v>376</v>
      </c>
      <c r="J471">
        <v>5</v>
      </c>
      <c r="K471">
        <v>0</v>
      </c>
      <c r="L471" t="s">
        <v>3</v>
      </c>
      <c r="M471" t="s">
        <v>3</v>
      </c>
      <c r="N471">
        <v>0</v>
      </c>
      <c r="P471" t="s">
        <v>377</v>
      </c>
    </row>
    <row r="472" spans="1:16" x14ac:dyDescent="0.2">
      <c r="A472">
        <v>70</v>
      </c>
      <c r="B472">
        <v>1</v>
      </c>
      <c r="D472">
        <v>11</v>
      </c>
      <c r="E472" t="s">
        <v>378</v>
      </c>
      <c r="F472" t="s">
        <v>379</v>
      </c>
      <c r="G472">
        <v>0</v>
      </c>
      <c r="H472">
        <v>0</v>
      </c>
      <c r="I472" t="s">
        <v>380</v>
      </c>
      <c r="J472">
        <v>0</v>
      </c>
      <c r="K472">
        <v>0</v>
      </c>
      <c r="L472" t="s">
        <v>3</v>
      </c>
      <c r="M472" t="s">
        <v>3</v>
      </c>
      <c r="N472">
        <v>0</v>
      </c>
      <c r="P472" t="s">
        <v>381</v>
      </c>
    </row>
    <row r="473" spans="1:16" x14ac:dyDescent="0.2">
      <c r="A473">
        <v>70</v>
      </c>
      <c r="B473">
        <v>1</v>
      </c>
      <c r="D473">
        <v>12</v>
      </c>
      <c r="E473" t="s">
        <v>382</v>
      </c>
      <c r="F473" t="s">
        <v>383</v>
      </c>
      <c r="G473">
        <v>0</v>
      </c>
      <c r="H473">
        <v>0</v>
      </c>
      <c r="I473" t="s">
        <v>384</v>
      </c>
      <c r="J473">
        <v>0</v>
      </c>
      <c r="K473">
        <v>0</v>
      </c>
      <c r="L473" t="s">
        <v>3</v>
      </c>
      <c r="M473" t="s">
        <v>3</v>
      </c>
      <c r="N473">
        <v>0</v>
      </c>
      <c r="P473" t="s">
        <v>385</v>
      </c>
    </row>
    <row r="474" spans="1:16" x14ac:dyDescent="0.2">
      <c r="A474">
        <v>70</v>
      </c>
      <c r="B474">
        <v>1</v>
      </c>
      <c r="D474">
        <v>13</v>
      </c>
      <c r="E474" t="s">
        <v>386</v>
      </c>
      <c r="F474" t="s">
        <v>387</v>
      </c>
      <c r="G474">
        <v>0</v>
      </c>
      <c r="H474">
        <v>0</v>
      </c>
      <c r="I474" t="s">
        <v>388</v>
      </c>
      <c r="J474">
        <v>0</v>
      </c>
      <c r="K474">
        <v>0</v>
      </c>
      <c r="L474" t="s">
        <v>3</v>
      </c>
      <c r="M474" t="s">
        <v>3</v>
      </c>
      <c r="N474">
        <v>0</v>
      </c>
      <c r="P474" t="s">
        <v>389</v>
      </c>
    </row>
    <row r="475" spans="1:16" x14ac:dyDescent="0.2">
      <c r="A475">
        <v>70</v>
      </c>
      <c r="B475">
        <v>1</v>
      </c>
      <c r="D475">
        <v>14</v>
      </c>
      <c r="E475" t="s">
        <v>390</v>
      </c>
      <c r="F475" t="s">
        <v>391</v>
      </c>
      <c r="G475">
        <v>0</v>
      </c>
      <c r="H475">
        <v>0</v>
      </c>
      <c r="I475" t="s">
        <v>3</v>
      </c>
      <c r="J475">
        <v>0</v>
      </c>
      <c r="K475">
        <v>0</v>
      </c>
      <c r="L475" t="s">
        <v>3</v>
      </c>
      <c r="M475" t="s">
        <v>3</v>
      </c>
      <c r="N475">
        <v>0</v>
      </c>
      <c r="P475" t="s">
        <v>3</v>
      </c>
    </row>
    <row r="476" spans="1:16" x14ac:dyDescent="0.2">
      <c r="A476">
        <v>70</v>
      </c>
      <c r="B476">
        <v>1</v>
      </c>
      <c r="D476">
        <v>15</v>
      </c>
      <c r="E476" t="s">
        <v>392</v>
      </c>
      <c r="F476" t="s">
        <v>393</v>
      </c>
      <c r="G476">
        <v>0</v>
      </c>
      <c r="H476">
        <v>0</v>
      </c>
      <c r="I476" t="s">
        <v>3</v>
      </c>
      <c r="J476">
        <v>0</v>
      </c>
      <c r="K476">
        <v>0</v>
      </c>
      <c r="L476" t="s">
        <v>3</v>
      </c>
      <c r="M476" t="s">
        <v>3</v>
      </c>
      <c r="N476">
        <v>0</v>
      </c>
      <c r="P476" t="s">
        <v>394</v>
      </c>
    </row>
    <row r="477" spans="1:16" x14ac:dyDescent="0.2">
      <c r="A477">
        <v>70</v>
      </c>
      <c r="B477">
        <v>1</v>
      </c>
      <c r="D477">
        <v>16</v>
      </c>
      <c r="E477" t="s">
        <v>395</v>
      </c>
      <c r="F477" t="s">
        <v>396</v>
      </c>
      <c r="G477">
        <v>0</v>
      </c>
      <c r="H477">
        <v>0</v>
      </c>
      <c r="I477" t="s">
        <v>3</v>
      </c>
      <c r="J477">
        <v>3</v>
      </c>
      <c r="K477">
        <v>0</v>
      </c>
      <c r="L477" t="s">
        <v>3</v>
      </c>
      <c r="M477" t="s">
        <v>3</v>
      </c>
      <c r="N477">
        <v>0</v>
      </c>
      <c r="P477" t="s">
        <v>3</v>
      </c>
    </row>
    <row r="478" spans="1:16" x14ac:dyDescent="0.2">
      <c r="A478">
        <v>70</v>
      </c>
      <c r="B478">
        <v>1</v>
      </c>
      <c r="D478">
        <v>17</v>
      </c>
      <c r="E478" t="s">
        <v>397</v>
      </c>
      <c r="F478" t="s">
        <v>398</v>
      </c>
      <c r="G478">
        <v>1</v>
      </c>
      <c r="H478">
        <v>0</v>
      </c>
      <c r="I478" t="s">
        <v>3</v>
      </c>
      <c r="J478">
        <v>3</v>
      </c>
      <c r="K478">
        <v>0</v>
      </c>
      <c r="L478" t="s">
        <v>3</v>
      </c>
      <c r="M478" t="s">
        <v>3</v>
      </c>
      <c r="N478">
        <v>0</v>
      </c>
      <c r="P478" t="s">
        <v>3</v>
      </c>
    </row>
    <row r="479" spans="1:16" x14ac:dyDescent="0.2">
      <c r="A479">
        <v>70</v>
      </c>
      <c r="B479">
        <v>1</v>
      </c>
      <c r="D479">
        <v>1</v>
      </c>
      <c r="E479" t="s">
        <v>399</v>
      </c>
      <c r="F479" t="s">
        <v>400</v>
      </c>
      <c r="G479">
        <v>0.9</v>
      </c>
      <c r="H479">
        <v>1</v>
      </c>
      <c r="I479" t="s">
        <v>401</v>
      </c>
      <c r="J479">
        <v>0</v>
      </c>
      <c r="K479">
        <v>0</v>
      </c>
      <c r="L479" t="s">
        <v>3</v>
      </c>
      <c r="M479" t="s">
        <v>3</v>
      </c>
      <c r="N479">
        <v>0</v>
      </c>
      <c r="P479" t="s">
        <v>402</v>
      </c>
    </row>
    <row r="480" spans="1:16" x14ac:dyDescent="0.2">
      <c r="A480">
        <v>70</v>
      </c>
      <c r="B480">
        <v>1</v>
      </c>
      <c r="D480">
        <v>2</v>
      </c>
      <c r="E480" t="s">
        <v>403</v>
      </c>
      <c r="F480" t="s">
        <v>404</v>
      </c>
      <c r="G480">
        <v>0.85</v>
      </c>
      <c r="H480">
        <v>1</v>
      </c>
      <c r="I480" t="s">
        <v>405</v>
      </c>
      <c r="J480">
        <v>0</v>
      </c>
      <c r="K480">
        <v>0</v>
      </c>
      <c r="L480" t="s">
        <v>3</v>
      </c>
      <c r="M480" t="s">
        <v>3</v>
      </c>
      <c r="N480">
        <v>0</v>
      </c>
      <c r="P480" t="s">
        <v>406</v>
      </c>
    </row>
    <row r="481" spans="1:50" x14ac:dyDescent="0.2">
      <c r="A481">
        <v>70</v>
      </c>
      <c r="B481">
        <v>1</v>
      </c>
      <c r="D481">
        <v>3</v>
      </c>
      <c r="E481" t="s">
        <v>407</v>
      </c>
      <c r="F481" t="s">
        <v>408</v>
      </c>
      <c r="G481">
        <v>1.03</v>
      </c>
      <c r="H481">
        <v>0</v>
      </c>
      <c r="I481" t="s">
        <v>3</v>
      </c>
      <c r="J481">
        <v>0</v>
      </c>
      <c r="K481">
        <v>0</v>
      </c>
      <c r="L481" t="s">
        <v>3</v>
      </c>
      <c r="M481" t="s">
        <v>3</v>
      </c>
      <c r="N481">
        <v>0</v>
      </c>
      <c r="P481" t="s">
        <v>409</v>
      </c>
    </row>
    <row r="482" spans="1:50" x14ac:dyDescent="0.2">
      <c r="A482">
        <v>70</v>
      </c>
      <c r="B482">
        <v>1</v>
      </c>
      <c r="D482">
        <v>4</v>
      </c>
      <c r="E482" t="s">
        <v>410</v>
      </c>
      <c r="F482" t="s">
        <v>411</v>
      </c>
      <c r="G482">
        <v>1.1499999999999999</v>
      </c>
      <c r="H482">
        <v>0</v>
      </c>
      <c r="I482" t="s">
        <v>3</v>
      </c>
      <c r="J482">
        <v>0</v>
      </c>
      <c r="K482">
        <v>0</v>
      </c>
      <c r="L482" t="s">
        <v>3</v>
      </c>
      <c r="M482" t="s">
        <v>3</v>
      </c>
      <c r="N482">
        <v>0</v>
      </c>
      <c r="P482" t="s">
        <v>412</v>
      </c>
    </row>
    <row r="483" spans="1:50" x14ac:dyDescent="0.2">
      <c r="A483">
        <v>70</v>
      </c>
      <c r="B483">
        <v>1</v>
      </c>
      <c r="D483">
        <v>5</v>
      </c>
      <c r="E483" t="s">
        <v>413</v>
      </c>
      <c r="F483" t="s">
        <v>414</v>
      </c>
      <c r="G483">
        <v>7</v>
      </c>
      <c r="H483">
        <v>0</v>
      </c>
      <c r="I483" t="s">
        <v>3</v>
      </c>
      <c r="J483">
        <v>0</v>
      </c>
      <c r="K483">
        <v>0</v>
      </c>
      <c r="L483" t="s">
        <v>3</v>
      </c>
      <c r="M483" t="s">
        <v>3</v>
      </c>
      <c r="N483">
        <v>0</v>
      </c>
      <c r="P483" t="s">
        <v>3</v>
      </c>
    </row>
    <row r="484" spans="1:50" x14ac:dyDescent="0.2">
      <c r="A484">
        <v>70</v>
      </c>
      <c r="B484">
        <v>1</v>
      </c>
      <c r="D484">
        <v>6</v>
      </c>
      <c r="E484" t="s">
        <v>415</v>
      </c>
      <c r="F484" t="s">
        <v>3</v>
      </c>
      <c r="G484">
        <v>2</v>
      </c>
      <c r="H484">
        <v>0</v>
      </c>
      <c r="I484" t="s">
        <v>3</v>
      </c>
      <c r="J484">
        <v>0</v>
      </c>
      <c r="K484">
        <v>0</v>
      </c>
      <c r="L484" t="s">
        <v>3</v>
      </c>
      <c r="M484" t="s">
        <v>3</v>
      </c>
      <c r="N484">
        <v>0</v>
      </c>
      <c r="P484" t="s">
        <v>3</v>
      </c>
    </row>
    <row r="486" spans="1:50" x14ac:dyDescent="0.2">
      <c r="A486">
        <v>-1</v>
      </c>
    </row>
    <row r="488" spans="1:50" x14ac:dyDescent="0.2">
      <c r="A488" s="4">
        <v>75</v>
      </c>
      <c r="B488" s="4" t="s">
        <v>416</v>
      </c>
      <c r="C488" s="4">
        <v>2026</v>
      </c>
      <c r="D488" s="4">
        <v>2</v>
      </c>
      <c r="E488" s="4">
        <v>0</v>
      </c>
      <c r="F488" s="4">
        <v>1</v>
      </c>
      <c r="G488" s="4">
        <v>0</v>
      </c>
      <c r="H488" s="4">
        <v>1</v>
      </c>
      <c r="I488" s="4">
        <v>0</v>
      </c>
      <c r="J488" s="4">
        <v>1</v>
      </c>
      <c r="K488" s="4">
        <v>0</v>
      </c>
      <c r="L488" s="4">
        <v>0</v>
      </c>
      <c r="M488" s="4">
        <v>0</v>
      </c>
      <c r="N488" s="4">
        <v>94104265</v>
      </c>
      <c r="O488" s="4">
        <v>1</v>
      </c>
    </row>
    <row r="489" spans="1:50" x14ac:dyDescent="0.2">
      <c r="A489" s="6">
        <v>2</v>
      </c>
      <c r="B489" s="6" t="s">
        <v>417</v>
      </c>
      <c r="C489" s="6" t="s">
        <v>418</v>
      </c>
      <c r="D489" s="6">
        <v>0</v>
      </c>
      <c r="E489" s="6">
        <v>0</v>
      </c>
      <c r="F489" s="6">
        <v>0</v>
      </c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>
        <v>94104266</v>
      </c>
    </row>
    <row r="490" spans="1:50" x14ac:dyDescent="0.2">
      <c r="A490" s="6">
        <v>1</v>
      </c>
      <c r="B490" s="6" t="s">
        <v>419</v>
      </c>
      <c r="C490" s="6" t="s">
        <v>420</v>
      </c>
      <c r="D490" s="6">
        <v>2026</v>
      </c>
      <c r="E490" s="6">
        <v>6</v>
      </c>
      <c r="F490" s="6">
        <v>1</v>
      </c>
      <c r="G490" s="6">
        <v>1</v>
      </c>
      <c r="H490" s="6">
        <v>0</v>
      </c>
      <c r="I490" s="6">
        <v>2</v>
      </c>
      <c r="J490" s="6">
        <v>1</v>
      </c>
      <c r="K490" s="6">
        <v>1</v>
      </c>
      <c r="L490" s="6">
        <v>1</v>
      </c>
      <c r="M490" s="6">
        <v>1</v>
      </c>
      <c r="N490" s="6">
        <v>1</v>
      </c>
      <c r="O490" s="6">
        <v>1</v>
      </c>
      <c r="P490" s="6">
        <v>1</v>
      </c>
      <c r="Q490" s="6">
        <v>1</v>
      </c>
      <c r="R490" s="6" t="s">
        <v>3</v>
      </c>
      <c r="S490" s="6" t="s">
        <v>3</v>
      </c>
      <c r="T490" s="6" t="s">
        <v>3</v>
      </c>
      <c r="U490" s="6" t="s">
        <v>3</v>
      </c>
      <c r="V490" s="6" t="s">
        <v>3</v>
      </c>
      <c r="W490" s="6" t="s">
        <v>3</v>
      </c>
      <c r="X490" s="6" t="s">
        <v>3</v>
      </c>
      <c r="Y490" s="6" t="s">
        <v>3</v>
      </c>
      <c r="Z490" s="6" t="s">
        <v>3</v>
      </c>
      <c r="AA490" s="6" t="s">
        <v>3</v>
      </c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>
        <v>94104267</v>
      </c>
      <c r="AO490" s="6" t="s">
        <v>421</v>
      </c>
      <c r="AP490" s="6" t="s">
        <v>422</v>
      </c>
      <c r="AQ490" s="6">
        <v>46164</v>
      </c>
      <c r="AR490" s="6">
        <v>417</v>
      </c>
      <c r="AS490" s="6" t="s">
        <v>423</v>
      </c>
      <c r="AT490" s="6" t="s">
        <v>3</v>
      </c>
      <c r="AU490" s="6" t="s">
        <v>422</v>
      </c>
      <c r="AV490" s="6">
        <v>45957</v>
      </c>
      <c r="AW490" s="6">
        <v>23615</v>
      </c>
      <c r="AX490" s="6" t="s">
        <v>424</v>
      </c>
    </row>
    <row r="494" spans="1:50" x14ac:dyDescent="0.2">
      <c r="A494">
        <v>65</v>
      </c>
      <c r="C494">
        <v>1</v>
      </c>
      <c r="D494">
        <v>0</v>
      </c>
      <c r="E494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6"/>
  <sheetViews>
    <sheetView workbookViewId="0"/>
  </sheetViews>
  <sheetFormatPr defaultColWidth="9.140625" defaultRowHeight="12.75" x14ac:dyDescent="0.2"/>
  <cols>
    <col min="1" max="256" width="9.140625" style="2" customWidth="1"/>
    <col min="257" max="16384" width="9.140625" style="2"/>
  </cols>
  <sheetData>
    <row r="1" spans="1:133" x14ac:dyDescent="0.2">
      <c r="A1" s="2">
        <v>0</v>
      </c>
      <c r="B1" s="2" t="s">
        <v>0</v>
      </c>
      <c r="D1" s="2" t="s">
        <v>425</v>
      </c>
      <c r="F1" s="2">
        <v>0</v>
      </c>
      <c r="G1" s="2">
        <v>0</v>
      </c>
      <c r="H1" s="2">
        <v>0</v>
      </c>
      <c r="I1" s="2" t="s">
        <v>2</v>
      </c>
      <c r="J1" s="2" t="s">
        <v>3</v>
      </c>
      <c r="K1" s="2">
        <v>1</v>
      </c>
      <c r="L1" s="2">
        <v>21931</v>
      </c>
      <c r="M1" s="2">
        <v>10</v>
      </c>
      <c r="N1" s="2">
        <v>12</v>
      </c>
      <c r="O1" s="2">
        <v>1</v>
      </c>
      <c r="P1" s="2">
        <v>0</v>
      </c>
      <c r="Q1" s="2">
        <v>4</v>
      </c>
    </row>
    <row r="12" spans="1:133" x14ac:dyDescent="0.2">
      <c r="A12" s="8">
        <v>1</v>
      </c>
      <c r="B12" s="8">
        <v>54</v>
      </c>
      <c r="C12" s="8">
        <v>0</v>
      </c>
      <c r="D12" s="8"/>
      <c r="E12" s="8">
        <v>0</v>
      </c>
      <c r="F12" s="8" t="s">
        <v>4</v>
      </c>
      <c r="G12" s="8" t="s">
        <v>5</v>
      </c>
      <c r="H12" s="8" t="s">
        <v>3</v>
      </c>
      <c r="I12" s="8">
        <v>0</v>
      </c>
      <c r="J12" s="8" t="s">
        <v>3</v>
      </c>
      <c r="K12" s="8">
        <v>0</v>
      </c>
      <c r="L12" s="8">
        <v>0</v>
      </c>
      <c r="M12" s="8">
        <v>523</v>
      </c>
      <c r="N12" s="8"/>
      <c r="O12" s="8">
        <v>0</v>
      </c>
      <c r="P12" s="8">
        <v>0</v>
      </c>
      <c r="Q12" s="8">
        <v>7</v>
      </c>
      <c r="R12" s="8">
        <v>0</v>
      </c>
      <c r="S12" s="8"/>
      <c r="T12" s="8">
        <v>4</v>
      </c>
      <c r="U12" s="8" t="s">
        <v>3</v>
      </c>
      <c r="V12" s="8">
        <v>0</v>
      </c>
      <c r="W12" s="8" t="s">
        <v>3</v>
      </c>
      <c r="X12" s="8" t="s">
        <v>3</v>
      </c>
      <c r="Y12" s="8" t="s">
        <v>3</v>
      </c>
      <c r="Z12" s="8" t="s">
        <v>3</v>
      </c>
      <c r="AA12" s="8" t="s">
        <v>3</v>
      </c>
      <c r="AB12" s="8" t="s">
        <v>3</v>
      </c>
      <c r="AC12" s="8" t="s">
        <v>3</v>
      </c>
      <c r="AD12" s="8" t="s">
        <v>3</v>
      </c>
      <c r="AE12" s="8" t="s">
        <v>3</v>
      </c>
      <c r="AF12" s="8" t="s">
        <v>3</v>
      </c>
      <c r="AG12" s="8" t="s">
        <v>3</v>
      </c>
      <c r="AH12" s="8" t="s">
        <v>3</v>
      </c>
      <c r="AI12" s="8" t="s">
        <v>3</v>
      </c>
      <c r="AJ12" s="8" t="s">
        <v>3</v>
      </c>
      <c r="AK12" s="8"/>
      <c r="AL12" s="8" t="s">
        <v>3</v>
      </c>
      <c r="AM12" s="8" t="s">
        <v>3</v>
      </c>
      <c r="AN12" s="8" t="s">
        <v>3</v>
      </c>
      <c r="AO12" s="8"/>
      <c r="AP12" s="8" t="s">
        <v>3</v>
      </c>
      <c r="AQ12" s="8" t="s">
        <v>3</v>
      </c>
      <c r="AR12" s="8" t="s">
        <v>3</v>
      </c>
      <c r="AS12" s="8"/>
      <c r="AT12" s="8"/>
      <c r="AU12" s="8"/>
      <c r="AV12" s="8"/>
      <c r="AW12" s="8"/>
      <c r="AX12" s="8" t="s">
        <v>3</v>
      </c>
      <c r="AY12" s="8" t="s">
        <v>3</v>
      </c>
      <c r="AZ12" s="8" t="s">
        <v>3</v>
      </c>
      <c r="BA12" s="8"/>
      <c r="BB12" s="8">
        <v>0</v>
      </c>
      <c r="BC12" s="8"/>
      <c r="BD12" s="8"/>
      <c r="BE12" s="8"/>
      <c r="BF12" s="8"/>
      <c r="BG12" s="8"/>
      <c r="BH12" s="8" t="s">
        <v>6</v>
      </c>
      <c r="BI12" s="8" t="s">
        <v>7</v>
      </c>
      <c r="BJ12" s="8">
        <v>1</v>
      </c>
      <c r="BK12" s="8">
        <v>1</v>
      </c>
      <c r="BL12" s="8">
        <v>0</v>
      </c>
      <c r="BM12" s="8">
        <v>0</v>
      </c>
      <c r="BN12" s="8">
        <v>1</v>
      </c>
      <c r="BO12" s="8">
        <v>0</v>
      </c>
      <c r="BP12" s="8">
        <v>6</v>
      </c>
      <c r="BQ12" s="8">
        <v>2</v>
      </c>
      <c r="BR12" s="8">
        <v>1</v>
      </c>
      <c r="BS12" s="8">
        <v>1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 t="s">
        <v>8</v>
      </c>
      <c r="BZ12" s="8" t="s">
        <v>9</v>
      </c>
      <c r="CA12" s="8" t="s">
        <v>10</v>
      </c>
      <c r="CB12" s="8" t="s">
        <v>10</v>
      </c>
      <c r="CC12" s="8" t="s">
        <v>10</v>
      </c>
      <c r="CD12" s="8" t="s">
        <v>10</v>
      </c>
      <c r="CE12" s="8" t="s">
        <v>11</v>
      </c>
      <c r="CF12" s="8">
        <v>0</v>
      </c>
      <c r="CG12" s="8">
        <v>0</v>
      </c>
      <c r="CH12" s="8">
        <v>487096328</v>
      </c>
      <c r="CI12" s="8" t="s">
        <v>3</v>
      </c>
      <c r="CJ12" s="8" t="s">
        <v>3</v>
      </c>
      <c r="CK12" s="8">
        <v>18</v>
      </c>
      <c r="CL12" s="8"/>
      <c r="CM12" s="8"/>
      <c r="CN12" s="8"/>
      <c r="CO12" s="8"/>
      <c r="CP12" s="8"/>
      <c r="CQ12" s="8" t="s">
        <v>12</v>
      </c>
      <c r="CR12" s="8" t="s">
        <v>13</v>
      </c>
      <c r="CS12" s="8">
        <v>46161</v>
      </c>
      <c r="CT12" s="8">
        <v>567</v>
      </c>
      <c r="CU12" s="8">
        <v>18</v>
      </c>
      <c r="CV12" s="8" t="s">
        <v>679</v>
      </c>
      <c r="CW12" s="8"/>
      <c r="CX12" s="8"/>
      <c r="CY12" s="8">
        <v>0</v>
      </c>
      <c r="CZ12" s="8" t="s">
        <v>3</v>
      </c>
      <c r="DA12" s="8" t="s">
        <v>3</v>
      </c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>
        <v>0</v>
      </c>
    </row>
    <row r="14" spans="1:133" x14ac:dyDescent="0.2">
      <c r="A14" s="8">
        <v>22</v>
      </c>
      <c r="B14" s="8">
        <v>1</v>
      </c>
      <c r="C14" s="8">
        <v>0</v>
      </c>
      <c r="D14" s="8">
        <v>94104265</v>
      </c>
      <c r="E14" s="8">
        <v>0</v>
      </c>
      <c r="F14" s="8">
        <v>2</v>
      </c>
      <c r="G14" s="8">
        <v>1</v>
      </c>
      <c r="H14" s="8"/>
      <c r="I14" s="8"/>
      <c r="J14" s="8"/>
      <c r="K14" s="8"/>
      <c r="L14" s="8"/>
      <c r="M14" s="8"/>
      <c r="N14" s="8"/>
      <c r="O14" s="8"/>
    </row>
    <row r="16" spans="1:133" x14ac:dyDescent="0.2">
      <c r="A16" s="9">
        <v>3</v>
      </c>
      <c r="B16" s="9">
        <v>1</v>
      </c>
      <c r="C16" s="9" t="s">
        <v>14</v>
      </c>
      <c r="D16" s="9" t="s">
        <v>14</v>
      </c>
      <c r="E16" s="10">
        <f>ROUND((Source!F412)/1000,2)</f>
        <v>491.62</v>
      </c>
      <c r="F16" s="10">
        <f>ROUND((Source!F413)/1000,2)</f>
        <v>0</v>
      </c>
      <c r="G16" s="10">
        <f>ROUND((Source!F404)/1000,2)</f>
        <v>0</v>
      </c>
      <c r="H16" s="10">
        <f>ROUND((Source!F414)/1000+(Source!F415)/1000,2)</f>
        <v>0</v>
      </c>
      <c r="I16" s="10">
        <f>E16+F16+G16+H16</f>
        <v>491.62</v>
      </c>
      <c r="J16" s="10">
        <f>ROUND((Source!F410+Source!F409)/1000,2)</f>
        <v>130.88999999999999</v>
      </c>
      <c r="K16" s="10">
        <v>455.66</v>
      </c>
      <c r="L16" s="10">
        <v>0</v>
      </c>
      <c r="M16" s="10">
        <v>0</v>
      </c>
      <c r="N16" s="10">
        <f>I16+L16+M16</f>
        <v>491.62</v>
      </c>
      <c r="AI16" s="9">
        <v>0</v>
      </c>
      <c r="AJ16" s="9">
        <v>0</v>
      </c>
      <c r="AK16" s="9" t="s">
        <v>3</v>
      </c>
      <c r="AL16" s="9" t="s">
        <v>3</v>
      </c>
      <c r="AM16" s="9" t="s">
        <v>3</v>
      </c>
      <c r="AN16" s="9">
        <v>0</v>
      </c>
      <c r="AO16" s="9" t="s">
        <v>3</v>
      </c>
      <c r="AP16" s="9" t="s">
        <v>3</v>
      </c>
      <c r="AT16" s="10">
        <v>302973.26</v>
      </c>
      <c r="AU16" s="10">
        <v>161397.82999999999</v>
      </c>
      <c r="AV16" s="10">
        <v>0</v>
      </c>
      <c r="AW16" s="10">
        <v>0</v>
      </c>
      <c r="AX16" s="10">
        <v>0</v>
      </c>
      <c r="AY16" s="10">
        <v>1980.22</v>
      </c>
      <c r="AZ16" s="10">
        <v>3708.5199999999995</v>
      </c>
      <c r="BA16" s="10">
        <v>127179.29000000001</v>
      </c>
      <c r="BB16" s="10">
        <v>491621</v>
      </c>
      <c r="BC16" s="10">
        <v>0</v>
      </c>
      <c r="BD16" s="10">
        <v>0</v>
      </c>
      <c r="BE16" s="10">
        <v>0</v>
      </c>
      <c r="BF16" s="10">
        <v>189.8517406</v>
      </c>
      <c r="BG16" s="10">
        <v>5.2866957000000001</v>
      </c>
      <c r="BH16" s="10">
        <v>0</v>
      </c>
      <c r="BI16" s="10">
        <v>123710.2</v>
      </c>
      <c r="BJ16" s="10">
        <v>64937.54</v>
      </c>
      <c r="BK16" s="10">
        <v>491621</v>
      </c>
    </row>
    <row r="18" spans="1:16" x14ac:dyDescent="0.2">
      <c r="A18" s="2">
        <v>51</v>
      </c>
      <c r="E18" s="2">
        <v>491.62</v>
      </c>
      <c r="F18" s="2">
        <v>0</v>
      </c>
      <c r="G18" s="2">
        <v>0</v>
      </c>
      <c r="H18" s="2">
        <v>0</v>
      </c>
      <c r="I18" s="2">
        <v>491.62</v>
      </c>
      <c r="J18" s="2">
        <v>130.88999999999999</v>
      </c>
      <c r="K18" s="2">
        <v>455.66</v>
      </c>
      <c r="L18" s="2">
        <v>0</v>
      </c>
      <c r="M18" s="2">
        <v>0</v>
      </c>
      <c r="N18" s="2">
        <v>491.62</v>
      </c>
    </row>
    <row r="20" spans="1:16" x14ac:dyDescent="0.2">
      <c r="A20" s="11">
        <v>50</v>
      </c>
      <c r="B20" s="11">
        <v>0</v>
      </c>
      <c r="C20" s="11">
        <v>0</v>
      </c>
      <c r="D20" s="11">
        <v>1</v>
      </c>
      <c r="E20" s="11">
        <v>201</v>
      </c>
      <c r="F20" s="11">
        <v>302973.26</v>
      </c>
      <c r="G20" s="11" t="s">
        <v>146</v>
      </c>
      <c r="H20" s="11" t="s">
        <v>147</v>
      </c>
      <c r="I20" s="11"/>
      <c r="J20" s="11"/>
      <c r="K20" s="11">
        <v>201</v>
      </c>
      <c r="L20" s="11">
        <v>1</v>
      </c>
      <c r="M20" s="11">
        <v>3</v>
      </c>
      <c r="N20" s="11" t="s">
        <v>3</v>
      </c>
      <c r="O20" s="11">
        <v>2</v>
      </c>
      <c r="P20" s="11"/>
    </row>
    <row r="21" spans="1:16" x14ac:dyDescent="0.2">
      <c r="A21" s="11">
        <v>50</v>
      </c>
      <c r="B21" s="11">
        <v>0</v>
      </c>
      <c r="C21" s="11">
        <v>0</v>
      </c>
      <c r="D21" s="11">
        <v>1</v>
      </c>
      <c r="E21" s="11">
        <v>202</v>
      </c>
      <c r="F21" s="11">
        <v>161397.82999999999</v>
      </c>
      <c r="G21" s="11" t="s">
        <v>148</v>
      </c>
      <c r="H21" s="11" t="s">
        <v>149</v>
      </c>
      <c r="I21" s="11"/>
      <c r="J21" s="11"/>
      <c r="K21" s="11">
        <v>202</v>
      </c>
      <c r="L21" s="11">
        <v>2</v>
      </c>
      <c r="M21" s="11">
        <v>3</v>
      </c>
      <c r="N21" s="11" t="s">
        <v>3</v>
      </c>
      <c r="O21" s="11">
        <v>2</v>
      </c>
      <c r="P21" s="11"/>
    </row>
    <row r="22" spans="1:16" x14ac:dyDescent="0.2">
      <c r="A22" s="11">
        <v>50</v>
      </c>
      <c r="B22" s="11">
        <v>0</v>
      </c>
      <c r="C22" s="11">
        <v>0</v>
      </c>
      <c r="D22" s="11">
        <v>1</v>
      </c>
      <c r="E22" s="11">
        <v>222</v>
      </c>
      <c r="F22" s="11">
        <v>0</v>
      </c>
      <c r="G22" s="11" t="s">
        <v>150</v>
      </c>
      <c r="H22" s="11" t="s">
        <v>151</v>
      </c>
      <c r="I22" s="11"/>
      <c r="J22" s="11"/>
      <c r="K22" s="11">
        <v>222</v>
      </c>
      <c r="L22" s="11">
        <v>3</v>
      </c>
      <c r="M22" s="11">
        <v>3</v>
      </c>
      <c r="N22" s="11" t="s">
        <v>3</v>
      </c>
      <c r="O22" s="11">
        <v>2</v>
      </c>
      <c r="P22" s="11"/>
    </row>
    <row r="23" spans="1:16" x14ac:dyDescent="0.2">
      <c r="A23" s="11">
        <v>50</v>
      </c>
      <c r="B23" s="11">
        <v>0</v>
      </c>
      <c r="C23" s="11">
        <v>0</v>
      </c>
      <c r="D23" s="11">
        <v>1</v>
      </c>
      <c r="E23" s="11">
        <v>225</v>
      </c>
      <c r="F23" s="11">
        <v>161397.82999999999</v>
      </c>
      <c r="G23" s="11" t="s">
        <v>152</v>
      </c>
      <c r="H23" s="11" t="s">
        <v>153</v>
      </c>
      <c r="I23" s="11"/>
      <c r="J23" s="11"/>
      <c r="K23" s="11">
        <v>225</v>
      </c>
      <c r="L23" s="11">
        <v>4</v>
      </c>
      <c r="M23" s="11">
        <v>3</v>
      </c>
      <c r="N23" s="11" t="s">
        <v>3</v>
      </c>
      <c r="O23" s="11">
        <v>2</v>
      </c>
      <c r="P23" s="11"/>
    </row>
    <row r="24" spans="1:16" x14ac:dyDescent="0.2">
      <c r="A24" s="11">
        <v>50</v>
      </c>
      <c r="B24" s="11">
        <v>0</v>
      </c>
      <c r="C24" s="11">
        <v>0</v>
      </c>
      <c r="D24" s="11">
        <v>1</v>
      </c>
      <c r="E24" s="11">
        <v>226</v>
      </c>
      <c r="F24" s="11">
        <v>161397.82999999999</v>
      </c>
      <c r="G24" s="11" t="s">
        <v>154</v>
      </c>
      <c r="H24" s="11" t="s">
        <v>155</v>
      </c>
      <c r="I24" s="11"/>
      <c r="J24" s="11"/>
      <c r="K24" s="11">
        <v>226</v>
      </c>
      <c r="L24" s="11">
        <v>5</v>
      </c>
      <c r="M24" s="11">
        <v>3</v>
      </c>
      <c r="N24" s="11" t="s">
        <v>3</v>
      </c>
      <c r="O24" s="11">
        <v>2</v>
      </c>
      <c r="P24" s="11"/>
    </row>
    <row r="25" spans="1:16" x14ac:dyDescent="0.2">
      <c r="A25" s="11">
        <v>50</v>
      </c>
      <c r="B25" s="11">
        <v>0</v>
      </c>
      <c r="C25" s="11">
        <v>0</v>
      </c>
      <c r="D25" s="11">
        <v>1</v>
      </c>
      <c r="E25" s="11">
        <v>227</v>
      </c>
      <c r="F25" s="11">
        <v>0</v>
      </c>
      <c r="G25" s="11" t="s">
        <v>156</v>
      </c>
      <c r="H25" s="11" t="s">
        <v>157</v>
      </c>
      <c r="I25" s="11"/>
      <c r="J25" s="11"/>
      <c r="K25" s="11">
        <v>227</v>
      </c>
      <c r="L25" s="11">
        <v>6</v>
      </c>
      <c r="M25" s="11">
        <v>3</v>
      </c>
      <c r="N25" s="11" t="s">
        <v>3</v>
      </c>
      <c r="O25" s="11">
        <v>2</v>
      </c>
      <c r="P25" s="11"/>
    </row>
    <row r="26" spans="1:16" x14ac:dyDescent="0.2">
      <c r="A26" s="11">
        <v>50</v>
      </c>
      <c r="B26" s="11">
        <v>0</v>
      </c>
      <c r="C26" s="11">
        <v>0</v>
      </c>
      <c r="D26" s="11">
        <v>1</v>
      </c>
      <c r="E26" s="11">
        <v>228</v>
      </c>
      <c r="F26" s="11">
        <v>161397.82999999999</v>
      </c>
      <c r="G26" s="11" t="s">
        <v>158</v>
      </c>
      <c r="H26" s="11" t="s">
        <v>159</v>
      </c>
      <c r="I26" s="11"/>
      <c r="J26" s="11"/>
      <c r="K26" s="11">
        <v>228</v>
      </c>
      <c r="L26" s="11">
        <v>7</v>
      </c>
      <c r="M26" s="11">
        <v>3</v>
      </c>
      <c r="N26" s="11" t="s">
        <v>3</v>
      </c>
      <c r="O26" s="11">
        <v>2</v>
      </c>
      <c r="P26" s="11"/>
    </row>
    <row r="27" spans="1:16" x14ac:dyDescent="0.2">
      <c r="A27" s="11">
        <v>50</v>
      </c>
      <c r="B27" s="11">
        <v>0</v>
      </c>
      <c r="C27" s="11">
        <v>0</v>
      </c>
      <c r="D27" s="11">
        <v>1</v>
      </c>
      <c r="E27" s="11">
        <v>216</v>
      </c>
      <c r="F27" s="11">
        <v>0</v>
      </c>
      <c r="G27" s="11" t="s">
        <v>160</v>
      </c>
      <c r="H27" s="11" t="s">
        <v>161</v>
      </c>
      <c r="I27" s="11"/>
      <c r="J27" s="11"/>
      <c r="K27" s="11">
        <v>216</v>
      </c>
      <c r="L27" s="11">
        <v>8</v>
      </c>
      <c r="M27" s="11">
        <v>3</v>
      </c>
      <c r="N27" s="11" t="s">
        <v>3</v>
      </c>
      <c r="O27" s="11">
        <v>2</v>
      </c>
      <c r="P27" s="11"/>
    </row>
    <row r="28" spans="1:16" x14ac:dyDescent="0.2">
      <c r="A28" s="11">
        <v>50</v>
      </c>
      <c r="B28" s="11">
        <v>0</v>
      </c>
      <c r="C28" s="11">
        <v>0</v>
      </c>
      <c r="D28" s="11">
        <v>1</v>
      </c>
      <c r="E28" s="11">
        <v>223</v>
      </c>
      <c r="F28" s="11">
        <v>0</v>
      </c>
      <c r="G28" s="11" t="s">
        <v>162</v>
      </c>
      <c r="H28" s="11" t="s">
        <v>163</v>
      </c>
      <c r="I28" s="11"/>
      <c r="J28" s="11"/>
      <c r="K28" s="11">
        <v>223</v>
      </c>
      <c r="L28" s="11">
        <v>9</v>
      </c>
      <c r="M28" s="11">
        <v>3</v>
      </c>
      <c r="N28" s="11" t="s">
        <v>3</v>
      </c>
      <c r="O28" s="11">
        <v>2</v>
      </c>
      <c r="P28" s="11"/>
    </row>
    <row r="29" spans="1:16" x14ac:dyDescent="0.2">
      <c r="A29" s="11">
        <v>50</v>
      </c>
      <c r="B29" s="11">
        <v>0</v>
      </c>
      <c r="C29" s="11">
        <v>0</v>
      </c>
      <c r="D29" s="11">
        <v>1</v>
      </c>
      <c r="E29" s="11">
        <v>229</v>
      </c>
      <c r="F29" s="11">
        <v>0</v>
      </c>
      <c r="G29" s="11" t="s">
        <v>164</v>
      </c>
      <c r="H29" s="11" t="s">
        <v>165</v>
      </c>
      <c r="I29" s="11"/>
      <c r="J29" s="11"/>
      <c r="K29" s="11">
        <v>229</v>
      </c>
      <c r="L29" s="11">
        <v>10</v>
      </c>
      <c r="M29" s="11">
        <v>3</v>
      </c>
      <c r="N29" s="11" t="s">
        <v>3</v>
      </c>
      <c r="O29" s="11">
        <v>2</v>
      </c>
      <c r="P29" s="11"/>
    </row>
    <row r="30" spans="1:16" x14ac:dyDescent="0.2">
      <c r="A30" s="11">
        <v>50</v>
      </c>
      <c r="B30" s="11">
        <v>0</v>
      </c>
      <c r="C30" s="11">
        <v>0</v>
      </c>
      <c r="D30" s="11">
        <v>1</v>
      </c>
      <c r="E30" s="11">
        <v>203</v>
      </c>
      <c r="F30" s="11">
        <v>1980.22</v>
      </c>
      <c r="G30" s="11" t="s">
        <v>166</v>
      </c>
      <c r="H30" s="11" t="s">
        <v>167</v>
      </c>
      <c r="I30" s="11"/>
      <c r="J30" s="11"/>
      <c r="K30" s="11">
        <v>203</v>
      </c>
      <c r="L30" s="11">
        <v>11</v>
      </c>
      <c r="M30" s="11">
        <v>3</v>
      </c>
      <c r="N30" s="11" t="s">
        <v>3</v>
      </c>
      <c r="O30" s="11">
        <v>2</v>
      </c>
      <c r="P30" s="11"/>
    </row>
    <row r="31" spans="1:16" x14ac:dyDescent="0.2">
      <c r="A31" s="11">
        <v>50</v>
      </c>
      <c r="B31" s="11">
        <v>0</v>
      </c>
      <c r="C31" s="11">
        <v>0</v>
      </c>
      <c r="D31" s="11">
        <v>1</v>
      </c>
      <c r="E31" s="11">
        <v>231</v>
      </c>
      <c r="F31" s="11">
        <v>0</v>
      </c>
      <c r="G31" s="11" t="s">
        <v>168</v>
      </c>
      <c r="H31" s="11" t="s">
        <v>169</v>
      </c>
      <c r="I31" s="11"/>
      <c r="J31" s="11"/>
      <c r="K31" s="11">
        <v>231</v>
      </c>
      <c r="L31" s="11">
        <v>12</v>
      </c>
      <c r="M31" s="11">
        <v>3</v>
      </c>
      <c r="N31" s="11" t="s">
        <v>3</v>
      </c>
      <c r="O31" s="11">
        <v>2</v>
      </c>
      <c r="P31" s="11"/>
    </row>
    <row r="32" spans="1:16" x14ac:dyDescent="0.2">
      <c r="A32" s="11">
        <v>50</v>
      </c>
      <c r="B32" s="11">
        <v>0</v>
      </c>
      <c r="C32" s="11">
        <v>0</v>
      </c>
      <c r="D32" s="11">
        <v>1</v>
      </c>
      <c r="E32" s="11">
        <v>204</v>
      </c>
      <c r="F32" s="11">
        <v>3708.5199999999995</v>
      </c>
      <c r="G32" s="11" t="s">
        <v>170</v>
      </c>
      <c r="H32" s="11" t="s">
        <v>171</v>
      </c>
      <c r="I32" s="11"/>
      <c r="J32" s="11"/>
      <c r="K32" s="11">
        <v>204</v>
      </c>
      <c r="L32" s="11">
        <v>13</v>
      </c>
      <c r="M32" s="11">
        <v>3</v>
      </c>
      <c r="N32" s="11" t="s">
        <v>3</v>
      </c>
      <c r="O32" s="11">
        <v>2</v>
      </c>
      <c r="P32" s="11"/>
    </row>
    <row r="33" spans="1:16" x14ac:dyDescent="0.2">
      <c r="A33" s="11">
        <v>50</v>
      </c>
      <c r="B33" s="11">
        <v>0</v>
      </c>
      <c r="C33" s="11">
        <v>0</v>
      </c>
      <c r="D33" s="11">
        <v>1</v>
      </c>
      <c r="E33" s="11">
        <v>205</v>
      </c>
      <c r="F33" s="11">
        <v>127179.29</v>
      </c>
      <c r="G33" s="11" t="s">
        <v>172</v>
      </c>
      <c r="H33" s="11" t="s">
        <v>173</v>
      </c>
      <c r="I33" s="11"/>
      <c r="J33" s="11"/>
      <c r="K33" s="11">
        <v>205</v>
      </c>
      <c r="L33" s="11">
        <v>14</v>
      </c>
      <c r="M33" s="11">
        <v>3</v>
      </c>
      <c r="N33" s="11" t="s">
        <v>3</v>
      </c>
      <c r="O33" s="11">
        <v>2</v>
      </c>
      <c r="P33" s="11"/>
    </row>
    <row r="34" spans="1:16" x14ac:dyDescent="0.2">
      <c r="A34" s="11">
        <v>50</v>
      </c>
      <c r="B34" s="11">
        <v>0</v>
      </c>
      <c r="C34" s="11">
        <v>0</v>
      </c>
      <c r="D34" s="11">
        <v>1</v>
      </c>
      <c r="E34" s="11">
        <v>232</v>
      </c>
      <c r="F34" s="11">
        <v>0</v>
      </c>
      <c r="G34" s="11" t="s">
        <v>174</v>
      </c>
      <c r="H34" s="11" t="s">
        <v>175</v>
      </c>
      <c r="I34" s="11"/>
      <c r="J34" s="11"/>
      <c r="K34" s="11">
        <v>232</v>
      </c>
      <c r="L34" s="11">
        <v>15</v>
      </c>
      <c r="M34" s="11">
        <v>3</v>
      </c>
      <c r="N34" s="11" t="s">
        <v>3</v>
      </c>
      <c r="O34" s="11">
        <v>2</v>
      </c>
      <c r="P34" s="11"/>
    </row>
    <row r="35" spans="1:16" x14ac:dyDescent="0.2">
      <c r="A35" s="11">
        <v>50</v>
      </c>
      <c r="B35" s="11">
        <v>0</v>
      </c>
      <c r="C35" s="11">
        <v>0</v>
      </c>
      <c r="D35" s="11">
        <v>1</v>
      </c>
      <c r="E35" s="11">
        <v>214</v>
      </c>
      <c r="F35" s="11">
        <v>491621</v>
      </c>
      <c r="G35" s="11" t="s">
        <v>176</v>
      </c>
      <c r="H35" s="11" t="s">
        <v>177</v>
      </c>
      <c r="I35" s="11"/>
      <c r="J35" s="11"/>
      <c r="K35" s="11">
        <v>214</v>
      </c>
      <c r="L35" s="11">
        <v>16</v>
      </c>
      <c r="M35" s="11">
        <v>3</v>
      </c>
      <c r="N35" s="11" t="s">
        <v>3</v>
      </c>
      <c r="O35" s="11">
        <v>2</v>
      </c>
      <c r="P35" s="11"/>
    </row>
    <row r="36" spans="1:16" x14ac:dyDescent="0.2">
      <c r="A36" s="11">
        <v>50</v>
      </c>
      <c r="B36" s="11">
        <v>0</v>
      </c>
      <c r="C36" s="11">
        <v>0</v>
      </c>
      <c r="D36" s="11">
        <v>1</v>
      </c>
      <c r="E36" s="11">
        <v>215</v>
      </c>
      <c r="F36" s="11">
        <v>0</v>
      </c>
      <c r="G36" s="11" t="s">
        <v>178</v>
      </c>
      <c r="H36" s="11" t="s">
        <v>179</v>
      </c>
      <c r="I36" s="11"/>
      <c r="J36" s="11"/>
      <c r="K36" s="11">
        <v>215</v>
      </c>
      <c r="L36" s="11">
        <v>17</v>
      </c>
      <c r="M36" s="11">
        <v>3</v>
      </c>
      <c r="N36" s="11" t="s">
        <v>3</v>
      </c>
      <c r="O36" s="11">
        <v>2</v>
      </c>
      <c r="P36" s="11"/>
    </row>
    <row r="37" spans="1:16" x14ac:dyDescent="0.2">
      <c r="A37" s="11">
        <v>50</v>
      </c>
      <c r="B37" s="11">
        <v>0</v>
      </c>
      <c r="C37" s="11">
        <v>0</v>
      </c>
      <c r="D37" s="11">
        <v>1</v>
      </c>
      <c r="E37" s="11">
        <v>217</v>
      </c>
      <c r="F37" s="11">
        <v>0</v>
      </c>
      <c r="G37" s="11" t="s">
        <v>180</v>
      </c>
      <c r="H37" s="11" t="s">
        <v>181</v>
      </c>
      <c r="I37" s="11"/>
      <c r="J37" s="11"/>
      <c r="K37" s="11">
        <v>217</v>
      </c>
      <c r="L37" s="11">
        <v>18</v>
      </c>
      <c r="M37" s="11">
        <v>3</v>
      </c>
      <c r="N37" s="11" t="s">
        <v>3</v>
      </c>
      <c r="O37" s="11">
        <v>2</v>
      </c>
      <c r="P37" s="11"/>
    </row>
    <row r="38" spans="1:16" x14ac:dyDescent="0.2">
      <c r="A38" s="11">
        <v>50</v>
      </c>
      <c r="B38" s="11">
        <v>0</v>
      </c>
      <c r="C38" s="11">
        <v>0</v>
      </c>
      <c r="D38" s="11">
        <v>1</v>
      </c>
      <c r="E38" s="11">
        <v>230</v>
      </c>
      <c r="F38" s="11">
        <v>0</v>
      </c>
      <c r="G38" s="11" t="s">
        <v>182</v>
      </c>
      <c r="H38" s="11" t="s">
        <v>183</v>
      </c>
      <c r="I38" s="11"/>
      <c r="J38" s="11"/>
      <c r="K38" s="11">
        <v>230</v>
      </c>
      <c r="L38" s="11">
        <v>19</v>
      </c>
      <c r="M38" s="11">
        <v>3</v>
      </c>
      <c r="N38" s="11" t="s">
        <v>3</v>
      </c>
      <c r="O38" s="11">
        <v>2</v>
      </c>
      <c r="P38" s="11"/>
    </row>
    <row r="39" spans="1:16" x14ac:dyDescent="0.2">
      <c r="A39" s="11">
        <v>50</v>
      </c>
      <c r="B39" s="11">
        <v>0</v>
      </c>
      <c r="C39" s="11">
        <v>0</v>
      </c>
      <c r="D39" s="11">
        <v>1</v>
      </c>
      <c r="E39" s="11">
        <v>206</v>
      </c>
      <c r="F39" s="11">
        <v>0</v>
      </c>
      <c r="G39" s="11" t="s">
        <v>184</v>
      </c>
      <c r="H39" s="11" t="s">
        <v>185</v>
      </c>
      <c r="I39" s="11"/>
      <c r="J39" s="11"/>
      <c r="K39" s="11">
        <v>206</v>
      </c>
      <c r="L39" s="11">
        <v>20</v>
      </c>
      <c r="M39" s="11">
        <v>3</v>
      </c>
      <c r="N39" s="11" t="s">
        <v>3</v>
      </c>
      <c r="O39" s="11">
        <v>2</v>
      </c>
      <c r="P39" s="11"/>
    </row>
    <row r="40" spans="1:16" x14ac:dyDescent="0.2">
      <c r="A40" s="11">
        <v>50</v>
      </c>
      <c r="B40" s="11">
        <v>0</v>
      </c>
      <c r="C40" s="11">
        <v>0</v>
      </c>
      <c r="D40" s="11">
        <v>1</v>
      </c>
      <c r="E40" s="11">
        <v>207</v>
      </c>
      <c r="F40" s="11">
        <v>189.8517406</v>
      </c>
      <c r="G40" s="11" t="s">
        <v>186</v>
      </c>
      <c r="H40" s="11" t="s">
        <v>187</v>
      </c>
      <c r="I40" s="11"/>
      <c r="J40" s="11"/>
      <c r="K40" s="11">
        <v>207</v>
      </c>
      <c r="L40" s="11">
        <v>21</v>
      </c>
      <c r="M40" s="11">
        <v>3</v>
      </c>
      <c r="N40" s="11" t="s">
        <v>3</v>
      </c>
      <c r="O40" s="11">
        <v>-1</v>
      </c>
      <c r="P40" s="11"/>
    </row>
    <row r="41" spans="1:16" x14ac:dyDescent="0.2">
      <c r="A41" s="11">
        <v>50</v>
      </c>
      <c r="B41" s="11">
        <v>0</v>
      </c>
      <c r="C41" s="11">
        <v>0</v>
      </c>
      <c r="D41" s="11">
        <v>1</v>
      </c>
      <c r="E41" s="11">
        <v>208</v>
      </c>
      <c r="F41" s="11">
        <v>5.2866957000000001</v>
      </c>
      <c r="G41" s="11" t="s">
        <v>188</v>
      </c>
      <c r="H41" s="11" t="s">
        <v>189</v>
      </c>
      <c r="I41" s="11"/>
      <c r="J41" s="11"/>
      <c r="K41" s="11">
        <v>208</v>
      </c>
      <c r="L41" s="11">
        <v>22</v>
      </c>
      <c r="M41" s="11">
        <v>3</v>
      </c>
      <c r="N41" s="11" t="s">
        <v>3</v>
      </c>
      <c r="O41" s="11">
        <v>-1</v>
      </c>
      <c r="P41" s="11"/>
    </row>
    <row r="42" spans="1:16" x14ac:dyDescent="0.2">
      <c r="A42" s="11">
        <v>50</v>
      </c>
      <c r="B42" s="11">
        <v>0</v>
      </c>
      <c r="C42" s="11">
        <v>0</v>
      </c>
      <c r="D42" s="11">
        <v>1</v>
      </c>
      <c r="E42" s="11">
        <v>209</v>
      </c>
      <c r="F42" s="11">
        <v>0</v>
      </c>
      <c r="G42" s="11" t="s">
        <v>190</v>
      </c>
      <c r="H42" s="11" t="s">
        <v>191</v>
      </c>
      <c r="I42" s="11"/>
      <c r="J42" s="11"/>
      <c r="K42" s="11">
        <v>209</v>
      </c>
      <c r="L42" s="11">
        <v>23</v>
      </c>
      <c r="M42" s="11">
        <v>3</v>
      </c>
      <c r="N42" s="11" t="s">
        <v>3</v>
      </c>
      <c r="O42" s="11">
        <v>2</v>
      </c>
      <c r="P42" s="11"/>
    </row>
    <row r="43" spans="1:16" x14ac:dyDescent="0.2">
      <c r="A43" s="11">
        <v>50</v>
      </c>
      <c r="B43" s="11">
        <v>0</v>
      </c>
      <c r="C43" s="11">
        <v>0</v>
      </c>
      <c r="D43" s="11">
        <v>1</v>
      </c>
      <c r="E43" s="11">
        <v>233</v>
      </c>
      <c r="F43" s="11">
        <v>8707.4</v>
      </c>
      <c r="G43" s="11" t="s">
        <v>192</v>
      </c>
      <c r="H43" s="11" t="s">
        <v>193</v>
      </c>
      <c r="I43" s="11"/>
      <c r="J43" s="11"/>
      <c r="K43" s="11">
        <v>233</v>
      </c>
      <c r="L43" s="11">
        <v>24</v>
      </c>
      <c r="M43" s="11">
        <v>3</v>
      </c>
      <c r="N43" s="11" t="s">
        <v>3</v>
      </c>
      <c r="O43" s="11">
        <v>2</v>
      </c>
      <c r="P43" s="11"/>
    </row>
    <row r="44" spans="1:16" x14ac:dyDescent="0.2">
      <c r="A44" s="11">
        <v>50</v>
      </c>
      <c r="B44" s="11">
        <v>0</v>
      </c>
      <c r="C44" s="11">
        <v>0</v>
      </c>
      <c r="D44" s="11">
        <v>1</v>
      </c>
      <c r="E44" s="11">
        <v>210</v>
      </c>
      <c r="F44" s="11">
        <v>123710.2</v>
      </c>
      <c r="G44" s="11" t="s">
        <v>194</v>
      </c>
      <c r="H44" s="11" t="s">
        <v>195</v>
      </c>
      <c r="I44" s="11"/>
      <c r="J44" s="11"/>
      <c r="K44" s="11">
        <v>210</v>
      </c>
      <c r="L44" s="11">
        <v>25</v>
      </c>
      <c r="M44" s="11">
        <v>3</v>
      </c>
      <c r="N44" s="11" t="s">
        <v>3</v>
      </c>
      <c r="O44" s="11">
        <v>2</v>
      </c>
      <c r="P44" s="11"/>
    </row>
    <row r="45" spans="1:16" x14ac:dyDescent="0.2">
      <c r="A45" s="11">
        <v>50</v>
      </c>
      <c r="B45" s="11">
        <v>0</v>
      </c>
      <c r="C45" s="11">
        <v>0</v>
      </c>
      <c r="D45" s="11">
        <v>1</v>
      </c>
      <c r="E45" s="11">
        <v>211</v>
      </c>
      <c r="F45" s="11">
        <v>64937.54</v>
      </c>
      <c r="G45" s="11" t="s">
        <v>196</v>
      </c>
      <c r="H45" s="11" t="s">
        <v>197</v>
      </c>
      <c r="I45" s="11"/>
      <c r="J45" s="11"/>
      <c r="K45" s="11">
        <v>211</v>
      </c>
      <c r="L45" s="11">
        <v>26</v>
      </c>
      <c r="M45" s="11">
        <v>3</v>
      </c>
      <c r="N45" s="11" t="s">
        <v>3</v>
      </c>
      <c r="O45" s="11">
        <v>2</v>
      </c>
      <c r="P45" s="11"/>
    </row>
    <row r="46" spans="1:16" x14ac:dyDescent="0.2">
      <c r="A46" s="11">
        <v>50</v>
      </c>
      <c r="B46" s="11">
        <v>0</v>
      </c>
      <c r="C46" s="11">
        <v>0</v>
      </c>
      <c r="D46" s="11">
        <v>1</v>
      </c>
      <c r="E46" s="11">
        <v>224</v>
      </c>
      <c r="F46" s="11">
        <v>491621</v>
      </c>
      <c r="G46" s="11" t="s">
        <v>198</v>
      </c>
      <c r="H46" s="11" t="s">
        <v>199</v>
      </c>
      <c r="I46" s="11"/>
      <c r="J46" s="11"/>
      <c r="K46" s="11">
        <v>224</v>
      </c>
      <c r="L46" s="11">
        <v>27</v>
      </c>
      <c r="M46" s="11">
        <v>3</v>
      </c>
      <c r="N46" s="11" t="s">
        <v>3</v>
      </c>
      <c r="O46" s="11">
        <v>2</v>
      </c>
      <c r="P46" s="11"/>
    </row>
    <row r="47" spans="1:16" x14ac:dyDescent="0.2">
      <c r="A47" s="11">
        <v>50</v>
      </c>
      <c r="B47" s="11">
        <v>1</v>
      </c>
      <c r="C47" s="11">
        <v>0</v>
      </c>
      <c r="D47" s="11">
        <v>2</v>
      </c>
      <c r="E47" s="11">
        <v>0</v>
      </c>
      <c r="F47" s="11">
        <v>491621</v>
      </c>
      <c r="G47" s="11" t="s">
        <v>200</v>
      </c>
      <c r="H47" s="11" t="s">
        <v>200</v>
      </c>
      <c r="I47" s="11"/>
      <c r="J47" s="11"/>
      <c r="K47" s="11">
        <v>212</v>
      </c>
      <c r="L47" s="11">
        <v>28</v>
      </c>
      <c r="M47" s="11">
        <v>0</v>
      </c>
      <c r="N47" s="11" t="s">
        <v>3</v>
      </c>
      <c r="O47" s="11">
        <v>2</v>
      </c>
      <c r="P47" s="11"/>
    </row>
    <row r="48" spans="1:16" x14ac:dyDescent="0.2">
      <c r="A48" s="11">
        <v>50</v>
      </c>
      <c r="B48" s="11">
        <v>1</v>
      </c>
      <c r="C48" s="11">
        <v>0</v>
      </c>
      <c r="D48" s="11">
        <v>2</v>
      </c>
      <c r="E48" s="11">
        <v>0</v>
      </c>
      <c r="F48" s="11">
        <v>108156.62</v>
      </c>
      <c r="G48" s="11" t="s">
        <v>201</v>
      </c>
      <c r="H48" s="11" t="s">
        <v>202</v>
      </c>
      <c r="I48" s="11"/>
      <c r="J48" s="11"/>
      <c r="K48" s="11">
        <v>212</v>
      </c>
      <c r="L48" s="11">
        <v>29</v>
      </c>
      <c r="M48" s="11">
        <v>0</v>
      </c>
      <c r="N48" s="11" t="s">
        <v>3</v>
      </c>
      <c r="O48" s="11">
        <v>2</v>
      </c>
      <c r="P48" s="11"/>
    </row>
    <row r="49" spans="1:50" x14ac:dyDescent="0.2">
      <c r="A49" s="11">
        <v>50</v>
      </c>
      <c r="B49" s="11">
        <v>1</v>
      </c>
      <c r="C49" s="11">
        <v>0</v>
      </c>
      <c r="D49" s="11">
        <v>2</v>
      </c>
      <c r="E49" s="11">
        <v>213</v>
      </c>
      <c r="F49" s="11">
        <v>599777.62</v>
      </c>
      <c r="G49" s="11" t="s">
        <v>203</v>
      </c>
      <c r="H49" s="11" t="s">
        <v>204</v>
      </c>
      <c r="I49" s="11"/>
      <c r="J49" s="11"/>
      <c r="K49" s="11">
        <v>212</v>
      </c>
      <c r="L49" s="11">
        <v>30</v>
      </c>
      <c r="M49" s="11">
        <v>0</v>
      </c>
      <c r="N49" s="11" t="s">
        <v>3</v>
      </c>
      <c r="O49" s="11">
        <v>2</v>
      </c>
      <c r="P49" s="11"/>
    </row>
    <row r="51" spans="1:50" x14ac:dyDescent="0.2">
      <c r="A51" s="2">
        <v>-1</v>
      </c>
    </row>
    <row r="54" spans="1:50" x14ac:dyDescent="0.2">
      <c r="A54" s="12">
        <v>75</v>
      </c>
      <c r="B54" s="12" t="s">
        <v>416</v>
      </c>
      <c r="C54" s="12">
        <v>2026</v>
      </c>
      <c r="D54" s="12">
        <v>2</v>
      </c>
      <c r="E54" s="12">
        <v>0</v>
      </c>
      <c r="F54" s="12">
        <v>1</v>
      </c>
      <c r="G54" s="12">
        <v>0</v>
      </c>
      <c r="H54" s="12">
        <v>1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2">
        <v>94104265</v>
      </c>
      <c r="O54" s="12">
        <v>1</v>
      </c>
    </row>
    <row r="55" spans="1:50" x14ac:dyDescent="0.2">
      <c r="A55" s="13">
        <v>2</v>
      </c>
      <c r="B55" s="13" t="s">
        <v>417</v>
      </c>
      <c r="C55" s="13" t="s">
        <v>418</v>
      </c>
      <c r="D55" s="13">
        <v>0</v>
      </c>
      <c r="E55" s="13">
        <v>0</v>
      </c>
      <c r="F55" s="13">
        <v>0</v>
      </c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>
        <v>94104266</v>
      </c>
    </row>
    <row r="56" spans="1:50" x14ac:dyDescent="0.2">
      <c r="A56" s="13">
        <v>1</v>
      </c>
      <c r="B56" s="13" t="s">
        <v>419</v>
      </c>
      <c r="C56" s="13" t="s">
        <v>420</v>
      </c>
      <c r="D56" s="13">
        <v>2026</v>
      </c>
      <c r="E56" s="13">
        <v>6</v>
      </c>
      <c r="F56" s="13">
        <v>1</v>
      </c>
      <c r="G56" s="13">
        <v>1</v>
      </c>
      <c r="H56" s="13">
        <v>0</v>
      </c>
      <c r="I56" s="13">
        <v>2</v>
      </c>
      <c r="J56" s="13">
        <v>1</v>
      </c>
      <c r="K56" s="13">
        <v>1</v>
      </c>
      <c r="L56" s="13">
        <v>1</v>
      </c>
      <c r="M56" s="13">
        <v>1</v>
      </c>
      <c r="N56" s="13">
        <v>1</v>
      </c>
      <c r="O56" s="13">
        <v>1</v>
      </c>
      <c r="P56" s="13">
        <v>1</v>
      </c>
      <c r="Q56" s="13">
        <v>1</v>
      </c>
      <c r="R56" s="13" t="s">
        <v>3</v>
      </c>
      <c r="S56" s="13" t="s">
        <v>3</v>
      </c>
      <c r="T56" s="13" t="s">
        <v>3</v>
      </c>
      <c r="U56" s="13" t="s">
        <v>3</v>
      </c>
      <c r="V56" s="13" t="s">
        <v>3</v>
      </c>
      <c r="W56" s="13" t="s">
        <v>3</v>
      </c>
      <c r="X56" s="13" t="s">
        <v>3</v>
      </c>
      <c r="Y56" s="13" t="s">
        <v>3</v>
      </c>
      <c r="Z56" s="13" t="s">
        <v>3</v>
      </c>
      <c r="AA56" s="13" t="s">
        <v>3</v>
      </c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>
        <v>94104267</v>
      </c>
      <c r="AO56" s="13" t="s">
        <v>421</v>
      </c>
      <c r="AP56" s="13" t="s">
        <v>422</v>
      </c>
      <c r="AQ56" s="13">
        <v>46164</v>
      </c>
      <c r="AR56" s="13">
        <v>417</v>
      </c>
      <c r="AS56" s="13" t="s">
        <v>423</v>
      </c>
      <c r="AT56" s="13" t="s">
        <v>3</v>
      </c>
      <c r="AU56" s="13" t="s">
        <v>422</v>
      </c>
      <c r="AV56" s="13">
        <v>45957</v>
      </c>
      <c r="AW56" s="13">
        <v>23615</v>
      </c>
      <c r="AX56" s="13" t="s">
        <v>424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27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ROW(Source!A28)</f>
        <v>28</v>
      </c>
      <c r="B1">
        <v>94104265</v>
      </c>
      <c r="C1">
        <v>89966397</v>
      </c>
      <c r="D1">
        <v>37069968</v>
      </c>
      <c r="E1">
        <v>117</v>
      </c>
      <c r="F1">
        <v>1</v>
      </c>
      <c r="G1">
        <v>1</v>
      </c>
      <c r="H1">
        <v>1</v>
      </c>
      <c r="I1" t="s">
        <v>426</v>
      </c>
      <c r="J1" t="s">
        <v>3</v>
      </c>
      <c r="K1" t="s">
        <v>427</v>
      </c>
      <c r="L1">
        <v>1191</v>
      </c>
      <c r="N1">
        <v>1013</v>
      </c>
      <c r="O1" t="s">
        <v>428</v>
      </c>
      <c r="P1" t="s">
        <v>428</v>
      </c>
      <c r="Q1">
        <v>1</v>
      </c>
      <c r="W1">
        <v>0</v>
      </c>
      <c r="X1">
        <v>-907905829</v>
      </c>
      <c r="Y1">
        <f t="shared" ref="Y1:Y32" si="0">AT1</f>
        <v>78.739999999999995</v>
      </c>
      <c r="AA1">
        <v>0</v>
      </c>
      <c r="AB1">
        <v>0</v>
      </c>
      <c r="AC1">
        <v>0</v>
      </c>
      <c r="AD1">
        <v>630.44000000000005</v>
      </c>
      <c r="AE1">
        <v>0</v>
      </c>
      <c r="AF1">
        <v>0</v>
      </c>
      <c r="AG1">
        <v>0</v>
      </c>
      <c r="AH1">
        <v>630.44000000000005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0</v>
      </c>
      <c r="AQ1">
        <v>1</v>
      </c>
      <c r="AR1">
        <v>0</v>
      </c>
      <c r="AS1" t="s">
        <v>3</v>
      </c>
      <c r="AT1">
        <v>78.739999999999995</v>
      </c>
      <c r="AU1" t="s">
        <v>3</v>
      </c>
      <c r="AV1">
        <v>1</v>
      </c>
      <c r="AW1">
        <v>2</v>
      </c>
      <c r="AX1">
        <v>89966402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49640.845600000001</v>
      </c>
      <c r="BN1">
        <v>78.739999999999995</v>
      </c>
      <c r="BO1">
        <v>0</v>
      </c>
      <c r="BP1">
        <v>1</v>
      </c>
      <c r="BQ1">
        <v>0</v>
      </c>
      <c r="BR1">
        <v>0</v>
      </c>
      <c r="BS1">
        <v>0</v>
      </c>
      <c r="BT1">
        <v>49640.845600000001</v>
      </c>
      <c r="BU1">
        <v>78.739999999999995</v>
      </c>
      <c r="BV1">
        <v>0</v>
      </c>
      <c r="BW1">
        <v>1</v>
      </c>
      <c r="CU1">
        <f>ROUND(AT1*Source!I28*AH1*AL1,2)</f>
        <v>1265.8399999999999</v>
      </c>
      <c r="CV1">
        <f>ROUND(Y1*Source!I28,7)</f>
        <v>2.00787</v>
      </c>
      <c r="CW1">
        <v>0</v>
      </c>
      <c r="CX1">
        <f>ROUND(Y1*Source!I28,7)</f>
        <v>2.00787</v>
      </c>
      <c r="CY1">
        <f>AD1</f>
        <v>630.44000000000005</v>
      </c>
      <c r="CZ1">
        <f>AH1</f>
        <v>630.44000000000005</v>
      </c>
      <c r="DA1">
        <f>AL1</f>
        <v>1</v>
      </c>
      <c r="DB1">
        <f t="shared" ref="DB1:DB32" si="1">ROUND(ROUND(AT1*CZ1,2),6)</f>
        <v>49640.85</v>
      </c>
      <c r="DC1">
        <f t="shared" ref="DC1:DC32" si="2">ROUND(ROUND(AT1*AG1,2),6)</f>
        <v>0</v>
      </c>
      <c r="DD1" t="s">
        <v>3</v>
      </c>
      <c r="DE1" t="s">
        <v>3</v>
      </c>
      <c r="DF1">
        <f t="shared" ref="DF1:DF8" si="3">ROUND(ROUND(AE1,2)*CX1,2)</f>
        <v>0</v>
      </c>
      <c r="DG1">
        <f>ROUND(ROUND(AF1,2)*CX1,2)</f>
        <v>0</v>
      </c>
      <c r="DH1">
        <f t="shared" ref="DH1:DH64" si="4">ROUND(ROUND(AG1,2)*CX1,2)</f>
        <v>0</v>
      </c>
      <c r="DI1">
        <f t="shared" ref="DI1:DI64" si="5">ROUND(ROUND(AH1,2)*CX1,2)</f>
        <v>1265.8399999999999</v>
      </c>
      <c r="DJ1">
        <f>DI1</f>
        <v>1265.8399999999999</v>
      </c>
      <c r="DK1">
        <v>0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ROW(Source!A28)</f>
        <v>28</v>
      </c>
      <c r="B2">
        <v>94104265</v>
      </c>
      <c r="C2">
        <v>89966397</v>
      </c>
      <c r="D2">
        <v>37064876</v>
      </c>
      <c r="E2">
        <v>117</v>
      </c>
      <c r="F2">
        <v>1</v>
      </c>
      <c r="G2">
        <v>1</v>
      </c>
      <c r="H2">
        <v>1</v>
      </c>
      <c r="I2" t="s">
        <v>429</v>
      </c>
      <c r="J2" t="s">
        <v>3</v>
      </c>
      <c r="K2" t="s">
        <v>430</v>
      </c>
      <c r="L2">
        <v>1191</v>
      </c>
      <c r="N2">
        <v>1013</v>
      </c>
      <c r="O2" t="s">
        <v>428</v>
      </c>
      <c r="P2" t="s">
        <v>428</v>
      </c>
      <c r="Q2">
        <v>1</v>
      </c>
      <c r="W2">
        <v>0</v>
      </c>
      <c r="X2">
        <v>-1417349443</v>
      </c>
      <c r="Y2">
        <f t="shared" si="0"/>
        <v>0.79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0</v>
      </c>
      <c r="AP2">
        <v>0</v>
      </c>
      <c r="AQ2">
        <v>1</v>
      </c>
      <c r="AR2">
        <v>0</v>
      </c>
      <c r="AS2" t="s">
        <v>3</v>
      </c>
      <c r="AT2">
        <v>0.79</v>
      </c>
      <c r="AU2" t="s">
        <v>3</v>
      </c>
      <c r="AV2">
        <v>2</v>
      </c>
      <c r="AW2">
        <v>2</v>
      </c>
      <c r="AX2">
        <v>89966403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ROUND(Y2*Source!I28,7)</f>
        <v>2.0145E-2</v>
      </c>
      <c r="CY2">
        <f>AD2</f>
        <v>0</v>
      </c>
      <c r="CZ2">
        <f>AH2</f>
        <v>0</v>
      </c>
      <c r="DA2">
        <f>AL2</f>
        <v>1</v>
      </c>
      <c r="DB2">
        <f t="shared" si="1"/>
        <v>0</v>
      </c>
      <c r="DC2">
        <f t="shared" si="2"/>
        <v>0</v>
      </c>
      <c r="DD2" t="s">
        <v>3</v>
      </c>
      <c r="DE2" t="s">
        <v>3</v>
      </c>
      <c r="DF2">
        <f t="shared" si="3"/>
        <v>0</v>
      </c>
      <c r="DG2">
        <f>ROUND(ROUND(AF2,2)*CX2,2)</f>
        <v>0</v>
      </c>
      <c r="DH2">
        <f t="shared" si="4"/>
        <v>0</v>
      </c>
      <c r="DI2">
        <f t="shared" si="5"/>
        <v>0</v>
      </c>
      <c r="DJ2">
        <f>DI2</f>
        <v>0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ROW(Source!A28)</f>
        <v>28</v>
      </c>
      <c r="B3">
        <v>94104265</v>
      </c>
      <c r="C3">
        <v>89966397</v>
      </c>
      <c r="D3">
        <v>87236625</v>
      </c>
      <c r="E3">
        <v>1</v>
      </c>
      <c r="F3">
        <v>1</v>
      </c>
      <c r="G3">
        <v>1</v>
      </c>
      <c r="H3">
        <v>2</v>
      </c>
      <c r="I3" t="s">
        <v>431</v>
      </c>
      <c r="J3" t="s">
        <v>432</v>
      </c>
      <c r="K3" t="s">
        <v>433</v>
      </c>
      <c r="L3">
        <v>1368</v>
      </c>
      <c r="N3">
        <v>1011</v>
      </c>
      <c r="O3" t="s">
        <v>434</v>
      </c>
      <c r="P3" t="s">
        <v>434</v>
      </c>
      <c r="Q3">
        <v>1</v>
      </c>
      <c r="W3">
        <v>0</v>
      </c>
      <c r="X3">
        <v>945201097</v>
      </c>
      <c r="Y3">
        <f t="shared" si="0"/>
        <v>0.79</v>
      </c>
      <c r="AA3">
        <v>0</v>
      </c>
      <c r="AB3">
        <v>58.59</v>
      </c>
      <c r="AC3">
        <v>649.24</v>
      </c>
      <c r="AD3">
        <v>0</v>
      </c>
      <c r="AE3">
        <v>0</v>
      </c>
      <c r="AF3">
        <v>37.32</v>
      </c>
      <c r="AG3">
        <v>649.24</v>
      </c>
      <c r="AH3">
        <v>0</v>
      </c>
      <c r="AI3">
        <v>1</v>
      </c>
      <c r="AJ3">
        <v>1.57</v>
      </c>
      <c r="AK3">
        <v>1</v>
      </c>
      <c r="AL3">
        <v>1</v>
      </c>
      <c r="AM3">
        <v>2</v>
      </c>
      <c r="AN3">
        <v>0</v>
      </c>
      <c r="AO3">
        <v>0</v>
      </c>
      <c r="AP3">
        <v>0</v>
      </c>
      <c r="AQ3">
        <v>1</v>
      </c>
      <c r="AR3">
        <v>0</v>
      </c>
      <c r="AS3" t="s">
        <v>3</v>
      </c>
      <c r="AT3">
        <v>0.79</v>
      </c>
      <c r="AU3" t="s">
        <v>3</v>
      </c>
      <c r="AV3">
        <v>1</v>
      </c>
      <c r="AW3">
        <v>2</v>
      </c>
      <c r="AX3">
        <v>89966404</v>
      </c>
      <c r="AY3">
        <v>2</v>
      </c>
      <c r="AZ3">
        <v>65536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29.482800000000001</v>
      </c>
      <c r="BL3">
        <v>512.89960000000008</v>
      </c>
      <c r="BM3">
        <v>0</v>
      </c>
      <c r="BN3">
        <v>0</v>
      </c>
      <c r="BO3">
        <v>0.79</v>
      </c>
      <c r="BP3">
        <v>1</v>
      </c>
      <c r="BQ3">
        <v>0</v>
      </c>
      <c r="BR3">
        <v>29.482800000000001</v>
      </c>
      <c r="BS3">
        <v>512.89960000000008</v>
      </c>
      <c r="BT3">
        <v>0</v>
      </c>
      <c r="BU3">
        <v>0</v>
      </c>
      <c r="BV3">
        <v>0.79</v>
      </c>
      <c r="BW3">
        <v>1</v>
      </c>
      <c r="CV3">
        <v>0</v>
      </c>
      <c r="CW3">
        <f>ROUND(Y3*Source!I28*DO3,7)</f>
        <v>2.0145E-2</v>
      </c>
      <c r="CX3">
        <f>ROUND(Y3*Source!I28,7)</f>
        <v>2.0145E-2</v>
      </c>
      <c r="CY3">
        <f>AB3</f>
        <v>58.59</v>
      </c>
      <c r="CZ3">
        <f>AF3</f>
        <v>37.32</v>
      </c>
      <c r="DA3">
        <f>AJ3</f>
        <v>1.57</v>
      </c>
      <c r="DB3">
        <f t="shared" si="1"/>
        <v>29.48</v>
      </c>
      <c r="DC3">
        <f t="shared" si="2"/>
        <v>512.9</v>
      </c>
      <c r="DD3" t="s">
        <v>3</v>
      </c>
      <c r="DE3" t="s">
        <v>3</v>
      </c>
      <c r="DF3">
        <f t="shared" si="3"/>
        <v>0</v>
      </c>
      <c r="DG3">
        <f>ROUND(ROUND(AF3*AJ3,2)*CX3,2)</f>
        <v>1.18</v>
      </c>
      <c r="DH3">
        <f t="shared" si="4"/>
        <v>13.08</v>
      </c>
      <c r="DI3">
        <f t="shared" si="5"/>
        <v>0</v>
      </c>
      <c r="DJ3">
        <f>DG3+DH3</f>
        <v>14.26</v>
      </c>
      <c r="DK3">
        <v>0</v>
      </c>
      <c r="DL3" t="s">
        <v>435</v>
      </c>
      <c r="DM3">
        <v>3</v>
      </c>
      <c r="DN3" t="s">
        <v>428</v>
      </c>
      <c r="DO3">
        <v>1</v>
      </c>
    </row>
    <row r="4" spans="1:119" x14ac:dyDescent="0.2">
      <c r="A4">
        <f>ROW(Source!A28)</f>
        <v>28</v>
      </c>
      <c r="B4">
        <v>94104265</v>
      </c>
      <c r="C4">
        <v>89966397</v>
      </c>
      <c r="D4">
        <v>87235788</v>
      </c>
      <c r="E4">
        <v>117</v>
      </c>
      <c r="F4">
        <v>1</v>
      </c>
      <c r="G4">
        <v>1</v>
      </c>
      <c r="H4">
        <v>3</v>
      </c>
      <c r="I4" t="s">
        <v>28</v>
      </c>
      <c r="J4" t="s">
        <v>3</v>
      </c>
      <c r="K4" t="s">
        <v>29</v>
      </c>
      <c r="L4">
        <v>1348</v>
      </c>
      <c r="N4">
        <v>1009</v>
      </c>
      <c r="O4" t="s">
        <v>30</v>
      </c>
      <c r="P4" t="s">
        <v>30</v>
      </c>
      <c r="Q4">
        <v>1000</v>
      </c>
      <c r="W4">
        <v>0</v>
      </c>
      <c r="X4">
        <v>2102561428</v>
      </c>
      <c r="Y4">
        <f t="shared" si="0"/>
        <v>4.3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1</v>
      </c>
      <c r="AK4">
        <v>1</v>
      </c>
      <c r="AL4">
        <v>1</v>
      </c>
      <c r="AM4">
        <v>-2</v>
      </c>
      <c r="AN4">
        <v>0</v>
      </c>
      <c r="AO4">
        <v>0</v>
      </c>
      <c r="AP4">
        <v>0</v>
      </c>
      <c r="AQ4">
        <v>0</v>
      </c>
      <c r="AR4">
        <v>0</v>
      </c>
      <c r="AS4" t="s">
        <v>3</v>
      </c>
      <c r="AT4">
        <v>4.3</v>
      </c>
      <c r="AU4" t="s">
        <v>3</v>
      </c>
      <c r="AV4">
        <v>0</v>
      </c>
      <c r="AW4">
        <v>2</v>
      </c>
      <c r="AX4">
        <v>89966405</v>
      </c>
      <c r="AY4">
        <v>1</v>
      </c>
      <c r="AZ4">
        <v>0</v>
      </c>
      <c r="BA4">
        <v>4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V4">
        <v>0</v>
      </c>
      <c r="CW4">
        <v>0</v>
      </c>
      <c r="CX4">
        <f>ROUND(Y4*Source!I28,7)</f>
        <v>0.10965</v>
      </c>
      <c r="CY4">
        <f>AA4</f>
        <v>0</v>
      </c>
      <c r="CZ4">
        <f>AE4</f>
        <v>0</v>
      </c>
      <c r="DA4">
        <f>AI4</f>
        <v>1</v>
      </c>
      <c r="DB4">
        <f t="shared" si="1"/>
        <v>0</v>
      </c>
      <c r="DC4">
        <f t="shared" si="2"/>
        <v>0</v>
      </c>
      <c r="DD4" t="s">
        <v>3</v>
      </c>
      <c r="DE4" t="s">
        <v>3</v>
      </c>
      <c r="DF4">
        <f t="shared" si="3"/>
        <v>0</v>
      </c>
      <c r="DG4">
        <f>ROUND(ROUND(AF4,2)*CX4,2)</f>
        <v>0</v>
      </c>
      <c r="DH4">
        <f t="shared" si="4"/>
        <v>0</v>
      </c>
      <c r="DI4">
        <f t="shared" si="5"/>
        <v>0</v>
      </c>
      <c r="DJ4">
        <f>DF4</f>
        <v>0</v>
      </c>
      <c r="DK4">
        <v>0</v>
      </c>
      <c r="DL4" t="s">
        <v>3</v>
      </c>
      <c r="DM4">
        <v>0</v>
      </c>
      <c r="DN4" t="s">
        <v>3</v>
      </c>
      <c r="DO4">
        <v>0</v>
      </c>
    </row>
    <row r="5" spans="1:119" x14ac:dyDescent="0.2">
      <c r="A5">
        <f>ROW(Source!A30)</f>
        <v>30</v>
      </c>
      <c r="B5">
        <v>94104265</v>
      </c>
      <c r="C5">
        <v>89966483</v>
      </c>
      <c r="D5">
        <v>87229755</v>
      </c>
      <c r="E5">
        <v>117</v>
      </c>
      <c r="F5">
        <v>1</v>
      </c>
      <c r="G5">
        <v>1</v>
      </c>
      <c r="H5">
        <v>1</v>
      </c>
      <c r="I5" t="s">
        <v>436</v>
      </c>
      <c r="J5" t="s">
        <v>3</v>
      </c>
      <c r="K5" t="s">
        <v>437</v>
      </c>
      <c r="L5">
        <v>1191</v>
      </c>
      <c r="N5">
        <v>1013</v>
      </c>
      <c r="O5" t="s">
        <v>428</v>
      </c>
      <c r="P5" t="s">
        <v>428</v>
      </c>
      <c r="Q5">
        <v>1</v>
      </c>
      <c r="W5">
        <v>0</v>
      </c>
      <c r="X5">
        <v>-1833565283</v>
      </c>
      <c r="Y5">
        <f t="shared" si="0"/>
        <v>19.809999999999999</v>
      </c>
      <c r="AA5">
        <v>0</v>
      </c>
      <c r="AB5">
        <v>0</v>
      </c>
      <c r="AC5">
        <v>0</v>
      </c>
      <c r="AD5">
        <v>649.24</v>
      </c>
      <c r="AE5">
        <v>0</v>
      </c>
      <c r="AF5">
        <v>0</v>
      </c>
      <c r="AG5">
        <v>0</v>
      </c>
      <c r="AH5">
        <v>649.24</v>
      </c>
      <c r="AI5">
        <v>1</v>
      </c>
      <c r="AJ5">
        <v>1</v>
      </c>
      <c r="AK5">
        <v>1</v>
      </c>
      <c r="AL5">
        <v>1</v>
      </c>
      <c r="AM5">
        <v>-2</v>
      </c>
      <c r="AN5">
        <v>0</v>
      </c>
      <c r="AO5">
        <v>0</v>
      </c>
      <c r="AP5">
        <v>0</v>
      </c>
      <c r="AQ5">
        <v>1</v>
      </c>
      <c r="AR5">
        <v>0</v>
      </c>
      <c r="AS5" t="s">
        <v>3</v>
      </c>
      <c r="AT5">
        <v>19.809999999999999</v>
      </c>
      <c r="AU5" t="s">
        <v>3</v>
      </c>
      <c r="AV5">
        <v>1</v>
      </c>
      <c r="AW5">
        <v>2</v>
      </c>
      <c r="AX5">
        <v>89966484</v>
      </c>
      <c r="AY5">
        <v>2</v>
      </c>
      <c r="AZ5">
        <v>131072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12861.444399999998</v>
      </c>
      <c r="BN5">
        <v>19.809999999999999</v>
      </c>
      <c r="BO5">
        <v>0</v>
      </c>
      <c r="BP5">
        <v>1</v>
      </c>
      <c r="BQ5">
        <v>0</v>
      </c>
      <c r="BR5">
        <v>0</v>
      </c>
      <c r="BS5">
        <v>0</v>
      </c>
      <c r="BT5">
        <v>12861.444399999998</v>
      </c>
      <c r="BU5">
        <v>19.809999999999999</v>
      </c>
      <c r="BV5">
        <v>0</v>
      </c>
      <c r="BW5">
        <v>1</v>
      </c>
      <c r="CU5">
        <f>ROUND(AT5*Source!I30*AH5*AL5,2)</f>
        <v>1929.22</v>
      </c>
      <c r="CV5">
        <f>ROUND(Y5*Source!I30,7)</f>
        <v>2.9714999999999998</v>
      </c>
      <c r="CW5">
        <v>0</v>
      </c>
      <c r="CX5">
        <f>ROUND(Y5*Source!I30,7)</f>
        <v>2.9714999999999998</v>
      </c>
      <c r="CY5">
        <f>AD5</f>
        <v>649.24</v>
      </c>
      <c r="CZ5">
        <f>AH5</f>
        <v>649.24</v>
      </c>
      <c r="DA5">
        <f>AL5</f>
        <v>1</v>
      </c>
      <c r="DB5">
        <f t="shared" si="1"/>
        <v>12861.44</v>
      </c>
      <c r="DC5">
        <f t="shared" si="2"/>
        <v>0</v>
      </c>
      <c r="DD5" t="s">
        <v>3</v>
      </c>
      <c r="DE5" t="s">
        <v>3</v>
      </c>
      <c r="DF5">
        <f t="shared" si="3"/>
        <v>0</v>
      </c>
      <c r="DG5">
        <f>ROUND(ROUND(AF5,2)*CX5,2)</f>
        <v>0</v>
      </c>
      <c r="DH5">
        <f t="shared" si="4"/>
        <v>0</v>
      </c>
      <c r="DI5">
        <f t="shared" si="5"/>
        <v>1929.22</v>
      </c>
      <c r="DJ5">
        <f>DI5</f>
        <v>1929.22</v>
      </c>
      <c r="DK5">
        <v>1</v>
      </c>
      <c r="DL5" t="s">
        <v>3</v>
      </c>
      <c r="DM5">
        <v>0</v>
      </c>
      <c r="DN5" t="s">
        <v>3</v>
      </c>
      <c r="DO5">
        <v>0</v>
      </c>
    </row>
    <row r="6" spans="1:119" x14ac:dyDescent="0.2">
      <c r="A6">
        <f>ROW(Source!A30)</f>
        <v>30</v>
      </c>
      <c r="B6">
        <v>94104265</v>
      </c>
      <c r="C6">
        <v>89966483</v>
      </c>
      <c r="D6">
        <v>87237491</v>
      </c>
      <c r="E6">
        <v>1</v>
      </c>
      <c r="F6">
        <v>1</v>
      </c>
      <c r="G6">
        <v>1</v>
      </c>
      <c r="H6">
        <v>2</v>
      </c>
      <c r="I6" t="s">
        <v>438</v>
      </c>
      <c r="J6" t="s">
        <v>439</v>
      </c>
      <c r="K6" t="s">
        <v>440</v>
      </c>
      <c r="L6">
        <v>1368</v>
      </c>
      <c r="N6">
        <v>1011</v>
      </c>
      <c r="O6" t="s">
        <v>434</v>
      </c>
      <c r="P6" t="s">
        <v>434</v>
      </c>
      <c r="Q6">
        <v>1</v>
      </c>
      <c r="W6">
        <v>0</v>
      </c>
      <c r="X6">
        <v>-880363394</v>
      </c>
      <c r="Y6">
        <f t="shared" si="0"/>
        <v>2.36</v>
      </c>
      <c r="AA6">
        <v>0</v>
      </c>
      <c r="AB6">
        <v>5.35</v>
      </c>
      <c r="AC6">
        <v>0</v>
      </c>
      <c r="AD6">
        <v>0</v>
      </c>
      <c r="AE6">
        <v>0</v>
      </c>
      <c r="AF6">
        <v>4.3499999999999996</v>
      </c>
      <c r="AG6">
        <v>0</v>
      </c>
      <c r="AH6">
        <v>0</v>
      </c>
      <c r="AI6">
        <v>1</v>
      </c>
      <c r="AJ6">
        <v>1.23</v>
      </c>
      <c r="AK6">
        <v>1</v>
      </c>
      <c r="AL6">
        <v>1</v>
      </c>
      <c r="AM6">
        <v>2</v>
      </c>
      <c r="AN6">
        <v>0</v>
      </c>
      <c r="AO6">
        <v>0</v>
      </c>
      <c r="AP6">
        <v>0</v>
      </c>
      <c r="AQ6">
        <v>1</v>
      </c>
      <c r="AR6">
        <v>0</v>
      </c>
      <c r="AS6" t="s">
        <v>3</v>
      </c>
      <c r="AT6">
        <v>2.36</v>
      </c>
      <c r="AU6" t="s">
        <v>3</v>
      </c>
      <c r="AV6">
        <v>1</v>
      </c>
      <c r="AW6">
        <v>2</v>
      </c>
      <c r="AX6">
        <v>89966485</v>
      </c>
      <c r="AY6">
        <v>1</v>
      </c>
      <c r="AZ6">
        <v>0</v>
      </c>
      <c r="BA6">
        <v>6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10.265999999999998</v>
      </c>
      <c r="BL6">
        <v>0</v>
      </c>
      <c r="BM6">
        <v>0</v>
      </c>
      <c r="BN6">
        <v>0</v>
      </c>
      <c r="BO6">
        <v>0</v>
      </c>
      <c r="BP6">
        <v>1</v>
      </c>
      <c r="BQ6">
        <v>0</v>
      </c>
      <c r="BR6">
        <v>10.265999999999998</v>
      </c>
      <c r="BS6">
        <v>0</v>
      </c>
      <c r="BT6">
        <v>0</v>
      </c>
      <c r="BU6">
        <v>0</v>
      </c>
      <c r="BV6">
        <v>0</v>
      </c>
      <c r="BW6">
        <v>1</v>
      </c>
      <c r="CV6">
        <v>0</v>
      </c>
      <c r="CW6">
        <f>ROUND(Y6*Source!I30*DO6,7)</f>
        <v>0</v>
      </c>
      <c r="CX6">
        <f>ROUND(Y6*Source!I30,7)</f>
        <v>0.35399999999999998</v>
      </c>
      <c r="CY6">
        <f>AB6</f>
        <v>5.35</v>
      </c>
      <c r="CZ6">
        <f>AF6</f>
        <v>4.3499999999999996</v>
      </c>
      <c r="DA6">
        <f>AJ6</f>
        <v>1.23</v>
      </c>
      <c r="DB6">
        <f t="shared" si="1"/>
        <v>10.27</v>
      </c>
      <c r="DC6">
        <f t="shared" si="2"/>
        <v>0</v>
      </c>
      <c r="DD6" t="s">
        <v>3</v>
      </c>
      <c r="DE6" t="s">
        <v>3</v>
      </c>
      <c r="DF6">
        <f t="shared" si="3"/>
        <v>0</v>
      </c>
      <c r="DG6">
        <f>ROUND(ROUND(AF6*AJ6,2)*CX6,2)</f>
        <v>1.89</v>
      </c>
      <c r="DH6">
        <f t="shared" si="4"/>
        <v>0</v>
      </c>
      <c r="DI6">
        <f t="shared" si="5"/>
        <v>0</v>
      </c>
      <c r="DJ6">
        <f>DG6+DH6</f>
        <v>1.89</v>
      </c>
      <c r="DK6">
        <v>0</v>
      </c>
      <c r="DL6" t="s">
        <v>3</v>
      </c>
      <c r="DM6">
        <v>0</v>
      </c>
      <c r="DN6" t="s">
        <v>3</v>
      </c>
      <c r="DO6">
        <v>0</v>
      </c>
    </row>
    <row r="7" spans="1:119" x14ac:dyDescent="0.2">
      <c r="A7">
        <f>ROW(Source!A30)</f>
        <v>30</v>
      </c>
      <c r="B7">
        <v>94104265</v>
      </c>
      <c r="C7">
        <v>89966483</v>
      </c>
      <c r="D7">
        <v>87237545</v>
      </c>
      <c r="E7">
        <v>1</v>
      </c>
      <c r="F7">
        <v>1</v>
      </c>
      <c r="G7">
        <v>1</v>
      </c>
      <c r="H7">
        <v>2</v>
      </c>
      <c r="I7" t="s">
        <v>441</v>
      </c>
      <c r="J7" t="s">
        <v>442</v>
      </c>
      <c r="K7" t="s">
        <v>443</v>
      </c>
      <c r="L7">
        <v>1368</v>
      </c>
      <c r="N7">
        <v>1011</v>
      </c>
      <c r="O7" t="s">
        <v>434</v>
      </c>
      <c r="P7" t="s">
        <v>434</v>
      </c>
      <c r="Q7">
        <v>1</v>
      </c>
      <c r="W7">
        <v>0</v>
      </c>
      <c r="X7">
        <v>-1543625212</v>
      </c>
      <c r="Y7">
        <f t="shared" si="0"/>
        <v>8.15</v>
      </c>
      <c r="AA7">
        <v>0</v>
      </c>
      <c r="AB7">
        <v>91.39</v>
      </c>
      <c r="AC7">
        <v>0</v>
      </c>
      <c r="AD7">
        <v>0</v>
      </c>
      <c r="AE7">
        <v>0</v>
      </c>
      <c r="AF7">
        <v>67.2</v>
      </c>
      <c r="AG7">
        <v>0</v>
      </c>
      <c r="AH7">
        <v>0</v>
      </c>
      <c r="AI7">
        <v>1</v>
      </c>
      <c r="AJ7">
        <v>1.36</v>
      </c>
      <c r="AK7">
        <v>1</v>
      </c>
      <c r="AL7">
        <v>1</v>
      </c>
      <c r="AM7">
        <v>2</v>
      </c>
      <c r="AN7">
        <v>0</v>
      </c>
      <c r="AO7">
        <v>0</v>
      </c>
      <c r="AP7">
        <v>0</v>
      </c>
      <c r="AQ7">
        <v>1</v>
      </c>
      <c r="AR7">
        <v>0</v>
      </c>
      <c r="AS7" t="s">
        <v>3</v>
      </c>
      <c r="AT7">
        <v>8.15</v>
      </c>
      <c r="AU7" t="s">
        <v>3</v>
      </c>
      <c r="AV7">
        <v>1</v>
      </c>
      <c r="AW7">
        <v>2</v>
      </c>
      <c r="AX7">
        <v>89966486</v>
      </c>
      <c r="AY7">
        <v>1</v>
      </c>
      <c r="AZ7">
        <v>0</v>
      </c>
      <c r="BA7">
        <v>7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547.68000000000006</v>
      </c>
      <c r="BL7">
        <v>0</v>
      </c>
      <c r="BM7">
        <v>0</v>
      </c>
      <c r="BN7">
        <v>0</v>
      </c>
      <c r="BO7">
        <v>0</v>
      </c>
      <c r="BP7">
        <v>1</v>
      </c>
      <c r="BQ7">
        <v>0</v>
      </c>
      <c r="BR7">
        <v>547.68000000000006</v>
      </c>
      <c r="BS7">
        <v>0</v>
      </c>
      <c r="BT7">
        <v>0</v>
      </c>
      <c r="BU7">
        <v>0</v>
      </c>
      <c r="BV7">
        <v>0</v>
      </c>
      <c r="BW7">
        <v>1</v>
      </c>
      <c r="CV7">
        <v>0</v>
      </c>
      <c r="CW7">
        <f>ROUND(Y7*Source!I30*DO7,7)</f>
        <v>0</v>
      </c>
      <c r="CX7">
        <f>ROUND(Y7*Source!I30,7)</f>
        <v>1.2224999999999999</v>
      </c>
      <c r="CY7">
        <f>AB7</f>
        <v>91.39</v>
      </c>
      <c r="CZ7">
        <f>AF7</f>
        <v>67.2</v>
      </c>
      <c r="DA7">
        <f>AJ7</f>
        <v>1.36</v>
      </c>
      <c r="DB7">
        <f t="shared" si="1"/>
        <v>547.67999999999995</v>
      </c>
      <c r="DC7">
        <f t="shared" si="2"/>
        <v>0</v>
      </c>
      <c r="DD7" t="s">
        <v>3</v>
      </c>
      <c r="DE7" t="s">
        <v>3</v>
      </c>
      <c r="DF7">
        <f t="shared" si="3"/>
        <v>0</v>
      </c>
      <c r="DG7">
        <f>ROUND(ROUND(AF7*AJ7,2)*CX7,2)</f>
        <v>111.72</v>
      </c>
      <c r="DH7">
        <f t="shared" si="4"/>
        <v>0</v>
      </c>
      <c r="DI7">
        <f t="shared" si="5"/>
        <v>0</v>
      </c>
      <c r="DJ7">
        <f>DG7+DH7</f>
        <v>111.72</v>
      </c>
      <c r="DK7">
        <v>0</v>
      </c>
      <c r="DL7" t="s">
        <v>3</v>
      </c>
      <c r="DM7">
        <v>0</v>
      </c>
      <c r="DN7" t="s">
        <v>3</v>
      </c>
      <c r="DO7">
        <v>0</v>
      </c>
    </row>
    <row r="8" spans="1:119" x14ac:dyDescent="0.2">
      <c r="A8">
        <f>ROW(Source!A30)</f>
        <v>30</v>
      </c>
      <c r="B8">
        <v>94104265</v>
      </c>
      <c r="C8">
        <v>89966483</v>
      </c>
      <c r="D8">
        <v>87237938</v>
      </c>
      <c r="E8">
        <v>1</v>
      </c>
      <c r="F8">
        <v>1</v>
      </c>
      <c r="G8">
        <v>1</v>
      </c>
      <c r="H8">
        <v>2</v>
      </c>
      <c r="I8" t="s">
        <v>444</v>
      </c>
      <c r="J8" t="s">
        <v>445</v>
      </c>
      <c r="K8" t="s">
        <v>446</v>
      </c>
      <c r="L8">
        <v>1368</v>
      </c>
      <c r="N8">
        <v>1011</v>
      </c>
      <c r="O8" t="s">
        <v>434</v>
      </c>
      <c r="P8" t="s">
        <v>434</v>
      </c>
      <c r="Q8">
        <v>1</v>
      </c>
      <c r="W8">
        <v>0</v>
      </c>
      <c r="X8">
        <v>584770812</v>
      </c>
      <c r="Y8">
        <f t="shared" si="0"/>
        <v>16.3</v>
      </c>
      <c r="AA8">
        <v>0</v>
      </c>
      <c r="AB8">
        <v>3.44</v>
      </c>
      <c r="AC8">
        <v>0</v>
      </c>
      <c r="AD8">
        <v>0</v>
      </c>
      <c r="AE8">
        <v>0</v>
      </c>
      <c r="AF8">
        <v>2.11</v>
      </c>
      <c r="AG8">
        <v>0</v>
      </c>
      <c r="AH8">
        <v>0</v>
      </c>
      <c r="AI8">
        <v>1</v>
      </c>
      <c r="AJ8">
        <v>1.63</v>
      </c>
      <c r="AK8">
        <v>1</v>
      </c>
      <c r="AL8">
        <v>1</v>
      </c>
      <c r="AM8">
        <v>2</v>
      </c>
      <c r="AN8">
        <v>0</v>
      </c>
      <c r="AO8">
        <v>0</v>
      </c>
      <c r="AP8">
        <v>0</v>
      </c>
      <c r="AQ8">
        <v>1</v>
      </c>
      <c r="AR8">
        <v>0</v>
      </c>
      <c r="AS8" t="s">
        <v>3</v>
      </c>
      <c r="AT8">
        <v>16.3</v>
      </c>
      <c r="AU8" t="s">
        <v>3</v>
      </c>
      <c r="AV8">
        <v>1</v>
      </c>
      <c r="AW8">
        <v>2</v>
      </c>
      <c r="AX8">
        <v>89966487</v>
      </c>
      <c r="AY8">
        <v>2</v>
      </c>
      <c r="AZ8">
        <v>32768</v>
      </c>
      <c r="BA8">
        <v>8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34.393000000000001</v>
      </c>
      <c r="BL8">
        <v>0</v>
      </c>
      <c r="BM8">
        <v>0</v>
      </c>
      <c r="BN8">
        <v>0</v>
      </c>
      <c r="BO8">
        <v>0</v>
      </c>
      <c r="BP8">
        <v>1</v>
      </c>
      <c r="BQ8">
        <v>0</v>
      </c>
      <c r="BR8">
        <v>34.393000000000001</v>
      </c>
      <c r="BS8">
        <v>0</v>
      </c>
      <c r="BT8">
        <v>0</v>
      </c>
      <c r="BU8">
        <v>0</v>
      </c>
      <c r="BV8">
        <v>0</v>
      </c>
      <c r="BW8">
        <v>1</v>
      </c>
      <c r="CV8">
        <v>0</v>
      </c>
      <c r="CW8">
        <f>ROUND(Y8*Source!I30*DO8,7)</f>
        <v>0</v>
      </c>
      <c r="CX8">
        <f>ROUND(Y8*Source!I30,7)</f>
        <v>2.4449999999999998</v>
      </c>
      <c r="CY8">
        <f>AB8</f>
        <v>3.44</v>
      </c>
      <c r="CZ8">
        <f>AF8</f>
        <v>2.11</v>
      </c>
      <c r="DA8">
        <f>AJ8</f>
        <v>1.63</v>
      </c>
      <c r="DB8">
        <f t="shared" si="1"/>
        <v>34.39</v>
      </c>
      <c r="DC8">
        <f t="shared" si="2"/>
        <v>0</v>
      </c>
      <c r="DD8" t="s">
        <v>3</v>
      </c>
      <c r="DE8" t="s">
        <v>3</v>
      </c>
      <c r="DF8">
        <f t="shared" si="3"/>
        <v>0</v>
      </c>
      <c r="DG8">
        <f>ROUND(ROUND(AF8*AJ8,2)*CX8,2)</f>
        <v>8.41</v>
      </c>
      <c r="DH8">
        <f t="shared" si="4"/>
        <v>0</v>
      </c>
      <c r="DI8">
        <f t="shared" si="5"/>
        <v>0</v>
      </c>
      <c r="DJ8">
        <f>DG8+DH8</f>
        <v>8.41</v>
      </c>
      <c r="DK8">
        <v>0</v>
      </c>
      <c r="DL8" t="s">
        <v>3</v>
      </c>
      <c r="DM8">
        <v>0</v>
      </c>
      <c r="DN8" t="s">
        <v>3</v>
      </c>
      <c r="DO8">
        <v>0</v>
      </c>
    </row>
    <row r="9" spans="1:119" x14ac:dyDescent="0.2">
      <c r="A9">
        <f>ROW(Source!A30)</f>
        <v>30</v>
      </c>
      <c r="B9">
        <v>94104265</v>
      </c>
      <c r="C9">
        <v>89966483</v>
      </c>
      <c r="D9">
        <v>87302091</v>
      </c>
      <c r="E9">
        <v>1</v>
      </c>
      <c r="F9">
        <v>1</v>
      </c>
      <c r="G9">
        <v>1</v>
      </c>
      <c r="H9">
        <v>3</v>
      </c>
      <c r="I9" t="s">
        <v>447</v>
      </c>
      <c r="J9" t="s">
        <v>448</v>
      </c>
      <c r="K9" t="s">
        <v>449</v>
      </c>
      <c r="L9">
        <v>1339</v>
      </c>
      <c r="N9">
        <v>1007</v>
      </c>
      <c r="O9" t="s">
        <v>34</v>
      </c>
      <c r="P9" t="s">
        <v>34</v>
      </c>
      <c r="Q9">
        <v>1</v>
      </c>
      <c r="W9">
        <v>0</v>
      </c>
      <c r="X9">
        <v>-1693431674</v>
      </c>
      <c r="Y9">
        <f t="shared" si="0"/>
        <v>0.26</v>
      </c>
      <c r="AA9">
        <v>544.66</v>
      </c>
      <c r="AB9">
        <v>0</v>
      </c>
      <c r="AC9">
        <v>0</v>
      </c>
      <c r="AD9">
        <v>0</v>
      </c>
      <c r="AE9">
        <v>340.41</v>
      </c>
      <c r="AF9">
        <v>0</v>
      </c>
      <c r="AG9">
        <v>0</v>
      </c>
      <c r="AH9">
        <v>0</v>
      </c>
      <c r="AI9">
        <v>1.6</v>
      </c>
      <c r="AJ9">
        <v>1</v>
      </c>
      <c r="AK9">
        <v>1</v>
      </c>
      <c r="AL9">
        <v>1</v>
      </c>
      <c r="AM9">
        <v>2</v>
      </c>
      <c r="AN9">
        <v>0</v>
      </c>
      <c r="AO9">
        <v>0</v>
      </c>
      <c r="AP9">
        <v>0</v>
      </c>
      <c r="AQ9">
        <v>1</v>
      </c>
      <c r="AR9">
        <v>0</v>
      </c>
      <c r="AS9" t="s">
        <v>3</v>
      </c>
      <c r="AT9">
        <v>0.26</v>
      </c>
      <c r="AU9" t="s">
        <v>3</v>
      </c>
      <c r="AV9">
        <v>0</v>
      </c>
      <c r="AW9">
        <v>2</v>
      </c>
      <c r="AX9">
        <v>89966488</v>
      </c>
      <c r="AY9">
        <v>1</v>
      </c>
      <c r="AZ9">
        <v>0</v>
      </c>
      <c r="BA9">
        <v>9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88.506600000000006</v>
      </c>
      <c r="BK9">
        <v>0</v>
      </c>
      <c r="BL9">
        <v>0</v>
      </c>
      <c r="BM9">
        <v>0</v>
      </c>
      <c r="BN9">
        <v>0</v>
      </c>
      <c r="BO9">
        <v>0</v>
      </c>
      <c r="BP9">
        <v>1</v>
      </c>
      <c r="BQ9">
        <v>88.506600000000006</v>
      </c>
      <c r="BR9">
        <v>0</v>
      </c>
      <c r="BS9">
        <v>0</v>
      </c>
      <c r="BT9">
        <v>0</v>
      </c>
      <c r="BU9">
        <v>0</v>
      </c>
      <c r="BV9">
        <v>0</v>
      </c>
      <c r="BW9">
        <v>1</v>
      </c>
      <c r="CV9">
        <v>0</v>
      </c>
      <c r="CW9">
        <v>0</v>
      </c>
      <c r="CX9">
        <f>ROUND(Y9*Source!I30,7)</f>
        <v>3.9E-2</v>
      </c>
      <c r="CY9">
        <f>AA9</f>
        <v>544.66</v>
      </c>
      <c r="CZ9">
        <f>AE9</f>
        <v>340.41</v>
      </c>
      <c r="DA9">
        <f>AI9</f>
        <v>1.6</v>
      </c>
      <c r="DB9">
        <f t="shared" si="1"/>
        <v>88.51</v>
      </c>
      <c r="DC9">
        <f t="shared" si="2"/>
        <v>0</v>
      </c>
      <c r="DD9" t="s">
        <v>3</v>
      </c>
      <c r="DE9" t="s">
        <v>3</v>
      </c>
      <c r="DF9">
        <f>ROUND(ROUND(AE9*AI9,2)*CX9,2)</f>
        <v>21.24</v>
      </c>
      <c r="DG9">
        <f>ROUND(ROUND(AF9,2)*CX9,2)</f>
        <v>0</v>
      </c>
      <c r="DH9">
        <f t="shared" si="4"/>
        <v>0</v>
      </c>
      <c r="DI9">
        <f t="shared" si="5"/>
        <v>0</v>
      </c>
      <c r="DJ9">
        <f>DF9</f>
        <v>21.24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 x14ac:dyDescent="0.2">
      <c r="A10">
        <f>ROW(Source!A30)</f>
        <v>30</v>
      </c>
      <c r="B10">
        <v>94104265</v>
      </c>
      <c r="C10">
        <v>89966483</v>
      </c>
      <c r="D10">
        <v>87302107</v>
      </c>
      <c r="E10">
        <v>1</v>
      </c>
      <c r="F10">
        <v>1</v>
      </c>
      <c r="G10">
        <v>1</v>
      </c>
      <c r="H10">
        <v>3</v>
      </c>
      <c r="I10" t="s">
        <v>450</v>
      </c>
      <c r="J10" t="s">
        <v>451</v>
      </c>
      <c r="K10" t="s">
        <v>452</v>
      </c>
      <c r="L10">
        <v>1339</v>
      </c>
      <c r="N10">
        <v>1007</v>
      </c>
      <c r="O10" t="s">
        <v>34</v>
      </c>
      <c r="P10" t="s">
        <v>34</v>
      </c>
      <c r="Q10">
        <v>1</v>
      </c>
      <c r="W10">
        <v>0</v>
      </c>
      <c r="X10">
        <v>-2058989610</v>
      </c>
      <c r="Y10">
        <f t="shared" si="0"/>
        <v>2</v>
      </c>
      <c r="AA10">
        <v>98.59</v>
      </c>
      <c r="AB10">
        <v>0</v>
      </c>
      <c r="AC10">
        <v>0</v>
      </c>
      <c r="AD10">
        <v>0</v>
      </c>
      <c r="AE10">
        <v>114.64</v>
      </c>
      <c r="AF10">
        <v>0</v>
      </c>
      <c r="AG10">
        <v>0</v>
      </c>
      <c r="AH10">
        <v>0</v>
      </c>
      <c r="AI10">
        <v>0.86</v>
      </c>
      <c r="AJ10">
        <v>1</v>
      </c>
      <c r="AK10">
        <v>1</v>
      </c>
      <c r="AL10">
        <v>1</v>
      </c>
      <c r="AM10">
        <v>2</v>
      </c>
      <c r="AN10">
        <v>0</v>
      </c>
      <c r="AO10">
        <v>0</v>
      </c>
      <c r="AP10">
        <v>0</v>
      </c>
      <c r="AQ10">
        <v>1</v>
      </c>
      <c r="AR10">
        <v>0</v>
      </c>
      <c r="AS10" t="s">
        <v>3</v>
      </c>
      <c r="AT10">
        <v>2</v>
      </c>
      <c r="AU10" t="s">
        <v>3</v>
      </c>
      <c r="AV10">
        <v>0</v>
      </c>
      <c r="AW10">
        <v>2</v>
      </c>
      <c r="AX10">
        <v>89966489</v>
      </c>
      <c r="AY10">
        <v>1</v>
      </c>
      <c r="AZ10">
        <v>0</v>
      </c>
      <c r="BA10">
        <v>10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229.28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229.28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1</v>
      </c>
      <c r="CV10">
        <v>0</v>
      </c>
      <c r="CW10">
        <v>0</v>
      </c>
      <c r="CX10">
        <f>ROUND(Y10*Source!I30,7)</f>
        <v>0.3</v>
      </c>
      <c r="CY10">
        <f>AA10</f>
        <v>98.59</v>
      </c>
      <c r="CZ10">
        <f>AE10</f>
        <v>114.64</v>
      </c>
      <c r="DA10">
        <f>AI10</f>
        <v>0.86</v>
      </c>
      <c r="DB10">
        <f t="shared" si="1"/>
        <v>229.28</v>
      </c>
      <c r="DC10">
        <f t="shared" si="2"/>
        <v>0</v>
      </c>
      <c r="DD10" t="s">
        <v>3</v>
      </c>
      <c r="DE10" t="s">
        <v>3</v>
      </c>
      <c r="DF10">
        <f>ROUND(ROUND(AE10*AI10,2)*CX10,2)</f>
        <v>29.58</v>
      </c>
      <c r="DG10">
        <f>ROUND(ROUND(AF10,2)*CX10,2)</f>
        <v>0</v>
      </c>
      <c r="DH10">
        <f t="shared" si="4"/>
        <v>0</v>
      </c>
      <c r="DI10">
        <f t="shared" si="5"/>
        <v>0</v>
      </c>
      <c r="DJ10">
        <f>DF10</f>
        <v>29.58</v>
      </c>
      <c r="DK10">
        <v>0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ROW(Source!A31)</f>
        <v>31</v>
      </c>
      <c r="B11">
        <v>94104265</v>
      </c>
      <c r="C11">
        <v>89966537</v>
      </c>
      <c r="D11">
        <v>37065248</v>
      </c>
      <c r="E11">
        <v>117</v>
      </c>
      <c r="F11">
        <v>1</v>
      </c>
      <c r="G11">
        <v>1</v>
      </c>
      <c r="H11">
        <v>1</v>
      </c>
      <c r="I11" t="s">
        <v>436</v>
      </c>
      <c r="J11" t="s">
        <v>3</v>
      </c>
      <c r="K11" t="s">
        <v>437</v>
      </c>
      <c r="L11">
        <v>1191</v>
      </c>
      <c r="N11">
        <v>1013</v>
      </c>
      <c r="O11" t="s">
        <v>428</v>
      </c>
      <c r="P11" t="s">
        <v>428</v>
      </c>
      <c r="Q11">
        <v>1</v>
      </c>
      <c r="W11">
        <v>0</v>
      </c>
      <c r="X11">
        <v>-1833565283</v>
      </c>
      <c r="Y11">
        <f t="shared" si="0"/>
        <v>4.8499999999999996</v>
      </c>
      <c r="AA11">
        <v>0</v>
      </c>
      <c r="AB11">
        <v>0</v>
      </c>
      <c r="AC11">
        <v>0</v>
      </c>
      <c r="AD11">
        <v>641.22</v>
      </c>
      <c r="AE11">
        <v>0</v>
      </c>
      <c r="AF11">
        <v>0</v>
      </c>
      <c r="AG11">
        <v>0</v>
      </c>
      <c r="AH11">
        <v>641.22</v>
      </c>
      <c r="AI11">
        <v>1</v>
      </c>
      <c r="AJ11">
        <v>1</v>
      </c>
      <c r="AK11">
        <v>1</v>
      </c>
      <c r="AL11">
        <v>1</v>
      </c>
      <c r="AM11">
        <v>-2</v>
      </c>
      <c r="AN11">
        <v>0</v>
      </c>
      <c r="AO11">
        <v>0</v>
      </c>
      <c r="AP11">
        <v>1</v>
      </c>
      <c r="AQ11">
        <v>1</v>
      </c>
      <c r="AR11">
        <v>0</v>
      </c>
      <c r="AS11" t="s">
        <v>3</v>
      </c>
      <c r="AT11">
        <v>4.8499999999999996</v>
      </c>
      <c r="AU11" t="s">
        <v>3</v>
      </c>
      <c r="AV11">
        <v>1</v>
      </c>
      <c r="AW11">
        <v>2</v>
      </c>
      <c r="AX11">
        <v>89966554</v>
      </c>
      <c r="AY11">
        <v>1</v>
      </c>
      <c r="AZ11">
        <v>0</v>
      </c>
      <c r="BA11">
        <v>11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3109.9169999999999</v>
      </c>
      <c r="BN11">
        <v>4.8499999999999996</v>
      </c>
      <c r="BO11">
        <v>0</v>
      </c>
      <c r="BP11">
        <v>1</v>
      </c>
      <c r="BQ11">
        <v>0</v>
      </c>
      <c r="BR11">
        <v>0</v>
      </c>
      <c r="BS11">
        <v>0</v>
      </c>
      <c r="BT11">
        <v>3109.9169999999999</v>
      </c>
      <c r="BU11">
        <v>4.8499999999999996</v>
      </c>
      <c r="BV11">
        <v>0</v>
      </c>
      <c r="BW11">
        <v>1</v>
      </c>
      <c r="CU11">
        <f>ROUND(AT11*Source!I31*AH11*AL11,2)</f>
        <v>466.49</v>
      </c>
      <c r="CV11">
        <f>ROUND(Y11*Source!I31,7)</f>
        <v>0.72750000000000004</v>
      </c>
      <c r="CW11">
        <v>0</v>
      </c>
      <c r="CX11">
        <f>ROUND(Y11*Source!I31,7)</f>
        <v>0.72750000000000004</v>
      </c>
      <c r="CY11">
        <f>AD11</f>
        <v>641.22</v>
      </c>
      <c r="CZ11">
        <f>AH11</f>
        <v>641.22</v>
      </c>
      <c r="DA11">
        <f>AL11</f>
        <v>1</v>
      </c>
      <c r="DB11">
        <f t="shared" si="1"/>
        <v>3109.92</v>
      </c>
      <c r="DC11">
        <f t="shared" si="2"/>
        <v>0</v>
      </c>
      <c r="DD11" t="s">
        <v>3</v>
      </c>
      <c r="DE11" t="s">
        <v>3</v>
      </c>
      <c r="DF11">
        <f t="shared" ref="DF11:DF16" si="6">ROUND(ROUND(AE11,2)*CX11,2)</f>
        <v>0</v>
      </c>
      <c r="DG11">
        <f>ROUND(ROUND(AF11,2)*CX11,2)</f>
        <v>0</v>
      </c>
      <c r="DH11">
        <f t="shared" si="4"/>
        <v>0</v>
      </c>
      <c r="DI11">
        <f t="shared" si="5"/>
        <v>466.49</v>
      </c>
      <c r="DJ11">
        <f>DI11</f>
        <v>466.49</v>
      </c>
      <c r="DK11">
        <v>0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ROW(Source!A31)</f>
        <v>31</v>
      </c>
      <c r="B12">
        <v>94104265</v>
      </c>
      <c r="C12">
        <v>89966537</v>
      </c>
      <c r="D12">
        <v>37064876</v>
      </c>
      <c r="E12">
        <v>117</v>
      </c>
      <c r="F12">
        <v>1</v>
      </c>
      <c r="G12">
        <v>1</v>
      </c>
      <c r="H12">
        <v>1</v>
      </c>
      <c r="I12" t="s">
        <v>429</v>
      </c>
      <c r="J12" t="s">
        <v>3</v>
      </c>
      <c r="K12" t="s">
        <v>430</v>
      </c>
      <c r="L12">
        <v>1191</v>
      </c>
      <c r="N12">
        <v>1013</v>
      </c>
      <c r="O12" t="s">
        <v>428</v>
      </c>
      <c r="P12" t="s">
        <v>428</v>
      </c>
      <c r="Q12">
        <v>1</v>
      </c>
      <c r="W12">
        <v>0</v>
      </c>
      <c r="X12">
        <v>-1417349443</v>
      </c>
      <c r="Y12">
        <f t="shared" si="0"/>
        <v>0.12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1</v>
      </c>
      <c r="AK12">
        <v>1</v>
      </c>
      <c r="AL12">
        <v>1</v>
      </c>
      <c r="AM12">
        <v>-2</v>
      </c>
      <c r="AN12">
        <v>0</v>
      </c>
      <c r="AO12">
        <v>0</v>
      </c>
      <c r="AP12">
        <v>1</v>
      </c>
      <c r="AQ12">
        <v>1</v>
      </c>
      <c r="AR12">
        <v>0</v>
      </c>
      <c r="AS12" t="s">
        <v>3</v>
      </c>
      <c r="AT12">
        <v>0.12</v>
      </c>
      <c r="AU12" t="s">
        <v>3</v>
      </c>
      <c r="AV12">
        <v>2</v>
      </c>
      <c r="AW12">
        <v>2</v>
      </c>
      <c r="AX12">
        <v>89966555</v>
      </c>
      <c r="AY12">
        <v>1</v>
      </c>
      <c r="AZ12">
        <v>0</v>
      </c>
      <c r="BA12">
        <v>12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CV12">
        <v>0</v>
      </c>
      <c r="CW12">
        <v>0</v>
      </c>
      <c r="CX12">
        <f>ROUND(Y12*Source!I31,7)</f>
        <v>1.7999999999999999E-2</v>
      </c>
      <c r="CY12">
        <f>AD12</f>
        <v>0</v>
      </c>
      <c r="CZ12">
        <f>AH12</f>
        <v>0</v>
      </c>
      <c r="DA12">
        <f>AL12</f>
        <v>1</v>
      </c>
      <c r="DB12">
        <f t="shared" si="1"/>
        <v>0</v>
      </c>
      <c r="DC12">
        <f t="shared" si="2"/>
        <v>0</v>
      </c>
      <c r="DD12" t="s">
        <v>3</v>
      </c>
      <c r="DE12" t="s">
        <v>3</v>
      </c>
      <c r="DF12">
        <f t="shared" si="6"/>
        <v>0</v>
      </c>
      <c r="DG12">
        <f>ROUND(ROUND(AF12,2)*CX12,2)</f>
        <v>0</v>
      </c>
      <c r="DH12">
        <f t="shared" si="4"/>
        <v>0</v>
      </c>
      <c r="DI12">
        <f t="shared" si="5"/>
        <v>0</v>
      </c>
      <c r="DJ12">
        <f>DI12</f>
        <v>0</v>
      </c>
      <c r="DK12">
        <v>0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ROW(Source!A31)</f>
        <v>31</v>
      </c>
      <c r="B13">
        <v>94104265</v>
      </c>
      <c r="C13">
        <v>89966537</v>
      </c>
      <c r="D13">
        <v>87236438</v>
      </c>
      <c r="E13">
        <v>1</v>
      </c>
      <c r="F13">
        <v>1</v>
      </c>
      <c r="G13">
        <v>1</v>
      </c>
      <c r="H13">
        <v>2</v>
      </c>
      <c r="I13" t="s">
        <v>453</v>
      </c>
      <c r="J13" t="s">
        <v>454</v>
      </c>
      <c r="K13" t="s">
        <v>455</v>
      </c>
      <c r="L13">
        <v>1368</v>
      </c>
      <c r="N13">
        <v>1011</v>
      </c>
      <c r="O13" t="s">
        <v>434</v>
      </c>
      <c r="P13" t="s">
        <v>434</v>
      </c>
      <c r="Q13">
        <v>1</v>
      </c>
      <c r="W13">
        <v>0</v>
      </c>
      <c r="X13">
        <v>639918019</v>
      </c>
      <c r="Y13">
        <f t="shared" si="0"/>
        <v>0.01</v>
      </c>
      <c r="AA13">
        <v>0</v>
      </c>
      <c r="AB13">
        <v>1585.56</v>
      </c>
      <c r="AC13">
        <v>982.04</v>
      </c>
      <c r="AD13">
        <v>0</v>
      </c>
      <c r="AE13">
        <v>0</v>
      </c>
      <c r="AF13">
        <v>1585.56</v>
      </c>
      <c r="AG13">
        <v>982.04</v>
      </c>
      <c r="AH13">
        <v>0</v>
      </c>
      <c r="AI13">
        <v>1</v>
      </c>
      <c r="AJ13">
        <v>1</v>
      </c>
      <c r="AK13">
        <v>1</v>
      </c>
      <c r="AL13">
        <v>1</v>
      </c>
      <c r="AM13">
        <v>-2</v>
      </c>
      <c r="AN13">
        <v>0</v>
      </c>
      <c r="AO13">
        <v>0</v>
      </c>
      <c r="AP13">
        <v>1</v>
      </c>
      <c r="AQ13">
        <v>1</v>
      </c>
      <c r="AR13">
        <v>0</v>
      </c>
      <c r="AS13" t="s">
        <v>3</v>
      </c>
      <c r="AT13">
        <v>0.01</v>
      </c>
      <c r="AU13" t="s">
        <v>3</v>
      </c>
      <c r="AV13">
        <v>1</v>
      </c>
      <c r="AW13">
        <v>2</v>
      </c>
      <c r="AX13">
        <v>89966556</v>
      </c>
      <c r="AY13">
        <v>2</v>
      </c>
      <c r="AZ13">
        <v>98304</v>
      </c>
      <c r="BA13">
        <v>13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15.855599999999999</v>
      </c>
      <c r="BL13">
        <v>9.8203999999999994</v>
      </c>
      <c r="BM13">
        <v>0</v>
      </c>
      <c r="BN13">
        <v>0</v>
      </c>
      <c r="BO13">
        <v>0.01</v>
      </c>
      <c r="BP13">
        <v>1</v>
      </c>
      <c r="BQ13">
        <v>0</v>
      </c>
      <c r="BR13">
        <v>15.855599999999999</v>
      </c>
      <c r="BS13">
        <v>9.8203999999999994</v>
      </c>
      <c r="BT13">
        <v>0</v>
      </c>
      <c r="BU13">
        <v>0</v>
      </c>
      <c r="BV13">
        <v>0.01</v>
      </c>
      <c r="BW13">
        <v>1</v>
      </c>
      <c r="CV13">
        <v>0</v>
      </c>
      <c r="CW13">
        <f>ROUND(Y13*Source!I31*DO13,7)</f>
        <v>1.5E-3</v>
      </c>
      <c r="CX13">
        <f>ROUND(Y13*Source!I31,7)</f>
        <v>1.5E-3</v>
      </c>
      <c r="CY13">
        <f>AB13</f>
        <v>1585.56</v>
      </c>
      <c r="CZ13">
        <f>AF13</f>
        <v>1585.56</v>
      </c>
      <c r="DA13">
        <f>AJ13</f>
        <v>1</v>
      </c>
      <c r="DB13">
        <f t="shared" si="1"/>
        <v>15.86</v>
      </c>
      <c r="DC13">
        <f t="shared" si="2"/>
        <v>9.82</v>
      </c>
      <c r="DD13" t="s">
        <v>3</v>
      </c>
      <c r="DE13" t="s">
        <v>3</v>
      </c>
      <c r="DF13">
        <f t="shared" si="6"/>
        <v>0</v>
      </c>
      <c r="DG13">
        <f>ROUND(ROUND(AF13,2)*CX13,2)</f>
        <v>2.38</v>
      </c>
      <c r="DH13">
        <f t="shared" si="4"/>
        <v>1.47</v>
      </c>
      <c r="DI13">
        <f t="shared" si="5"/>
        <v>0</v>
      </c>
      <c r="DJ13">
        <f>DG13+DH13</f>
        <v>3.8499999999999996</v>
      </c>
      <c r="DK13">
        <v>1</v>
      </c>
      <c r="DL13" t="s">
        <v>456</v>
      </c>
      <c r="DM13">
        <v>6</v>
      </c>
      <c r="DN13" t="s">
        <v>428</v>
      </c>
      <c r="DO13">
        <v>1</v>
      </c>
    </row>
    <row r="14" spans="1:119" x14ac:dyDescent="0.2">
      <c r="A14">
        <f>ROW(Source!A31)</f>
        <v>31</v>
      </c>
      <c r="B14">
        <v>94104265</v>
      </c>
      <c r="C14">
        <v>89966537</v>
      </c>
      <c r="D14">
        <v>87236694</v>
      </c>
      <c r="E14">
        <v>1</v>
      </c>
      <c r="F14">
        <v>1</v>
      </c>
      <c r="G14">
        <v>1</v>
      </c>
      <c r="H14">
        <v>2</v>
      </c>
      <c r="I14" t="s">
        <v>457</v>
      </c>
      <c r="J14" t="s">
        <v>458</v>
      </c>
      <c r="K14" t="s">
        <v>459</v>
      </c>
      <c r="L14">
        <v>1368</v>
      </c>
      <c r="N14">
        <v>1011</v>
      </c>
      <c r="O14" t="s">
        <v>434</v>
      </c>
      <c r="P14" t="s">
        <v>434</v>
      </c>
      <c r="Q14">
        <v>1</v>
      </c>
      <c r="W14">
        <v>0</v>
      </c>
      <c r="X14">
        <v>169089501</v>
      </c>
      <c r="Y14">
        <f t="shared" si="0"/>
        <v>0.17</v>
      </c>
      <c r="AA14">
        <v>0</v>
      </c>
      <c r="AB14">
        <v>12.44</v>
      </c>
      <c r="AC14">
        <v>0</v>
      </c>
      <c r="AD14">
        <v>0</v>
      </c>
      <c r="AE14">
        <v>0</v>
      </c>
      <c r="AF14">
        <v>10.37</v>
      </c>
      <c r="AG14">
        <v>0</v>
      </c>
      <c r="AH14">
        <v>0</v>
      </c>
      <c r="AI14">
        <v>1</v>
      </c>
      <c r="AJ14">
        <v>1.2</v>
      </c>
      <c r="AK14">
        <v>1</v>
      </c>
      <c r="AL14">
        <v>1</v>
      </c>
      <c r="AM14">
        <v>2</v>
      </c>
      <c r="AN14">
        <v>0</v>
      </c>
      <c r="AO14">
        <v>0</v>
      </c>
      <c r="AP14">
        <v>1</v>
      </c>
      <c r="AQ14">
        <v>1</v>
      </c>
      <c r="AR14">
        <v>0</v>
      </c>
      <c r="AS14" t="s">
        <v>3</v>
      </c>
      <c r="AT14">
        <v>0.17</v>
      </c>
      <c r="AU14" t="s">
        <v>3</v>
      </c>
      <c r="AV14">
        <v>1</v>
      </c>
      <c r="AW14">
        <v>2</v>
      </c>
      <c r="AX14">
        <v>89966557</v>
      </c>
      <c r="AY14">
        <v>1</v>
      </c>
      <c r="AZ14">
        <v>0</v>
      </c>
      <c r="BA14">
        <v>14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1.7628999999999999</v>
      </c>
      <c r="BL14">
        <v>0</v>
      </c>
      <c r="BM14">
        <v>0</v>
      </c>
      <c r="BN14">
        <v>0</v>
      </c>
      <c r="BO14">
        <v>0</v>
      </c>
      <c r="BP14">
        <v>1</v>
      </c>
      <c r="BQ14">
        <v>0</v>
      </c>
      <c r="BR14">
        <v>1.7628999999999999</v>
      </c>
      <c r="BS14">
        <v>0</v>
      </c>
      <c r="BT14">
        <v>0</v>
      </c>
      <c r="BU14">
        <v>0</v>
      </c>
      <c r="BV14">
        <v>0</v>
      </c>
      <c r="BW14">
        <v>1</v>
      </c>
      <c r="CV14">
        <v>0</v>
      </c>
      <c r="CW14">
        <f>ROUND(Y14*Source!I31*DO14,7)</f>
        <v>0</v>
      </c>
      <c r="CX14">
        <f>ROUND(Y14*Source!I31,7)</f>
        <v>2.5499999999999998E-2</v>
      </c>
      <c r="CY14">
        <f>AB14</f>
        <v>12.44</v>
      </c>
      <c r="CZ14">
        <f>AF14</f>
        <v>10.37</v>
      </c>
      <c r="DA14">
        <f>AJ14</f>
        <v>1.2</v>
      </c>
      <c r="DB14">
        <f t="shared" si="1"/>
        <v>1.76</v>
      </c>
      <c r="DC14">
        <f t="shared" si="2"/>
        <v>0</v>
      </c>
      <c r="DD14" t="s">
        <v>3</v>
      </c>
      <c r="DE14" t="s">
        <v>3</v>
      </c>
      <c r="DF14">
        <f t="shared" si="6"/>
        <v>0</v>
      </c>
      <c r="DG14">
        <f>ROUND(ROUND(AF14*AJ14,2)*CX14,2)</f>
        <v>0.32</v>
      </c>
      <c r="DH14">
        <f t="shared" si="4"/>
        <v>0</v>
      </c>
      <c r="DI14">
        <f t="shared" si="5"/>
        <v>0</v>
      </c>
      <c r="DJ14">
        <f>DG14+DH14</f>
        <v>0.32</v>
      </c>
      <c r="DK14">
        <v>0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ROW(Source!A31)</f>
        <v>31</v>
      </c>
      <c r="B15">
        <v>94104265</v>
      </c>
      <c r="C15">
        <v>89966537</v>
      </c>
      <c r="D15">
        <v>87236695</v>
      </c>
      <c r="E15">
        <v>1</v>
      </c>
      <c r="F15">
        <v>1</v>
      </c>
      <c r="G15">
        <v>1</v>
      </c>
      <c r="H15">
        <v>2</v>
      </c>
      <c r="I15" t="s">
        <v>460</v>
      </c>
      <c r="J15" t="s">
        <v>461</v>
      </c>
      <c r="K15" t="s">
        <v>462</v>
      </c>
      <c r="L15">
        <v>1368</v>
      </c>
      <c r="N15">
        <v>1011</v>
      </c>
      <c r="O15" t="s">
        <v>434</v>
      </c>
      <c r="P15" t="s">
        <v>434</v>
      </c>
      <c r="Q15">
        <v>1</v>
      </c>
      <c r="W15">
        <v>0</v>
      </c>
      <c r="X15">
        <v>-521523170</v>
      </c>
      <c r="Y15">
        <f t="shared" si="0"/>
        <v>0.1</v>
      </c>
      <c r="AA15">
        <v>0</v>
      </c>
      <c r="AB15">
        <v>12.47</v>
      </c>
      <c r="AC15">
        <v>0</v>
      </c>
      <c r="AD15">
        <v>0</v>
      </c>
      <c r="AE15">
        <v>0</v>
      </c>
      <c r="AF15">
        <v>8.5399999999999991</v>
      </c>
      <c r="AG15">
        <v>0</v>
      </c>
      <c r="AH15">
        <v>0</v>
      </c>
      <c r="AI15">
        <v>1</v>
      </c>
      <c r="AJ15">
        <v>1.46</v>
      </c>
      <c r="AK15">
        <v>1</v>
      </c>
      <c r="AL15">
        <v>1</v>
      </c>
      <c r="AM15">
        <v>2</v>
      </c>
      <c r="AN15">
        <v>0</v>
      </c>
      <c r="AO15">
        <v>0</v>
      </c>
      <c r="AP15">
        <v>1</v>
      </c>
      <c r="AQ15">
        <v>1</v>
      </c>
      <c r="AR15">
        <v>0</v>
      </c>
      <c r="AS15" t="s">
        <v>3</v>
      </c>
      <c r="AT15">
        <v>0.1</v>
      </c>
      <c r="AU15" t="s">
        <v>3</v>
      </c>
      <c r="AV15">
        <v>1</v>
      </c>
      <c r="AW15">
        <v>2</v>
      </c>
      <c r="AX15">
        <v>89966558</v>
      </c>
      <c r="AY15">
        <v>1</v>
      </c>
      <c r="AZ15">
        <v>0</v>
      </c>
      <c r="BA15">
        <v>15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0.85399999999999998</v>
      </c>
      <c r="BL15">
        <v>0</v>
      </c>
      <c r="BM15">
        <v>0</v>
      </c>
      <c r="BN15">
        <v>0</v>
      </c>
      <c r="BO15">
        <v>0</v>
      </c>
      <c r="BP15">
        <v>1</v>
      </c>
      <c r="BQ15">
        <v>0</v>
      </c>
      <c r="BR15">
        <v>0.85399999999999998</v>
      </c>
      <c r="BS15">
        <v>0</v>
      </c>
      <c r="BT15">
        <v>0</v>
      </c>
      <c r="BU15">
        <v>0</v>
      </c>
      <c r="BV15">
        <v>0</v>
      </c>
      <c r="BW15">
        <v>1</v>
      </c>
      <c r="CV15">
        <v>0</v>
      </c>
      <c r="CW15">
        <f>ROUND(Y15*Source!I31*DO15,7)</f>
        <v>0</v>
      </c>
      <c r="CX15">
        <f>ROUND(Y15*Source!I31,7)</f>
        <v>1.4999999999999999E-2</v>
      </c>
      <c r="CY15">
        <f>AB15</f>
        <v>12.47</v>
      </c>
      <c r="CZ15">
        <f>AF15</f>
        <v>8.5399999999999991</v>
      </c>
      <c r="DA15">
        <f>AJ15</f>
        <v>1.46</v>
      </c>
      <c r="DB15">
        <f t="shared" si="1"/>
        <v>0.85</v>
      </c>
      <c r="DC15">
        <f t="shared" si="2"/>
        <v>0</v>
      </c>
      <c r="DD15" t="s">
        <v>3</v>
      </c>
      <c r="DE15" t="s">
        <v>3</v>
      </c>
      <c r="DF15">
        <f t="shared" si="6"/>
        <v>0</v>
      </c>
      <c r="DG15">
        <f>ROUND(ROUND(AF15*AJ15,2)*CX15,2)</f>
        <v>0.19</v>
      </c>
      <c r="DH15">
        <f t="shared" si="4"/>
        <v>0</v>
      </c>
      <c r="DI15">
        <f t="shared" si="5"/>
        <v>0</v>
      </c>
      <c r="DJ15">
        <f>DG15+DH15</f>
        <v>0.19</v>
      </c>
      <c r="DK15">
        <v>0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ROW(Source!A31)</f>
        <v>31</v>
      </c>
      <c r="B16">
        <v>94104265</v>
      </c>
      <c r="C16">
        <v>89966537</v>
      </c>
      <c r="D16">
        <v>87237333</v>
      </c>
      <c r="E16">
        <v>1</v>
      </c>
      <c r="F16">
        <v>1</v>
      </c>
      <c r="G16">
        <v>1</v>
      </c>
      <c r="H16">
        <v>2</v>
      </c>
      <c r="I16" t="s">
        <v>463</v>
      </c>
      <c r="J16" t="s">
        <v>464</v>
      </c>
      <c r="K16" t="s">
        <v>465</v>
      </c>
      <c r="L16">
        <v>1368</v>
      </c>
      <c r="N16">
        <v>1011</v>
      </c>
      <c r="O16" t="s">
        <v>434</v>
      </c>
      <c r="P16" t="s">
        <v>434</v>
      </c>
      <c r="Q16">
        <v>1</v>
      </c>
      <c r="W16">
        <v>0</v>
      </c>
      <c r="X16">
        <v>-849950259</v>
      </c>
      <c r="Y16">
        <f t="shared" si="0"/>
        <v>0.11</v>
      </c>
      <c r="AA16">
        <v>0</v>
      </c>
      <c r="AB16">
        <v>544.91999999999996</v>
      </c>
      <c r="AC16">
        <v>731.08</v>
      </c>
      <c r="AD16">
        <v>0</v>
      </c>
      <c r="AE16">
        <v>0</v>
      </c>
      <c r="AF16">
        <v>544.91999999999996</v>
      </c>
      <c r="AG16">
        <v>731.08</v>
      </c>
      <c r="AH16">
        <v>0</v>
      </c>
      <c r="AI16">
        <v>1</v>
      </c>
      <c r="AJ16">
        <v>1</v>
      </c>
      <c r="AK16">
        <v>1</v>
      </c>
      <c r="AL16">
        <v>1</v>
      </c>
      <c r="AM16">
        <v>-2</v>
      </c>
      <c r="AN16">
        <v>0</v>
      </c>
      <c r="AO16">
        <v>0</v>
      </c>
      <c r="AP16">
        <v>1</v>
      </c>
      <c r="AQ16">
        <v>1</v>
      </c>
      <c r="AR16">
        <v>0</v>
      </c>
      <c r="AS16" t="s">
        <v>3</v>
      </c>
      <c r="AT16">
        <v>0.11</v>
      </c>
      <c r="AU16" t="s">
        <v>3</v>
      </c>
      <c r="AV16">
        <v>1</v>
      </c>
      <c r="AW16">
        <v>2</v>
      </c>
      <c r="AX16">
        <v>89966559</v>
      </c>
      <c r="AY16">
        <v>2</v>
      </c>
      <c r="AZ16">
        <v>98304</v>
      </c>
      <c r="BA16">
        <v>16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59.941199999999995</v>
      </c>
      <c r="BL16">
        <v>80.418800000000005</v>
      </c>
      <c r="BM16">
        <v>0</v>
      </c>
      <c r="BN16">
        <v>0</v>
      </c>
      <c r="BO16">
        <v>0.11</v>
      </c>
      <c r="BP16">
        <v>1</v>
      </c>
      <c r="BQ16">
        <v>0</v>
      </c>
      <c r="BR16">
        <v>59.941199999999995</v>
      </c>
      <c r="BS16">
        <v>80.418800000000005</v>
      </c>
      <c r="BT16">
        <v>0</v>
      </c>
      <c r="BU16">
        <v>0</v>
      </c>
      <c r="BV16">
        <v>0.11</v>
      </c>
      <c r="BW16">
        <v>1</v>
      </c>
      <c r="CV16">
        <v>0</v>
      </c>
      <c r="CW16">
        <f>ROUND(Y16*Source!I31*DO16,7)</f>
        <v>1.6500000000000001E-2</v>
      </c>
      <c r="CX16">
        <f>ROUND(Y16*Source!I31,7)</f>
        <v>1.6500000000000001E-2</v>
      </c>
      <c r="CY16">
        <f>AB16</f>
        <v>544.91999999999996</v>
      </c>
      <c r="CZ16">
        <f>AF16</f>
        <v>544.91999999999996</v>
      </c>
      <c r="DA16">
        <f>AJ16</f>
        <v>1</v>
      </c>
      <c r="DB16">
        <f t="shared" si="1"/>
        <v>59.94</v>
      </c>
      <c r="DC16">
        <f t="shared" si="2"/>
        <v>80.42</v>
      </c>
      <c r="DD16" t="s">
        <v>3</v>
      </c>
      <c r="DE16" t="s">
        <v>3</v>
      </c>
      <c r="DF16">
        <f t="shared" si="6"/>
        <v>0</v>
      </c>
      <c r="DG16">
        <f t="shared" ref="DG16:DG35" si="7">ROUND(ROUND(AF16,2)*CX16,2)</f>
        <v>8.99</v>
      </c>
      <c r="DH16">
        <f t="shared" si="4"/>
        <v>12.06</v>
      </c>
      <c r="DI16">
        <f t="shared" si="5"/>
        <v>0</v>
      </c>
      <c r="DJ16">
        <f>DG16+DH16</f>
        <v>21.05</v>
      </c>
      <c r="DK16">
        <v>1</v>
      </c>
      <c r="DL16" t="s">
        <v>466</v>
      </c>
      <c r="DM16">
        <v>4</v>
      </c>
      <c r="DN16" t="s">
        <v>428</v>
      </c>
      <c r="DO16">
        <v>1</v>
      </c>
    </row>
    <row r="17" spans="1:119" x14ac:dyDescent="0.2">
      <c r="A17">
        <f>ROW(Source!A31)</f>
        <v>31</v>
      </c>
      <c r="B17">
        <v>94104265</v>
      </c>
      <c r="C17">
        <v>89966537</v>
      </c>
      <c r="D17">
        <v>87304091</v>
      </c>
      <c r="E17">
        <v>1</v>
      </c>
      <c r="F17">
        <v>1</v>
      </c>
      <c r="G17">
        <v>1</v>
      </c>
      <c r="H17">
        <v>3</v>
      </c>
      <c r="I17" t="s">
        <v>467</v>
      </c>
      <c r="J17" t="s">
        <v>468</v>
      </c>
      <c r="K17" t="s">
        <v>469</v>
      </c>
      <c r="L17">
        <v>1339</v>
      </c>
      <c r="N17">
        <v>1007</v>
      </c>
      <c r="O17" t="s">
        <v>34</v>
      </c>
      <c r="P17" t="s">
        <v>34</v>
      </c>
      <c r="Q17">
        <v>1</v>
      </c>
      <c r="W17">
        <v>0</v>
      </c>
      <c r="X17">
        <v>1964556667</v>
      </c>
      <c r="Y17">
        <f t="shared" si="0"/>
        <v>8.3999999999999995E-3</v>
      </c>
      <c r="AA17">
        <v>54.64</v>
      </c>
      <c r="AB17">
        <v>0</v>
      </c>
      <c r="AC17">
        <v>0</v>
      </c>
      <c r="AD17">
        <v>0</v>
      </c>
      <c r="AE17">
        <v>35.71</v>
      </c>
      <c r="AF17">
        <v>0</v>
      </c>
      <c r="AG17">
        <v>0</v>
      </c>
      <c r="AH17">
        <v>0</v>
      </c>
      <c r="AI17">
        <v>1.53</v>
      </c>
      <c r="AJ17">
        <v>1</v>
      </c>
      <c r="AK17">
        <v>1</v>
      </c>
      <c r="AL17">
        <v>1</v>
      </c>
      <c r="AM17">
        <v>2</v>
      </c>
      <c r="AN17">
        <v>0</v>
      </c>
      <c r="AO17">
        <v>0</v>
      </c>
      <c r="AP17">
        <v>0</v>
      </c>
      <c r="AQ17">
        <v>1</v>
      </c>
      <c r="AR17">
        <v>0</v>
      </c>
      <c r="AS17" t="s">
        <v>3</v>
      </c>
      <c r="AT17">
        <v>8.3999999999999995E-3</v>
      </c>
      <c r="AU17" t="s">
        <v>3</v>
      </c>
      <c r="AV17">
        <v>0</v>
      </c>
      <c r="AW17">
        <v>2</v>
      </c>
      <c r="AX17">
        <v>89966560</v>
      </c>
      <c r="AY17">
        <v>1</v>
      </c>
      <c r="AZ17">
        <v>0</v>
      </c>
      <c r="BA17">
        <v>17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0.29996400000000001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0.29996400000000001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1</v>
      </c>
      <c r="CV17">
        <v>0</v>
      </c>
      <c r="CW17">
        <v>0</v>
      </c>
      <c r="CX17">
        <f>ROUND(Y17*Source!I31,7)</f>
        <v>1.2600000000000001E-3</v>
      </c>
      <c r="CY17">
        <f t="shared" ref="CY17:CY24" si="8">AA17</f>
        <v>54.64</v>
      </c>
      <c r="CZ17">
        <f t="shared" ref="CZ17:CZ24" si="9">AE17</f>
        <v>35.71</v>
      </c>
      <c r="DA17">
        <f t="shared" ref="DA17:DA24" si="10">AI17</f>
        <v>1.53</v>
      </c>
      <c r="DB17">
        <f t="shared" si="1"/>
        <v>0.3</v>
      </c>
      <c r="DC17">
        <f t="shared" si="2"/>
        <v>0</v>
      </c>
      <c r="DD17" t="s">
        <v>3</v>
      </c>
      <c r="DE17" t="s">
        <v>3</v>
      </c>
      <c r="DF17">
        <f>ROUND(ROUND(AE17*AI17,2)*CX17,2)</f>
        <v>7.0000000000000007E-2</v>
      </c>
      <c r="DG17">
        <f t="shared" si="7"/>
        <v>0</v>
      </c>
      <c r="DH17">
        <f t="shared" si="4"/>
        <v>0</v>
      </c>
      <c r="DI17">
        <f t="shared" si="5"/>
        <v>0</v>
      </c>
      <c r="DJ17">
        <f t="shared" ref="DJ17:DJ24" si="11">DF17</f>
        <v>7.0000000000000007E-2</v>
      </c>
      <c r="DK17">
        <v>0</v>
      </c>
      <c r="DL17" t="s">
        <v>3</v>
      </c>
      <c r="DM17">
        <v>0</v>
      </c>
      <c r="DN17" t="s">
        <v>3</v>
      </c>
      <c r="DO17">
        <v>0</v>
      </c>
    </row>
    <row r="18" spans="1:119" x14ac:dyDescent="0.2">
      <c r="A18">
        <f>ROW(Source!A31)</f>
        <v>31</v>
      </c>
      <c r="B18">
        <v>94104265</v>
      </c>
      <c r="C18">
        <v>89966537</v>
      </c>
      <c r="D18">
        <v>87304887</v>
      </c>
      <c r="E18">
        <v>1</v>
      </c>
      <c r="F18">
        <v>1</v>
      </c>
      <c r="G18">
        <v>1</v>
      </c>
      <c r="H18">
        <v>3</v>
      </c>
      <c r="I18" t="s">
        <v>470</v>
      </c>
      <c r="J18" t="s">
        <v>471</v>
      </c>
      <c r="K18" t="s">
        <v>472</v>
      </c>
      <c r="L18">
        <v>1327</v>
      </c>
      <c r="N18">
        <v>1005</v>
      </c>
      <c r="O18" t="s">
        <v>60</v>
      </c>
      <c r="P18" t="s">
        <v>60</v>
      </c>
      <c r="Q18">
        <v>1</v>
      </c>
      <c r="W18">
        <v>0</v>
      </c>
      <c r="X18">
        <v>577899087</v>
      </c>
      <c r="Y18">
        <f t="shared" si="0"/>
        <v>0.23</v>
      </c>
      <c r="AA18">
        <v>31.22</v>
      </c>
      <c r="AB18">
        <v>0</v>
      </c>
      <c r="AC18">
        <v>0</v>
      </c>
      <c r="AD18">
        <v>0</v>
      </c>
      <c r="AE18">
        <v>28.13</v>
      </c>
      <c r="AF18">
        <v>0</v>
      </c>
      <c r="AG18">
        <v>0</v>
      </c>
      <c r="AH18">
        <v>0</v>
      </c>
      <c r="AI18">
        <v>1.1100000000000001</v>
      </c>
      <c r="AJ18">
        <v>1</v>
      </c>
      <c r="AK18">
        <v>1</v>
      </c>
      <c r="AL18">
        <v>1</v>
      </c>
      <c r="AM18">
        <v>2</v>
      </c>
      <c r="AN18">
        <v>0</v>
      </c>
      <c r="AO18">
        <v>0</v>
      </c>
      <c r="AP18">
        <v>0</v>
      </c>
      <c r="AQ18">
        <v>1</v>
      </c>
      <c r="AR18">
        <v>0</v>
      </c>
      <c r="AS18" t="s">
        <v>3</v>
      </c>
      <c r="AT18">
        <v>0.23</v>
      </c>
      <c r="AU18" t="s">
        <v>3</v>
      </c>
      <c r="AV18">
        <v>0</v>
      </c>
      <c r="AW18">
        <v>2</v>
      </c>
      <c r="AX18">
        <v>89966561</v>
      </c>
      <c r="AY18">
        <v>1</v>
      </c>
      <c r="AZ18">
        <v>0</v>
      </c>
      <c r="BA18">
        <v>18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6.4699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6.4699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1</v>
      </c>
      <c r="CV18">
        <v>0</v>
      </c>
      <c r="CW18">
        <v>0</v>
      </c>
      <c r="CX18">
        <f>ROUND(Y18*Source!I31,7)</f>
        <v>3.4500000000000003E-2</v>
      </c>
      <c r="CY18">
        <f t="shared" si="8"/>
        <v>31.22</v>
      </c>
      <c r="CZ18">
        <f t="shared" si="9"/>
        <v>28.13</v>
      </c>
      <c r="DA18">
        <f t="shared" si="10"/>
        <v>1.1100000000000001</v>
      </c>
      <c r="DB18">
        <f t="shared" si="1"/>
        <v>6.47</v>
      </c>
      <c r="DC18">
        <f t="shared" si="2"/>
        <v>0</v>
      </c>
      <c r="DD18" t="s">
        <v>3</v>
      </c>
      <c r="DE18" t="s">
        <v>3</v>
      </c>
      <c r="DF18">
        <f>ROUND(ROUND(AE18*AI18,2)*CX18,2)</f>
        <v>1.08</v>
      </c>
      <c r="DG18">
        <f t="shared" si="7"/>
        <v>0</v>
      </c>
      <c r="DH18">
        <f t="shared" si="4"/>
        <v>0</v>
      </c>
      <c r="DI18">
        <f t="shared" si="5"/>
        <v>0</v>
      </c>
      <c r="DJ18">
        <f t="shared" si="11"/>
        <v>1.08</v>
      </c>
      <c r="DK18">
        <v>0</v>
      </c>
      <c r="DL18" t="s">
        <v>3</v>
      </c>
      <c r="DM18">
        <v>0</v>
      </c>
      <c r="DN18" t="s">
        <v>3</v>
      </c>
      <c r="DO18">
        <v>0</v>
      </c>
    </row>
    <row r="19" spans="1:119" x14ac:dyDescent="0.2">
      <c r="A19">
        <f>ROW(Source!A31)</f>
        <v>31</v>
      </c>
      <c r="B19">
        <v>94104265</v>
      </c>
      <c r="C19">
        <v>89966537</v>
      </c>
      <c r="D19">
        <v>87307667</v>
      </c>
      <c r="E19">
        <v>1</v>
      </c>
      <c r="F19">
        <v>1</v>
      </c>
      <c r="G19">
        <v>1</v>
      </c>
      <c r="H19">
        <v>3</v>
      </c>
      <c r="I19" t="s">
        <v>50</v>
      </c>
      <c r="J19" t="s">
        <v>52</v>
      </c>
      <c r="K19" t="s">
        <v>51</v>
      </c>
      <c r="L19">
        <v>1339</v>
      </c>
      <c r="N19">
        <v>1007</v>
      </c>
      <c r="O19" t="s">
        <v>34</v>
      </c>
      <c r="P19" t="s">
        <v>34</v>
      </c>
      <c r="Q19">
        <v>1</v>
      </c>
      <c r="W19">
        <v>0</v>
      </c>
      <c r="X19">
        <v>740660255</v>
      </c>
      <c r="Y19">
        <f t="shared" si="0"/>
        <v>1.0149999999999999</v>
      </c>
      <c r="AA19">
        <v>6056.81</v>
      </c>
      <c r="AB19">
        <v>0</v>
      </c>
      <c r="AC19">
        <v>0</v>
      </c>
      <c r="AD19">
        <v>0</v>
      </c>
      <c r="AE19">
        <v>6056.81</v>
      </c>
      <c r="AF19">
        <v>0</v>
      </c>
      <c r="AG19">
        <v>0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-2</v>
      </c>
      <c r="AN19">
        <v>0</v>
      </c>
      <c r="AO19">
        <v>0</v>
      </c>
      <c r="AP19">
        <v>1</v>
      </c>
      <c r="AQ19">
        <v>0</v>
      </c>
      <c r="AR19">
        <v>0</v>
      </c>
      <c r="AS19" t="s">
        <v>3</v>
      </c>
      <c r="AT19">
        <v>1.0149999999999999</v>
      </c>
      <c r="AU19" t="s">
        <v>3</v>
      </c>
      <c r="AV19">
        <v>0</v>
      </c>
      <c r="AW19">
        <v>1</v>
      </c>
      <c r="AX19">
        <v>-1</v>
      </c>
      <c r="AY19">
        <v>0</v>
      </c>
      <c r="AZ19">
        <v>0</v>
      </c>
      <c r="BA19" t="s">
        <v>3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V19">
        <v>0</v>
      </c>
      <c r="CW19">
        <v>0</v>
      </c>
      <c r="CX19">
        <f>ROUND(Y19*Source!I31,7)</f>
        <v>0.15225</v>
      </c>
      <c r="CY19">
        <f t="shared" si="8"/>
        <v>6056.81</v>
      </c>
      <c r="CZ19">
        <f t="shared" si="9"/>
        <v>6056.81</v>
      </c>
      <c r="DA19">
        <f t="shared" si="10"/>
        <v>1</v>
      </c>
      <c r="DB19">
        <f t="shared" si="1"/>
        <v>6147.66</v>
      </c>
      <c r="DC19">
        <f t="shared" si="2"/>
        <v>0</v>
      </c>
      <c r="DD19" t="s">
        <v>3</v>
      </c>
      <c r="DE19" t="s">
        <v>3</v>
      </c>
      <c r="DF19">
        <f>ROUND(ROUND(AE19,2)*CX19,2)</f>
        <v>922.15</v>
      </c>
      <c r="DG19">
        <f t="shared" si="7"/>
        <v>0</v>
      </c>
      <c r="DH19">
        <f t="shared" si="4"/>
        <v>0</v>
      </c>
      <c r="DI19">
        <f t="shared" si="5"/>
        <v>0</v>
      </c>
      <c r="DJ19">
        <f t="shared" si="11"/>
        <v>922.15</v>
      </c>
      <c r="DK19">
        <v>1</v>
      </c>
      <c r="DL19" t="s">
        <v>3</v>
      </c>
      <c r="DM19">
        <v>0</v>
      </c>
      <c r="DN19" t="s">
        <v>3</v>
      </c>
      <c r="DO19">
        <v>0</v>
      </c>
    </row>
    <row r="20" spans="1:119" x14ac:dyDescent="0.2">
      <c r="A20">
        <f>ROW(Source!A31)</f>
        <v>31</v>
      </c>
      <c r="B20">
        <v>94104265</v>
      </c>
      <c r="C20">
        <v>89966537</v>
      </c>
      <c r="D20">
        <v>87312047</v>
      </c>
      <c r="E20">
        <v>1</v>
      </c>
      <c r="F20">
        <v>1</v>
      </c>
      <c r="G20">
        <v>1</v>
      </c>
      <c r="H20">
        <v>3</v>
      </c>
      <c r="I20" t="s">
        <v>58</v>
      </c>
      <c r="J20" t="s">
        <v>61</v>
      </c>
      <c r="K20" t="s">
        <v>59</v>
      </c>
      <c r="L20">
        <v>1327</v>
      </c>
      <c r="N20">
        <v>1005</v>
      </c>
      <c r="O20" t="s">
        <v>60</v>
      </c>
      <c r="P20" t="s">
        <v>60</v>
      </c>
      <c r="Q20">
        <v>1</v>
      </c>
      <c r="W20">
        <v>0</v>
      </c>
      <c r="X20">
        <v>-1004543746</v>
      </c>
      <c r="Y20">
        <f t="shared" si="0"/>
        <v>6.8627450999999997</v>
      </c>
      <c r="AA20">
        <v>96.25</v>
      </c>
      <c r="AB20">
        <v>0</v>
      </c>
      <c r="AC20">
        <v>0</v>
      </c>
      <c r="AD20">
        <v>0</v>
      </c>
      <c r="AE20">
        <v>93.45</v>
      </c>
      <c r="AF20">
        <v>0</v>
      </c>
      <c r="AG20">
        <v>0</v>
      </c>
      <c r="AH20">
        <v>0</v>
      </c>
      <c r="AI20">
        <v>1.03</v>
      </c>
      <c r="AJ20">
        <v>1</v>
      </c>
      <c r="AK20">
        <v>1</v>
      </c>
      <c r="AL20">
        <v>1</v>
      </c>
      <c r="AM20">
        <v>2</v>
      </c>
      <c r="AN20">
        <v>0</v>
      </c>
      <c r="AO20">
        <v>0</v>
      </c>
      <c r="AP20">
        <v>0</v>
      </c>
      <c r="AQ20">
        <v>0</v>
      </c>
      <c r="AR20">
        <v>0</v>
      </c>
      <c r="AS20" t="s">
        <v>3</v>
      </c>
      <c r="AT20">
        <v>6.8627450999999997</v>
      </c>
      <c r="AU20" t="s">
        <v>3</v>
      </c>
      <c r="AV20">
        <v>0</v>
      </c>
      <c r="AW20">
        <v>1</v>
      </c>
      <c r="AX20">
        <v>-1</v>
      </c>
      <c r="AY20">
        <v>0</v>
      </c>
      <c r="AZ20">
        <v>0</v>
      </c>
      <c r="BA20" t="s">
        <v>3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V20">
        <v>0</v>
      </c>
      <c r="CW20">
        <v>0</v>
      </c>
      <c r="CX20">
        <f>ROUND(Y20*Source!I31,7)</f>
        <v>1.0294118000000001</v>
      </c>
      <c r="CY20">
        <f t="shared" si="8"/>
        <v>96.25</v>
      </c>
      <c r="CZ20">
        <f t="shared" si="9"/>
        <v>93.45</v>
      </c>
      <c r="DA20">
        <f t="shared" si="10"/>
        <v>1.03</v>
      </c>
      <c r="DB20">
        <f t="shared" si="1"/>
        <v>641.32000000000005</v>
      </c>
      <c r="DC20">
        <f t="shared" si="2"/>
        <v>0</v>
      </c>
      <c r="DD20" t="s">
        <v>3</v>
      </c>
      <c r="DE20" t="s">
        <v>3</v>
      </c>
      <c r="DF20">
        <f>ROUND(ROUND(AE20*AI20,2)*CX20,2)</f>
        <v>99.08</v>
      </c>
      <c r="DG20">
        <f t="shared" si="7"/>
        <v>0</v>
      </c>
      <c r="DH20">
        <f t="shared" si="4"/>
        <v>0</v>
      </c>
      <c r="DI20">
        <f t="shared" si="5"/>
        <v>0</v>
      </c>
      <c r="DJ20">
        <f t="shared" si="11"/>
        <v>99.08</v>
      </c>
      <c r="DK20">
        <v>0</v>
      </c>
      <c r="DL20" t="s">
        <v>3</v>
      </c>
      <c r="DM20">
        <v>0</v>
      </c>
      <c r="DN20" t="s">
        <v>3</v>
      </c>
      <c r="DO20">
        <v>0</v>
      </c>
    </row>
    <row r="21" spans="1:119" x14ac:dyDescent="0.2">
      <c r="A21">
        <f>ROW(Source!A31)</f>
        <v>31</v>
      </c>
      <c r="B21">
        <v>94104265</v>
      </c>
      <c r="C21">
        <v>89966537</v>
      </c>
      <c r="D21">
        <v>87312812</v>
      </c>
      <c r="E21">
        <v>1</v>
      </c>
      <c r="F21">
        <v>1</v>
      </c>
      <c r="G21">
        <v>1</v>
      </c>
      <c r="H21">
        <v>3</v>
      </c>
      <c r="I21" t="s">
        <v>473</v>
      </c>
      <c r="J21" t="s">
        <v>474</v>
      </c>
      <c r="K21" t="s">
        <v>475</v>
      </c>
      <c r="L21">
        <v>1346</v>
      </c>
      <c r="N21">
        <v>1009</v>
      </c>
      <c r="O21" t="s">
        <v>96</v>
      </c>
      <c r="P21" t="s">
        <v>96</v>
      </c>
      <c r="Q21">
        <v>1</v>
      </c>
      <c r="W21">
        <v>0</v>
      </c>
      <c r="X21">
        <v>-1683712354</v>
      </c>
      <c r="Y21">
        <f t="shared" si="0"/>
        <v>0.3</v>
      </c>
      <c r="AA21">
        <v>69.77</v>
      </c>
      <c r="AB21">
        <v>0</v>
      </c>
      <c r="AC21">
        <v>0</v>
      </c>
      <c r="AD21">
        <v>0</v>
      </c>
      <c r="AE21">
        <v>83.06</v>
      </c>
      <c r="AF21">
        <v>0</v>
      </c>
      <c r="AG21">
        <v>0</v>
      </c>
      <c r="AH21">
        <v>0</v>
      </c>
      <c r="AI21">
        <v>0.84</v>
      </c>
      <c r="AJ21">
        <v>1</v>
      </c>
      <c r="AK21">
        <v>1</v>
      </c>
      <c r="AL21">
        <v>1</v>
      </c>
      <c r="AM21">
        <v>2</v>
      </c>
      <c r="AN21">
        <v>0</v>
      </c>
      <c r="AO21">
        <v>0</v>
      </c>
      <c r="AP21">
        <v>0</v>
      </c>
      <c r="AQ21">
        <v>1</v>
      </c>
      <c r="AR21">
        <v>0</v>
      </c>
      <c r="AS21" t="s">
        <v>3</v>
      </c>
      <c r="AT21">
        <v>0.3</v>
      </c>
      <c r="AU21" t="s">
        <v>3</v>
      </c>
      <c r="AV21">
        <v>0</v>
      </c>
      <c r="AW21">
        <v>2</v>
      </c>
      <c r="AX21">
        <v>89966564</v>
      </c>
      <c r="AY21">
        <v>1</v>
      </c>
      <c r="AZ21">
        <v>0</v>
      </c>
      <c r="BA21">
        <v>21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24.917999999999999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</v>
      </c>
      <c r="BQ21">
        <v>24.917999999999999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1</v>
      </c>
      <c r="CV21">
        <v>0</v>
      </c>
      <c r="CW21">
        <v>0</v>
      </c>
      <c r="CX21">
        <f>ROUND(Y21*Source!I31,7)</f>
        <v>4.4999999999999998E-2</v>
      </c>
      <c r="CY21">
        <f t="shared" si="8"/>
        <v>69.77</v>
      </c>
      <c r="CZ21">
        <f t="shared" si="9"/>
        <v>83.06</v>
      </c>
      <c r="DA21">
        <f t="shared" si="10"/>
        <v>0.84</v>
      </c>
      <c r="DB21">
        <f t="shared" si="1"/>
        <v>24.92</v>
      </c>
      <c r="DC21">
        <f t="shared" si="2"/>
        <v>0</v>
      </c>
      <c r="DD21" t="s">
        <v>3</v>
      </c>
      <c r="DE21" t="s">
        <v>3</v>
      </c>
      <c r="DF21">
        <f>ROUND(ROUND(AE21*AI21,2)*CX21,2)</f>
        <v>3.14</v>
      </c>
      <c r="DG21">
        <f t="shared" si="7"/>
        <v>0</v>
      </c>
      <c r="DH21">
        <f t="shared" si="4"/>
        <v>0</v>
      </c>
      <c r="DI21">
        <f t="shared" si="5"/>
        <v>0</v>
      </c>
      <c r="DJ21">
        <f t="shared" si="11"/>
        <v>3.14</v>
      </c>
      <c r="DK21">
        <v>0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ROW(Source!A31)</f>
        <v>31</v>
      </c>
      <c r="B22">
        <v>94104265</v>
      </c>
      <c r="C22">
        <v>89966537</v>
      </c>
      <c r="D22">
        <v>87315000</v>
      </c>
      <c r="E22">
        <v>1</v>
      </c>
      <c r="F22">
        <v>1</v>
      </c>
      <c r="G22">
        <v>1</v>
      </c>
      <c r="H22">
        <v>3</v>
      </c>
      <c r="I22" t="s">
        <v>476</v>
      </c>
      <c r="J22" t="s">
        <v>477</v>
      </c>
      <c r="K22" t="s">
        <v>478</v>
      </c>
      <c r="L22">
        <v>1339</v>
      </c>
      <c r="N22">
        <v>1007</v>
      </c>
      <c r="O22" t="s">
        <v>34</v>
      </c>
      <c r="P22" t="s">
        <v>34</v>
      </c>
      <c r="Q22">
        <v>1</v>
      </c>
      <c r="W22">
        <v>0</v>
      </c>
      <c r="X22">
        <v>1562942180</v>
      </c>
      <c r="Y22">
        <f t="shared" si="0"/>
        <v>1.7999999999999999E-2</v>
      </c>
      <c r="AA22">
        <v>13856.67</v>
      </c>
      <c r="AB22">
        <v>0</v>
      </c>
      <c r="AC22">
        <v>0</v>
      </c>
      <c r="AD22">
        <v>0</v>
      </c>
      <c r="AE22">
        <v>16496.03</v>
      </c>
      <c r="AF22">
        <v>0</v>
      </c>
      <c r="AG22">
        <v>0</v>
      </c>
      <c r="AH22">
        <v>0</v>
      </c>
      <c r="AI22">
        <v>0.84</v>
      </c>
      <c r="AJ22">
        <v>1</v>
      </c>
      <c r="AK22">
        <v>1</v>
      </c>
      <c r="AL22">
        <v>1</v>
      </c>
      <c r="AM22">
        <v>2</v>
      </c>
      <c r="AN22">
        <v>0</v>
      </c>
      <c r="AO22">
        <v>0</v>
      </c>
      <c r="AP22">
        <v>0</v>
      </c>
      <c r="AQ22">
        <v>1</v>
      </c>
      <c r="AR22">
        <v>0</v>
      </c>
      <c r="AS22" t="s">
        <v>3</v>
      </c>
      <c r="AT22">
        <v>1.7999999999999999E-2</v>
      </c>
      <c r="AU22" t="s">
        <v>3</v>
      </c>
      <c r="AV22">
        <v>0</v>
      </c>
      <c r="AW22">
        <v>2</v>
      </c>
      <c r="AX22">
        <v>89966566</v>
      </c>
      <c r="AY22">
        <v>1</v>
      </c>
      <c r="AZ22">
        <v>0</v>
      </c>
      <c r="BA22">
        <v>23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296.92853999999994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</v>
      </c>
      <c r="BQ22">
        <v>296.92853999999994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1</v>
      </c>
      <c r="CV22">
        <v>0</v>
      </c>
      <c r="CW22">
        <v>0</v>
      </c>
      <c r="CX22">
        <f>ROUND(Y22*Source!I31,7)</f>
        <v>2.7000000000000001E-3</v>
      </c>
      <c r="CY22">
        <f t="shared" si="8"/>
        <v>13856.67</v>
      </c>
      <c r="CZ22">
        <f t="shared" si="9"/>
        <v>16496.03</v>
      </c>
      <c r="DA22">
        <f t="shared" si="10"/>
        <v>0.84</v>
      </c>
      <c r="DB22">
        <f t="shared" si="1"/>
        <v>296.93</v>
      </c>
      <c r="DC22">
        <f t="shared" si="2"/>
        <v>0</v>
      </c>
      <c r="DD22" t="s">
        <v>3</v>
      </c>
      <c r="DE22" t="s">
        <v>3</v>
      </c>
      <c r="DF22">
        <f>ROUND(ROUND(AE22*AI22,2)*CX22,2)</f>
        <v>37.409999999999997</v>
      </c>
      <c r="DG22">
        <f t="shared" si="7"/>
        <v>0</v>
      </c>
      <c r="DH22">
        <f t="shared" si="4"/>
        <v>0</v>
      </c>
      <c r="DI22">
        <f t="shared" si="5"/>
        <v>0</v>
      </c>
      <c r="DJ22">
        <f t="shared" si="11"/>
        <v>37.409999999999997</v>
      </c>
      <c r="DK22">
        <v>0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ROW(Source!A31)</f>
        <v>31</v>
      </c>
      <c r="B23">
        <v>94104265</v>
      </c>
      <c r="C23">
        <v>89966537</v>
      </c>
      <c r="D23">
        <v>87315020</v>
      </c>
      <c r="E23">
        <v>1</v>
      </c>
      <c r="F23">
        <v>1</v>
      </c>
      <c r="G23">
        <v>1</v>
      </c>
      <c r="H23">
        <v>3</v>
      </c>
      <c r="I23" t="s">
        <v>54</v>
      </c>
      <c r="J23" t="s">
        <v>56</v>
      </c>
      <c r="K23" t="s">
        <v>55</v>
      </c>
      <c r="L23">
        <v>1339</v>
      </c>
      <c r="N23">
        <v>1007</v>
      </c>
      <c r="O23" t="s">
        <v>34</v>
      </c>
      <c r="P23" t="s">
        <v>34</v>
      </c>
      <c r="Q23">
        <v>1</v>
      </c>
      <c r="W23">
        <v>0</v>
      </c>
      <c r="X23">
        <v>194416042</v>
      </c>
      <c r="Y23">
        <f t="shared" si="0"/>
        <v>8.6666699999999999E-2</v>
      </c>
      <c r="AA23">
        <v>10199.25</v>
      </c>
      <c r="AB23">
        <v>0</v>
      </c>
      <c r="AC23">
        <v>0</v>
      </c>
      <c r="AD23">
        <v>0</v>
      </c>
      <c r="AE23">
        <v>7555</v>
      </c>
      <c r="AF23">
        <v>0</v>
      </c>
      <c r="AG23">
        <v>0</v>
      </c>
      <c r="AH23">
        <v>0</v>
      </c>
      <c r="AI23">
        <v>1.35</v>
      </c>
      <c r="AJ23">
        <v>1</v>
      </c>
      <c r="AK23">
        <v>1</v>
      </c>
      <c r="AL23">
        <v>1</v>
      </c>
      <c r="AM23">
        <v>2</v>
      </c>
      <c r="AN23">
        <v>0</v>
      </c>
      <c r="AO23">
        <v>0</v>
      </c>
      <c r="AP23">
        <v>0</v>
      </c>
      <c r="AQ23">
        <v>0</v>
      </c>
      <c r="AR23">
        <v>0</v>
      </c>
      <c r="AS23" t="s">
        <v>3</v>
      </c>
      <c r="AT23">
        <v>8.6666699999999999E-2</v>
      </c>
      <c r="AU23" t="s">
        <v>3</v>
      </c>
      <c r="AV23">
        <v>0</v>
      </c>
      <c r="AW23">
        <v>1</v>
      </c>
      <c r="AX23">
        <v>-1</v>
      </c>
      <c r="AY23">
        <v>0</v>
      </c>
      <c r="AZ23">
        <v>0</v>
      </c>
      <c r="BA23" t="s">
        <v>3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V23">
        <v>0</v>
      </c>
      <c r="CW23">
        <v>0</v>
      </c>
      <c r="CX23">
        <f>ROUND(Y23*Source!I31,7)</f>
        <v>1.2999999999999999E-2</v>
      </c>
      <c r="CY23">
        <f t="shared" si="8"/>
        <v>10199.25</v>
      </c>
      <c r="CZ23">
        <f t="shared" si="9"/>
        <v>7555</v>
      </c>
      <c r="DA23">
        <f t="shared" si="10"/>
        <v>1.35</v>
      </c>
      <c r="DB23">
        <f t="shared" si="1"/>
        <v>654.77</v>
      </c>
      <c r="DC23">
        <f t="shared" si="2"/>
        <v>0</v>
      </c>
      <c r="DD23" t="s">
        <v>3</v>
      </c>
      <c r="DE23" t="s">
        <v>3</v>
      </c>
      <c r="DF23">
        <f>ROUND(ROUND(AE23*AI23,2)*CX23,2)</f>
        <v>132.59</v>
      </c>
      <c r="DG23">
        <f t="shared" si="7"/>
        <v>0</v>
      </c>
      <c r="DH23">
        <f t="shared" si="4"/>
        <v>0</v>
      </c>
      <c r="DI23">
        <f t="shared" si="5"/>
        <v>0</v>
      </c>
      <c r="DJ23">
        <f t="shared" si="11"/>
        <v>132.59</v>
      </c>
      <c r="DK23">
        <v>0</v>
      </c>
      <c r="DL23" t="s">
        <v>3</v>
      </c>
      <c r="DM23">
        <v>0</v>
      </c>
      <c r="DN23" t="s">
        <v>3</v>
      </c>
      <c r="DO23">
        <v>0</v>
      </c>
    </row>
    <row r="24" spans="1:119" x14ac:dyDescent="0.2">
      <c r="A24">
        <f>ROW(Source!A31)</f>
        <v>31</v>
      </c>
      <c r="B24">
        <v>94104265</v>
      </c>
      <c r="C24">
        <v>89966537</v>
      </c>
      <c r="D24">
        <v>87315053</v>
      </c>
      <c r="E24">
        <v>1</v>
      </c>
      <c r="F24">
        <v>1</v>
      </c>
      <c r="G24">
        <v>1</v>
      </c>
      <c r="H24">
        <v>3</v>
      </c>
      <c r="I24" t="s">
        <v>479</v>
      </c>
      <c r="J24" t="s">
        <v>480</v>
      </c>
      <c r="K24" t="s">
        <v>481</v>
      </c>
      <c r="L24">
        <v>1339</v>
      </c>
      <c r="N24">
        <v>1007</v>
      </c>
      <c r="O24" t="s">
        <v>34</v>
      </c>
      <c r="P24" t="s">
        <v>34</v>
      </c>
      <c r="Q24">
        <v>1</v>
      </c>
      <c r="W24">
        <v>0</v>
      </c>
      <c r="X24">
        <v>-2132912994</v>
      </c>
      <c r="Y24">
        <f t="shared" si="0"/>
        <v>0.13800000000000001</v>
      </c>
      <c r="AA24">
        <v>9972.4500000000007</v>
      </c>
      <c r="AB24">
        <v>0</v>
      </c>
      <c r="AC24">
        <v>0</v>
      </c>
      <c r="AD24">
        <v>0</v>
      </c>
      <c r="AE24">
        <v>5764.42</v>
      </c>
      <c r="AF24">
        <v>0</v>
      </c>
      <c r="AG24">
        <v>0</v>
      </c>
      <c r="AH24">
        <v>0</v>
      </c>
      <c r="AI24">
        <v>1.73</v>
      </c>
      <c r="AJ24">
        <v>1</v>
      </c>
      <c r="AK24">
        <v>1</v>
      </c>
      <c r="AL24">
        <v>1</v>
      </c>
      <c r="AM24">
        <v>2</v>
      </c>
      <c r="AN24">
        <v>0</v>
      </c>
      <c r="AO24">
        <v>0</v>
      </c>
      <c r="AP24">
        <v>0</v>
      </c>
      <c r="AQ24">
        <v>1</v>
      </c>
      <c r="AR24">
        <v>0</v>
      </c>
      <c r="AS24" t="s">
        <v>3</v>
      </c>
      <c r="AT24">
        <v>0.13800000000000001</v>
      </c>
      <c r="AU24" t="s">
        <v>3</v>
      </c>
      <c r="AV24">
        <v>0</v>
      </c>
      <c r="AW24">
        <v>2</v>
      </c>
      <c r="AX24">
        <v>89966567</v>
      </c>
      <c r="AY24">
        <v>1</v>
      </c>
      <c r="AZ24">
        <v>0</v>
      </c>
      <c r="BA24">
        <v>24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795.48996000000011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795.48996000000011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1</v>
      </c>
      <c r="CV24">
        <v>0</v>
      </c>
      <c r="CW24">
        <v>0</v>
      </c>
      <c r="CX24">
        <f>ROUND(Y24*Source!I31,7)</f>
        <v>2.07E-2</v>
      </c>
      <c r="CY24">
        <f t="shared" si="8"/>
        <v>9972.4500000000007</v>
      </c>
      <c r="CZ24">
        <f t="shared" si="9"/>
        <v>5764.42</v>
      </c>
      <c r="DA24">
        <f t="shared" si="10"/>
        <v>1.73</v>
      </c>
      <c r="DB24">
        <f t="shared" si="1"/>
        <v>795.49</v>
      </c>
      <c r="DC24">
        <f t="shared" si="2"/>
        <v>0</v>
      </c>
      <c r="DD24" t="s">
        <v>3</v>
      </c>
      <c r="DE24" t="s">
        <v>3</v>
      </c>
      <c r="DF24">
        <f>ROUND(ROUND(AE24*AI24,2)*CX24,2)</f>
        <v>206.43</v>
      </c>
      <c r="DG24">
        <f t="shared" si="7"/>
        <v>0</v>
      </c>
      <c r="DH24">
        <f t="shared" si="4"/>
        <v>0</v>
      </c>
      <c r="DI24">
        <f t="shared" si="5"/>
        <v>0</v>
      </c>
      <c r="DJ24">
        <f t="shared" si="11"/>
        <v>206.43</v>
      </c>
      <c r="DK24">
        <v>0</v>
      </c>
      <c r="DL24" t="s">
        <v>3</v>
      </c>
      <c r="DM24">
        <v>0</v>
      </c>
      <c r="DN24" t="s">
        <v>3</v>
      </c>
      <c r="DO24">
        <v>0</v>
      </c>
    </row>
    <row r="25" spans="1:119" x14ac:dyDescent="0.2">
      <c r="A25">
        <f>ROW(Source!A35)</f>
        <v>35</v>
      </c>
      <c r="B25">
        <v>94104265</v>
      </c>
      <c r="C25">
        <v>89946893</v>
      </c>
      <c r="D25">
        <v>87229765</v>
      </c>
      <c r="E25">
        <v>117</v>
      </c>
      <c r="F25">
        <v>1</v>
      </c>
      <c r="G25">
        <v>1</v>
      </c>
      <c r="H25">
        <v>1</v>
      </c>
      <c r="I25" t="s">
        <v>482</v>
      </c>
      <c r="J25" t="s">
        <v>3</v>
      </c>
      <c r="K25" t="s">
        <v>483</v>
      </c>
      <c r="L25">
        <v>1191</v>
      </c>
      <c r="N25">
        <v>1013</v>
      </c>
      <c r="O25" t="s">
        <v>428</v>
      </c>
      <c r="P25" t="s">
        <v>428</v>
      </c>
      <c r="Q25">
        <v>1</v>
      </c>
      <c r="W25">
        <v>0</v>
      </c>
      <c r="X25">
        <v>-715079457</v>
      </c>
      <c r="Y25">
        <f t="shared" si="0"/>
        <v>118</v>
      </c>
      <c r="AA25">
        <v>0</v>
      </c>
      <c r="AB25">
        <v>0</v>
      </c>
      <c r="AC25">
        <v>0</v>
      </c>
      <c r="AD25">
        <v>690.16</v>
      </c>
      <c r="AE25">
        <v>0</v>
      </c>
      <c r="AF25">
        <v>0</v>
      </c>
      <c r="AG25">
        <v>0</v>
      </c>
      <c r="AH25">
        <v>690.16</v>
      </c>
      <c r="AI25">
        <v>1</v>
      </c>
      <c r="AJ25">
        <v>1</v>
      </c>
      <c r="AK25">
        <v>1</v>
      </c>
      <c r="AL25">
        <v>1</v>
      </c>
      <c r="AM25">
        <v>-2</v>
      </c>
      <c r="AN25">
        <v>0</v>
      </c>
      <c r="AO25">
        <v>0</v>
      </c>
      <c r="AP25">
        <v>1</v>
      </c>
      <c r="AQ25">
        <v>1</v>
      </c>
      <c r="AR25">
        <v>0</v>
      </c>
      <c r="AS25" t="s">
        <v>3</v>
      </c>
      <c r="AT25">
        <v>118</v>
      </c>
      <c r="AU25" t="s">
        <v>3</v>
      </c>
      <c r="AV25">
        <v>1</v>
      </c>
      <c r="AW25">
        <v>2</v>
      </c>
      <c r="AX25">
        <v>89946894</v>
      </c>
      <c r="AY25">
        <v>2</v>
      </c>
      <c r="AZ25">
        <v>131072</v>
      </c>
      <c r="BA25">
        <v>25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81438.87999999999</v>
      </c>
      <c r="BN25">
        <v>118</v>
      </c>
      <c r="BO25">
        <v>0</v>
      </c>
      <c r="BP25">
        <v>1</v>
      </c>
      <c r="BQ25">
        <v>0</v>
      </c>
      <c r="BR25">
        <v>0</v>
      </c>
      <c r="BS25">
        <v>0</v>
      </c>
      <c r="BT25">
        <v>81438.87999999999</v>
      </c>
      <c r="BU25">
        <v>118</v>
      </c>
      <c r="BV25">
        <v>0</v>
      </c>
      <c r="BW25">
        <v>1</v>
      </c>
      <c r="CU25">
        <f>ROUND(AT25*Source!I35*AH25*AL25,2)</f>
        <v>48.86</v>
      </c>
      <c r="CV25">
        <f>ROUND(Y25*Source!I35,7)</f>
        <v>7.0800000000000002E-2</v>
      </c>
      <c r="CW25">
        <v>0</v>
      </c>
      <c r="CX25">
        <f>ROUND(Y25*Source!I35,7)</f>
        <v>7.0800000000000002E-2</v>
      </c>
      <c r="CY25">
        <f>AD25</f>
        <v>690.16</v>
      </c>
      <c r="CZ25">
        <f>AH25</f>
        <v>690.16</v>
      </c>
      <c r="DA25">
        <f>AL25</f>
        <v>1</v>
      </c>
      <c r="DB25">
        <f t="shared" si="1"/>
        <v>81438.880000000005</v>
      </c>
      <c r="DC25">
        <f t="shared" si="2"/>
        <v>0</v>
      </c>
      <c r="DD25" t="s">
        <v>3</v>
      </c>
      <c r="DE25" t="s">
        <v>3</v>
      </c>
      <c r="DF25">
        <f>ROUND(ROUND(AE25,2)*CX25,2)</f>
        <v>0</v>
      </c>
      <c r="DG25">
        <f t="shared" si="7"/>
        <v>0</v>
      </c>
      <c r="DH25">
        <f t="shared" si="4"/>
        <v>0</v>
      </c>
      <c r="DI25">
        <f t="shared" si="5"/>
        <v>48.86</v>
      </c>
      <c r="DJ25">
        <f>DI25</f>
        <v>48.86</v>
      </c>
      <c r="DK25">
        <v>1</v>
      </c>
      <c r="DL25" t="s">
        <v>3</v>
      </c>
      <c r="DM25">
        <v>0</v>
      </c>
      <c r="DN25" t="s">
        <v>3</v>
      </c>
      <c r="DO25">
        <v>0</v>
      </c>
    </row>
    <row r="26" spans="1:119" x14ac:dyDescent="0.2">
      <c r="A26">
        <f>ROW(Source!A35)</f>
        <v>35</v>
      </c>
      <c r="B26">
        <v>94104265</v>
      </c>
      <c r="C26">
        <v>89946893</v>
      </c>
      <c r="D26">
        <v>87229949</v>
      </c>
      <c r="E26">
        <v>117</v>
      </c>
      <c r="F26">
        <v>1</v>
      </c>
      <c r="G26">
        <v>1</v>
      </c>
      <c r="H26">
        <v>1</v>
      </c>
      <c r="I26" t="s">
        <v>429</v>
      </c>
      <c r="J26" t="s">
        <v>3</v>
      </c>
      <c r="K26" t="s">
        <v>430</v>
      </c>
      <c r="L26">
        <v>1191</v>
      </c>
      <c r="N26">
        <v>1013</v>
      </c>
      <c r="O26" t="s">
        <v>428</v>
      </c>
      <c r="P26" t="s">
        <v>428</v>
      </c>
      <c r="Q26">
        <v>1</v>
      </c>
      <c r="W26">
        <v>0</v>
      </c>
      <c r="X26">
        <v>-1417349443</v>
      </c>
      <c r="Y26">
        <f t="shared" si="0"/>
        <v>0.5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1</v>
      </c>
      <c r="AK26">
        <v>1</v>
      </c>
      <c r="AL26">
        <v>1</v>
      </c>
      <c r="AM26">
        <v>-2</v>
      </c>
      <c r="AN26">
        <v>0</v>
      </c>
      <c r="AO26">
        <v>0</v>
      </c>
      <c r="AP26">
        <v>1</v>
      </c>
      <c r="AQ26">
        <v>1</v>
      </c>
      <c r="AR26">
        <v>0</v>
      </c>
      <c r="AS26" t="s">
        <v>3</v>
      </c>
      <c r="AT26">
        <v>0.5</v>
      </c>
      <c r="AU26" t="s">
        <v>3</v>
      </c>
      <c r="AV26">
        <v>2</v>
      </c>
      <c r="AW26">
        <v>2</v>
      </c>
      <c r="AX26">
        <v>89946895</v>
      </c>
      <c r="AY26">
        <v>1</v>
      </c>
      <c r="AZ26">
        <v>0</v>
      </c>
      <c r="BA26">
        <v>26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V26">
        <v>0</v>
      </c>
      <c r="CW26">
        <v>0</v>
      </c>
      <c r="CX26">
        <f>ROUND(Y26*Source!I35,7)</f>
        <v>2.9999999999999997E-4</v>
      </c>
      <c r="CY26">
        <f>AD26</f>
        <v>0</v>
      </c>
      <c r="CZ26">
        <f>AH26</f>
        <v>0</v>
      </c>
      <c r="DA26">
        <f>AL26</f>
        <v>1</v>
      </c>
      <c r="DB26">
        <f t="shared" si="1"/>
        <v>0</v>
      </c>
      <c r="DC26">
        <f t="shared" si="2"/>
        <v>0</v>
      </c>
      <c r="DD26" t="s">
        <v>3</v>
      </c>
      <c r="DE26" t="s">
        <v>3</v>
      </c>
      <c r="DF26">
        <f>ROUND(ROUND(AE26,2)*CX26,2)</f>
        <v>0</v>
      </c>
      <c r="DG26">
        <f t="shared" si="7"/>
        <v>0</v>
      </c>
      <c r="DH26">
        <f t="shared" si="4"/>
        <v>0</v>
      </c>
      <c r="DI26">
        <f t="shared" si="5"/>
        <v>0</v>
      </c>
      <c r="DJ26">
        <f>DI26</f>
        <v>0</v>
      </c>
      <c r="DK26">
        <v>0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ROW(Source!A35)</f>
        <v>35</v>
      </c>
      <c r="B27">
        <v>94104265</v>
      </c>
      <c r="C27">
        <v>89946893</v>
      </c>
      <c r="D27">
        <v>87236438</v>
      </c>
      <c r="E27">
        <v>1</v>
      </c>
      <c r="F27">
        <v>1</v>
      </c>
      <c r="G27">
        <v>1</v>
      </c>
      <c r="H27">
        <v>2</v>
      </c>
      <c r="I27" t="s">
        <v>453</v>
      </c>
      <c r="J27" t="s">
        <v>454</v>
      </c>
      <c r="K27" t="s">
        <v>455</v>
      </c>
      <c r="L27">
        <v>1368</v>
      </c>
      <c r="N27">
        <v>1011</v>
      </c>
      <c r="O27" t="s">
        <v>434</v>
      </c>
      <c r="P27" t="s">
        <v>434</v>
      </c>
      <c r="Q27">
        <v>1</v>
      </c>
      <c r="W27">
        <v>0</v>
      </c>
      <c r="X27">
        <v>639918019</v>
      </c>
      <c r="Y27">
        <f t="shared" si="0"/>
        <v>0.22</v>
      </c>
      <c r="AA27">
        <v>0</v>
      </c>
      <c r="AB27">
        <v>1585.56</v>
      </c>
      <c r="AC27">
        <v>982.04</v>
      </c>
      <c r="AD27">
        <v>0</v>
      </c>
      <c r="AE27">
        <v>0</v>
      </c>
      <c r="AF27">
        <v>1585.56</v>
      </c>
      <c r="AG27">
        <v>982.04</v>
      </c>
      <c r="AH27">
        <v>0</v>
      </c>
      <c r="AI27">
        <v>1</v>
      </c>
      <c r="AJ27">
        <v>1</v>
      </c>
      <c r="AK27">
        <v>1</v>
      </c>
      <c r="AL27">
        <v>1</v>
      </c>
      <c r="AM27">
        <v>-2</v>
      </c>
      <c r="AN27">
        <v>0</v>
      </c>
      <c r="AO27">
        <v>0</v>
      </c>
      <c r="AP27">
        <v>1</v>
      </c>
      <c r="AQ27">
        <v>1</v>
      </c>
      <c r="AR27">
        <v>0</v>
      </c>
      <c r="AS27" t="s">
        <v>3</v>
      </c>
      <c r="AT27">
        <v>0.22</v>
      </c>
      <c r="AU27" t="s">
        <v>3</v>
      </c>
      <c r="AV27">
        <v>1</v>
      </c>
      <c r="AW27">
        <v>2</v>
      </c>
      <c r="AX27">
        <v>89946896</v>
      </c>
      <c r="AY27">
        <v>2</v>
      </c>
      <c r="AZ27">
        <v>98304</v>
      </c>
      <c r="BA27">
        <v>27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348.82319999999999</v>
      </c>
      <c r="BL27">
        <v>216.0488</v>
      </c>
      <c r="BM27">
        <v>0</v>
      </c>
      <c r="BN27">
        <v>0</v>
      </c>
      <c r="BO27">
        <v>0.22</v>
      </c>
      <c r="BP27">
        <v>1</v>
      </c>
      <c r="BQ27">
        <v>0</v>
      </c>
      <c r="BR27">
        <v>348.82319999999999</v>
      </c>
      <c r="BS27">
        <v>216.0488</v>
      </c>
      <c r="BT27">
        <v>0</v>
      </c>
      <c r="BU27">
        <v>0</v>
      </c>
      <c r="BV27">
        <v>0.22</v>
      </c>
      <c r="BW27">
        <v>1</v>
      </c>
      <c r="CV27">
        <v>0</v>
      </c>
      <c r="CW27">
        <f>ROUND(Y27*Source!I35*DO27,7)</f>
        <v>1.3200000000000001E-4</v>
      </c>
      <c r="CX27">
        <f>ROUND(Y27*Source!I35,7)</f>
        <v>1.3200000000000001E-4</v>
      </c>
      <c r="CY27">
        <f>AB27</f>
        <v>1585.56</v>
      </c>
      <c r="CZ27">
        <f>AF27</f>
        <v>1585.56</v>
      </c>
      <c r="DA27">
        <f>AJ27</f>
        <v>1</v>
      </c>
      <c r="DB27">
        <f t="shared" si="1"/>
        <v>348.82</v>
      </c>
      <c r="DC27">
        <f t="shared" si="2"/>
        <v>216.05</v>
      </c>
      <c r="DD27" t="s">
        <v>3</v>
      </c>
      <c r="DE27" t="s">
        <v>3</v>
      </c>
      <c r="DF27">
        <f>ROUND(ROUND(AE27,2)*CX27,2)</f>
        <v>0</v>
      </c>
      <c r="DG27">
        <f t="shared" si="7"/>
        <v>0.21</v>
      </c>
      <c r="DH27">
        <f t="shared" si="4"/>
        <v>0.13</v>
      </c>
      <c r="DI27">
        <f t="shared" si="5"/>
        <v>0</v>
      </c>
      <c r="DJ27">
        <f>DG27+DH27</f>
        <v>0.33999999999999997</v>
      </c>
      <c r="DK27">
        <v>1</v>
      </c>
      <c r="DL27" t="s">
        <v>456</v>
      </c>
      <c r="DM27">
        <v>6</v>
      </c>
      <c r="DN27" t="s">
        <v>428</v>
      </c>
      <c r="DO27">
        <v>1</v>
      </c>
    </row>
    <row r="28" spans="1:119" x14ac:dyDescent="0.2">
      <c r="A28">
        <f>ROW(Source!A35)</f>
        <v>35</v>
      </c>
      <c r="B28">
        <v>94104265</v>
      </c>
      <c r="C28">
        <v>89946893</v>
      </c>
      <c r="D28">
        <v>87237333</v>
      </c>
      <c r="E28">
        <v>1</v>
      </c>
      <c r="F28">
        <v>1</v>
      </c>
      <c r="G28">
        <v>1</v>
      </c>
      <c r="H28">
        <v>2</v>
      </c>
      <c r="I28" t="s">
        <v>463</v>
      </c>
      <c r="J28" t="s">
        <v>464</v>
      </c>
      <c r="K28" t="s">
        <v>465</v>
      </c>
      <c r="L28">
        <v>1368</v>
      </c>
      <c r="N28">
        <v>1011</v>
      </c>
      <c r="O28" t="s">
        <v>434</v>
      </c>
      <c r="P28" t="s">
        <v>434</v>
      </c>
      <c r="Q28">
        <v>1</v>
      </c>
      <c r="W28">
        <v>0</v>
      </c>
      <c r="X28">
        <v>-849950259</v>
      </c>
      <c r="Y28">
        <f t="shared" si="0"/>
        <v>0.28000000000000003</v>
      </c>
      <c r="AA28">
        <v>0</v>
      </c>
      <c r="AB28">
        <v>544.91999999999996</v>
      </c>
      <c r="AC28">
        <v>731.08</v>
      </c>
      <c r="AD28">
        <v>0</v>
      </c>
      <c r="AE28">
        <v>0</v>
      </c>
      <c r="AF28">
        <v>544.91999999999996</v>
      </c>
      <c r="AG28">
        <v>731.08</v>
      </c>
      <c r="AH28">
        <v>0</v>
      </c>
      <c r="AI28">
        <v>1</v>
      </c>
      <c r="AJ28">
        <v>1</v>
      </c>
      <c r="AK28">
        <v>1</v>
      </c>
      <c r="AL28">
        <v>1</v>
      </c>
      <c r="AM28">
        <v>-2</v>
      </c>
      <c r="AN28">
        <v>0</v>
      </c>
      <c r="AO28">
        <v>0</v>
      </c>
      <c r="AP28">
        <v>1</v>
      </c>
      <c r="AQ28">
        <v>1</v>
      </c>
      <c r="AR28">
        <v>0</v>
      </c>
      <c r="AS28" t="s">
        <v>3</v>
      </c>
      <c r="AT28">
        <v>0.28000000000000003</v>
      </c>
      <c r="AU28" t="s">
        <v>3</v>
      </c>
      <c r="AV28">
        <v>1</v>
      </c>
      <c r="AW28">
        <v>2</v>
      </c>
      <c r="AX28">
        <v>89946897</v>
      </c>
      <c r="AY28">
        <v>2</v>
      </c>
      <c r="AZ28">
        <v>98304</v>
      </c>
      <c r="BA28">
        <v>28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152.57759999999999</v>
      </c>
      <c r="BL28">
        <v>204.70240000000004</v>
      </c>
      <c r="BM28">
        <v>0</v>
      </c>
      <c r="BN28">
        <v>0</v>
      </c>
      <c r="BO28">
        <v>0.28000000000000003</v>
      </c>
      <c r="BP28">
        <v>1</v>
      </c>
      <c r="BQ28">
        <v>0</v>
      </c>
      <c r="BR28">
        <v>152.57759999999999</v>
      </c>
      <c r="BS28">
        <v>204.70240000000004</v>
      </c>
      <c r="BT28">
        <v>0</v>
      </c>
      <c r="BU28">
        <v>0</v>
      </c>
      <c r="BV28">
        <v>0.28000000000000003</v>
      </c>
      <c r="BW28">
        <v>1</v>
      </c>
      <c r="CV28">
        <v>0</v>
      </c>
      <c r="CW28">
        <f>ROUND(Y28*Source!I35*DO28,7)</f>
        <v>1.6799999999999999E-4</v>
      </c>
      <c r="CX28">
        <f>ROUND(Y28*Source!I35,7)</f>
        <v>1.6799999999999999E-4</v>
      </c>
      <c r="CY28">
        <f>AB28</f>
        <v>544.91999999999996</v>
      </c>
      <c r="CZ28">
        <f>AF28</f>
        <v>544.91999999999996</v>
      </c>
      <c r="DA28">
        <f>AJ28</f>
        <v>1</v>
      </c>
      <c r="DB28">
        <f t="shared" si="1"/>
        <v>152.58000000000001</v>
      </c>
      <c r="DC28">
        <f t="shared" si="2"/>
        <v>204.7</v>
      </c>
      <c r="DD28" t="s">
        <v>3</v>
      </c>
      <c r="DE28" t="s">
        <v>3</v>
      </c>
      <c r="DF28">
        <f>ROUND(ROUND(AE28,2)*CX28,2)</f>
        <v>0</v>
      </c>
      <c r="DG28">
        <f t="shared" si="7"/>
        <v>0.09</v>
      </c>
      <c r="DH28">
        <f t="shared" si="4"/>
        <v>0.12</v>
      </c>
      <c r="DI28">
        <f t="shared" si="5"/>
        <v>0</v>
      </c>
      <c r="DJ28">
        <f>DG28+DH28</f>
        <v>0.21</v>
      </c>
      <c r="DK28">
        <v>1</v>
      </c>
      <c r="DL28" t="s">
        <v>466</v>
      </c>
      <c r="DM28">
        <v>4</v>
      </c>
      <c r="DN28" t="s">
        <v>428</v>
      </c>
      <c r="DO28">
        <v>1</v>
      </c>
    </row>
    <row r="29" spans="1:119" x14ac:dyDescent="0.2">
      <c r="A29">
        <f>ROW(Source!A35)</f>
        <v>35</v>
      </c>
      <c r="B29">
        <v>94104265</v>
      </c>
      <c r="C29">
        <v>89946893</v>
      </c>
      <c r="D29">
        <v>87237529</v>
      </c>
      <c r="E29">
        <v>1</v>
      </c>
      <c r="F29">
        <v>1</v>
      </c>
      <c r="G29">
        <v>1</v>
      </c>
      <c r="H29">
        <v>2</v>
      </c>
      <c r="I29" t="s">
        <v>484</v>
      </c>
      <c r="J29" t="s">
        <v>485</v>
      </c>
      <c r="K29" t="s">
        <v>486</v>
      </c>
      <c r="L29">
        <v>1368</v>
      </c>
      <c r="N29">
        <v>1011</v>
      </c>
      <c r="O29" t="s">
        <v>434</v>
      </c>
      <c r="P29" t="s">
        <v>434</v>
      </c>
      <c r="Q29">
        <v>1</v>
      </c>
      <c r="W29">
        <v>0</v>
      </c>
      <c r="X29">
        <v>303316554</v>
      </c>
      <c r="Y29">
        <f t="shared" si="0"/>
        <v>1.49</v>
      </c>
      <c r="AA29">
        <v>0</v>
      </c>
      <c r="AB29">
        <v>32.24</v>
      </c>
      <c r="AC29">
        <v>0</v>
      </c>
      <c r="AD29">
        <v>0</v>
      </c>
      <c r="AE29">
        <v>0</v>
      </c>
      <c r="AF29">
        <v>32.24</v>
      </c>
      <c r="AG29">
        <v>0</v>
      </c>
      <c r="AH29">
        <v>0</v>
      </c>
      <c r="AI29">
        <v>1</v>
      </c>
      <c r="AJ29">
        <v>1</v>
      </c>
      <c r="AK29">
        <v>1</v>
      </c>
      <c r="AL29">
        <v>1</v>
      </c>
      <c r="AM29">
        <v>-2</v>
      </c>
      <c r="AN29">
        <v>0</v>
      </c>
      <c r="AO29">
        <v>0</v>
      </c>
      <c r="AP29">
        <v>1</v>
      </c>
      <c r="AQ29">
        <v>1</v>
      </c>
      <c r="AR29">
        <v>0</v>
      </c>
      <c r="AS29" t="s">
        <v>3</v>
      </c>
      <c r="AT29">
        <v>1.49</v>
      </c>
      <c r="AU29" t="s">
        <v>3</v>
      </c>
      <c r="AV29">
        <v>1</v>
      </c>
      <c r="AW29">
        <v>2</v>
      </c>
      <c r="AX29">
        <v>89946898</v>
      </c>
      <c r="AY29">
        <v>2</v>
      </c>
      <c r="AZ29">
        <v>32768</v>
      </c>
      <c r="BA29">
        <v>29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48.037600000000005</v>
      </c>
      <c r="BL29">
        <v>0</v>
      </c>
      <c r="BM29">
        <v>0</v>
      </c>
      <c r="BN29">
        <v>0</v>
      </c>
      <c r="BO29">
        <v>0</v>
      </c>
      <c r="BP29">
        <v>1</v>
      </c>
      <c r="BQ29">
        <v>0</v>
      </c>
      <c r="BR29">
        <v>48.037600000000005</v>
      </c>
      <c r="BS29">
        <v>0</v>
      </c>
      <c r="BT29">
        <v>0</v>
      </c>
      <c r="BU29">
        <v>0</v>
      </c>
      <c r="BV29">
        <v>0</v>
      </c>
      <c r="BW29">
        <v>1</v>
      </c>
      <c r="CV29">
        <v>0</v>
      </c>
      <c r="CW29">
        <f>ROUND(Y29*Source!I35*DO29,7)</f>
        <v>0</v>
      </c>
      <c r="CX29">
        <f>ROUND(Y29*Source!I35,7)</f>
        <v>8.9400000000000005E-4</v>
      </c>
      <c r="CY29">
        <f>AB29</f>
        <v>32.24</v>
      </c>
      <c r="CZ29">
        <f>AF29</f>
        <v>32.24</v>
      </c>
      <c r="DA29">
        <f>AJ29</f>
        <v>1</v>
      </c>
      <c r="DB29">
        <f t="shared" si="1"/>
        <v>48.04</v>
      </c>
      <c r="DC29">
        <f t="shared" si="2"/>
        <v>0</v>
      </c>
      <c r="DD29" t="s">
        <v>3</v>
      </c>
      <c r="DE29" t="s">
        <v>3</v>
      </c>
      <c r="DF29">
        <f>ROUND(ROUND(AE29,2)*CX29,2)</f>
        <v>0</v>
      </c>
      <c r="DG29">
        <f t="shared" si="7"/>
        <v>0.03</v>
      </c>
      <c r="DH29">
        <f t="shared" si="4"/>
        <v>0</v>
      </c>
      <c r="DI29">
        <f t="shared" si="5"/>
        <v>0</v>
      </c>
      <c r="DJ29">
        <f>DG29+DH29</f>
        <v>0.03</v>
      </c>
      <c r="DK29">
        <v>1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ROW(Source!A35)</f>
        <v>35</v>
      </c>
      <c r="B30">
        <v>94104265</v>
      </c>
      <c r="C30">
        <v>89946893</v>
      </c>
      <c r="D30">
        <v>87304844</v>
      </c>
      <c r="E30">
        <v>1</v>
      </c>
      <c r="F30">
        <v>1</v>
      </c>
      <c r="G30">
        <v>1</v>
      </c>
      <c r="H30">
        <v>3</v>
      </c>
      <c r="I30" t="s">
        <v>487</v>
      </c>
      <c r="J30" t="s">
        <v>488</v>
      </c>
      <c r="K30" t="s">
        <v>489</v>
      </c>
      <c r="L30">
        <v>1346</v>
      </c>
      <c r="N30">
        <v>1009</v>
      </c>
      <c r="O30" t="s">
        <v>96</v>
      </c>
      <c r="P30" t="s">
        <v>96</v>
      </c>
      <c r="Q30">
        <v>1</v>
      </c>
      <c r="W30">
        <v>0</v>
      </c>
      <c r="X30">
        <v>-163259778</v>
      </c>
      <c r="Y30">
        <f t="shared" si="0"/>
        <v>2</v>
      </c>
      <c r="AA30">
        <v>119.84</v>
      </c>
      <c r="AB30">
        <v>0</v>
      </c>
      <c r="AC30">
        <v>0</v>
      </c>
      <c r="AD30">
        <v>0</v>
      </c>
      <c r="AE30">
        <v>155.63</v>
      </c>
      <c r="AF30">
        <v>0</v>
      </c>
      <c r="AG30">
        <v>0</v>
      </c>
      <c r="AH30">
        <v>0</v>
      </c>
      <c r="AI30">
        <v>0.77</v>
      </c>
      <c r="AJ30">
        <v>1</v>
      </c>
      <c r="AK30">
        <v>1</v>
      </c>
      <c r="AL30">
        <v>1</v>
      </c>
      <c r="AM30">
        <v>2</v>
      </c>
      <c r="AN30">
        <v>0</v>
      </c>
      <c r="AO30">
        <v>0</v>
      </c>
      <c r="AP30">
        <v>1</v>
      </c>
      <c r="AQ30">
        <v>1</v>
      </c>
      <c r="AR30">
        <v>0</v>
      </c>
      <c r="AS30" t="s">
        <v>3</v>
      </c>
      <c r="AT30">
        <v>2</v>
      </c>
      <c r="AU30" t="s">
        <v>3</v>
      </c>
      <c r="AV30">
        <v>0</v>
      </c>
      <c r="AW30">
        <v>2</v>
      </c>
      <c r="AX30">
        <v>89946899</v>
      </c>
      <c r="AY30">
        <v>1</v>
      </c>
      <c r="AZ30">
        <v>0</v>
      </c>
      <c r="BA30">
        <v>30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311.26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1</v>
      </c>
      <c r="BQ30">
        <v>311.26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1</v>
      </c>
      <c r="CV30">
        <v>0</v>
      </c>
      <c r="CW30">
        <v>0</v>
      </c>
      <c r="CX30">
        <f>ROUND(Y30*Source!I35,7)</f>
        <v>1.1999999999999999E-3</v>
      </c>
      <c r="CY30">
        <f>AA30</f>
        <v>119.84</v>
      </c>
      <c r="CZ30">
        <f>AE30</f>
        <v>155.63</v>
      </c>
      <c r="DA30">
        <f>AI30</f>
        <v>0.77</v>
      </c>
      <c r="DB30">
        <f t="shared" si="1"/>
        <v>311.26</v>
      </c>
      <c r="DC30">
        <f t="shared" si="2"/>
        <v>0</v>
      </c>
      <c r="DD30" t="s">
        <v>3</v>
      </c>
      <c r="DE30" t="s">
        <v>3</v>
      </c>
      <c r="DF30">
        <f>ROUND(ROUND(AE30*AI30,2)*CX30,2)</f>
        <v>0.14000000000000001</v>
      </c>
      <c r="DG30">
        <f t="shared" si="7"/>
        <v>0</v>
      </c>
      <c r="DH30">
        <f t="shared" si="4"/>
        <v>0</v>
      </c>
      <c r="DI30">
        <f t="shared" si="5"/>
        <v>0</v>
      </c>
      <c r="DJ30">
        <f>DF30</f>
        <v>0.14000000000000001</v>
      </c>
      <c r="DK30">
        <v>0</v>
      </c>
      <c r="DL30" t="s">
        <v>3</v>
      </c>
      <c r="DM30">
        <v>0</v>
      </c>
      <c r="DN30" t="s">
        <v>3</v>
      </c>
      <c r="DO30">
        <v>0</v>
      </c>
    </row>
    <row r="31" spans="1:119" x14ac:dyDescent="0.2">
      <c r="A31">
        <f>ROW(Source!A35)</f>
        <v>35</v>
      </c>
      <c r="B31">
        <v>94104265</v>
      </c>
      <c r="C31">
        <v>89946893</v>
      </c>
      <c r="D31">
        <v>87310747</v>
      </c>
      <c r="E31">
        <v>1</v>
      </c>
      <c r="F31">
        <v>1</v>
      </c>
      <c r="G31">
        <v>1</v>
      </c>
      <c r="H31">
        <v>3</v>
      </c>
      <c r="I31" t="s">
        <v>490</v>
      </c>
      <c r="J31" t="s">
        <v>491</v>
      </c>
      <c r="K31" t="s">
        <v>492</v>
      </c>
      <c r="L31">
        <v>1371</v>
      </c>
      <c r="N31">
        <v>1013</v>
      </c>
      <c r="O31" t="s">
        <v>279</v>
      </c>
      <c r="P31" t="s">
        <v>279</v>
      </c>
      <c r="Q31">
        <v>1</v>
      </c>
      <c r="W31">
        <v>0</v>
      </c>
      <c r="X31">
        <v>-1820715776</v>
      </c>
      <c r="Y31">
        <f t="shared" si="0"/>
        <v>0.01</v>
      </c>
      <c r="AA31">
        <v>78100.17</v>
      </c>
      <c r="AB31">
        <v>0</v>
      </c>
      <c r="AC31">
        <v>0</v>
      </c>
      <c r="AD31">
        <v>0</v>
      </c>
      <c r="AE31">
        <v>61015.76</v>
      </c>
      <c r="AF31">
        <v>0</v>
      </c>
      <c r="AG31">
        <v>0</v>
      </c>
      <c r="AH31">
        <v>0</v>
      </c>
      <c r="AI31">
        <v>1.28</v>
      </c>
      <c r="AJ31">
        <v>1</v>
      </c>
      <c r="AK31">
        <v>1</v>
      </c>
      <c r="AL31">
        <v>1</v>
      </c>
      <c r="AM31">
        <v>2</v>
      </c>
      <c r="AN31">
        <v>0</v>
      </c>
      <c r="AO31">
        <v>0</v>
      </c>
      <c r="AP31">
        <v>1</v>
      </c>
      <c r="AQ31">
        <v>1</v>
      </c>
      <c r="AR31">
        <v>0</v>
      </c>
      <c r="AS31" t="s">
        <v>3</v>
      </c>
      <c r="AT31">
        <v>0.01</v>
      </c>
      <c r="AU31" t="s">
        <v>3</v>
      </c>
      <c r="AV31">
        <v>0</v>
      </c>
      <c r="AW31">
        <v>2</v>
      </c>
      <c r="AX31">
        <v>89946900</v>
      </c>
      <c r="AY31">
        <v>1</v>
      </c>
      <c r="AZ31">
        <v>0</v>
      </c>
      <c r="BA31">
        <v>31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610.1576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1</v>
      </c>
      <c r="BQ31">
        <v>610.1576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1</v>
      </c>
      <c r="CV31">
        <v>0</v>
      </c>
      <c r="CW31">
        <v>0</v>
      </c>
      <c r="CX31">
        <f>ROUND(Y31*Source!I35,7)</f>
        <v>6.0000000000000002E-6</v>
      </c>
      <c r="CY31">
        <f>AA31</f>
        <v>78100.17</v>
      </c>
      <c r="CZ31">
        <f>AE31</f>
        <v>61015.76</v>
      </c>
      <c r="DA31">
        <f>AI31</f>
        <v>1.28</v>
      </c>
      <c r="DB31">
        <f t="shared" si="1"/>
        <v>610.16</v>
      </c>
      <c r="DC31">
        <f t="shared" si="2"/>
        <v>0</v>
      </c>
      <c r="DD31" t="s">
        <v>3</v>
      </c>
      <c r="DE31" t="s">
        <v>3</v>
      </c>
      <c r="DF31">
        <f>ROUND(ROUND(AE31*AI31,2)*CX31,2)</f>
        <v>0.47</v>
      </c>
      <c r="DG31">
        <f t="shared" si="7"/>
        <v>0</v>
      </c>
      <c r="DH31">
        <f t="shared" si="4"/>
        <v>0</v>
      </c>
      <c r="DI31">
        <f t="shared" si="5"/>
        <v>0</v>
      </c>
      <c r="DJ31">
        <f>DF31</f>
        <v>0.47</v>
      </c>
      <c r="DK31">
        <v>0</v>
      </c>
      <c r="DL31" t="s">
        <v>3</v>
      </c>
      <c r="DM31">
        <v>0</v>
      </c>
      <c r="DN31" t="s">
        <v>3</v>
      </c>
      <c r="DO31">
        <v>0</v>
      </c>
    </row>
    <row r="32" spans="1:119" x14ac:dyDescent="0.2">
      <c r="A32">
        <f>ROW(Source!A35)</f>
        <v>35</v>
      </c>
      <c r="B32">
        <v>94104265</v>
      </c>
      <c r="C32">
        <v>89946893</v>
      </c>
      <c r="D32">
        <v>87313298</v>
      </c>
      <c r="E32">
        <v>1</v>
      </c>
      <c r="F32">
        <v>1</v>
      </c>
      <c r="G32">
        <v>1</v>
      </c>
      <c r="H32">
        <v>3</v>
      </c>
      <c r="I32" t="s">
        <v>67</v>
      </c>
      <c r="J32" t="s">
        <v>69</v>
      </c>
      <c r="K32" t="s">
        <v>68</v>
      </c>
      <c r="L32">
        <v>1348</v>
      </c>
      <c r="N32">
        <v>1009</v>
      </c>
      <c r="O32" t="s">
        <v>30</v>
      </c>
      <c r="P32" t="s">
        <v>30</v>
      </c>
      <c r="Q32">
        <v>1000</v>
      </c>
      <c r="W32">
        <v>0</v>
      </c>
      <c r="X32">
        <v>1532513223</v>
      </c>
      <c r="Y32">
        <f t="shared" si="0"/>
        <v>1</v>
      </c>
      <c r="AA32">
        <v>207047.78</v>
      </c>
      <c r="AB32">
        <v>0</v>
      </c>
      <c r="AC32">
        <v>0</v>
      </c>
      <c r="AD32">
        <v>0</v>
      </c>
      <c r="AE32">
        <v>191710.91</v>
      </c>
      <c r="AF32">
        <v>0</v>
      </c>
      <c r="AG32">
        <v>0</v>
      </c>
      <c r="AH32">
        <v>0</v>
      </c>
      <c r="AI32">
        <v>1.08</v>
      </c>
      <c r="AJ32">
        <v>1</v>
      </c>
      <c r="AK32">
        <v>1</v>
      </c>
      <c r="AL32">
        <v>1</v>
      </c>
      <c r="AM32">
        <v>2</v>
      </c>
      <c r="AN32">
        <v>0</v>
      </c>
      <c r="AO32">
        <v>0</v>
      </c>
      <c r="AP32">
        <v>1</v>
      </c>
      <c r="AQ32">
        <v>0</v>
      </c>
      <c r="AR32">
        <v>0</v>
      </c>
      <c r="AS32" t="s">
        <v>3</v>
      </c>
      <c r="AT32">
        <v>1</v>
      </c>
      <c r="AU32" t="s">
        <v>3</v>
      </c>
      <c r="AV32">
        <v>0</v>
      </c>
      <c r="AW32">
        <v>1</v>
      </c>
      <c r="AX32">
        <v>-1</v>
      </c>
      <c r="AY32">
        <v>0</v>
      </c>
      <c r="AZ32">
        <v>0</v>
      </c>
      <c r="BA32" t="s">
        <v>3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CV32">
        <v>0</v>
      </c>
      <c r="CW32">
        <v>0</v>
      </c>
      <c r="CX32">
        <f>ROUND(Y32*Source!I35,7)</f>
        <v>5.9999999999999995E-4</v>
      </c>
      <c r="CY32">
        <f>AA32</f>
        <v>207047.78</v>
      </c>
      <c r="CZ32">
        <f>AE32</f>
        <v>191710.91</v>
      </c>
      <c r="DA32">
        <f>AI32</f>
        <v>1.08</v>
      </c>
      <c r="DB32">
        <f t="shared" si="1"/>
        <v>191710.91</v>
      </c>
      <c r="DC32">
        <f t="shared" si="2"/>
        <v>0</v>
      </c>
      <c r="DD32" t="s">
        <v>3</v>
      </c>
      <c r="DE32" t="s">
        <v>3</v>
      </c>
      <c r="DF32">
        <f>ROUND(ROUND(AE32*AI32,2)*CX32,2)</f>
        <v>124.23</v>
      </c>
      <c r="DG32">
        <f t="shared" si="7"/>
        <v>0</v>
      </c>
      <c r="DH32">
        <f t="shared" si="4"/>
        <v>0</v>
      </c>
      <c r="DI32">
        <f t="shared" si="5"/>
        <v>0</v>
      </c>
      <c r="DJ32">
        <f>DF32</f>
        <v>124.23</v>
      </c>
      <c r="DK32">
        <v>0</v>
      </c>
      <c r="DL32" t="s">
        <v>3</v>
      </c>
      <c r="DM32">
        <v>0</v>
      </c>
      <c r="DN32" t="s">
        <v>3</v>
      </c>
      <c r="DO32">
        <v>0</v>
      </c>
    </row>
    <row r="33" spans="1:119" x14ac:dyDescent="0.2">
      <c r="A33">
        <f>ROW(Source!A35)</f>
        <v>35</v>
      </c>
      <c r="B33">
        <v>94104265</v>
      </c>
      <c r="C33">
        <v>89946893</v>
      </c>
      <c r="D33">
        <v>87313316</v>
      </c>
      <c r="E33">
        <v>1</v>
      </c>
      <c r="F33">
        <v>1</v>
      </c>
      <c r="G33">
        <v>1</v>
      </c>
      <c r="H33">
        <v>3</v>
      </c>
      <c r="I33" t="s">
        <v>493</v>
      </c>
      <c r="J33" t="s">
        <v>494</v>
      </c>
      <c r="K33" t="s">
        <v>495</v>
      </c>
      <c r="L33">
        <v>1348</v>
      </c>
      <c r="N33">
        <v>1009</v>
      </c>
      <c r="O33" t="s">
        <v>30</v>
      </c>
      <c r="P33" t="s">
        <v>30</v>
      </c>
      <c r="Q33">
        <v>1000</v>
      </c>
      <c r="W33">
        <v>0</v>
      </c>
      <c r="X33">
        <v>-1427343576</v>
      </c>
      <c r="Y33">
        <f t="shared" ref="Y33:Y64" si="12">AT33</f>
        <v>0.09</v>
      </c>
      <c r="AA33">
        <v>39346.92</v>
      </c>
      <c r="AB33">
        <v>0</v>
      </c>
      <c r="AC33">
        <v>0</v>
      </c>
      <c r="AD33">
        <v>0</v>
      </c>
      <c r="AE33">
        <v>39346.92</v>
      </c>
      <c r="AF33">
        <v>0</v>
      </c>
      <c r="AG33">
        <v>0</v>
      </c>
      <c r="AH33">
        <v>0</v>
      </c>
      <c r="AI33">
        <v>1</v>
      </c>
      <c r="AJ33">
        <v>1</v>
      </c>
      <c r="AK33">
        <v>1</v>
      </c>
      <c r="AL33">
        <v>1</v>
      </c>
      <c r="AM33">
        <v>-2</v>
      </c>
      <c r="AN33">
        <v>0</v>
      </c>
      <c r="AO33">
        <v>0</v>
      </c>
      <c r="AP33">
        <v>1</v>
      </c>
      <c r="AQ33">
        <v>1</v>
      </c>
      <c r="AR33">
        <v>0</v>
      </c>
      <c r="AS33" t="s">
        <v>3</v>
      </c>
      <c r="AT33">
        <v>0.09</v>
      </c>
      <c r="AU33" t="s">
        <v>3</v>
      </c>
      <c r="AV33">
        <v>0</v>
      </c>
      <c r="AW33">
        <v>2</v>
      </c>
      <c r="AX33">
        <v>89946902</v>
      </c>
      <c r="AY33">
        <v>2</v>
      </c>
      <c r="AZ33">
        <v>16384</v>
      </c>
      <c r="BA33">
        <v>33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3541.2227999999996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3541.2227999999996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</v>
      </c>
      <c r="CV33">
        <v>0</v>
      </c>
      <c r="CW33">
        <v>0</v>
      </c>
      <c r="CX33">
        <f>ROUND(Y33*Source!I35,7)</f>
        <v>5.3999999999999998E-5</v>
      </c>
      <c r="CY33">
        <f>AA33</f>
        <v>39346.92</v>
      </c>
      <c r="CZ33">
        <f>AE33</f>
        <v>39346.92</v>
      </c>
      <c r="DA33">
        <f>AI33</f>
        <v>1</v>
      </c>
      <c r="DB33">
        <f t="shared" ref="DB33:DB64" si="13">ROUND(ROUND(AT33*CZ33,2),6)</f>
        <v>3541.22</v>
      </c>
      <c r="DC33">
        <f t="shared" ref="DC33:DC64" si="14">ROUND(ROUND(AT33*AG33,2),6)</f>
        <v>0</v>
      </c>
      <c r="DD33" t="s">
        <v>3</v>
      </c>
      <c r="DE33" t="s">
        <v>3</v>
      </c>
      <c r="DF33">
        <f t="shared" ref="DF33:DF39" si="15">ROUND(ROUND(AE33,2)*CX33,2)</f>
        <v>2.12</v>
      </c>
      <c r="DG33">
        <f t="shared" si="7"/>
        <v>0</v>
      </c>
      <c r="DH33">
        <f t="shared" si="4"/>
        <v>0</v>
      </c>
      <c r="DI33">
        <f t="shared" si="5"/>
        <v>0</v>
      </c>
      <c r="DJ33">
        <f>DF33</f>
        <v>2.12</v>
      </c>
      <c r="DK33">
        <v>1</v>
      </c>
      <c r="DL33" t="s">
        <v>3</v>
      </c>
      <c r="DM33">
        <v>0</v>
      </c>
      <c r="DN33" t="s">
        <v>3</v>
      </c>
      <c r="DO33">
        <v>0</v>
      </c>
    </row>
    <row r="34" spans="1:119" x14ac:dyDescent="0.2">
      <c r="A34">
        <f>ROW(Source!A37)</f>
        <v>37</v>
      </c>
      <c r="B34">
        <v>94104265</v>
      </c>
      <c r="C34">
        <v>89968131</v>
      </c>
      <c r="D34">
        <v>87229807</v>
      </c>
      <c r="E34">
        <v>117</v>
      </c>
      <c r="F34">
        <v>1</v>
      </c>
      <c r="G34">
        <v>1</v>
      </c>
      <c r="H34">
        <v>1</v>
      </c>
      <c r="I34" t="s">
        <v>496</v>
      </c>
      <c r="J34" t="s">
        <v>3</v>
      </c>
      <c r="K34" t="s">
        <v>497</v>
      </c>
      <c r="L34">
        <v>1191</v>
      </c>
      <c r="N34">
        <v>1013</v>
      </c>
      <c r="O34" t="s">
        <v>428</v>
      </c>
      <c r="P34" t="s">
        <v>428</v>
      </c>
      <c r="Q34">
        <v>1</v>
      </c>
      <c r="W34">
        <v>0</v>
      </c>
      <c r="X34">
        <v>303490689</v>
      </c>
      <c r="Y34">
        <f t="shared" si="12"/>
        <v>24.3</v>
      </c>
      <c r="AA34">
        <v>0</v>
      </c>
      <c r="AB34">
        <v>0</v>
      </c>
      <c r="AC34">
        <v>0</v>
      </c>
      <c r="AD34">
        <v>829.28</v>
      </c>
      <c r="AE34">
        <v>0</v>
      </c>
      <c r="AF34">
        <v>0</v>
      </c>
      <c r="AG34">
        <v>0</v>
      </c>
      <c r="AH34">
        <v>829.28</v>
      </c>
      <c r="AI34">
        <v>1</v>
      </c>
      <c r="AJ34">
        <v>1</v>
      </c>
      <c r="AK34">
        <v>1</v>
      </c>
      <c r="AL34">
        <v>1</v>
      </c>
      <c r="AM34">
        <v>-2</v>
      </c>
      <c r="AN34">
        <v>0</v>
      </c>
      <c r="AO34">
        <v>0</v>
      </c>
      <c r="AP34">
        <v>0</v>
      </c>
      <c r="AQ34">
        <v>1</v>
      </c>
      <c r="AR34">
        <v>0</v>
      </c>
      <c r="AS34" t="s">
        <v>3</v>
      </c>
      <c r="AT34">
        <v>24.3</v>
      </c>
      <c r="AU34" t="s">
        <v>3</v>
      </c>
      <c r="AV34">
        <v>1</v>
      </c>
      <c r="AW34">
        <v>2</v>
      </c>
      <c r="AX34">
        <v>89968132</v>
      </c>
      <c r="AY34">
        <v>2</v>
      </c>
      <c r="AZ34">
        <v>131072</v>
      </c>
      <c r="BA34">
        <v>34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20151.504000000001</v>
      </c>
      <c r="BN34">
        <v>24.3</v>
      </c>
      <c r="BO34">
        <v>0</v>
      </c>
      <c r="BP34">
        <v>1</v>
      </c>
      <c r="BQ34">
        <v>0</v>
      </c>
      <c r="BR34">
        <v>0</v>
      </c>
      <c r="BS34">
        <v>0</v>
      </c>
      <c r="BT34">
        <v>20151.504000000001</v>
      </c>
      <c r="BU34">
        <v>24.3</v>
      </c>
      <c r="BV34">
        <v>0</v>
      </c>
      <c r="BW34">
        <v>1</v>
      </c>
      <c r="CU34">
        <f>ROUND(AT34*Source!I37*AH34*AL34,2)</f>
        <v>372.8</v>
      </c>
      <c r="CV34">
        <f>ROUND(Y34*Source!I37,7)</f>
        <v>0.44955000000000001</v>
      </c>
      <c r="CW34">
        <v>0</v>
      </c>
      <c r="CX34">
        <f>ROUND(Y34*Source!I37,7)</f>
        <v>0.44955000000000001</v>
      </c>
      <c r="CY34">
        <f>AD34</f>
        <v>829.28</v>
      </c>
      <c r="CZ34">
        <f>AH34</f>
        <v>829.28</v>
      </c>
      <c r="DA34">
        <f>AL34</f>
        <v>1</v>
      </c>
      <c r="DB34">
        <f t="shared" si="13"/>
        <v>20151.5</v>
      </c>
      <c r="DC34">
        <f t="shared" si="14"/>
        <v>0</v>
      </c>
      <c r="DD34" t="s">
        <v>3</v>
      </c>
      <c r="DE34" t="s">
        <v>3</v>
      </c>
      <c r="DF34">
        <f t="shared" si="15"/>
        <v>0</v>
      </c>
      <c r="DG34">
        <f t="shared" si="7"/>
        <v>0</v>
      </c>
      <c r="DH34">
        <f t="shared" si="4"/>
        <v>0</v>
      </c>
      <c r="DI34">
        <f t="shared" si="5"/>
        <v>372.8</v>
      </c>
      <c r="DJ34">
        <f>DI34</f>
        <v>372.8</v>
      </c>
      <c r="DK34">
        <v>1</v>
      </c>
      <c r="DL34" t="s">
        <v>3</v>
      </c>
      <c r="DM34">
        <v>0</v>
      </c>
      <c r="DN34" t="s">
        <v>3</v>
      </c>
      <c r="DO34">
        <v>0</v>
      </c>
    </row>
    <row r="35" spans="1:119" x14ac:dyDescent="0.2">
      <c r="A35">
        <f>ROW(Source!A37)</f>
        <v>37</v>
      </c>
      <c r="B35">
        <v>94104265</v>
      </c>
      <c r="C35">
        <v>89968131</v>
      </c>
      <c r="D35">
        <v>87229949</v>
      </c>
      <c r="E35">
        <v>117</v>
      </c>
      <c r="F35">
        <v>1</v>
      </c>
      <c r="G35">
        <v>1</v>
      </c>
      <c r="H35">
        <v>1</v>
      </c>
      <c r="I35" t="s">
        <v>429</v>
      </c>
      <c r="J35" t="s">
        <v>3</v>
      </c>
      <c r="K35" t="s">
        <v>430</v>
      </c>
      <c r="L35">
        <v>1191</v>
      </c>
      <c r="N35">
        <v>1013</v>
      </c>
      <c r="O35" t="s">
        <v>428</v>
      </c>
      <c r="P35" t="s">
        <v>428</v>
      </c>
      <c r="Q35">
        <v>1</v>
      </c>
      <c r="W35">
        <v>0</v>
      </c>
      <c r="X35">
        <v>-1417349443</v>
      </c>
      <c r="Y35">
        <f t="shared" si="12"/>
        <v>0.43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1</v>
      </c>
      <c r="AK35">
        <v>1</v>
      </c>
      <c r="AL35">
        <v>1</v>
      </c>
      <c r="AM35">
        <v>-2</v>
      </c>
      <c r="AN35">
        <v>0</v>
      </c>
      <c r="AO35">
        <v>0</v>
      </c>
      <c r="AP35">
        <v>0</v>
      </c>
      <c r="AQ35">
        <v>1</v>
      </c>
      <c r="AR35">
        <v>0</v>
      </c>
      <c r="AS35" t="s">
        <v>3</v>
      </c>
      <c r="AT35">
        <v>0.43</v>
      </c>
      <c r="AU35" t="s">
        <v>3</v>
      </c>
      <c r="AV35">
        <v>2</v>
      </c>
      <c r="AW35">
        <v>2</v>
      </c>
      <c r="AX35">
        <v>89968133</v>
      </c>
      <c r="AY35">
        <v>1</v>
      </c>
      <c r="AZ35">
        <v>0</v>
      </c>
      <c r="BA35">
        <v>35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CV35">
        <v>0</v>
      </c>
      <c r="CW35">
        <v>0</v>
      </c>
      <c r="CX35">
        <f>ROUND(Y35*Source!I37,7)</f>
        <v>7.9550000000000003E-3</v>
      </c>
      <c r="CY35">
        <f>AD35</f>
        <v>0</v>
      </c>
      <c r="CZ35">
        <f>AH35</f>
        <v>0</v>
      </c>
      <c r="DA35">
        <f>AL35</f>
        <v>1</v>
      </c>
      <c r="DB35">
        <f t="shared" si="13"/>
        <v>0</v>
      </c>
      <c r="DC35">
        <f t="shared" si="14"/>
        <v>0</v>
      </c>
      <c r="DD35" t="s">
        <v>3</v>
      </c>
      <c r="DE35" t="s">
        <v>3</v>
      </c>
      <c r="DF35">
        <f t="shared" si="15"/>
        <v>0</v>
      </c>
      <c r="DG35">
        <f t="shared" si="7"/>
        <v>0</v>
      </c>
      <c r="DH35">
        <f t="shared" si="4"/>
        <v>0</v>
      </c>
      <c r="DI35">
        <f t="shared" si="5"/>
        <v>0</v>
      </c>
      <c r="DJ35">
        <f>DI35</f>
        <v>0</v>
      </c>
      <c r="DK35">
        <v>0</v>
      </c>
      <c r="DL35" t="s">
        <v>3</v>
      </c>
      <c r="DM35">
        <v>0</v>
      </c>
      <c r="DN35" t="s">
        <v>3</v>
      </c>
      <c r="DO35">
        <v>0</v>
      </c>
    </row>
    <row r="36" spans="1:119" x14ac:dyDescent="0.2">
      <c r="A36">
        <f>ROW(Source!A37)</f>
        <v>37</v>
      </c>
      <c r="B36">
        <v>94104265</v>
      </c>
      <c r="C36">
        <v>89968131</v>
      </c>
      <c r="D36">
        <v>87236625</v>
      </c>
      <c r="E36">
        <v>1</v>
      </c>
      <c r="F36">
        <v>1</v>
      </c>
      <c r="G36">
        <v>1</v>
      </c>
      <c r="H36">
        <v>2</v>
      </c>
      <c r="I36" t="s">
        <v>431</v>
      </c>
      <c r="J36" t="s">
        <v>432</v>
      </c>
      <c r="K36" t="s">
        <v>433</v>
      </c>
      <c r="L36">
        <v>1368</v>
      </c>
      <c r="N36">
        <v>1011</v>
      </c>
      <c r="O36" t="s">
        <v>434</v>
      </c>
      <c r="P36" t="s">
        <v>434</v>
      </c>
      <c r="Q36">
        <v>1</v>
      </c>
      <c r="W36">
        <v>0</v>
      </c>
      <c r="X36">
        <v>945201097</v>
      </c>
      <c r="Y36">
        <f t="shared" si="12"/>
        <v>0.18</v>
      </c>
      <c r="AA36">
        <v>0</v>
      </c>
      <c r="AB36">
        <v>58.59</v>
      </c>
      <c r="AC36">
        <v>649.24</v>
      </c>
      <c r="AD36">
        <v>0</v>
      </c>
      <c r="AE36">
        <v>0</v>
      </c>
      <c r="AF36">
        <v>37.32</v>
      </c>
      <c r="AG36">
        <v>649.24</v>
      </c>
      <c r="AH36">
        <v>0</v>
      </c>
      <c r="AI36">
        <v>1</v>
      </c>
      <c r="AJ36">
        <v>1.57</v>
      </c>
      <c r="AK36">
        <v>1</v>
      </c>
      <c r="AL36">
        <v>1</v>
      </c>
      <c r="AM36">
        <v>2</v>
      </c>
      <c r="AN36">
        <v>0</v>
      </c>
      <c r="AO36">
        <v>0</v>
      </c>
      <c r="AP36">
        <v>0</v>
      </c>
      <c r="AQ36">
        <v>1</v>
      </c>
      <c r="AR36">
        <v>0</v>
      </c>
      <c r="AS36" t="s">
        <v>3</v>
      </c>
      <c r="AT36">
        <v>0.18</v>
      </c>
      <c r="AU36" t="s">
        <v>3</v>
      </c>
      <c r="AV36">
        <v>1</v>
      </c>
      <c r="AW36">
        <v>2</v>
      </c>
      <c r="AX36">
        <v>89968134</v>
      </c>
      <c r="AY36">
        <v>2</v>
      </c>
      <c r="AZ36">
        <v>65536</v>
      </c>
      <c r="BA36">
        <v>36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6.7176</v>
      </c>
      <c r="BL36">
        <v>116.86319999999999</v>
      </c>
      <c r="BM36">
        <v>0</v>
      </c>
      <c r="BN36">
        <v>0</v>
      </c>
      <c r="BO36">
        <v>0.18</v>
      </c>
      <c r="BP36">
        <v>1</v>
      </c>
      <c r="BQ36">
        <v>0</v>
      </c>
      <c r="BR36">
        <v>6.7176</v>
      </c>
      <c r="BS36">
        <v>116.86319999999999</v>
      </c>
      <c r="BT36">
        <v>0</v>
      </c>
      <c r="BU36">
        <v>0</v>
      </c>
      <c r="BV36">
        <v>0.18</v>
      </c>
      <c r="BW36">
        <v>1</v>
      </c>
      <c r="CV36">
        <v>0</v>
      </c>
      <c r="CW36">
        <f>ROUND(Y36*Source!I37*DO36,7)</f>
        <v>3.3300000000000001E-3</v>
      </c>
      <c r="CX36">
        <f>ROUND(Y36*Source!I37,7)</f>
        <v>3.3300000000000001E-3</v>
      </c>
      <c r="CY36">
        <f>AB36</f>
        <v>58.59</v>
      </c>
      <c r="CZ36">
        <f>AF36</f>
        <v>37.32</v>
      </c>
      <c r="DA36">
        <f>AJ36</f>
        <v>1.57</v>
      </c>
      <c r="DB36">
        <f t="shared" si="13"/>
        <v>6.72</v>
      </c>
      <c r="DC36">
        <f t="shared" si="14"/>
        <v>116.86</v>
      </c>
      <c r="DD36" t="s">
        <v>3</v>
      </c>
      <c r="DE36" t="s">
        <v>3</v>
      </c>
      <c r="DF36">
        <f t="shared" si="15"/>
        <v>0</v>
      </c>
      <c r="DG36">
        <f>ROUND(ROUND(AF36*AJ36,2)*CX36,2)</f>
        <v>0.2</v>
      </c>
      <c r="DH36">
        <f t="shared" si="4"/>
        <v>2.16</v>
      </c>
      <c r="DI36">
        <f t="shared" si="5"/>
        <v>0</v>
      </c>
      <c r="DJ36">
        <f>DG36+DH36</f>
        <v>2.3600000000000003</v>
      </c>
      <c r="DK36">
        <v>0</v>
      </c>
      <c r="DL36" t="s">
        <v>435</v>
      </c>
      <c r="DM36">
        <v>3</v>
      </c>
      <c r="DN36" t="s">
        <v>428</v>
      </c>
      <c r="DO36">
        <v>1</v>
      </c>
    </row>
    <row r="37" spans="1:119" x14ac:dyDescent="0.2">
      <c r="A37">
        <f>ROW(Source!A37)</f>
        <v>37</v>
      </c>
      <c r="B37">
        <v>94104265</v>
      </c>
      <c r="C37">
        <v>89968131</v>
      </c>
      <c r="D37">
        <v>87236807</v>
      </c>
      <c r="E37">
        <v>1</v>
      </c>
      <c r="F37">
        <v>1</v>
      </c>
      <c r="G37">
        <v>1</v>
      </c>
      <c r="H37">
        <v>2</v>
      </c>
      <c r="I37" t="s">
        <v>498</v>
      </c>
      <c r="J37" t="s">
        <v>499</v>
      </c>
      <c r="K37" t="s">
        <v>500</v>
      </c>
      <c r="L37">
        <v>1368</v>
      </c>
      <c r="N37">
        <v>1011</v>
      </c>
      <c r="O37" t="s">
        <v>434</v>
      </c>
      <c r="P37" t="s">
        <v>434</v>
      </c>
      <c r="Q37">
        <v>1</v>
      </c>
      <c r="W37">
        <v>0</v>
      </c>
      <c r="X37">
        <v>1291464883</v>
      </c>
      <c r="Y37">
        <f t="shared" si="12"/>
        <v>4.37</v>
      </c>
      <c r="AA37">
        <v>0</v>
      </c>
      <c r="AB37">
        <v>136.21</v>
      </c>
      <c r="AC37">
        <v>0</v>
      </c>
      <c r="AD37">
        <v>0</v>
      </c>
      <c r="AE37">
        <v>0</v>
      </c>
      <c r="AF37">
        <v>95.25</v>
      </c>
      <c r="AG37">
        <v>0</v>
      </c>
      <c r="AH37">
        <v>0</v>
      </c>
      <c r="AI37">
        <v>1</v>
      </c>
      <c r="AJ37">
        <v>1.43</v>
      </c>
      <c r="AK37">
        <v>1</v>
      </c>
      <c r="AL37">
        <v>1</v>
      </c>
      <c r="AM37">
        <v>2</v>
      </c>
      <c r="AN37">
        <v>0</v>
      </c>
      <c r="AO37">
        <v>0</v>
      </c>
      <c r="AP37">
        <v>0</v>
      </c>
      <c r="AQ37">
        <v>1</v>
      </c>
      <c r="AR37">
        <v>0</v>
      </c>
      <c r="AS37" t="s">
        <v>3</v>
      </c>
      <c r="AT37">
        <v>4.37</v>
      </c>
      <c r="AU37" t="s">
        <v>3</v>
      </c>
      <c r="AV37">
        <v>1</v>
      </c>
      <c r="AW37">
        <v>2</v>
      </c>
      <c r="AX37">
        <v>89968135</v>
      </c>
      <c r="AY37">
        <v>1</v>
      </c>
      <c r="AZ37">
        <v>0</v>
      </c>
      <c r="BA37">
        <v>37</v>
      </c>
      <c r="BB37">
        <v>1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416.24250000000001</v>
      </c>
      <c r="BL37">
        <v>0</v>
      </c>
      <c r="BM37">
        <v>0</v>
      </c>
      <c r="BN37">
        <v>0</v>
      </c>
      <c r="BO37">
        <v>0</v>
      </c>
      <c r="BP37">
        <v>1</v>
      </c>
      <c r="BQ37">
        <v>0</v>
      </c>
      <c r="BR37">
        <v>416.24250000000001</v>
      </c>
      <c r="BS37">
        <v>0</v>
      </c>
      <c r="BT37">
        <v>0</v>
      </c>
      <c r="BU37">
        <v>0</v>
      </c>
      <c r="BV37">
        <v>0</v>
      </c>
      <c r="BW37">
        <v>1</v>
      </c>
      <c r="CV37">
        <v>0</v>
      </c>
      <c r="CW37">
        <f>ROUND(Y37*Source!I37*DO37,7)</f>
        <v>0</v>
      </c>
      <c r="CX37">
        <f>ROUND(Y37*Source!I37,7)</f>
        <v>8.0845E-2</v>
      </c>
      <c r="CY37">
        <f>AB37</f>
        <v>136.21</v>
      </c>
      <c r="CZ37">
        <f>AF37</f>
        <v>95.25</v>
      </c>
      <c r="DA37">
        <f>AJ37</f>
        <v>1.43</v>
      </c>
      <c r="DB37">
        <f t="shared" si="13"/>
        <v>416.24</v>
      </c>
      <c r="DC37">
        <f t="shared" si="14"/>
        <v>0</v>
      </c>
      <c r="DD37" t="s">
        <v>3</v>
      </c>
      <c r="DE37" t="s">
        <v>3</v>
      </c>
      <c r="DF37">
        <f t="shared" si="15"/>
        <v>0</v>
      </c>
      <c r="DG37">
        <f>ROUND(ROUND(AF37*AJ37,2)*CX37,2)</f>
        <v>11.01</v>
      </c>
      <c r="DH37">
        <f t="shared" si="4"/>
        <v>0</v>
      </c>
      <c r="DI37">
        <f t="shared" si="5"/>
        <v>0</v>
      </c>
      <c r="DJ37">
        <f>DG37+DH37</f>
        <v>11.01</v>
      </c>
      <c r="DK37">
        <v>0</v>
      </c>
      <c r="DL37" t="s">
        <v>3</v>
      </c>
      <c r="DM37">
        <v>0</v>
      </c>
      <c r="DN37" t="s">
        <v>3</v>
      </c>
      <c r="DO37">
        <v>0</v>
      </c>
    </row>
    <row r="38" spans="1:119" x14ac:dyDescent="0.2">
      <c r="A38">
        <f>ROW(Source!A37)</f>
        <v>37</v>
      </c>
      <c r="B38">
        <v>94104265</v>
      </c>
      <c r="C38">
        <v>89968131</v>
      </c>
      <c r="D38">
        <v>87237333</v>
      </c>
      <c r="E38">
        <v>1</v>
      </c>
      <c r="F38">
        <v>1</v>
      </c>
      <c r="G38">
        <v>1</v>
      </c>
      <c r="H38">
        <v>2</v>
      </c>
      <c r="I38" t="s">
        <v>463</v>
      </c>
      <c r="J38" t="s">
        <v>464</v>
      </c>
      <c r="K38" t="s">
        <v>465</v>
      </c>
      <c r="L38">
        <v>1368</v>
      </c>
      <c r="N38">
        <v>1011</v>
      </c>
      <c r="O38" t="s">
        <v>434</v>
      </c>
      <c r="P38" t="s">
        <v>434</v>
      </c>
      <c r="Q38">
        <v>1</v>
      </c>
      <c r="W38">
        <v>0</v>
      </c>
      <c r="X38">
        <v>-849950259</v>
      </c>
      <c r="Y38">
        <f t="shared" si="12"/>
        <v>0.25</v>
      </c>
      <c r="AA38">
        <v>0</v>
      </c>
      <c r="AB38">
        <v>544.91999999999996</v>
      </c>
      <c r="AC38">
        <v>731.08</v>
      </c>
      <c r="AD38">
        <v>0</v>
      </c>
      <c r="AE38">
        <v>0</v>
      </c>
      <c r="AF38">
        <v>544.91999999999996</v>
      </c>
      <c r="AG38">
        <v>731.08</v>
      </c>
      <c r="AH38">
        <v>0</v>
      </c>
      <c r="AI38">
        <v>1</v>
      </c>
      <c r="AJ38">
        <v>1</v>
      </c>
      <c r="AK38">
        <v>1</v>
      </c>
      <c r="AL38">
        <v>1</v>
      </c>
      <c r="AM38">
        <v>-2</v>
      </c>
      <c r="AN38">
        <v>0</v>
      </c>
      <c r="AO38">
        <v>0</v>
      </c>
      <c r="AP38">
        <v>0</v>
      </c>
      <c r="AQ38">
        <v>1</v>
      </c>
      <c r="AR38">
        <v>0</v>
      </c>
      <c r="AS38" t="s">
        <v>3</v>
      </c>
      <c r="AT38">
        <v>0.25</v>
      </c>
      <c r="AU38" t="s">
        <v>3</v>
      </c>
      <c r="AV38">
        <v>1</v>
      </c>
      <c r="AW38">
        <v>2</v>
      </c>
      <c r="AX38">
        <v>89968136</v>
      </c>
      <c r="AY38">
        <v>2</v>
      </c>
      <c r="AZ38">
        <v>98304</v>
      </c>
      <c r="BA38">
        <v>38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136.22999999999999</v>
      </c>
      <c r="BL38">
        <v>182.77</v>
      </c>
      <c r="BM38">
        <v>0</v>
      </c>
      <c r="BN38">
        <v>0</v>
      </c>
      <c r="BO38">
        <v>0.25</v>
      </c>
      <c r="BP38">
        <v>1</v>
      </c>
      <c r="BQ38">
        <v>0</v>
      </c>
      <c r="BR38">
        <v>136.22999999999999</v>
      </c>
      <c r="BS38">
        <v>182.77</v>
      </c>
      <c r="BT38">
        <v>0</v>
      </c>
      <c r="BU38">
        <v>0</v>
      </c>
      <c r="BV38">
        <v>0.25</v>
      </c>
      <c r="BW38">
        <v>1</v>
      </c>
      <c r="CV38">
        <v>0</v>
      </c>
      <c r="CW38">
        <f>ROUND(Y38*Source!I37*DO38,7)</f>
        <v>4.6249999999999998E-3</v>
      </c>
      <c r="CX38">
        <f>ROUND(Y38*Source!I37,7)</f>
        <v>4.6249999999999998E-3</v>
      </c>
      <c r="CY38">
        <f>AB38</f>
        <v>544.91999999999996</v>
      </c>
      <c r="CZ38">
        <f>AF38</f>
        <v>544.91999999999996</v>
      </c>
      <c r="DA38">
        <f>AJ38</f>
        <v>1</v>
      </c>
      <c r="DB38">
        <f t="shared" si="13"/>
        <v>136.22999999999999</v>
      </c>
      <c r="DC38">
        <f t="shared" si="14"/>
        <v>182.77</v>
      </c>
      <c r="DD38" t="s">
        <v>3</v>
      </c>
      <c r="DE38" t="s">
        <v>3</v>
      </c>
      <c r="DF38">
        <f t="shared" si="15"/>
        <v>0</v>
      </c>
      <c r="DG38">
        <f>ROUND(ROUND(AF38,2)*CX38,2)</f>
        <v>2.52</v>
      </c>
      <c r="DH38">
        <f t="shared" si="4"/>
        <v>3.38</v>
      </c>
      <c r="DI38">
        <f t="shared" si="5"/>
        <v>0</v>
      </c>
      <c r="DJ38">
        <f>DG38+DH38</f>
        <v>5.9</v>
      </c>
      <c r="DK38">
        <v>1</v>
      </c>
      <c r="DL38" t="s">
        <v>466</v>
      </c>
      <c r="DM38">
        <v>4</v>
      </c>
      <c r="DN38" t="s">
        <v>428</v>
      </c>
      <c r="DO38">
        <v>1</v>
      </c>
    </row>
    <row r="39" spans="1:119" x14ac:dyDescent="0.2">
      <c r="A39">
        <f>ROW(Source!A37)</f>
        <v>37</v>
      </c>
      <c r="B39">
        <v>94104265</v>
      </c>
      <c r="C39">
        <v>89968131</v>
      </c>
      <c r="D39">
        <v>87238073</v>
      </c>
      <c r="E39">
        <v>1</v>
      </c>
      <c r="F39">
        <v>1</v>
      </c>
      <c r="G39">
        <v>1</v>
      </c>
      <c r="H39">
        <v>2</v>
      </c>
      <c r="I39" t="s">
        <v>501</v>
      </c>
      <c r="J39" t="s">
        <v>502</v>
      </c>
      <c r="K39" t="s">
        <v>503</v>
      </c>
      <c r="L39">
        <v>1368</v>
      </c>
      <c r="N39">
        <v>1011</v>
      </c>
      <c r="O39" t="s">
        <v>434</v>
      </c>
      <c r="P39" t="s">
        <v>434</v>
      </c>
      <c r="Q39">
        <v>1</v>
      </c>
      <c r="W39">
        <v>0</v>
      </c>
      <c r="X39">
        <v>-832349376</v>
      </c>
      <c r="Y39">
        <f t="shared" si="12"/>
        <v>1.5</v>
      </c>
      <c r="AA39">
        <v>0</v>
      </c>
      <c r="AB39">
        <v>32.299999999999997</v>
      </c>
      <c r="AC39">
        <v>0</v>
      </c>
      <c r="AD39">
        <v>0</v>
      </c>
      <c r="AE39">
        <v>0</v>
      </c>
      <c r="AF39">
        <v>26.26</v>
      </c>
      <c r="AG39">
        <v>0</v>
      </c>
      <c r="AH39">
        <v>0</v>
      </c>
      <c r="AI39">
        <v>1</v>
      </c>
      <c r="AJ39">
        <v>1.23</v>
      </c>
      <c r="AK39">
        <v>1</v>
      </c>
      <c r="AL39">
        <v>1</v>
      </c>
      <c r="AM39">
        <v>2</v>
      </c>
      <c r="AN39">
        <v>0</v>
      </c>
      <c r="AO39">
        <v>0</v>
      </c>
      <c r="AP39">
        <v>0</v>
      </c>
      <c r="AQ39">
        <v>1</v>
      </c>
      <c r="AR39">
        <v>0</v>
      </c>
      <c r="AS39" t="s">
        <v>3</v>
      </c>
      <c r="AT39">
        <v>1.5</v>
      </c>
      <c r="AU39" t="s">
        <v>3</v>
      </c>
      <c r="AV39">
        <v>1</v>
      </c>
      <c r="AW39">
        <v>2</v>
      </c>
      <c r="AX39">
        <v>89968137</v>
      </c>
      <c r="AY39">
        <v>1</v>
      </c>
      <c r="AZ39">
        <v>0</v>
      </c>
      <c r="BA39">
        <v>39</v>
      </c>
      <c r="BB39">
        <v>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39.39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0</v>
      </c>
      <c r="BR39">
        <v>39.39</v>
      </c>
      <c r="BS39">
        <v>0</v>
      </c>
      <c r="BT39">
        <v>0</v>
      </c>
      <c r="BU39">
        <v>0</v>
      </c>
      <c r="BV39">
        <v>0</v>
      </c>
      <c r="BW39">
        <v>1</v>
      </c>
      <c r="CV39">
        <v>0</v>
      </c>
      <c r="CW39">
        <f>ROUND(Y39*Source!I37*DO39,7)</f>
        <v>0</v>
      </c>
      <c r="CX39">
        <f>ROUND(Y39*Source!I37,7)</f>
        <v>2.775E-2</v>
      </c>
      <c r="CY39">
        <f>AB39</f>
        <v>32.299999999999997</v>
      </c>
      <c r="CZ39">
        <f>AF39</f>
        <v>26.26</v>
      </c>
      <c r="DA39">
        <f>AJ39</f>
        <v>1.23</v>
      </c>
      <c r="DB39">
        <f t="shared" si="13"/>
        <v>39.39</v>
      </c>
      <c r="DC39">
        <f t="shared" si="14"/>
        <v>0</v>
      </c>
      <c r="DD39" t="s">
        <v>3</v>
      </c>
      <c r="DE39" t="s">
        <v>3</v>
      </c>
      <c r="DF39">
        <f t="shared" si="15"/>
        <v>0</v>
      </c>
      <c r="DG39">
        <f>ROUND(ROUND(AF39*AJ39,2)*CX39,2)</f>
        <v>0.9</v>
      </c>
      <c r="DH39">
        <f t="shared" si="4"/>
        <v>0</v>
      </c>
      <c r="DI39">
        <f t="shared" si="5"/>
        <v>0</v>
      </c>
      <c r="DJ39">
        <f>DG39+DH39</f>
        <v>0.9</v>
      </c>
      <c r="DK39">
        <v>0</v>
      </c>
      <c r="DL39" t="s">
        <v>3</v>
      </c>
      <c r="DM39">
        <v>0</v>
      </c>
      <c r="DN39" t="s">
        <v>3</v>
      </c>
      <c r="DO39">
        <v>0</v>
      </c>
    </row>
    <row r="40" spans="1:119" x14ac:dyDescent="0.2">
      <c r="A40">
        <f>ROW(Source!A37)</f>
        <v>37</v>
      </c>
      <c r="B40">
        <v>94104265</v>
      </c>
      <c r="C40">
        <v>89968131</v>
      </c>
      <c r="D40">
        <v>87301954</v>
      </c>
      <c r="E40">
        <v>1</v>
      </c>
      <c r="F40">
        <v>1</v>
      </c>
      <c r="G40">
        <v>1</v>
      </c>
      <c r="H40">
        <v>3</v>
      </c>
      <c r="I40" t="s">
        <v>504</v>
      </c>
      <c r="J40" t="s">
        <v>505</v>
      </c>
      <c r="K40" t="s">
        <v>506</v>
      </c>
      <c r="L40">
        <v>1348</v>
      </c>
      <c r="N40">
        <v>1009</v>
      </c>
      <c r="O40" t="s">
        <v>30</v>
      </c>
      <c r="P40" t="s">
        <v>30</v>
      </c>
      <c r="Q40">
        <v>1000</v>
      </c>
      <c r="W40">
        <v>0</v>
      </c>
      <c r="X40">
        <v>192185020</v>
      </c>
      <c r="Y40">
        <f t="shared" si="12"/>
        <v>8.0000000000000002E-3</v>
      </c>
      <c r="AA40">
        <v>25474.25</v>
      </c>
      <c r="AB40">
        <v>0</v>
      </c>
      <c r="AC40">
        <v>0</v>
      </c>
      <c r="AD40">
        <v>0</v>
      </c>
      <c r="AE40">
        <v>21588.35</v>
      </c>
      <c r="AF40">
        <v>0</v>
      </c>
      <c r="AG40">
        <v>0</v>
      </c>
      <c r="AH40">
        <v>0</v>
      </c>
      <c r="AI40">
        <v>1.18</v>
      </c>
      <c r="AJ40">
        <v>1</v>
      </c>
      <c r="AK40">
        <v>1</v>
      </c>
      <c r="AL40">
        <v>1</v>
      </c>
      <c r="AM40">
        <v>2</v>
      </c>
      <c r="AN40">
        <v>0</v>
      </c>
      <c r="AO40">
        <v>0</v>
      </c>
      <c r="AP40">
        <v>0</v>
      </c>
      <c r="AQ40">
        <v>1</v>
      </c>
      <c r="AR40">
        <v>0</v>
      </c>
      <c r="AS40" t="s">
        <v>3</v>
      </c>
      <c r="AT40">
        <v>8.0000000000000002E-3</v>
      </c>
      <c r="AU40" t="s">
        <v>3</v>
      </c>
      <c r="AV40">
        <v>0</v>
      </c>
      <c r="AW40">
        <v>2</v>
      </c>
      <c r="AX40">
        <v>89968138</v>
      </c>
      <c r="AY40">
        <v>1</v>
      </c>
      <c r="AZ40">
        <v>0</v>
      </c>
      <c r="BA40">
        <v>40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172.70679999999999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1</v>
      </c>
      <c r="BQ40">
        <v>172.70679999999999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1</v>
      </c>
      <c r="CV40">
        <v>0</v>
      </c>
      <c r="CW40">
        <v>0</v>
      </c>
      <c r="CX40">
        <f>ROUND(Y40*Source!I37,7)</f>
        <v>1.4799999999999999E-4</v>
      </c>
      <c r="CY40">
        <f t="shared" ref="CY40:CY45" si="16">AA40</f>
        <v>25474.25</v>
      </c>
      <c r="CZ40">
        <f t="shared" ref="CZ40:CZ45" si="17">AE40</f>
        <v>21588.35</v>
      </c>
      <c r="DA40">
        <f t="shared" ref="DA40:DA45" si="18">AI40</f>
        <v>1.18</v>
      </c>
      <c r="DB40">
        <f t="shared" si="13"/>
        <v>172.71</v>
      </c>
      <c r="DC40">
        <f t="shared" si="14"/>
        <v>0</v>
      </c>
      <c r="DD40" t="s">
        <v>3</v>
      </c>
      <c r="DE40" t="s">
        <v>3</v>
      </c>
      <c r="DF40">
        <f>ROUND(ROUND(AE40*AI40,2)*CX40,2)</f>
        <v>3.77</v>
      </c>
      <c r="DG40">
        <f t="shared" ref="DG40:DG47" si="19">ROUND(ROUND(AF40,2)*CX40,2)</f>
        <v>0</v>
      </c>
      <c r="DH40">
        <f t="shared" si="4"/>
        <v>0</v>
      </c>
      <c r="DI40">
        <f t="shared" si="5"/>
        <v>0</v>
      </c>
      <c r="DJ40">
        <f t="shared" ref="DJ40:DJ45" si="20">DF40</f>
        <v>3.77</v>
      </c>
      <c r="DK40">
        <v>0</v>
      </c>
      <c r="DL40" t="s">
        <v>3</v>
      </c>
      <c r="DM40">
        <v>0</v>
      </c>
      <c r="DN40" t="s">
        <v>3</v>
      </c>
      <c r="DO40">
        <v>0</v>
      </c>
    </row>
    <row r="41" spans="1:119" x14ac:dyDescent="0.2">
      <c r="A41">
        <f>ROW(Source!A37)</f>
        <v>37</v>
      </c>
      <c r="B41">
        <v>94104265</v>
      </c>
      <c r="C41">
        <v>89968131</v>
      </c>
      <c r="D41">
        <v>87301970</v>
      </c>
      <c r="E41">
        <v>1</v>
      </c>
      <c r="F41">
        <v>1</v>
      </c>
      <c r="G41">
        <v>1</v>
      </c>
      <c r="H41">
        <v>3</v>
      </c>
      <c r="I41" t="s">
        <v>507</v>
      </c>
      <c r="J41" t="s">
        <v>508</v>
      </c>
      <c r="K41" t="s">
        <v>509</v>
      </c>
      <c r="L41">
        <v>1348</v>
      </c>
      <c r="N41">
        <v>1009</v>
      </c>
      <c r="O41" t="s">
        <v>30</v>
      </c>
      <c r="P41" t="s">
        <v>30</v>
      </c>
      <c r="Q41">
        <v>1000</v>
      </c>
      <c r="W41">
        <v>0</v>
      </c>
      <c r="X41">
        <v>-1461371034</v>
      </c>
      <c r="Y41">
        <f t="shared" si="12"/>
        <v>1.9E-2</v>
      </c>
      <c r="AA41">
        <v>25697.86</v>
      </c>
      <c r="AB41">
        <v>0</v>
      </c>
      <c r="AC41">
        <v>0</v>
      </c>
      <c r="AD41">
        <v>0</v>
      </c>
      <c r="AE41">
        <v>25697.86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-2</v>
      </c>
      <c r="AN41">
        <v>0</v>
      </c>
      <c r="AO41">
        <v>0</v>
      </c>
      <c r="AP41">
        <v>0</v>
      </c>
      <c r="AQ41">
        <v>1</v>
      </c>
      <c r="AR41">
        <v>0</v>
      </c>
      <c r="AS41" t="s">
        <v>3</v>
      </c>
      <c r="AT41">
        <v>1.9E-2</v>
      </c>
      <c r="AU41" t="s">
        <v>3</v>
      </c>
      <c r="AV41">
        <v>0</v>
      </c>
      <c r="AW41">
        <v>2</v>
      </c>
      <c r="AX41">
        <v>89968139</v>
      </c>
      <c r="AY41">
        <v>2</v>
      </c>
      <c r="AZ41">
        <v>16384</v>
      </c>
      <c r="BA41">
        <v>41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488.25934000000001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1</v>
      </c>
      <c r="BQ41">
        <v>488.25934000000001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1</v>
      </c>
      <c r="CV41">
        <v>0</v>
      </c>
      <c r="CW41">
        <v>0</v>
      </c>
      <c r="CX41">
        <f>ROUND(Y41*Source!I37,7)</f>
        <v>3.5149999999999998E-4</v>
      </c>
      <c r="CY41">
        <f t="shared" si="16"/>
        <v>25697.86</v>
      </c>
      <c r="CZ41">
        <f t="shared" si="17"/>
        <v>25697.86</v>
      </c>
      <c r="DA41">
        <f t="shared" si="18"/>
        <v>1</v>
      </c>
      <c r="DB41">
        <f t="shared" si="13"/>
        <v>488.26</v>
      </c>
      <c r="DC41">
        <f t="shared" si="14"/>
        <v>0</v>
      </c>
      <c r="DD41" t="s">
        <v>3</v>
      </c>
      <c r="DE41" t="s">
        <v>3</v>
      </c>
      <c r="DF41">
        <f>ROUND(ROUND(AE41,2)*CX41,2)</f>
        <v>9.0299999999999994</v>
      </c>
      <c r="DG41">
        <f t="shared" si="19"/>
        <v>0</v>
      </c>
      <c r="DH41">
        <f t="shared" si="4"/>
        <v>0</v>
      </c>
      <c r="DI41">
        <f t="shared" si="5"/>
        <v>0</v>
      </c>
      <c r="DJ41">
        <f t="shared" si="20"/>
        <v>9.0299999999999994</v>
      </c>
      <c r="DK41">
        <v>1</v>
      </c>
      <c r="DL41" t="s">
        <v>3</v>
      </c>
      <c r="DM41">
        <v>0</v>
      </c>
      <c r="DN41" t="s">
        <v>3</v>
      </c>
      <c r="DO41">
        <v>0</v>
      </c>
    </row>
    <row r="42" spans="1:119" x14ac:dyDescent="0.2">
      <c r="A42">
        <f>ROW(Source!A37)</f>
        <v>37</v>
      </c>
      <c r="B42">
        <v>94104265</v>
      </c>
      <c r="C42">
        <v>89968131</v>
      </c>
      <c r="D42">
        <v>87301971</v>
      </c>
      <c r="E42">
        <v>1</v>
      </c>
      <c r="F42">
        <v>1</v>
      </c>
      <c r="G42">
        <v>1</v>
      </c>
      <c r="H42">
        <v>3</v>
      </c>
      <c r="I42" t="s">
        <v>510</v>
      </c>
      <c r="J42" t="s">
        <v>511</v>
      </c>
      <c r="K42" t="s">
        <v>512</v>
      </c>
      <c r="L42">
        <v>1348</v>
      </c>
      <c r="N42">
        <v>1009</v>
      </c>
      <c r="O42" t="s">
        <v>30</v>
      </c>
      <c r="P42" t="s">
        <v>30</v>
      </c>
      <c r="Q42">
        <v>1000</v>
      </c>
      <c r="W42">
        <v>0</v>
      </c>
      <c r="X42">
        <v>-1084587922</v>
      </c>
      <c r="Y42">
        <f t="shared" si="12"/>
        <v>0.157</v>
      </c>
      <c r="AA42">
        <v>20209.38</v>
      </c>
      <c r="AB42">
        <v>0</v>
      </c>
      <c r="AC42">
        <v>0</v>
      </c>
      <c r="AD42">
        <v>0</v>
      </c>
      <c r="AE42">
        <v>22965.21</v>
      </c>
      <c r="AF42">
        <v>0</v>
      </c>
      <c r="AG42">
        <v>0</v>
      </c>
      <c r="AH42">
        <v>0</v>
      </c>
      <c r="AI42">
        <v>0.88</v>
      </c>
      <c r="AJ42">
        <v>1</v>
      </c>
      <c r="AK42">
        <v>1</v>
      </c>
      <c r="AL42">
        <v>1</v>
      </c>
      <c r="AM42">
        <v>2</v>
      </c>
      <c r="AN42">
        <v>0</v>
      </c>
      <c r="AO42">
        <v>0</v>
      </c>
      <c r="AP42">
        <v>0</v>
      </c>
      <c r="AQ42">
        <v>1</v>
      </c>
      <c r="AR42">
        <v>0</v>
      </c>
      <c r="AS42" t="s">
        <v>3</v>
      </c>
      <c r="AT42">
        <v>0.157</v>
      </c>
      <c r="AU42" t="s">
        <v>3</v>
      </c>
      <c r="AV42">
        <v>0</v>
      </c>
      <c r="AW42">
        <v>2</v>
      </c>
      <c r="AX42">
        <v>89968140</v>
      </c>
      <c r="AY42">
        <v>2</v>
      </c>
      <c r="AZ42">
        <v>16384</v>
      </c>
      <c r="BA42">
        <v>42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3605.5379699999999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1</v>
      </c>
      <c r="BQ42">
        <v>3605.5379699999999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1</v>
      </c>
      <c r="CV42">
        <v>0</v>
      </c>
      <c r="CW42">
        <v>0</v>
      </c>
      <c r="CX42">
        <f>ROUND(Y42*Source!I37,7)</f>
        <v>2.9045E-3</v>
      </c>
      <c r="CY42">
        <f t="shared" si="16"/>
        <v>20209.38</v>
      </c>
      <c r="CZ42">
        <f t="shared" si="17"/>
        <v>22965.21</v>
      </c>
      <c r="DA42">
        <f t="shared" si="18"/>
        <v>0.88</v>
      </c>
      <c r="DB42">
        <f t="shared" si="13"/>
        <v>3605.54</v>
      </c>
      <c r="DC42">
        <f t="shared" si="14"/>
        <v>0</v>
      </c>
      <c r="DD42" t="s">
        <v>3</v>
      </c>
      <c r="DE42" t="s">
        <v>3</v>
      </c>
      <c r="DF42">
        <f>ROUND(ROUND(AE42*AI42,2)*CX42,2)</f>
        <v>58.7</v>
      </c>
      <c r="DG42">
        <f t="shared" si="19"/>
        <v>0</v>
      </c>
      <c r="DH42">
        <f t="shared" si="4"/>
        <v>0</v>
      </c>
      <c r="DI42">
        <f t="shared" si="5"/>
        <v>0</v>
      </c>
      <c r="DJ42">
        <f t="shared" si="20"/>
        <v>58.7</v>
      </c>
      <c r="DK42">
        <v>0</v>
      </c>
      <c r="DL42" t="s">
        <v>3</v>
      </c>
      <c r="DM42">
        <v>0</v>
      </c>
      <c r="DN42" t="s">
        <v>3</v>
      </c>
      <c r="DO42">
        <v>0</v>
      </c>
    </row>
    <row r="43" spans="1:119" x14ac:dyDescent="0.2">
      <c r="A43">
        <f>ROW(Source!A37)</f>
        <v>37</v>
      </c>
      <c r="B43">
        <v>94104265</v>
      </c>
      <c r="C43">
        <v>89968131</v>
      </c>
      <c r="D43">
        <v>87302033</v>
      </c>
      <c r="E43">
        <v>1</v>
      </c>
      <c r="F43">
        <v>1</v>
      </c>
      <c r="G43">
        <v>1</v>
      </c>
      <c r="H43">
        <v>3</v>
      </c>
      <c r="I43" t="s">
        <v>513</v>
      </c>
      <c r="J43" t="s">
        <v>514</v>
      </c>
      <c r="K43" t="s">
        <v>515</v>
      </c>
      <c r="L43">
        <v>1346</v>
      </c>
      <c r="N43">
        <v>1009</v>
      </c>
      <c r="O43" t="s">
        <v>96</v>
      </c>
      <c r="P43" t="s">
        <v>96</v>
      </c>
      <c r="Q43">
        <v>1</v>
      </c>
      <c r="W43">
        <v>0</v>
      </c>
      <c r="X43">
        <v>1797972292</v>
      </c>
      <c r="Y43">
        <f t="shared" si="12"/>
        <v>57</v>
      </c>
      <c r="AA43">
        <v>206.75</v>
      </c>
      <c r="AB43">
        <v>0</v>
      </c>
      <c r="AC43">
        <v>0</v>
      </c>
      <c r="AD43">
        <v>0</v>
      </c>
      <c r="AE43">
        <v>160.27000000000001</v>
      </c>
      <c r="AF43">
        <v>0</v>
      </c>
      <c r="AG43">
        <v>0</v>
      </c>
      <c r="AH43">
        <v>0</v>
      </c>
      <c r="AI43">
        <v>1.29</v>
      </c>
      <c r="AJ43">
        <v>1</v>
      </c>
      <c r="AK43">
        <v>1</v>
      </c>
      <c r="AL43">
        <v>1</v>
      </c>
      <c r="AM43">
        <v>2</v>
      </c>
      <c r="AN43">
        <v>0</v>
      </c>
      <c r="AO43">
        <v>0</v>
      </c>
      <c r="AP43">
        <v>0</v>
      </c>
      <c r="AQ43">
        <v>1</v>
      </c>
      <c r="AR43">
        <v>0</v>
      </c>
      <c r="AS43" t="s">
        <v>3</v>
      </c>
      <c r="AT43">
        <v>57</v>
      </c>
      <c r="AU43" t="s">
        <v>3</v>
      </c>
      <c r="AV43">
        <v>0</v>
      </c>
      <c r="AW43">
        <v>2</v>
      </c>
      <c r="AX43">
        <v>89968141</v>
      </c>
      <c r="AY43">
        <v>1</v>
      </c>
      <c r="AZ43">
        <v>0</v>
      </c>
      <c r="BA43">
        <v>43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9135.3900000000012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9135.3900000000012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1</v>
      </c>
      <c r="CV43">
        <v>0</v>
      </c>
      <c r="CW43">
        <v>0</v>
      </c>
      <c r="CX43">
        <f>ROUND(Y43*Source!I37,7)</f>
        <v>1.0545</v>
      </c>
      <c r="CY43">
        <f t="shared" si="16"/>
        <v>206.75</v>
      </c>
      <c r="CZ43">
        <f t="shared" si="17"/>
        <v>160.27000000000001</v>
      </c>
      <c r="DA43">
        <f t="shared" si="18"/>
        <v>1.29</v>
      </c>
      <c r="DB43">
        <f t="shared" si="13"/>
        <v>9135.39</v>
      </c>
      <c r="DC43">
        <f t="shared" si="14"/>
        <v>0</v>
      </c>
      <c r="DD43" t="s">
        <v>3</v>
      </c>
      <c r="DE43" t="s">
        <v>3</v>
      </c>
      <c r="DF43">
        <f>ROUND(ROUND(AE43*AI43,2)*CX43,2)</f>
        <v>218.02</v>
      </c>
      <c r="DG43">
        <f t="shared" si="19"/>
        <v>0</v>
      </c>
      <c r="DH43">
        <f t="shared" si="4"/>
        <v>0</v>
      </c>
      <c r="DI43">
        <f t="shared" si="5"/>
        <v>0</v>
      </c>
      <c r="DJ43">
        <f t="shared" si="20"/>
        <v>218.02</v>
      </c>
      <c r="DK43">
        <v>0</v>
      </c>
      <c r="DL43" t="s">
        <v>3</v>
      </c>
      <c r="DM43">
        <v>0</v>
      </c>
      <c r="DN43" t="s">
        <v>3</v>
      </c>
      <c r="DO43">
        <v>0</v>
      </c>
    </row>
    <row r="44" spans="1:119" x14ac:dyDescent="0.2">
      <c r="A44">
        <f>ROW(Source!A37)</f>
        <v>37</v>
      </c>
      <c r="B44">
        <v>94104265</v>
      </c>
      <c r="C44">
        <v>89968131</v>
      </c>
      <c r="D44">
        <v>87304409</v>
      </c>
      <c r="E44">
        <v>1</v>
      </c>
      <c r="F44">
        <v>1</v>
      </c>
      <c r="G44">
        <v>1</v>
      </c>
      <c r="H44">
        <v>3</v>
      </c>
      <c r="I44" t="s">
        <v>516</v>
      </c>
      <c r="J44" t="s">
        <v>517</v>
      </c>
      <c r="K44" t="s">
        <v>518</v>
      </c>
      <c r="L44">
        <v>1348</v>
      </c>
      <c r="N44">
        <v>1009</v>
      </c>
      <c r="O44" t="s">
        <v>30</v>
      </c>
      <c r="P44" t="s">
        <v>30</v>
      </c>
      <c r="Q44">
        <v>1000</v>
      </c>
      <c r="W44">
        <v>0</v>
      </c>
      <c r="X44">
        <v>1537664666</v>
      </c>
      <c r="Y44">
        <f t="shared" si="12"/>
        <v>0.125</v>
      </c>
      <c r="AA44">
        <v>21455.54</v>
      </c>
      <c r="AB44">
        <v>0</v>
      </c>
      <c r="AC44">
        <v>0</v>
      </c>
      <c r="AD44">
        <v>0</v>
      </c>
      <c r="AE44">
        <v>10415.31</v>
      </c>
      <c r="AF44">
        <v>0</v>
      </c>
      <c r="AG44">
        <v>0</v>
      </c>
      <c r="AH44">
        <v>0</v>
      </c>
      <c r="AI44">
        <v>2.06</v>
      </c>
      <c r="AJ44">
        <v>1</v>
      </c>
      <c r="AK44">
        <v>1</v>
      </c>
      <c r="AL44">
        <v>1</v>
      </c>
      <c r="AM44">
        <v>2</v>
      </c>
      <c r="AN44">
        <v>0</v>
      </c>
      <c r="AO44">
        <v>0</v>
      </c>
      <c r="AP44">
        <v>0</v>
      </c>
      <c r="AQ44">
        <v>1</v>
      </c>
      <c r="AR44">
        <v>0</v>
      </c>
      <c r="AS44" t="s">
        <v>3</v>
      </c>
      <c r="AT44">
        <v>0.125</v>
      </c>
      <c r="AU44" t="s">
        <v>3</v>
      </c>
      <c r="AV44">
        <v>0</v>
      </c>
      <c r="AW44">
        <v>2</v>
      </c>
      <c r="AX44">
        <v>89968142</v>
      </c>
      <c r="AY44">
        <v>1</v>
      </c>
      <c r="AZ44">
        <v>0</v>
      </c>
      <c r="BA44">
        <v>44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1301.9137499999999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1</v>
      </c>
      <c r="BQ44">
        <v>1301.9137499999999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1</v>
      </c>
      <c r="CV44">
        <v>0</v>
      </c>
      <c r="CW44">
        <v>0</v>
      </c>
      <c r="CX44">
        <f>ROUND(Y44*Source!I37,7)</f>
        <v>2.3124999999999999E-3</v>
      </c>
      <c r="CY44">
        <f t="shared" si="16"/>
        <v>21455.54</v>
      </c>
      <c r="CZ44">
        <f t="shared" si="17"/>
        <v>10415.31</v>
      </c>
      <c r="DA44">
        <f t="shared" si="18"/>
        <v>2.06</v>
      </c>
      <c r="DB44">
        <f t="shared" si="13"/>
        <v>1301.9100000000001</v>
      </c>
      <c r="DC44">
        <f t="shared" si="14"/>
        <v>0</v>
      </c>
      <c r="DD44" t="s">
        <v>3</v>
      </c>
      <c r="DE44" t="s">
        <v>3</v>
      </c>
      <c r="DF44">
        <f>ROUND(ROUND(AE44*AI44,2)*CX44,2)</f>
        <v>49.62</v>
      </c>
      <c r="DG44">
        <f t="shared" si="19"/>
        <v>0</v>
      </c>
      <c r="DH44">
        <f t="shared" si="4"/>
        <v>0</v>
      </c>
      <c r="DI44">
        <f t="shared" si="5"/>
        <v>0</v>
      </c>
      <c r="DJ44">
        <f t="shared" si="20"/>
        <v>49.62</v>
      </c>
      <c r="DK44">
        <v>0</v>
      </c>
      <c r="DL44" t="s">
        <v>3</v>
      </c>
      <c r="DM44">
        <v>0</v>
      </c>
      <c r="DN44" t="s">
        <v>3</v>
      </c>
      <c r="DO44">
        <v>0</v>
      </c>
    </row>
    <row r="45" spans="1:119" x14ac:dyDescent="0.2">
      <c r="A45">
        <f>ROW(Source!A37)</f>
        <v>37</v>
      </c>
      <c r="B45">
        <v>94104265</v>
      </c>
      <c r="C45">
        <v>89968131</v>
      </c>
      <c r="D45">
        <v>87306751</v>
      </c>
      <c r="E45">
        <v>1</v>
      </c>
      <c r="F45">
        <v>1</v>
      </c>
      <c r="G45">
        <v>1</v>
      </c>
      <c r="H45">
        <v>3</v>
      </c>
      <c r="I45" t="s">
        <v>519</v>
      </c>
      <c r="J45" t="s">
        <v>520</v>
      </c>
      <c r="K45" t="s">
        <v>521</v>
      </c>
      <c r="L45">
        <v>1346</v>
      </c>
      <c r="N45">
        <v>1009</v>
      </c>
      <c r="O45" t="s">
        <v>96</v>
      </c>
      <c r="P45" t="s">
        <v>96</v>
      </c>
      <c r="Q45">
        <v>1</v>
      </c>
      <c r="W45">
        <v>0</v>
      </c>
      <c r="X45">
        <v>-373327139</v>
      </c>
      <c r="Y45">
        <f t="shared" si="12"/>
        <v>0.5</v>
      </c>
      <c r="AA45">
        <v>89.78</v>
      </c>
      <c r="AB45">
        <v>0</v>
      </c>
      <c r="AC45">
        <v>0</v>
      </c>
      <c r="AD45">
        <v>0</v>
      </c>
      <c r="AE45">
        <v>56.11</v>
      </c>
      <c r="AF45">
        <v>0</v>
      </c>
      <c r="AG45">
        <v>0</v>
      </c>
      <c r="AH45">
        <v>0</v>
      </c>
      <c r="AI45">
        <v>1.6</v>
      </c>
      <c r="AJ45">
        <v>1</v>
      </c>
      <c r="AK45">
        <v>1</v>
      </c>
      <c r="AL45">
        <v>1</v>
      </c>
      <c r="AM45">
        <v>2</v>
      </c>
      <c r="AN45">
        <v>0</v>
      </c>
      <c r="AO45">
        <v>0</v>
      </c>
      <c r="AP45">
        <v>0</v>
      </c>
      <c r="AQ45">
        <v>1</v>
      </c>
      <c r="AR45">
        <v>0</v>
      </c>
      <c r="AS45" t="s">
        <v>3</v>
      </c>
      <c r="AT45">
        <v>0.5</v>
      </c>
      <c r="AU45" t="s">
        <v>3</v>
      </c>
      <c r="AV45">
        <v>0</v>
      </c>
      <c r="AW45">
        <v>2</v>
      </c>
      <c r="AX45">
        <v>89968143</v>
      </c>
      <c r="AY45">
        <v>1</v>
      </c>
      <c r="AZ45">
        <v>0</v>
      </c>
      <c r="BA45">
        <v>45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28.055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1</v>
      </c>
      <c r="BQ45">
        <v>28.055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1</v>
      </c>
      <c r="CV45">
        <v>0</v>
      </c>
      <c r="CW45">
        <v>0</v>
      </c>
      <c r="CX45">
        <f>ROUND(Y45*Source!I37,7)</f>
        <v>9.2499999999999995E-3</v>
      </c>
      <c r="CY45">
        <f t="shared" si="16"/>
        <v>89.78</v>
      </c>
      <c r="CZ45">
        <f t="shared" si="17"/>
        <v>56.11</v>
      </c>
      <c r="DA45">
        <f t="shared" si="18"/>
        <v>1.6</v>
      </c>
      <c r="DB45">
        <f t="shared" si="13"/>
        <v>28.06</v>
      </c>
      <c r="DC45">
        <f t="shared" si="14"/>
        <v>0</v>
      </c>
      <c r="DD45" t="s">
        <v>3</v>
      </c>
      <c r="DE45" t="s">
        <v>3</v>
      </c>
      <c r="DF45">
        <f>ROUND(ROUND(AE45*AI45,2)*CX45,2)</f>
        <v>0.83</v>
      </c>
      <c r="DG45">
        <f t="shared" si="19"/>
        <v>0</v>
      </c>
      <c r="DH45">
        <f t="shared" si="4"/>
        <v>0</v>
      </c>
      <c r="DI45">
        <f t="shared" si="5"/>
        <v>0</v>
      </c>
      <c r="DJ45">
        <f t="shared" si="20"/>
        <v>0.83</v>
      </c>
      <c r="DK45">
        <v>0</v>
      </c>
      <c r="DL45" t="s">
        <v>3</v>
      </c>
      <c r="DM45">
        <v>0</v>
      </c>
      <c r="DN45" t="s">
        <v>3</v>
      </c>
      <c r="DO45">
        <v>0</v>
      </c>
    </row>
    <row r="46" spans="1:119" x14ac:dyDescent="0.2">
      <c r="A46">
        <f>ROW(Source!A38)</f>
        <v>38</v>
      </c>
      <c r="B46">
        <v>94104265</v>
      </c>
      <c r="C46">
        <v>89965270</v>
      </c>
      <c r="D46">
        <v>37070495</v>
      </c>
      <c r="E46">
        <v>117</v>
      </c>
      <c r="F46">
        <v>1</v>
      </c>
      <c r="G46">
        <v>1</v>
      </c>
      <c r="H46">
        <v>1</v>
      </c>
      <c r="I46" t="s">
        <v>522</v>
      </c>
      <c r="J46" t="s">
        <v>3</v>
      </c>
      <c r="K46" t="s">
        <v>523</v>
      </c>
      <c r="L46">
        <v>1191</v>
      </c>
      <c r="N46">
        <v>1013</v>
      </c>
      <c r="O46" t="s">
        <v>428</v>
      </c>
      <c r="P46" t="s">
        <v>428</v>
      </c>
      <c r="Q46">
        <v>1</v>
      </c>
      <c r="W46">
        <v>0</v>
      </c>
      <c r="X46">
        <v>1958912953</v>
      </c>
      <c r="Y46">
        <f t="shared" si="12"/>
        <v>310.42</v>
      </c>
      <c r="AA46">
        <v>0</v>
      </c>
      <c r="AB46">
        <v>0</v>
      </c>
      <c r="AC46">
        <v>0</v>
      </c>
      <c r="AD46">
        <v>657.38</v>
      </c>
      <c r="AE46">
        <v>0</v>
      </c>
      <c r="AF46">
        <v>0</v>
      </c>
      <c r="AG46">
        <v>0</v>
      </c>
      <c r="AH46">
        <v>657.38</v>
      </c>
      <c r="AI46">
        <v>1</v>
      </c>
      <c r="AJ46">
        <v>1</v>
      </c>
      <c r="AK46">
        <v>1</v>
      </c>
      <c r="AL46">
        <v>1</v>
      </c>
      <c r="AM46">
        <v>-2</v>
      </c>
      <c r="AN46">
        <v>0</v>
      </c>
      <c r="AO46">
        <v>0</v>
      </c>
      <c r="AP46">
        <v>1</v>
      </c>
      <c r="AQ46">
        <v>1</v>
      </c>
      <c r="AR46">
        <v>0</v>
      </c>
      <c r="AS46" t="s">
        <v>3</v>
      </c>
      <c r="AT46">
        <v>310.42</v>
      </c>
      <c r="AU46" t="s">
        <v>3</v>
      </c>
      <c r="AV46">
        <v>1</v>
      </c>
      <c r="AW46">
        <v>2</v>
      </c>
      <c r="AX46">
        <v>89965284</v>
      </c>
      <c r="AY46">
        <v>1</v>
      </c>
      <c r="AZ46">
        <v>0</v>
      </c>
      <c r="BA46">
        <v>46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204063.8996</v>
      </c>
      <c r="BN46">
        <v>310.42</v>
      </c>
      <c r="BO46">
        <v>0</v>
      </c>
      <c r="BP46">
        <v>1</v>
      </c>
      <c r="BQ46">
        <v>0</v>
      </c>
      <c r="BR46">
        <v>0</v>
      </c>
      <c r="BS46">
        <v>0</v>
      </c>
      <c r="BT46">
        <v>204063.8996</v>
      </c>
      <c r="BU46">
        <v>310.42</v>
      </c>
      <c r="BV46">
        <v>0</v>
      </c>
      <c r="BW46">
        <v>1</v>
      </c>
      <c r="CU46">
        <f>ROUND(AT46*Source!I38*AH46*AL46,2)</f>
        <v>3775.18</v>
      </c>
      <c r="CV46">
        <f>ROUND(Y46*Source!I38,7)</f>
        <v>5.7427700000000002</v>
      </c>
      <c r="CW46">
        <v>0</v>
      </c>
      <c r="CX46">
        <f>ROUND(Y46*Source!I38,7)</f>
        <v>5.7427700000000002</v>
      </c>
      <c r="CY46">
        <f>AD46</f>
        <v>657.38</v>
      </c>
      <c r="CZ46">
        <f>AH46</f>
        <v>657.38</v>
      </c>
      <c r="DA46">
        <f>AL46</f>
        <v>1</v>
      </c>
      <c r="DB46">
        <f t="shared" si="13"/>
        <v>204063.9</v>
      </c>
      <c r="DC46">
        <f t="shared" si="14"/>
        <v>0</v>
      </c>
      <c r="DD46" t="s">
        <v>3</v>
      </c>
      <c r="DE46" t="s">
        <v>3</v>
      </c>
      <c r="DF46">
        <f t="shared" ref="DF46:DF51" si="21">ROUND(ROUND(AE46,2)*CX46,2)</f>
        <v>0</v>
      </c>
      <c r="DG46">
        <f t="shared" si="19"/>
        <v>0</v>
      </c>
      <c r="DH46">
        <f t="shared" si="4"/>
        <v>0</v>
      </c>
      <c r="DI46">
        <f t="shared" si="5"/>
        <v>3775.18</v>
      </c>
      <c r="DJ46">
        <f>DI46</f>
        <v>3775.18</v>
      </c>
      <c r="DK46">
        <v>0</v>
      </c>
      <c r="DL46" t="s">
        <v>3</v>
      </c>
      <c r="DM46">
        <v>0</v>
      </c>
      <c r="DN46" t="s">
        <v>3</v>
      </c>
      <c r="DO46">
        <v>0</v>
      </c>
    </row>
    <row r="47" spans="1:119" x14ac:dyDescent="0.2">
      <c r="A47">
        <f>ROW(Source!A38)</f>
        <v>38</v>
      </c>
      <c r="B47">
        <v>94104265</v>
      </c>
      <c r="C47">
        <v>89965270</v>
      </c>
      <c r="D47">
        <v>37064876</v>
      </c>
      <c r="E47">
        <v>117</v>
      </c>
      <c r="F47">
        <v>1</v>
      </c>
      <c r="G47">
        <v>1</v>
      </c>
      <c r="H47">
        <v>1</v>
      </c>
      <c r="I47" t="s">
        <v>429</v>
      </c>
      <c r="J47" t="s">
        <v>3</v>
      </c>
      <c r="K47" t="s">
        <v>430</v>
      </c>
      <c r="L47">
        <v>1191</v>
      </c>
      <c r="N47">
        <v>1013</v>
      </c>
      <c r="O47" t="s">
        <v>428</v>
      </c>
      <c r="P47" t="s">
        <v>428</v>
      </c>
      <c r="Q47">
        <v>1</v>
      </c>
      <c r="W47">
        <v>0</v>
      </c>
      <c r="X47">
        <v>-1417349443</v>
      </c>
      <c r="Y47">
        <f t="shared" si="12"/>
        <v>1.73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1</v>
      </c>
      <c r="AJ47">
        <v>1</v>
      </c>
      <c r="AK47">
        <v>1</v>
      </c>
      <c r="AL47">
        <v>1</v>
      </c>
      <c r="AM47">
        <v>-2</v>
      </c>
      <c r="AN47">
        <v>0</v>
      </c>
      <c r="AO47">
        <v>0</v>
      </c>
      <c r="AP47">
        <v>1</v>
      </c>
      <c r="AQ47">
        <v>1</v>
      </c>
      <c r="AR47">
        <v>0</v>
      </c>
      <c r="AS47" t="s">
        <v>3</v>
      </c>
      <c r="AT47">
        <v>1.73</v>
      </c>
      <c r="AU47" t="s">
        <v>3</v>
      </c>
      <c r="AV47">
        <v>2</v>
      </c>
      <c r="AW47">
        <v>2</v>
      </c>
      <c r="AX47">
        <v>89965285</v>
      </c>
      <c r="AY47">
        <v>1</v>
      </c>
      <c r="AZ47">
        <v>0</v>
      </c>
      <c r="BA47">
        <v>47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CV47">
        <v>0</v>
      </c>
      <c r="CW47">
        <v>0</v>
      </c>
      <c r="CX47">
        <f>ROUND(Y47*Source!I38,7)</f>
        <v>3.2004999999999999E-2</v>
      </c>
      <c r="CY47">
        <f>AD47</f>
        <v>0</v>
      </c>
      <c r="CZ47">
        <f>AH47</f>
        <v>0</v>
      </c>
      <c r="DA47">
        <f>AL47</f>
        <v>1</v>
      </c>
      <c r="DB47">
        <f t="shared" si="13"/>
        <v>0</v>
      </c>
      <c r="DC47">
        <f t="shared" si="14"/>
        <v>0</v>
      </c>
      <c r="DD47" t="s">
        <v>3</v>
      </c>
      <c r="DE47" t="s">
        <v>3</v>
      </c>
      <c r="DF47">
        <f t="shared" si="21"/>
        <v>0</v>
      </c>
      <c r="DG47">
        <f t="shared" si="19"/>
        <v>0</v>
      </c>
      <c r="DH47">
        <f t="shared" si="4"/>
        <v>0</v>
      </c>
      <c r="DI47">
        <f t="shared" si="5"/>
        <v>0</v>
      </c>
      <c r="DJ47">
        <f>DI47</f>
        <v>0</v>
      </c>
      <c r="DK47">
        <v>0</v>
      </c>
      <c r="DL47" t="s">
        <v>3</v>
      </c>
      <c r="DM47">
        <v>0</v>
      </c>
      <c r="DN47" t="s">
        <v>3</v>
      </c>
      <c r="DO47">
        <v>0</v>
      </c>
    </row>
    <row r="48" spans="1:119" x14ac:dyDescent="0.2">
      <c r="A48">
        <f>ROW(Source!A38)</f>
        <v>38</v>
      </c>
      <c r="B48">
        <v>94104265</v>
      </c>
      <c r="C48">
        <v>89965270</v>
      </c>
      <c r="D48">
        <v>87236385</v>
      </c>
      <c r="E48">
        <v>1</v>
      </c>
      <c r="F48">
        <v>1</v>
      </c>
      <c r="G48">
        <v>1</v>
      </c>
      <c r="H48">
        <v>2</v>
      </c>
      <c r="I48" t="s">
        <v>524</v>
      </c>
      <c r="J48" t="s">
        <v>525</v>
      </c>
      <c r="K48" t="s">
        <v>526</v>
      </c>
      <c r="L48">
        <v>1368</v>
      </c>
      <c r="N48">
        <v>1011</v>
      </c>
      <c r="O48" t="s">
        <v>434</v>
      </c>
      <c r="P48" t="s">
        <v>434</v>
      </c>
      <c r="Q48">
        <v>1</v>
      </c>
      <c r="W48">
        <v>0</v>
      </c>
      <c r="X48">
        <v>1158292232</v>
      </c>
      <c r="Y48">
        <f t="shared" si="12"/>
        <v>0.02</v>
      </c>
      <c r="AA48">
        <v>0</v>
      </c>
      <c r="AB48">
        <v>372.62</v>
      </c>
      <c r="AC48">
        <v>982.04</v>
      </c>
      <c r="AD48">
        <v>0</v>
      </c>
      <c r="AE48">
        <v>0</v>
      </c>
      <c r="AF48">
        <v>251.77</v>
      </c>
      <c r="AG48">
        <v>982.04</v>
      </c>
      <c r="AH48">
        <v>0</v>
      </c>
      <c r="AI48">
        <v>1</v>
      </c>
      <c r="AJ48">
        <v>1.48</v>
      </c>
      <c r="AK48">
        <v>1</v>
      </c>
      <c r="AL48">
        <v>1</v>
      </c>
      <c r="AM48">
        <v>2</v>
      </c>
      <c r="AN48">
        <v>0</v>
      </c>
      <c r="AO48">
        <v>0</v>
      </c>
      <c r="AP48">
        <v>1</v>
      </c>
      <c r="AQ48">
        <v>1</v>
      </c>
      <c r="AR48">
        <v>0</v>
      </c>
      <c r="AS48" t="s">
        <v>3</v>
      </c>
      <c r="AT48">
        <v>0.02</v>
      </c>
      <c r="AU48" t="s">
        <v>3</v>
      </c>
      <c r="AV48">
        <v>1</v>
      </c>
      <c r="AW48">
        <v>2</v>
      </c>
      <c r="AX48">
        <v>89965286</v>
      </c>
      <c r="AY48">
        <v>2</v>
      </c>
      <c r="AZ48">
        <v>65536</v>
      </c>
      <c r="BA48">
        <v>48</v>
      </c>
      <c r="BB48">
        <v>1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5.0354000000000001</v>
      </c>
      <c r="BL48">
        <v>19.640799999999999</v>
      </c>
      <c r="BM48">
        <v>0</v>
      </c>
      <c r="BN48">
        <v>0</v>
      </c>
      <c r="BO48">
        <v>0.02</v>
      </c>
      <c r="BP48">
        <v>1</v>
      </c>
      <c r="BQ48">
        <v>0</v>
      </c>
      <c r="BR48">
        <v>5.0354000000000001</v>
      </c>
      <c r="BS48">
        <v>19.640799999999999</v>
      </c>
      <c r="BT48">
        <v>0</v>
      </c>
      <c r="BU48">
        <v>0</v>
      </c>
      <c r="BV48">
        <v>0.02</v>
      </c>
      <c r="BW48">
        <v>1</v>
      </c>
      <c r="CV48">
        <v>0</v>
      </c>
      <c r="CW48">
        <f>ROUND(Y48*Source!I38*DO48,7)</f>
        <v>3.6999999999999999E-4</v>
      </c>
      <c r="CX48">
        <f>ROUND(Y48*Source!I38,7)</f>
        <v>3.6999999999999999E-4</v>
      </c>
      <c r="CY48">
        <f>AB48</f>
        <v>372.62</v>
      </c>
      <c r="CZ48">
        <f>AF48</f>
        <v>251.77</v>
      </c>
      <c r="DA48">
        <f>AJ48</f>
        <v>1.48</v>
      </c>
      <c r="DB48">
        <f t="shared" si="13"/>
        <v>5.04</v>
      </c>
      <c r="DC48">
        <f t="shared" si="14"/>
        <v>19.64</v>
      </c>
      <c r="DD48" t="s">
        <v>3</v>
      </c>
      <c r="DE48" t="s">
        <v>3</v>
      </c>
      <c r="DF48">
        <f t="shared" si="21"/>
        <v>0</v>
      </c>
      <c r="DG48">
        <f>ROUND(ROUND(AF48*AJ48,2)*CX48,2)</f>
        <v>0.14000000000000001</v>
      </c>
      <c r="DH48">
        <f t="shared" si="4"/>
        <v>0.36</v>
      </c>
      <c r="DI48">
        <f t="shared" si="5"/>
        <v>0</v>
      </c>
      <c r="DJ48">
        <f>DG48+DH48</f>
        <v>0.5</v>
      </c>
      <c r="DK48">
        <v>0</v>
      </c>
      <c r="DL48" t="s">
        <v>456</v>
      </c>
      <c r="DM48">
        <v>6</v>
      </c>
      <c r="DN48" t="s">
        <v>428</v>
      </c>
      <c r="DO48">
        <v>1</v>
      </c>
    </row>
    <row r="49" spans="1:119" x14ac:dyDescent="0.2">
      <c r="A49">
        <f>ROW(Source!A38)</f>
        <v>38</v>
      </c>
      <c r="B49">
        <v>94104265</v>
      </c>
      <c r="C49">
        <v>89965270</v>
      </c>
      <c r="D49">
        <v>87236438</v>
      </c>
      <c r="E49">
        <v>1</v>
      </c>
      <c r="F49">
        <v>1</v>
      </c>
      <c r="G49">
        <v>1</v>
      </c>
      <c r="H49">
        <v>2</v>
      </c>
      <c r="I49" t="s">
        <v>453</v>
      </c>
      <c r="J49" t="s">
        <v>454</v>
      </c>
      <c r="K49" t="s">
        <v>455</v>
      </c>
      <c r="L49">
        <v>1368</v>
      </c>
      <c r="N49">
        <v>1011</v>
      </c>
      <c r="O49" t="s">
        <v>434</v>
      </c>
      <c r="P49" t="s">
        <v>434</v>
      </c>
      <c r="Q49">
        <v>1</v>
      </c>
      <c r="W49">
        <v>0</v>
      </c>
      <c r="X49">
        <v>639918019</v>
      </c>
      <c r="Y49">
        <f t="shared" si="12"/>
        <v>0.01</v>
      </c>
      <c r="AA49">
        <v>0</v>
      </c>
      <c r="AB49">
        <v>1585.56</v>
      </c>
      <c r="AC49">
        <v>982.04</v>
      </c>
      <c r="AD49">
        <v>0</v>
      </c>
      <c r="AE49">
        <v>0</v>
      </c>
      <c r="AF49">
        <v>1585.56</v>
      </c>
      <c r="AG49">
        <v>982.04</v>
      </c>
      <c r="AH49">
        <v>0</v>
      </c>
      <c r="AI49">
        <v>1</v>
      </c>
      <c r="AJ49">
        <v>1</v>
      </c>
      <c r="AK49">
        <v>1</v>
      </c>
      <c r="AL49">
        <v>1</v>
      </c>
      <c r="AM49">
        <v>-2</v>
      </c>
      <c r="AN49">
        <v>0</v>
      </c>
      <c r="AO49">
        <v>0</v>
      </c>
      <c r="AP49">
        <v>1</v>
      </c>
      <c r="AQ49">
        <v>1</v>
      </c>
      <c r="AR49">
        <v>0</v>
      </c>
      <c r="AS49" t="s">
        <v>3</v>
      </c>
      <c r="AT49">
        <v>0.01</v>
      </c>
      <c r="AU49" t="s">
        <v>3</v>
      </c>
      <c r="AV49">
        <v>1</v>
      </c>
      <c r="AW49">
        <v>2</v>
      </c>
      <c r="AX49">
        <v>89965287</v>
      </c>
      <c r="AY49">
        <v>2</v>
      </c>
      <c r="AZ49">
        <v>98304</v>
      </c>
      <c r="BA49">
        <v>49</v>
      </c>
      <c r="BB49">
        <v>1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15.855599999999999</v>
      </c>
      <c r="BL49">
        <v>9.8203999999999994</v>
      </c>
      <c r="BM49">
        <v>0</v>
      </c>
      <c r="BN49">
        <v>0</v>
      </c>
      <c r="BO49">
        <v>0.01</v>
      </c>
      <c r="BP49">
        <v>1</v>
      </c>
      <c r="BQ49">
        <v>0</v>
      </c>
      <c r="BR49">
        <v>15.855599999999999</v>
      </c>
      <c r="BS49">
        <v>9.8203999999999994</v>
      </c>
      <c r="BT49">
        <v>0</v>
      </c>
      <c r="BU49">
        <v>0</v>
      </c>
      <c r="BV49">
        <v>0.01</v>
      </c>
      <c r="BW49">
        <v>1</v>
      </c>
      <c r="CV49">
        <v>0</v>
      </c>
      <c r="CW49">
        <f>ROUND(Y49*Source!I38*DO49,7)</f>
        <v>1.85E-4</v>
      </c>
      <c r="CX49">
        <f>ROUND(Y49*Source!I38,7)</f>
        <v>1.85E-4</v>
      </c>
      <c r="CY49">
        <f>AB49</f>
        <v>1585.56</v>
      </c>
      <c r="CZ49">
        <f>AF49</f>
        <v>1585.56</v>
      </c>
      <c r="DA49">
        <f>AJ49</f>
        <v>1</v>
      </c>
      <c r="DB49">
        <f t="shared" si="13"/>
        <v>15.86</v>
      </c>
      <c r="DC49">
        <f t="shared" si="14"/>
        <v>9.82</v>
      </c>
      <c r="DD49" t="s">
        <v>3</v>
      </c>
      <c r="DE49" t="s">
        <v>3</v>
      </c>
      <c r="DF49">
        <f t="shared" si="21"/>
        <v>0</v>
      </c>
      <c r="DG49">
        <f>ROUND(ROUND(AF49,2)*CX49,2)</f>
        <v>0.28999999999999998</v>
      </c>
      <c r="DH49">
        <f t="shared" si="4"/>
        <v>0.18</v>
      </c>
      <c r="DI49">
        <f t="shared" si="5"/>
        <v>0</v>
      </c>
      <c r="DJ49">
        <f>DG49+DH49</f>
        <v>0.47</v>
      </c>
      <c r="DK49">
        <v>1</v>
      </c>
      <c r="DL49" t="s">
        <v>456</v>
      </c>
      <c r="DM49">
        <v>6</v>
      </c>
      <c r="DN49" t="s">
        <v>428</v>
      </c>
      <c r="DO49">
        <v>1</v>
      </c>
    </row>
    <row r="50" spans="1:119" x14ac:dyDescent="0.2">
      <c r="A50">
        <f>ROW(Source!A38)</f>
        <v>38</v>
      </c>
      <c r="B50">
        <v>94104265</v>
      </c>
      <c r="C50">
        <v>89965270</v>
      </c>
      <c r="D50">
        <v>87236730</v>
      </c>
      <c r="E50">
        <v>1</v>
      </c>
      <c r="F50">
        <v>1</v>
      </c>
      <c r="G50">
        <v>1</v>
      </c>
      <c r="H50">
        <v>2</v>
      </c>
      <c r="I50" t="s">
        <v>527</v>
      </c>
      <c r="J50" t="s">
        <v>528</v>
      </c>
      <c r="K50" t="s">
        <v>529</v>
      </c>
      <c r="L50">
        <v>1368</v>
      </c>
      <c r="N50">
        <v>1011</v>
      </c>
      <c r="O50" t="s">
        <v>434</v>
      </c>
      <c r="P50" t="s">
        <v>434</v>
      </c>
      <c r="Q50">
        <v>1</v>
      </c>
      <c r="W50">
        <v>0</v>
      </c>
      <c r="X50">
        <v>-903812129</v>
      </c>
      <c r="Y50">
        <f t="shared" si="12"/>
        <v>1.69</v>
      </c>
      <c r="AA50">
        <v>0</v>
      </c>
      <c r="AB50">
        <v>3.81</v>
      </c>
      <c r="AC50">
        <v>649.24</v>
      </c>
      <c r="AD50">
        <v>0</v>
      </c>
      <c r="AE50">
        <v>0</v>
      </c>
      <c r="AF50">
        <v>2.31</v>
      </c>
      <c r="AG50">
        <v>649.24</v>
      </c>
      <c r="AH50">
        <v>0</v>
      </c>
      <c r="AI50">
        <v>1</v>
      </c>
      <c r="AJ50">
        <v>1.65</v>
      </c>
      <c r="AK50">
        <v>1</v>
      </c>
      <c r="AL50">
        <v>1</v>
      </c>
      <c r="AM50">
        <v>2</v>
      </c>
      <c r="AN50">
        <v>0</v>
      </c>
      <c r="AO50">
        <v>0</v>
      </c>
      <c r="AP50">
        <v>1</v>
      </c>
      <c r="AQ50">
        <v>1</v>
      </c>
      <c r="AR50">
        <v>0</v>
      </c>
      <c r="AS50" t="s">
        <v>3</v>
      </c>
      <c r="AT50">
        <v>1.69</v>
      </c>
      <c r="AU50" t="s">
        <v>3</v>
      </c>
      <c r="AV50">
        <v>1</v>
      </c>
      <c r="AW50">
        <v>2</v>
      </c>
      <c r="AX50">
        <v>89965288</v>
      </c>
      <c r="AY50">
        <v>2</v>
      </c>
      <c r="AZ50">
        <v>65536</v>
      </c>
      <c r="BA50">
        <v>50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3.9039000000000001</v>
      </c>
      <c r="BL50">
        <v>1097.2156</v>
      </c>
      <c r="BM50">
        <v>0</v>
      </c>
      <c r="BN50">
        <v>0</v>
      </c>
      <c r="BO50">
        <v>1.69</v>
      </c>
      <c r="BP50">
        <v>1</v>
      </c>
      <c r="BQ50">
        <v>0</v>
      </c>
      <c r="BR50">
        <v>3.9039000000000001</v>
      </c>
      <c r="BS50">
        <v>1097.2156</v>
      </c>
      <c r="BT50">
        <v>0</v>
      </c>
      <c r="BU50">
        <v>0</v>
      </c>
      <c r="BV50">
        <v>1.69</v>
      </c>
      <c r="BW50">
        <v>1</v>
      </c>
      <c r="CV50">
        <v>0</v>
      </c>
      <c r="CW50">
        <f>ROUND(Y50*Source!I38*DO50,7)</f>
        <v>3.1265000000000001E-2</v>
      </c>
      <c r="CX50">
        <f>ROUND(Y50*Source!I38,7)</f>
        <v>3.1265000000000001E-2</v>
      </c>
      <c r="CY50">
        <f>AB50</f>
        <v>3.81</v>
      </c>
      <c r="CZ50">
        <f>AF50</f>
        <v>2.31</v>
      </c>
      <c r="DA50">
        <f>AJ50</f>
        <v>1.65</v>
      </c>
      <c r="DB50">
        <f t="shared" si="13"/>
        <v>3.9</v>
      </c>
      <c r="DC50">
        <f t="shared" si="14"/>
        <v>1097.22</v>
      </c>
      <c r="DD50" t="s">
        <v>3</v>
      </c>
      <c r="DE50" t="s">
        <v>3</v>
      </c>
      <c r="DF50">
        <f t="shared" si="21"/>
        <v>0</v>
      </c>
      <c r="DG50">
        <f>ROUND(ROUND(AF50*AJ50,2)*CX50,2)</f>
        <v>0.12</v>
      </c>
      <c r="DH50">
        <f t="shared" si="4"/>
        <v>20.3</v>
      </c>
      <c r="DI50">
        <f t="shared" si="5"/>
        <v>0</v>
      </c>
      <c r="DJ50">
        <f>DG50+DH50</f>
        <v>20.420000000000002</v>
      </c>
      <c r="DK50">
        <v>0</v>
      </c>
      <c r="DL50" t="s">
        <v>435</v>
      </c>
      <c r="DM50">
        <v>3</v>
      </c>
      <c r="DN50" t="s">
        <v>428</v>
      </c>
      <c r="DO50">
        <v>1</v>
      </c>
    </row>
    <row r="51" spans="1:119" x14ac:dyDescent="0.2">
      <c r="A51">
        <f>ROW(Source!A38)</f>
        <v>38</v>
      </c>
      <c r="B51">
        <v>94104265</v>
      </c>
      <c r="C51">
        <v>89965270</v>
      </c>
      <c r="D51">
        <v>87237333</v>
      </c>
      <c r="E51">
        <v>1</v>
      </c>
      <c r="F51">
        <v>1</v>
      </c>
      <c r="G51">
        <v>1</v>
      </c>
      <c r="H51">
        <v>2</v>
      </c>
      <c r="I51" t="s">
        <v>463</v>
      </c>
      <c r="J51" t="s">
        <v>464</v>
      </c>
      <c r="K51" t="s">
        <v>465</v>
      </c>
      <c r="L51">
        <v>1368</v>
      </c>
      <c r="N51">
        <v>1011</v>
      </c>
      <c r="O51" t="s">
        <v>434</v>
      </c>
      <c r="P51" t="s">
        <v>434</v>
      </c>
      <c r="Q51">
        <v>1</v>
      </c>
      <c r="W51">
        <v>0</v>
      </c>
      <c r="X51">
        <v>-849950259</v>
      </c>
      <c r="Y51">
        <f t="shared" si="12"/>
        <v>0.01</v>
      </c>
      <c r="AA51">
        <v>0</v>
      </c>
      <c r="AB51">
        <v>544.91999999999996</v>
      </c>
      <c r="AC51">
        <v>731.08</v>
      </c>
      <c r="AD51">
        <v>0</v>
      </c>
      <c r="AE51">
        <v>0</v>
      </c>
      <c r="AF51">
        <v>544.91999999999996</v>
      </c>
      <c r="AG51">
        <v>731.08</v>
      </c>
      <c r="AH51">
        <v>0</v>
      </c>
      <c r="AI51">
        <v>1</v>
      </c>
      <c r="AJ51">
        <v>1</v>
      </c>
      <c r="AK51">
        <v>1</v>
      </c>
      <c r="AL51">
        <v>1</v>
      </c>
      <c r="AM51">
        <v>-2</v>
      </c>
      <c r="AN51">
        <v>0</v>
      </c>
      <c r="AO51">
        <v>0</v>
      </c>
      <c r="AP51">
        <v>1</v>
      </c>
      <c r="AQ51">
        <v>1</v>
      </c>
      <c r="AR51">
        <v>0</v>
      </c>
      <c r="AS51" t="s">
        <v>3</v>
      </c>
      <c r="AT51">
        <v>0.01</v>
      </c>
      <c r="AU51" t="s">
        <v>3</v>
      </c>
      <c r="AV51">
        <v>1</v>
      </c>
      <c r="AW51">
        <v>2</v>
      </c>
      <c r="AX51">
        <v>89965289</v>
      </c>
      <c r="AY51">
        <v>2</v>
      </c>
      <c r="AZ51">
        <v>98304</v>
      </c>
      <c r="BA51">
        <v>51</v>
      </c>
      <c r="BB51">
        <v>1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5.4491999999999994</v>
      </c>
      <c r="BL51">
        <v>7.3108000000000004</v>
      </c>
      <c r="BM51">
        <v>0</v>
      </c>
      <c r="BN51">
        <v>0</v>
      </c>
      <c r="BO51">
        <v>0.01</v>
      </c>
      <c r="BP51">
        <v>1</v>
      </c>
      <c r="BQ51">
        <v>0</v>
      </c>
      <c r="BR51">
        <v>5.4491999999999994</v>
      </c>
      <c r="BS51">
        <v>7.3108000000000004</v>
      </c>
      <c r="BT51">
        <v>0</v>
      </c>
      <c r="BU51">
        <v>0</v>
      </c>
      <c r="BV51">
        <v>0.01</v>
      </c>
      <c r="BW51">
        <v>1</v>
      </c>
      <c r="CV51">
        <v>0</v>
      </c>
      <c r="CW51">
        <f>ROUND(Y51*Source!I38*DO51,7)</f>
        <v>1.85E-4</v>
      </c>
      <c r="CX51">
        <f>ROUND(Y51*Source!I38,7)</f>
        <v>1.85E-4</v>
      </c>
      <c r="CY51">
        <f>AB51</f>
        <v>544.91999999999996</v>
      </c>
      <c r="CZ51">
        <f>AF51</f>
        <v>544.91999999999996</v>
      </c>
      <c r="DA51">
        <f>AJ51</f>
        <v>1</v>
      </c>
      <c r="DB51">
        <f t="shared" si="13"/>
        <v>5.45</v>
      </c>
      <c r="DC51">
        <f t="shared" si="14"/>
        <v>7.31</v>
      </c>
      <c r="DD51" t="s">
        <v>3</v>
      </c>
      <c r="DE51" t="s">
        <v>3</v>
      </c>
      <c r="DF51">
        <f t="shared" si="21"/>
        <v>0</v>
      </c>
      <c r="DG51">
        <f t="shared" ref="DG51:DG64" si="22">ROUND(ROUND(AF51,2)*CX51,2)</f>
        <v>0.1</v>
      </c>
      <c r="DH51">
        <f t="shared" si="4"/>
        <v>0.14000000000000001</v>
      </c>
      <c r="DI51">
        <f t="shared" si="5"/>
        <v>0</v>
      </c>
      <c r="DJ51">
        <f>DG51+DH51</f>
        <v>0.24000000000000002</v>
      </c>
      <c r="DK51">
        <v>1</v>
      </c>
      <c r="DL51" t="s">
        <v>466</v>
      </c>
      <c r="DM51">
        <v>4</v>
      </c>
      <c r="DN51" t="s">
        <v>428</v>
      </c>
      <c r="DO51">
        <v>1</v>
      </c>
    </row>
    <row r="52" spans="1:119" x14ac:dyDescent="0.2">
      <c r="A52">
        <f>ROW(Source!A38)</f>
        <v>38</v>
      </c>
      <c r="B52">
        <v>94104265</v>
      </c>
      <c r="C52">
        <v>89965270</v>
      </c>
      <c r="D52">
        <v>87304091</v>
      </c>
      <c r="E52">
        <v>1</v>
      </c>
      <c r="F52">
        <v>1</v>
      </c>
      <c r="G52">
        <v>1</v>
      </c>
      <c r="H52">
        <v>3</v>
      </c>
      <c r="I52" t="s">
        <v>467</v>
      </c>
      <c r="J52" t="s">
        <v>468</v>
      </c>
      <c r="K52" t="s">
        <v>469</v>
      </c>
      <c r="L52">
        <v>1339</v>
      </c>
      <c r="N52">
        <v>1007</v>
      </c>
      <c r="O52" t="s">
        <v>34</v>
      </c>
      <c r="P52" t="s">
        <v>34</v>
      </c>
      <c r="Q52">
        <v>1</v>
      </c>
      <c r="W52">
        <v>0</v>
      </c>
      <c r="X52">
        <v>1964556667</v>
      </c>
      <c r="Y52">
        <f t="shared" si="12"/>
        <v>0.44</v>
      </c>
      <c r="AA52">
        <v>54.64</v>
      </c>
      <c r="AB52">
        <v>0</v>
      </c>
      <c r="AC52">
        <v>0</v>
      </c>
      <c r="AD52">
        <v>0</v>
      </c>
      <c r="AE52">
        <v>35.71</v>
      </c>
      <c r="AF52">
        <v>0</v>
      </c>
      <c r="AG52">
        <v>0</v>
      </c>
      <c r="AH52">
        <v>0</v>
      </c>
      <c r="AI52">
        <v>1.53</v>
      </c>
      <c r="AJ52">
        <v>1</v>
      </c>
      <c r="AK52">
        <v>1</v>
      </c>
      <c r="AL52">
        <v>1</v>
      </c>
      <c r="AM52">
        <v>2</v>
      </c>
      <c r="AN52">
        <v>0</v>
      </c>
      <c r="AO52">
        <v>0</v>
      </c>
      <c r="AP52">
        <v>0</v>
      </c>
      <c r="AQ52">
        <v>1</v>
      </c>
      <c r="AR52">
        <v>0</v>
      </c>
      <c r="AS52" t="s">
        <v>3</v>
      </c>
      <c r="AT52">
        <v>0.44</v>
      </c>
      <c r="AU52" t="s">
        <v>3</v>
      </c>
      <c r="AV52">
        <v>0</v>
      </c>
      <c r="AW52">
        <v>2</v>
      </c>
      <c r="AX52">
        <v>89965290</v>
      </c>
      <c r="AY52">
        <v>1</v>
      </c>
      <c r="AZ52">
        <v>0</v>
      </c>
      <c r="BA52">
        <v>52</v>
      </c>
      <c r="BB52">
        <v>1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15.712400000000001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1</v>
      </c>
      <c r="BQ52">
        <v>15.712400000000001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1</v>
      </c>
      <c r="CV52">
        <v>0</v>
      </c>
      <c r="CW52">
        <v>0</v>
      </c>
      <c r="CX52">
        <f>ROUND(Y52*Source!I38,7)</f>
        <v>8.1399999999999997E-3</v>
      </c>
      <c r="CY52">
        <f t="shared" ref="CY52:CY58" si="23">AA52</f>
        <v>54.64</v>
      </c>
      <c r="CZ52">
        <f t="shared" ref="CZ52:CZ58" si="24">AE52</f>
        <v>35.71</v>
      </c>
      <c r="DA52">
        <f t="shared" ref="DA52:DA58" si="25">AI52</f>
        <v>1.53</v>
      </c>
      <c r="DB52">
        <f t="shared" si="13"/>
        <v>15.71</v>
      </c>
      <c r="DC52">
        <f t="shared" si="14"/>
        <v>0</v>
      </c>
      <c r="DD52" t="s">
        <v>3</v>
      </c>
      <c r="DE52" t="s">
        <v>3</v>
      </c>
      <c r="DF52">
        <f>ROUND(ROUND(AE52*AI52,2)*CX52,2)</f>
        <v>0.44</v>
      </c>
      <c r="DG52">
        <f t="shared" si="22"/>
        <v>0</v>
      </c>
      <c r="DH52">
        <f t="shared" si="4"/>
        <v>0</v>
      </c>
      <c r="DI52">
        <f t="shared" si="5"/>
        <v>0</v>
      </c>
      <c r="DJ52">
        <f t="shared" ref="DJ52:DJ58" si="26">DF52</f>
        <v>0.44</v>
      </c>
      <c r="DK52">
        <v>0</v>
      </c>
      <c r="DL52" t="s">
        <v>3</v>
      </c>
      <c r="DM52">
        <v>0</v>
      </c>
      <c r="DN52" t="s">
        <v>3</v>
      </c>
      <c r="DO52">
        <v>0</v>
      </c>
    </row>
    <row r="53" spans="1:119" x14ac:dyDescent="0.2">
      <c r="A53">
        <f>ROW(Source!A38)</f>
        <v>38</v>
      </c>
      <c r="B53">
        <v>94104265</v>
      </c>
      <c r="C53">
        <v>89965270</v>
      </c>
      <c r="D53">
        <v>87304103</v>
      </c>
      <c r="E53">
        <v>1</v>
      </c>
      <c r="F53">
        <v>1</v>
      </c>
      <c r="G53">
        <v>1</v>
      </c>
      <c r="H53">
        <v>3</v>
      </c>
      <c r="I53" t="s">
        <v>530</v>
      </c>
      <c r="J53" t="s">
        <v>531</v>
      </c>
      <c r="K53" t="s">
        <v>532</v>
      </c>
      <c r="L53">
        <v>1383</v>
      </c>
      <c r="N53">
        <v>1013</v>
      </c>
      <c r="O53" t="s">
        <v>533</v>
      </c>
      <c r="P53" t="s">
        <v>533</v>
      </c>
      <c r="Q53">
        <v>1</v>
      </c>
      <c r="W53">
        <v>0</v>
      </c>
      <c r="X53">
        <v>1840299850</v>
      </c>
      <c r="Y53">
        <f t="shared" si="12"/>
        <v>3.2500000000000001E-2</v>
      </c>
      <c r="AA53">
        <v>6.92</v>
      </c>
      <c r="AB53">
        <v>0</v>
      </c>
      <c r="AC53">
        <v>0</v>
      </c>
      <c r="AD53">
        <v>0</v>
      </c>
      <c r="AE53">
        <v>6.92</v>
      </c>
      <c r="AF53">
        <v>0</v>
      </c>
      <c r="AG53">
        <v>0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-2</v>
      </c>
      <c r="AN53">
        <v>0</v>
      </c>
      <c r="AO53">
        <v>0</v>
      </c>
      <c r="AP53">
        <v>0</v>
      </c>
      <c r="AQ53">
        <v>1</v>
      </c>
      <c r="AR53">
        <v>0</v>
      </c>
      <c r="AS53" t="s">
        <v>3</v>
      </c>
      <c r="AT53">
        <v>3.2500000000000001E-2</v>
      </c>
      <c r="AU53" t="s">
        <v>3</v>
      </c>
      <c r="AV53">
        <v>0</v>
      </c>
      <c r="AW53">
        <v>2</v>
      </c>
      <c r="AX53">
        <v>89965291</v>
      </c>
      <c r="AY53">
        <v>2</v>
      </c>
      <c r="AZ53">
        <v>16384</v>
      </c>
      <c r="BA53">
        <v>53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0.22490000000000002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1</v>
      </c>
      <c r="BQ53">
        <v>0.22490000000000002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1</v>
      </c>
      <c r="CV53">
        <v>0</v>
      </c>
      <c r="CW53">
        <v>0</v>
      </c>
      <c r="CX53">
        <f>ROUND(Y53*Source!I38,7)</f>
        <v>6.0130000000000003E-4</v>
      </c>
      <c r="CY53">
        <f t="shared" si="23"/>
        <v>6.92</v>
      </c>
      <c r="CZ53">
        <f t="shared" si="24"/>
        <v>6.92</v>
      </c>
      <c r="DA53">
        <f t="shared" si="25"/>
        <v>1</v>
      </c>
      <c r="DB53">
        <f t="shared" si="13"/>
        <v>0.22</v>
      </c>
      <c r="DC53">
        <f t="shared" si="14"/>
        <v>0</v>
      </c>
      <c r="DD53" t="s">
        <v>3</v>
      </c>
      <c r="DE53" t="s">
        <v>3</v>
      </c>
      <c r="DF53">
        <f>ROUND(ROUND(AE53,2)*CX53,2)</f>
        <v>0</v>
      </c>
      <c r="DG53">
        <f t="shared" si="22"/>
        <v>0</v>
      </c>
      <c r="DH53">
        <f t="shared" si="4"/>
        <v>0</v>
      </c>
      <c r="DI53">
        <f t="shared" si="5"/>
        <v>0</v>
      </c>
      <c r="DJ53">
        <f t="shared" si="26"/>
        <v>0</v>
      </c>
      <c r="DK53">
        <v>1</v>
      </c>
      <c r="DL53" t="s">
        <v>3</v>
      </c>
      <c r="DM53">
        <v>0</v>
      </c>
      <c r="DN53" t="s">
        <v>3</v>
      </c>
      <c r="DO53">
        <v>0</v>
      </c>
    </row>
    <row r="54" spans="1:119" x14ac:dyDescent="0.2">
      <c r="A54">
        <f>ROW(Source!A38)</f>
        <v>38</v>
      </c>
      <c r="B54">
        <v>94104265</v>
      </c>
      <c r="C54">
        <v>89965270</v>
      </c>
      <c r="D54">
        <v>87308126</v>
      </c>
      <c r="E54">
        <v>1</v>
      </c>
      <c r="F54">
        <v>1</v>
      </c>
      <c r="G54">
        <v>1</v>
      </c>
      <c r="H54">
        <v>3</v>
      </c>
      <c r="I54" t="s">
        <v>261</v>
      </c>
      <c r="J54" t="s">
        <v>263</v>
      </c>
      <c r="K54" t="s">
        <v>262</v>
      </c>
      <c r="L54">
        <v>1348</v>
      </c>
      <c r="N54">
        <v>1009</v>
      </c>
      <c r="O54" t="s">
        <v>30</v>
      </c>
      <c r="P54" t="s">
        <v>30</v>
      </c>
      <c r="Q54">
        <v>1000</v>
      </c>
      <c r="W54">
        <v>0</v>
      </c>
      <c r="X54">
        <v>70029355</v>
      </c>
      <c r="Y54">
        <f t="shared" si="12"/>
        <v>1.2999999999999999E-2</v>
      </c>
      <c r="AA54">
        <v>73889</v>
      </c>
      <c r="AB54">
        <v>0</v>
      </c>
      <c r="AC54">
        <v>0</v>
      </c>
      <c r="AD54">
        <v>0</v>
      </c>
      <c r="AE54">
        <v>73889</v>
      </c>
      <c r="AF54">
        <v>0</v>
      </c>
      <c r="AG54">
        <v>0</v>
      </c>
      <c r="AH54">
        <v>0</v>
      </c>
      <c r="AI54">
        <v>1</v>
      </c>
      <c r="AJ54">
        <v>1</v>
      </c>
      <c r="AK54">
        <v>1</v>
      </c>
      <c r="AL54">
        <v>1</v>
      </c>
      <c r="AM54">
        <v>-2</v>
      </c>
      <c r="AN54">
        <v>0</v>
      </c>
      <c r="AO54">
        <v>0</v>
      </c>
      <c r="AP54">
        <v>0</v>
      </c>
      <c r="AQ54">
        <v>1</v>
      </c>
      <c r="AR54">
        <v>0</v>
      </c>
      <c r="AS54" t="s">
        <v>3</v>
      </c>
      <c r="AT54">
        <v>1.2999999999999999E-2</v>
      </c>
      <c r="AU54" t="s">
        <v>3</v>
      </c>
      <c r="AV54">
        <v>0</v>
      </c>
      <c r="AW54">
        <v>2</v>
      </c>
      <c r="AX54">
        <v>89965292</v>
      </c>
      <c r="AY54">
        <v>2</v>
      </c>
      <c r="AZ54">
        <v>16384</v>
      </c>
      <c r="BA54">
        <v>54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960.5569999999999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1</v>
      </c>
      <c r="BQ54">
        <v>960.5569999999999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1</v>
      </c>
      <c r="CV54">
        <v>0</v>
      </c>
      <c r="CW54">
        <v>0</v>
      </c>
      <c r="CX54">
        <f>ROUND(Y54*Source!I38,7)</f>
        <v>2.4049999999999999E-4</v>
      </c>
      <c r="CY54">
        <f t="shared" si="23"/>
        <v>73889</v>
      </c>
      <c r="CZ54">
        <f t="shared" si="24"/>
        <v>73889</v>
      </c>
      <c r="DA54">
        <f t="shared" si="25"/>
        <v>1</v>
      </c>
      <c r="DB54">
        <f t="shared" si="13"/>
        <v>960.56</v>
      </c>
      <c r="DC54">
        <f t="shared" si="14"/>
        <v>0</v>
      </c>
      <c r="DD54" t="s">
        <v>3</v>
      </c>
      <c r="DE54" t="s">
        <v>3</v>
      </c>
      <c r="DF54">
        <f>ROUND(ROUND(AE54,2)*CX54,2)</f>
        <v>17.77</v>
      </c>
      <c r="DG54">
        <f t="shared" si="22"/>
        <v>0</v>
      </c>
      <c r="DH54">
        <f t="shared" si="4"/>
        <v>0</v>
      </c>
      <c r="DI54">
        <f t="shared" si="5"/>
        <v>0</v>
      </c>
      <c r="DJ54">
        <f t="shared" si="26"/>
        <v>17.77</v>
      </c>
      <c r="DK54">
        <v>1</v>
      </c>
      <c r="DL54" t="s">
        <v>3</v>
      </c>
      <c r="DM54">
        <v>0</v>
      </c>
      <c r="DN54" t="s">
        <v>3</v>
      </c>
      <c r="DO54">
        <v>0</v>
      </c>
    </row>
    <row r="55" spans="1:119" x14ac:dyDescent="0.2">
      <c r="A55">
        <f>ROW(Source!A38)</f>
        <v>38</v>
      </c>
      <c r="B55">
        <v>94104265</v>
      </c>
      <c r="C55">
        <v>89965270</v>
      </c>
      <c r="D55">
        <v>87309902</v>
      </c>
      <c r="E55">
        <v>1</v>
      </c>
      <c r="F55">
        <v>1</v>
      </c>
      <c r="G55">
        <v>1</v>
      </c>
      <c r="H55">
        <v>3</v>
      </c>
      <c r="I55" t="s">
        <v>82</v>
      </c>
      <c r="J55" t="s">
        <v>84</v>
      </c>
      <c r="K55" t="s">
        <v>83</v>
      </c>
      <c r="L55">
        <v>1327</v>
      </c>
      <c r="N55">
        <v>1005</v>
      </c>
      <c r="O55" t="s">
        <v>60</v>
      </c>
      <c r="P55" t="s">
        <v>60</v>
      </c>
      <c r="Q55">
        <v>1</v>
      </c>
      <c r="W55">
        <v>0</v>
      </c>
      <c r="X55">
        <v>-917950727</v>
      </c>
      <c r="Y55">
        <f t="shared" si="12"/>
        <v>102</v>
      </c>
      <c r="AA55">
        <v>908.39</v>
      </c>
      <c r="AB55">
        <v>0</v>
      </c>
      <c r="AC55">
        <v>0</v>
      </c>
      <c r="AD55">
        <v>0</v>
      </c>
      <c r="AE55">
        <v>908.39</v>
      </c>
      <c r="AF55">
        <v>0</v>
      </c>
      <c r="AG55">
        <v>0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-2</v>
      </c>
      <c r="AN55">
        <v>0</v>
      </c>
      <c r="AO55">
        <v>0</v>
      </c>
      <c r="AP55">
        <v>1</v>
      </c>
      <c r="AQ55">
        <v>0</v>
      </c>
      <c r="AR55">
        <v>0</v>
      </c>
      <c r="AS55" t="s">
        <v>3</v>
      </c>
      <c r="AT55">
        <v>102</v>
      </c>
      <c r="AU55" t="s">
        <v>3</v>
      </c>
      <c r="AV55">
        <v>0</v>
      </c>
      <c r="AW55">
        <v>1</v>
      </c>
      <c r="AX55">
        <v>-1</v>
      </c>
      <c r="AY55">
        <v>0</v>
      </c>
      <c r="AZ55">
        <v>0</v>
      </c>
      <c r="BA55" t="s">
        <v>3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V55">
        <v>0</v>
      </c>
      <c r="CW55">
        <v>0</v>
      </c>
      <c r="CX55">
        <f>ROUND(Y55*Source!I38,7)</f>
        <v>1.887</v>
      </c>
      <c r="CY55">
        <f t="shared" si="23"/>
        <v>908.39</v>
      </c>
      <c r="CZ55">
        <f t="shared" si="24"/>
        <v>908.39</v>
      </c>
      <c r="DA55">
        <f t="shared" si="25"/>
        <v>1</v>
      </c>
      <c r="DB55">
        <f t="shared" si="13"/>
        <v>92655.78</v>
      </c>
      <c r="DC55">
        <f t="shared" si="14"/>
        <v>0</v>
      </c>
      <c r="DD55" t="s">
        <v>3</v>
      </c>
      <c r="DE55" t="s">
        <v>3</v>
      </c>
      <c r="DF55">
        <f>ROUND(ROUND(AE55,2)*CX55,2)</f>
        <v>1714.13</v>
      </c>
      <c r="DG55">
        <f t="shared" si="22"/>
        <v>0</v>
      </c>
      <c r="DH55">
        <f t="shared" si="4"/>
        <v>0</v>
      </c>
      <c r="DI55">
        <f t="shared" si="5"/>
        <v>0</v>
      </c>
      <c r="DJ55">
        <f t="shared" si="26"/>
        <v>1714.13</v>
      </c>
      <c r="DK55">
        <v>1</v>
      </c>
      <c r="DL55" t="s">
        <v>3</v>
      </c>
      <c r="DM55">
        <v>0</v>
      </c>
      <c r="DN55" t="s">
        <v>3</v>
      </c>
      <c r="DO55">
        <v>0</v>
      </c>
    </row>
    <row r="56" spans="1:119" x14ac:dyDescent="0.2">
      <c r="A56">
        <f>ROW(Source!A38)</f>
        <v>38</v>
      </c>
      <c r="B56">
        <v>94104265</v>
      </c>
      <c r="C56">
        <v>89965270</v>
      </c>
      <c r="D56">
        <v>87315253</v>
      </c>
      <c r="E56">
        <v>1</v>
      </c>
      <c r="F56">
        <v>1</v>
      </c>
      <c r="G56">
        <v>1</v>
      </c>
      <c r="H56">
        <v>3</v>
      </c>
      <c r="I56" t="s">
        <v>86</v>
      </c>
      <c r="J56" t="s">
        <v>88</v>
      </c>
      <c r="K56" t="s">
        <v>87</v>
      </c>
      <c r="L56">
        <v>1339</v>
      </c>
      <c r="N56">
        <v>1007</v>
      </c>
      <c r="O56" t="s">
        <v>34</v>
      </c>
      <c r="P56" t="s">
        <v>34</v>
      </c>
      <c r="Q56">
        <v>1</v>
      </c>
      <c r="W56">
        <v>0</v>
      </c>
      <c r="X56">
        <v>-492236760</v>
      </c>
      <c r="Y56">
        <f t="shared" si="12"/>
        <v>0.01</v>
      </c>
      <c r="AA56">
        <v>40030.75</v>
      </c>
      <c r="AB56">
        <v>0</v>
      </c>
      <c r="AC56">
        <v>0</v>
      </c>
      <c r="AD56">
        <v>0</v>
      </c>
      <c r="AE56">
        <v>23139.16</v>
      </c>
      <c r="AF56">
        <v>0</v>
      </c>
      <c r="AG56">
        <v>0</v>
      </c>
      <c r="AH56">
        <v>0</v>
      </c>
      <c r="AI56">
        <v>1.73</v>
      </c>
      <c r="AJ56">
        <v>1</v>
      </c>
      <c r="AK56">
        <v>1</v>
      </c>
      <c r="AL56">
        <v>1</v>
      </c>
      <c r="AM56">
        <v>2</v>
      </c>
      <c r="AN56">
        <v>0</v>
      </c>
      <c r="AO56">
        <v>0</v>
      </c>
      <c r="AP56">
        <v>1</v>
      </c>
      <c r="AQ56">
        <v>0</v>
      </c>
      <c r="AR56">
        <v>0</v>
      </c>
      <c r="AS56" t="s">
        <v>3</v>
      </c>
      <c r="AT56">
        <v>0.01</v>
      </c>
      <c r="AU56" t="s">
        <v>3</v>
      </c>
      <c r="AV56">
        <v>0</v>
      </c>
      <c r="AW56">
        <v>1</v>
      </c>
      <c r="AX56">
        <v>-1</v>
      </c>
      <c r="AY56">
        <v>0</v>
      </c>
      <c r="AZ56">
        <v>0</v>
      </c>
      <c r="BA56" t="s">
        <v>3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CV56">
        <v>0</v>
      </c>
      <c r="CW56">
        <v>0</v>
      </c>
      <c r="CX56">
        <f>ROUND(Y56*Source!I38,7)</f>
        <v>1.85E-4</v>
      </c>
      <c r="CY56">
        <f t="shared" si="23"/>
        <v>40030.75</v>
      </c>
      <c r="CZ56">
        <f t="shared" si="24"/>
        <v>23139.16</v>
      </c>
      <c r="DA56">
        <f t="shared" si="25"/>
        <v>1.73</v>
      </c>
      <c r="DB56">
        <f t="shared" si="13"/>
        <v>231.39</v>
      </c>
      <c r="DC56">
        <f t="shared" si="14"/>
        <v>0</v>
      </c>
      <c r="DD56" t="s">
        <v>3</v>
      </c>
      <c r="DE56" t="s">
        <v>3</v>
      </c>
      <c r="DF56">
        <f>ROUND(ROUND(AE56*AI56,2)*CX56,2)</f>
        <v>7.41</v>
      </c>
      <c r="DG56">
        <f t="shared" si="22"/>
        <v>0</v>
      </c>
      <c r="DH56">
        <f t="shared" si="4"/>
        <v>0</v>
      </c>
      <c r="DI56">
        <f t="shared" si="5"/>
        <v>0</v>
      </c>
      <c r="DJ56">
        <f t="shared" si="26"/>
        <v>7.41</v>
      </c>
      <c r="DK56">
        <v>0</v>
      </c>
      <c r="DL56" t="s">
        <v>3</v>
      </c>
      <c r="DM56">
        <v>0</v>
      </c>
      <c r="DN56" t="s">
        <v>3</v>
      </c>
      <c r="DO56">
        <v>0</v>
      </c>
    </row>
    <row r="57" spans="1:119" x14ac:dyDescent="0.2">
      <c r="A57">
        <f>ROW(Source!A38)</f>
        <v>38</v>
      </c>
      <c r="B57">
        <v>94104265</v>
      </c>
      <c r="C57">
        <v>89965270</v>
      </c>
      <c r="D57">
        <v>87322364</v>
      </c>
      <c r="E57">
        <v>1</v>
      </c>
      <c r="F57">
        <v>1</v>
      </c>
      <c r="G57">
        <v>1</v>
      </c>
      <c r="H57">
        <v>3</v>
      </c>
      <c r="I57" t="s">
        <v>90</v>
      </c>
      <c r="J57" t="s">
        <v>92</v>
      </c>
      <c r="K57" t="s">
        <v>91</v>
      </c>
      <c r="L57">
        <v>1348</v>
      </c>
      <c r="N57">
        <v>1009</v>
      </c>
      <c r="O57" t="s">
        <v>30</v>
      </c>
      <c r="P57" t="s">
        <v>30</v>
      </c>
      <c r="Q57">
        <v>1000</v>
      </c>
      <c r="W57">
        <v>0</v>
      </c>
      <c r="X57">
        <v>1044775536</v>
      </c>
      <c r="Y57">
        <f t="shared" si="12"/>
        <v>1.2</v>
      </c>
      <c r="AA57">
        <v>34338.33</v>
      </c>
      <c r="AB57">
        <v>0</v>
      </c>
      <c r="AC57">
        <v>0</v>
      </c>
      <c r="AD57">
        <v>0</v>
      </c>
      <c r="AE57">
        <v>33998.35</v>
      </c>
      <c r="AF57">
        <v>0</v>
      </c>
      <c r="AG57">
        <v>0</v>
      </c>
      <c r="AH57">
        <v>0</v>
      </c>
      <c r="AI57">
        <v>1.01</v>
      </c>
      <c r="AJ57">
        <v>1</v>
      </c>
      <c r="AK57">
        <v>1</v>
      </c>
      <c r="AL57">
        <v>1</v>
      </c>
      <c r="AM57">
        <v>2</v>
      </c>
      <c r="AN57">
        <v>0</v>
      </c>
      <c r="AO57">
        <v>0</v>
      </c>
      <c r="AP57">
        <v>1</v>
      </c>
      <c r="AQ57">
        <v>0</v>
      </c>
      <c r="AR57">
        <v>0</v>
      </c>
      <c r="AS57" t="s">
        <v>3</v>
      </c>
      <c r="AT57">
        <v>1.2</v>
      </c>
      <c r="AU57" t="s">
        <v>3</v>
      </c>
      <c r="AV57">
        <v>0</v>
      </c>
      <c r="AW57">
        <v>1</v>
      </c>
      <c r="AX57">
        <v>-1</v>
      </c>
      <c r="AY57">
        <v>0</v>
      </c>
      <c r="AZ57">
        <v>0</v>
      </c>
      <c r="BA57" t="s">
        <v>3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CV57">
        <v>0</v>
      </c>
      <c r="CW57">
        <v>0</v>
      </c>
      <c r="CX57">
        <f>ROUND(Y57*Source!I38,7)</f>
        <v>2.2200000000000001E-2</v>
      </c>
      <c r="CY57">
        <f t="shared" si="23"/>
        <v>34338.33</v>
      </c>
      <c r="CZ57">
        <f t="shared" si="24"/>
        <v>33998.35</v>
      </c>
      <c r="DA57">
        <f t="shared" si="25"/>
        <v>1.01</v>
      </c>
      <c r="DB57">
        <f t="shared" si="13"/>
        <v>40798.019999999997</v>
      </c>
      <c r="DC57">
        <f t="shared" si="14"/>
        <v>0</v>
      </c>
      <c r="DD57" t="s">
        <v>3</v>
      </c>
      <c r="DE57" t="s">
        <v>3</v>
      </c>
      <c r="DF57">
        <f>ROUND(ROUND(AE57*AI57,2)*CX57,2)</f>
        <v>762.31</v>
      </c>
      <c r="DG57">
        <f t="shared" si="22"/>
        <v>0</v>
      </c>
      <c r="DH57">
        <f t="shared" si="4"/>
        <v>0</v>
      </c>
      <c r="DI57">
        <f t="shared" si="5"/>
        <v>0</v>
      </c>
      <c r="DJ57">
        <f t="shared" si="26"/>
        <v>762.31</v>
      </c>
      <c r="DK57">
        <v>0</v>
      </c>
      <c r="DL57" t="s">
        <v>3</v>
      </c>
      <c r="DM57">
        <v>0</v>
      </c>
      <c r="DN57" t="s">
        <v>3</v>
      </c>
      <c r="DO57">
        <v>0</v>
      </c>
    </row>
    <row r="58" spans="1:119" x14ac:dyDescent="0.2">
      <c r="A58">
        <f>ROW(Source!A38)</f>
        <v>38</v>
      </c>
      <c r="B58">
        <v>94104265</v>
      </c>
      <c r="C58">
        <v>89965270</v>
      </c>
      <c r="D58">
        <v>87322786</v>
      </c>
      <c r="E58">
        <v>1</v>
      </c>
      <c r="F58">
        <v>1</v>
      </c>
      <c r="G58">
        <v>1</v>
      </c>
      <c r="H58">
        <v>3</v>
      </c>
      <c r="I58" t="s">
        <v>94</v>
      </c>
      <c r="J58" t="s">
        <v>97</v>
      </c>
      <c r="K58" t="s">
        <v>95</v>
      </c>
      <c r="L58">
        <v>1346</v>
      </c>
      <c r="N58">
        <v>1009</v>
      </c>
      <c r="O58" t="s">
        <v>96</v>
      </c>
      <c r="P58" t="s">
        <v>96</v>
      </c>
      <c r="Q58">
        <v>1</v>
      </c>
      <c r="W58">
        <v>0</v>
      </c>
      <c r="X58">
        <v>-302696231</v>
      </c>
      <c r="Y58">
        <f t="shared" si="12"/>
        <v>15.6682028</v>
      </c>
      <c r="AA58">
        <v>1605.06</v>
      </c>
      <c r="AB58">
        <v>0</v>
      </c>
      <c r="AC58">
        <v>0</v>
      </c>
      <c r="AD58">
        <v>0</v>
      </c>
      <c r="AE58">
        <v>1284.05</v>
      </c>
      <c r="AF58">
        <v>0</v>
      </c>
      <c r="AG58">
        <v>0</v>
      </c>
      <c r="AH58">
        <v>0</v>
      </c>
      <c r="AI58">
        <v>1.25</v>
      </c>
      <c r="AJ58">
        <v>1</v>
      </c>
      <c r="AK58">
        <v>1</v>
      </c>
      <c r="AL58">
        <v>1</v>
      </c>
      <c r="AM58">
        <v>2</v>
      </c>
      <c r="AN58">
        <v>1</v>
      </c>
      <c r="AO58">
        <v>0</v>
      </c>
      <c r="AP58">
        <v>1</v>
      </c>
      <c r="AQ58">
        <v>0</v>
      </c>
      <c r="AR58">
        <v>0</v>
      </c>
      <c r="AS58" t="s">
        <v>3</v>
      </c>
      <c r="AT58">
        <v>15.6682028</v>
      </c>
      <c r="AU58" t="s">
        <v>3</v>
      </c>
      <c r="AV58">
        <v>0</v>
      </c>
      <c r="AW58">
        <v>1</v>
      </c>
      <c r="AX58">
        <v>-1</v>
      </c>
      <c r="AY58">
        <v>0</v>
      </c>
      <c r="AZ58">
        <v>0</v>
      </c>
      <c r="BA58" t="s">
        <v>3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CV58">
        <v>0</v>
      </c>
      <c r="CW58">
        <v>0</v>
      </c>
      <c r="CX58">
        <f>ROUND(Y58*Source!I38,7)</f>
        <v>0.2898618</v>
      </c>
      <c r="CY58">
        <f t="shared" si="23"/>
        <v>1605.06</v>
      </c>
      <c r="CZ58">
        <f t="shared" si="24"/>
        <v>1284.05</v>
      </c>
      <c r="DA58">
        <f t="shared" si="25"/>
        <v>1.25</v>
      </c>
      <c r="DB58">
        <f t="shared" si="13"/>
        <v>20118.759999999998</v>
      </c>
      <c r="DC58">
        <f t="shared" si="14"/>
        <v>0</v>
      </c>
      <c r="DD58" t="s">
        <v>3</v>
      </c>
      <c r="DE58" t="s">
        <v>3</v>
      </c>
      <c r="DF58">
        <f>ROUND(ROUND(AE58*AI58,2)*CX58,2)</f>
        <v>465.25</v>
      </c>
      <c r="DG58">
        <f t="shared" si="22"/>
        <v>0</v>
      </c>
      <c r="DH58">
        <f t="shared" si="4"/>
        <v>0</v>
      </c>
      <c r="DI58">
        <f t="shared" si="5"/>
        <v>0</v>
      </c>
      <c r="DJ58">
        <f t="shared" si="26"/>
        <v>465.25</v>
      </c>
      <c r="DK58">
        <v>0</v>
      </c>
      <c r="DL58" t="s">
        <v>3</v>
      </c>
      <c r="DM58">
        <v>0</v>
      </c>
      <c r="DN58" t="s">
        <v>3</v>
      </c>
      <c r="DO58">
        <v>0</v>
      </c>
    </row>
    <row r="59" spans="1:119" x14ac:dyDescent="0.2">
      <c r="A59">
        <f>ROW(Source!A43)</f>
        <v>43</v>
      </c>
      <c r="B59">
        <v>94104265</v>
      </c>
      <c r="C59">
        <v>89965301</v>
      </c>
      <c r="D59">
        <v>87229755</v>
      </c>
      <c r="E59">
        <v>117</v>
      </c>
      <c r="F59">
        <v>1</v>
      </c>
      <c r="G59">
        <v>1</v>
      </c>
      <c r="H59">
        <v>1</v>
      </c>
      <c r="I59" t="s">
        <v>436</v>
      </c>
      <c r="J59" t="s">
        <v>3</v>
      </c>
      <c r="K59" t="s">
        <v>437</v>
      </c>
      <c r="L59">
        <v>1191</v>
      </c>
      <c r="N59">
        <v>1013</v>
      </c>
      <c r="O59" t="s">
        <v>428</v>
      </c>
      <c r="P59" t="s">
        <v>428</v>
      </c>
      <c r="Q59">
        <v>1</v>
      </c>
      <c r="W59">
        <v>0</v>
      </c>
      <c r="X59">
        <v>-1833565283</v>
      </c>
      <c r="Y59">
        <f t="shared" si="12"/>
        <v>16.64</v>
      </c>
      <c r="AA59">
        <v>0</v>
      </c>
      <c r="AB59">
        <v>0</v>
      </c>
      <c r="AC59">
        <v>0</v>
      </c>
      <c r="AD59">
        <v>649.24</v>
      </c>
      <c r="AE59">
        <v>0</v>
      </c>
      <c r="AF59">
        <v>0</v>
      </c>
      <c r="AG59">
        <v>0</v>
      </c>
      <c r="AH59">
        <v>649.24</v>
      </c>
      <c r="AI59">
        <v>1</v>
      </c>
      <c r="AJ59">
        <v>1</v>
      </c>
      <c r="AK59">
        <v>1</v>
      </c>
      <c r="AL59">
        <v>1</v>
      </c>
      <c r="AM59">
        <v>-2</v>
      </c>
      <c r="AN59">
        <v>0</v>
      </c>
      <c r="AO59">
        <v>0</v>
      </c>
      <c r="AP59">
        <v>1</v>
      </c>
      <c r="AQ59">
        <v>1</v>
      </c>
      <c r="AR59">
        <v>0</v>
      </c>
      <c r="AS59" t="s">
        <v>3</v>
      </c>
      <c r="AT59">
        <v>16.64</v>
      </c>
      <c r="AU59" t="s">
        <v>3</v>
      </c>
      <c r="AV59">
        <v>1</v>
      </c>
      <c r="AW59">
        <v>2</v>
      </c>
      <c r="AX59">
        <v>89965302</v>
      </c>
      <c r="AY59">
        <v>2</v>
      </c>
      <c r="AZ59">
        <v>131072</v>
      </c>
      <c r="BA59">
        <v>59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10803.3536</v>
      </c>
      <c r="BN59">
        <v>16.64</v>
      </c>
      <c r="BO59">
        <v>0</v>
      </c>
      <c r="BP59">
        <v>1</v>
      </c>
      <c r="BQ59">
        <v>0</v>
      </c>
      <c r="BR59">
        <v>0</v>
      </c>
      <c r="BS59">
        <v>0</v>
      </c>
      <c r="BT59">
        <v>10803.3536</v>
      </c>
      <c r="BU59">
        <v>16.64</v>
      </c>
      <c r="BV59">
        <v>0</v>
      </c>
      <c r="BW59">
        <v>1</v>
      </c>
      <c r="CU59">
        <f>ROUND(AT59*Source!I43*AH59*AL59,2)</f>
        <v>378.12</v>
      </c>
      <c r="CV59">
        <f>ROUND(Y59*Source!I43,7)</f>
        <v>0.58240000000000003</v>
      </c>
      <c r="CW59">
        <v>0</v>
      </c>
      <c r="CX59">
        <f>ROUND(Y59*Source!I43,7)</f>
        <v>0.58240000000000003</v>
      </c>
      <c r="CY59">
        <f>AD59</f>
        <v>649.24</v>
      </c>
      <c r="CZ59">
        <f>AH59</f>
        <v>649.24</v>
      </c>
      <c r="DA59">
        <f>AL59</f>
        <v>1</v>
      </c>
      <c r="DB59">
        <f t="shared" si="13"/>
        <v>10803.35</v>
      </c>
      <c r="DC59">
        <f t="shared" si="14"/>
        <v>0</v>
      </c>
      <c r="DD59" t="s">
        <v>3</v>
      </c>
      <c r="DE59" t="s">
        <v>3</v>
      </c>
      <c r="DF59">
        <f>ROUND(ROUND(AE59,2)*CX59,2)</f>
        <v>0</v>
      </c>
      <c r="DG59">
        <f t="shared" si="22"/>
        <v>0</v>
      </c>
      <c r="DH59">
        <f t="shared" si="4"/>
        <v>0</v>
      </c>
      <c r="DI59">
        <f t="shared" si="5"/>
        <v>378.12</v>
      </c>
      <c r="DJ59">
        <f>DI59</f>
        <v>378.12</v>
      </c>
      <c r="DK59">
        <v>1</v>
      </c>
      <c r="DL59" t="s">
        <v>3</v>
      </c>
      <c r="DM59">
        <v>0</v>
      </c>
      <c r="DN59" t="s">
        <v>3</v>
      </c>
      <c r="DO59">
        <v>0</v>
      </c>
    </row>
    <row r="60" spans="1:119" x14ac:dyDescent="0.2">
      <c r="A60">
        <f>ROW(Source!A43)</f>
        <v>43</v>
      </c>
      <c r="B60">
        <v>94104265</v>
      </c>
      <c r="C60">
        <v>89965301</v>
      </c>
      <c r="D60">
        <v>87304103</v>
      </c>
      <c r="E60">
        <v>1</v>
      </c>
      <c r="F60">
        <v>1</v>
      </c>
      <c r="G60">
        <v>1</v>
      </c>
      <c r="H60">
        <v>3</v>
      </c>
      <c r="I60" t="s">
        <v>530</v>
      </c>
      <c r="J60" t="s">
        <v>531</v>
      </c>
      <c r="K60" t="s">
        <v>532</v>
      </c>
      <c r="L60">
        <v>1383</v>
      </c>
      <c r="N60">
        <v>1013</v>
      </c>
      <c r="O60" t="s">
        <v>533</v>
      </c>
      <c r="P60" t="s">
        <v>533</v>
      </c>
      <c r="Q60">
        <v>1</v>
      </c>
      <c r="W60">
        <v>0</v>
      </c>
      <c r="X60">
        <v>1840299850</v>
      </c>
      <c r="Y60">
        <f t="shared" si="12"/>
        <v>6.8760000000000003</v>
      </c>
      <c r="AA60">
        <v>6.92</v>
      </c>
      <c r="AB60">
        <v>0</v>
      </c>
      <c r="AC60">
        <v>0</v>
      </c>
      <c r="AD60">
        <v>0</v>
      </c>
      <c r="AE60">
        <v>6.92</v>
      </c>
      <c r="AF60">
        <v>0</v>
      </c>
      <c r="AG60">
        <v>0</v>
      </c>
      <c r="AH60">
        <v>0</v>
      </c>
      <c r="AI60">
        <v>1</v>
      </c>
      <c r="AJ60">
        <v>1</v>
      </c>
      <c r="AK60">
        <v>1</v>
      </c>
      <c r="AL60">
        <v>1</v>
      </c>
      <c r="AM60">
        <v>-2</v>
      </c>
      <c r="AN60">
        <v>0</v>
      </c>
      <c r="AO60">
        <v>0</v>
      </c>
      <c r="AP60">
        <v>1</v>
      </c>
      <c r="AQ60">
        <v>1</v>
      </c>
      <c r="AR60">
        <v>0</v>
      </c>
      <c r="AS60" t="s">
        <v>3</v>
      </c>
      <c r="AT60">
        <v>6.8760000000000003</v>
      </c>
      <c r="AU60" t="s">
        <v>3</v>
      </c>
      <c r="AV60">
        <v>0</v>
      </c>
      <c r="AW60">
        <v>2</v>
      </c>
      <c r="AX60">
        <v>89965303</v>
      </c>
      <c r="AY60">
        <v>2</v>
      </c>
      <c r="AZ60">
        <v>16384</v>
      </c>
      <c r="BA60">
        <v>60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47.581920000000004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1</v>
      </c>
      <c r="BQ60">
        <v>47.581920000000004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1</v>
      </c>
      <c r="CV60">
        <v>0</v>
      </c>
      <c r="CW60">
        <v>0</v>
      </c>
      <c r="CX60">
        <f>ROUND(Y60*Source!I43,7)</f>
        <v>0.24066000000000001</v>
      </c>
      <c r="CY60">
        <f>AA60</f>
        <v>6.92</v>
      </c>
      <c r="CZ60">
        <f>AE60</f>
        <v>6.92</v>
      </c>
      <c r="DA60">
        <f>AI60</f>
        <v>1</v>
      </c>
      <c r="DB60">
        <f t="shared" si="13"/>
        <v>47.58</v>
      </c>
      <c r="DC60">
        <f t="shared" si="14"/>
        <v>0</v>
      </c>
      <c r="DD60" t="s">
        <v>3</v>
      </c>
      <c r="DE60" t="s">
        <v>3</v>
      </c>
      <c r="DF60">
        <f>ROUND(ROUND(AE60,2)*CX60,2)</f>
        <v>1.67</v>
      </c>
      <c r="DG60">
        <f t="shared" si="22"/>
        <v>0</v>
      </c>
      <c r="DH60">
        <f t="shared" si="4"/>
        <v>0</v>
      </c>
      <c r="DI60">
        <f t="shared" si="5"/>
        <v>0</v>
      </c>
      <c r="DJ60">
        <f>DF60</f>
        <v>1.67</v>
      </c>
      <c r="DK60">
        <v>1</v>
      </c>
      <c r="DL60" t="s">
        <v>3</v>
      </c>
      <c r="DM60">
        <v>0</v>
      </c>
      <c r="DN60" t="s">
        <v>3</v>
      </c>
      <c r="DO60">
        <v>0</v>
      </c>
    </row>
    <row r="61" spans="1:119" x14ac:dyDescent="0.2">
      <c r="A61">
        <f>ROW(Source!A43)</f>
        <v>43</v>
      </c>
      <c r="B61">
        <v>94104265</v>
      </c>
      <c r="C61">
        <v>89965301</v>
      </c>
      <c r="D61">
        <v>87305971</v>
      </c>
      <c r="E61">
        <v>1</v>
      </c>
      <c r="F61">
        <v>1</v>
      </c>
      <c r="G61">
        <v>1</v>
      </c>
      <c r="H61">
        <v>3</v>
      </c>
      <c r="I61" t="s">
        <v>534</v>
      </c>
      <c r="J61" t="s">
        <v>535</v>
      </c>
      <c r="K61" t="s">
        <v>536</v>
      </c>
      <c r="L61">
        <v>1425</v>
      </c>
      <c r="N61">
        <v>1013</v>
      </c>
      <c r="O61" t="s">
        <v>537</v>
      </c>
      <c r="P61" t="s">
        <v>537</v>
      </c>
      <c r="Q61">
        <v>1</v>
      </c>
      <c r="W61">
        <v>0</v>
      </c>
      <c r="X61">
        <v>-57904496</v>
      </c>
      <c r="Y61">
        <f t="shared" si="12"/>
        <v>6.7</v>
      </c>
      <c r="AA61">
        <v>116.41</v>
      </c>
      <c r="AB61">
        <v>0</v>
      </c>
      <c r="AC61">
        <v>0</v>
      </c>
      <c r="AD61">
        <v>0</v>
      </c>
      <c r="AE61">
        <v>88.86</v>
      </c>
      <c r="AF61">
        <v>0</v>
      </c>
      <c r="AG61">
        <v>0</v>
      </c>
      <c r="AH61">
        <v>0</v>
      </c>
      <c r="AI61">
        <v>1.31</v>
      </c>
      <c r="AJ61">
        <v>1</v>
      </c>
      <c r="AK61">
        <v>1</v>
      </c>
      <c r="AL61">
        <v>1</v>
      </c>
      <c r="AM61">
        <v>2</v>
      </c>
      <c r="AN61">
        <v>0</v>
      </c>
      <c r="AO61">
        <v>0</v>
      </c>
      <c r="AP61">
        <v>1</v>
      </c>
      <c r="AQ61">
        <v>1</v>
      </c>
      <c r="AR61">
        <v>0</v>
      </c>
      <c r="AS61" t="s">
        <v>3</v>
      </c>
      <c r="AT61">
        <v>6.7</v>
      </c>
      <c r="AU61" t="s">
        <v>3</v>
      </c>
      <c r="AV61">
        <v>0</v>
      </c>
      <c r="AW61">
        <v>2</v>
      </c>
      <c r="AX61">
        <v>89965304</v>
      </c>
      <c r="AY61">
        <v>1</v>
      </c>
      <c r="AZ61">
        <v>0</v>
      </c>
      <c r="BA61">
        <v>61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595.36199999999997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</v>
      </c>
      <c r="BQ61">
        <v>595.36199999999997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1</v>
      </c>
      <c r="CV61">
        <v>0</v>
      </c>
      <c r="CW61">
        <v>0</v>
      </c>
      <c r="CX61">
        <f>ROUND(Y61*Source!I43,7)</f>
        <v>0.23449999999999999</v>
      </c>
      <c r="CY61">
        <f>AA61</f>
        <v>116.41</v>
      </c>
      <c r="CZ61">
        <f>AE61</f>
        <v>88.86</v>
      </c>
      <c r="DA61">
        <f>AI61</f>
        <v>1.31</v>
      </c>
      <c r="DB61">
        <f t="shared" si="13"/>
        <v>595.36</v>
      </c>
      <c r="DC61">
        <f t="shared" si="14"/>
        <v>0</v>
      </c>
      <c r="DD61" t="s">
        <v>3</v>
      </c>
      <c r="DE61" t="s">
        <v>3</v>
      </c>
      <c r="DF61">
        <f>ROUND(ROUND(AE61*AI61,2)*CX61,2)</f>
        <v>27.3</v>
      </c>
      <c r="DG61">
        <f t="shared" si="22"/>
        <v>0</v>
      </c>
      <c r="DH61">
        <f t="shared" si="4"/>
        <v>0</v>
      </c>
      <c r="DI61">
        <f t="shared" si="5"/>
        <v>0</v>
      </c>
      <c r="DJ61">
        <f>DF61</f>
        <v>27.3</v>
      </c>
      <c r="DK61">
        <v>0</v>
      </c>
      <c r="DL61" t="s">
        <v>3</v>
      </c>
      <c r="DM61">
        <v>0</v>
      </c>
      <c r="DN61" t="s">
        <v>3</v>
      </c>
      <c r="DO61">
        <v>0</v>
      </c>
    </row>
    <row r="62" spans="1:119" x14ac:dyDescent="0.2">
      <c r="A62">
        <f>ROW(Source!A43)</f>
        <v>43</v>
      </c>
      <c r="B62">
        <v>94104265</v>
      </c>
      <c r="C62">
        <v>89965301</v>
      </c>
      <c r="D62">
        <v>87313524</v>
      </c>
      <c r="E62">
        <v>1</v>
      </c>
      <c r="F62">
        <v>1</v>
      </c>
      <c r="G62">
        <v>1</v>
      </c>
      <c r="H62">
        <v>3</v>
      </c>
      <c r="I62" t="s">
        <v>104</v>
      </c>
      <c r="J62" t="s">
        <v>107</v>
      </c>
      <c r="K62" t="s">
        <v>105</v>
      </c>
      <c r="L62">
        <v>1301</v>
      </c>
      <c r="N62">
        <v>1003</v>
      </c>
      <c r="O62" t="s">
        <v>106</v>
      </c>
      <c r="P62" t="s">
        <v>106</v>
      </c>
      <c r="Q62">
        <v>1</v>
      </c>
      <c r="W62">
        <v>0</v>
      </c>
      <c r="X62">
        <v>1688473548</v>
      </c>
      <c r="Y62">
        <f t="shared" si="12"/>
        <v>105</v>
      </c>
      <c r="AA62">
        <v>471</v>
      </c>
      <c r="AB62">
        <v>0</v>
      </c>
      <c r="AC62">
        <v>0</v>
      </c>
      <c r="AD62">
        <v>0</v>
      </c>
      <c r="AE62">
        <v>290.74</v>
      </c>
      <c r="AF62">
        <v>0</v>
      </c>
      <c r="AG62">
        <v>0</v>
      </c>
      <c r="AH62">
        <v>0</v>
      </c>
      <c r="AI62">
        <v>1.62</v>
      </c>
      <c r="AJ62">
        <v>1</v>
      </c>
      <c r="AK62">
        <v>1</v>
      </c>
      <c r="AL62">
        <v>1</v>
      </c>
      <c r="AM62">
        <v>2</v>
      </c>
      <c r="AN62">
        <v>0</v>
      </c>
      <c r="AO62">
        <v>0</v>
      </c>
      <c r="AP62">
        <v>0</v>
      </c>
      <c r="AQ62">
        <v>0</v>
      </c>
      <c r="AR62">
        <v>0</v>
      </c>
      <c r="AS62" t="s">
        <v>3</v>
      </c>
      <c r="AT62">
        <v>105</v>
      </c>
      <c r="AU62" t="s">
        <v>3</v>
      </c>
      <c r="AV62">
        <v>0</v>
      </c>
      <c r="AW62">
        <v>1</v>
      </c>
      <c r="AX62">
        <v>-1</v>
      </c>
      <c r="AY62">
        <v>0</v>
      </c>
      <c r="AZ62">
        <v>0</v>
      </c>
      <c r="BA62" t="s">
        <v>3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CV62">
        <v>0</v>
      </c>
      <c r="CW62">
        <v>0</v>
      </c>
      <c r="CX62">
        <f>ROUND(Y62*Source!I43,7)</f>
        <v>3.6749999999999998</v>
      </c>
      <c r="CY62">
        <f>AA62</f>
        <v>471</v>
      </c>
      <c r="CZ62">
        <f>AE62</f>
        <v>290.74</v>
      </c>
      <c r="DA62">
        <f>AI62</f>
        <v>1.62</v>
      </c>
      <c r="DB62">
        <f t="shared" si="13"/>
        <v>30527.7</v>
      </c>
      <c r="DC62">
        <f t="shared" si="14"/>
        <v>0</v>
      </c>
      <c r="DD62" t="s">
        <v>3</v>
      </c>
      <c r="DE62" t="s">
        <v>3</v>
      </c>
      <c r="DF62">
        <f>ROUND(ROUND(AE62*AI62,2)*CX62,2)</f>
        <v>1730.93</v>
      </c>
      <c r="DG62">
        <f t="shared" si="22"/>
        <v>0</v>
      </c>
      <c r="DH62">
        <f t="shared" si="4"/>
        <v>0</v>
      </c>
      <c r="DI62">
        <f t="shared" si="5"/>
        <v>0</v>
      </c>
      <c r="DJ62">
        <f>DF62</f>
        <v>1730.93</v>
      </c>
      <c r="DK62">
        <v>0</v>
      </c>
      <c r="DL62" t="s">
        <v>3</v>
      </c>
      <c r="DM62">
        <v>0</v>
      </c>
      <c r="DN62" t="s">
        <v>3</v>
      </c>
      <c r="DO62">
        <v>0</v>
      </c>
    </row>
    <row r="63" spans="1:119" x14ac:dyDescent="0.2">
      <c r="A63">
        <f>ROW(Source!A45)</f>
        <v>45</v>
      </c>
      <c r="B63">
        <v>94104265</v>
      </c>
      <c r="C63">
        <v>89966359</v>
      </c>
      <c r="D63">
        <v>37070495</v>
      </c>
      <c r="E63">
        <v>117</v>
      </c>
      <c r="F63">
        <v>1</v>
      </c>
      <c r="G63">
        <v>1</v>
      </c>
      <c r="H63">
        <v>1</v>
      </c>
      <c r="I63" t="s">
        <v>522</v>
      </c>
      <c r="J63" t="s">
        <v>3</v>
      </c>
      <c r="K63" t="s">
        <v>523</v>
      </c>
      <c r="L63">
        <v>1191</v>
      </c>
      <c r="N63">
        <v>1013</v>
      </c>
      <c r="O63" t="s">
        <v>428</v>
      </c>
      <c r="P63" t="s">
        <v>428</v>
      </c>
      <c r="Q63">
        <v>1</v>
      </c>
      <c r="W63">
        <v>0</v>
      </c>
      <c r="X63">
        <v>1958912953</v>
      </c>
      <c r="Y63">
        <f t="shared" si="12"/>
        <v>171.2</v>
      </c>
      <c r="AA63">
        <v>0</v>
      </c>
      <c r="AB63">
        <v>0</v>
      </c>
      <c r="AC63">
        <v>0</v>
      </c>
      <c r="AD63">
        <v>657.38</v>
      </c>
      <c r="AE63">
        <v>0</v>
      </c>
      <c r="AF63">
        <v>0</v>
      </c>
      <c r="AG63">
        <v>0</v>
      </c>
      <c r="AH63">
        <v>657.38</v>
      </c>
      <c r="AI63">
        <v>1</v>
      </c>
      <c r="AJ63">
        <v>1</v>
      </c>
      <c r="AK63">
        <v>1</v>
      </c>
      <c r="AL63">
        <v>1</v>
      </c>
      <c r="AM63">
        <v>-2</v>
      </c>
      <c r="AN63">
        <v>0</v>
      </c>
      <c r="AO63">
        <v>0</v>
      </c>
      <c r="AP63">
        <v>0</v>
      </c>
      <c r="AQ63">
        <v>1</v>
      </c>
      <c r="AR63">
        <v>0</v>
      </c>
      <c r="AS63" t="s">
        <v>3</v>
      </c>
      <c r="AT63">
        <v>171.2</v>
      </c>
      <c r="AU63" t="s">
        <v>3</v>
      </c>
      <c r="AV63">
        <v>1</v>
      </c>
      <c r="AW63">
        <v>2</v>
      </c>
      <c r="AX63">
        <v>89966367</v>
      </c>
      <c r="AY63">
        <v>1</v>
      </c>
      <c r="AZ63">
        <v>0</v>
      </c>
      <c r="BA63">
        <v>63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112543.45599999999</v>
      </c>
      <c r="BN63">
        <v>171.2</v>
      </c>
      <c r="BO63">
        <v>0</v>
      </c>
      <c r="BP63">
        <v>1</v>
      </c>
      <c r="BQ63">
        <v>0</v>
      </c>
      <c r="BR63">
        <v>0</v>
      </c>
      <c r="BS63">
        <v>0</v>
      </c>
      <c r="BT63">
        <v>112543.45599999999</v>
      </c>
      <c r="BU63">
        <v>171.2</v>
      </c>
      <c r="BV63">
        <v>0</v>
      </c>
      <c r="BW63">
        <v>1</v>
      </c>
      <c r="CU63">
        <f>ROUND(AT63*Source!I45*AH63*AL63,2)</f>
        <v>10241.450000000001</v>
      </c>
      <c r="CV63">
        <f>ROUND(Y63*Source!I45,7)</f>
        <v>15.5792</v>
      </c>
      <c r="CW63">
        <v>0</v>
      </c>
      <c r="CX63">
        <f>ROUND(Y63*Source!I45,7)</f>
        <v>15.5792</v>
      </c>
      <c r="CY63">
        <f>AD63</f>
        <v>657.38</v>
      </c>
      <c r="CZ63">
        <f>AH63</f>
        <v>657.38</v>
      </c>
      <c r="DA63">
        <f>AL63</f>
        <v>1</v>
      </c>
      <c r="DB63">
        <f t="shared" si="13"/>
        <v>112543.46</v>
      </c>
      <c r="DC63">
        <f t="shared" si="14"/>
        <v>0</v>
      </c>
      <c r="DD63" t="s">
        <v>3</v>
      </c>
      <c r="DE63" t="s">
        <v>3</v>
      </c>
      <c r="DF63">
        <f>ROUND(ROUND(AE63,2)*CX63,2)</f>
        <v>0</v>
      </c>
      <c r="DG63">
        <f t="shared" si="22"/>
        <v>0</v>
      </c>
      <c r="DH63">
        <f t="shared" si="4"/>
        <v>0</v>
      </c>
      <c r="DI63">
        <f t="shared" si="5"/>
        <v>10241.450000000001</v>
      </c>
      <c r="DJ63">
        <f>DI63</f>
        <v>10241.450000000001</v>
      </c>
      <c r="DK63">
        <v>0</v>
      </c>
      <c r="DL63" t="s">
        <v>3</v>
      </c>
      <c r="DM63">
        <v>0</v>
      </c>
      <c r="DN63" t="s">
        <v>3</v>
      </c>
      <c r="DO63">
        <v>0</v>
      </c>
    </row>
    <row r="64" spans="1:119" x14ac:dyDescent="0.2">
      <c r="A64">
        <f>ROW(Source!A45)</f>
        <v>45</v>
      </c>
      <c r="B64">
        <v>94104265</v>
      </c>
      <c r="C64">
        <v>89966359</v>
      </c>
      <c r="D64">
        <v>37064876</v>
      </c>
      <c r="E64">
        <v>117</v>
      </c>
      <c r="F64">
        <v>1</v>
      </c>
      <c r="G64">
        <v>1</v>
      </c>
      <c r="H64">
        <v>1</v>
      </c>
      <c r="I64" t="s">
        <v>429</v>
      </c>
      <c r="J64" t="s">
        <v>3</v>
      </c>
      <c r="K64" t="s">
        <v>430</v>
      </c>
      <c r="L64">
        <v>1191</v>
      </c>
      <c r="N64">
        <v>1013</v>
      </c>
      <c r="O64" t="s">
        <v>428</v>
      </c>
      <c r="P64" t="s">
        <v>428</v>
      </c>
      <c r="Q64">
        <v>1</v>
      </c>
      <c r="W64">
        <v>0</v>
      </c>
      <c r="X64">
        <v>-1417349443</v>
      </c>
      <c r="Y64">
        <f t="shared" si="12"/>
        <v>1.32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</v>
      </c>
      <c r="AJ64">
        <v>1</v>
      </c>
      <c r="AK64">
        <v>1</v>
      </c>
      <c r="AL64">
        <v>1</v>
      </c>
      <c r="AM64">
        <v>-2</v>
      </c>
      <c r="AN64">
        <v>0</v>
      </c>
      <c r="AO64">
        <v>0</v>
      </c>
      <c r="AP64">
        <v>0</v>
      </c>
      <c r="AQ64">
        <v>1</v>
      </c>
      <c r="AR64">
        <v>0</v>
      </c>
      <c r="AS64" t="s">
        <v>3</v>
      </c>
      <c r="AT64">
        <v>1.32</v>
      </c>
      <c r="AU64" t="s">
        <v>3</v>
      </c>
      <c r="AV64">
        <v>2</v>
      </c>
      <c r="AW64">
        <v>2</v>
      </c>
      <c r="AX64">
        <v>89966368</v>
      </c>
      <c r="AY64">
        <v>1</v>
      </c>
      <c r="AZ64">
        <v>0</v>
      </c>
      <c r="BA64">
        <v>64</v>
      </c>
      <c r="BB64">
        <v>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CV64">
        <v>0</v>
      </c>
      <c r="CW64">
        <v>0</v>
      </c>
      <c r="CX64">
        <f>ROUND(Y64*Source!I45,7)</f>
        <v>0.12012</v>
      </c>
      <c r="CY64">
        <f>AD64</f>
        <v>0</v>
      </c>
      <c r="CZ64">
        <f>AH64</f>
        <v>0</v>
      </c>
      <c r="DA64">
        <f>AL64</f>
        <v>1</v>
      </c>
      <c r="DB64">
        <f t="shared" si="13"/>
        <v>0</v>
      </c>
      <c r="DC64">
        <f t="shared" si="14"/>
        <v>0</v>
      </c>
      <c r="DD64" t="s">
        <v>3</v>
      </c>
      <c r="DE64" t="s">
        <v>3</v>
      </c>
      <c r="DF64">
        <f>ROUND(ROUND(AE64,2)*CX64,2)</f>
        <v>0</v>
      </c>
      <c r="DG64">
        <f t="shared" si="22"/>
        <v>0</v>
      </c>
      <c r="DH64">
        <f t="shared" si="4"/>
        <v>0</v>
      </c>
      <c r="DI64">
        <f t="shared" si="5"/>
        <v>0</v>
      </c>
      <c r="DJ64">
        <f>DI64</f>
        <v>0</v>
      </c>
      <c r="DK64">
        <v>0</v>
      </c>
      <c r="DL64" t="s">
        <v>3</v>
      </c>
      <c r="DM64">
        <v>0</v>
      </c>
      <c r="DN64" t="s">
        <v>3</v>
      </c>
      <c r="DO64">
        <v>0</v>
      </c>
    </row>
    <row r="65" spans="1:119" x14ac:dyDescent="0.2">
      <c r="A65">
        <f>ROW(Source!A45)</f>
        <v>45</v>
      </c>
      <c r="B65">
        <v>94104265</v>
      </c>
      <c r="C65">
        <v>89966359</v>
      </c>
      <c r="D65">
        <v>87236577</v>
      </c>
      <c r="E65">
        <v>1</v>
      </c>
      <c r="F65">
        <v>1</v>
      </c>
      <c r="G65">
        <v>1</v>
      </c>
      <c r="H65">
        <v>2</v>
      </c>
      <c r="I65" t="s">
        <v>538</v>
      </c>
      <c r="J65" t="s">
        <v>539</v>
      </c>
      <c r="K65" t="s">
        <v>540</v>
      </c>
      <c r="L65">
        <v>1368</v>
      </c>
      <c r="N65">
        <v>1011</v>
      </c>
      <c r="O65" t="s">
        <v>434</v>
      </c>
      <c r="P65" t="s">
        <v>434</v>
      </c>
      <c r="Q65">
        <v>1</v>
      </c>
      <c r="W65">
        <v>0</v>
      </c>
      <c r="X65">
        <v>453228636</v>
      </c>
      <c r="Y65">
        <f t="shared" ref="Y65:Y96" si="27">AT65</f>
        <v>0.71</v>
      </c>
      <c r="AA65">
        <v>0</v>
      </c>
      <c r="AB65">
        <v>9.93</v>
      </c>
      <c r="AC65">
        <v>0</v>
      </c>
      <c r="AD65">
        <v>0</v>
      </c>
      <c r="AE65">
        <v>0</v>
      </c>
      <c r="AF65">
        <v>6.62</v>
      </c>
      <c r="AG65">
        <v>0</v>
      </c>
      <c r="AH65">
        <v>0</v>
      </c>
      <c r="AI65">
        <v>1</v>
      </c>
      <c r="AJ65">
        <v>1.5</v>
      </c>
      <c r="AK65">
        <v>1</v>
      </c>
      <c r="AL65">
        <v>1</v>
      </c>
      <c r="AM65">
        <v>2</v>
      </c>
      <c r="AN65">
        <v>0</v>
      </c>
      <c r="AO65">
        <v>0</v>
      </c>
      <c r="AP65">
        <v>0</v>
      </c>
      <c r="AQ65">
        <v>1</v>
      </c>
      <c r="AR65">
        <v>0</v>
      </c>
      <c r="AS65" t="s">
        <v>3</v>
      </c>
      <c r="AT65">
        <v>0.71</v>
      </c>
      <c r="AU65" t="s">
        <v>3</v>
      </c>
      <c r="AV65">
        <v>1</v>
      </c>
      <c r="AW65">
        <v>2</v>
      </c>
      <c r="AX65">
        <v>89966369</v>
      </c>
      <c r="AY65">
        <v>1</v>
      </c>
      <c r="AZ65">
        <v>0</v>
      </c>
      <c r="BA65">
        <v>65</v>
      </c>
      <c r="BB65">
        <v>1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4.7001999999999997</v>
      </c>
      <c r="BL65">
        <v>0</v>
      </c>
      <c r="BM65">
        <v>0</v>
      </c>
      <c r="BN65">
        <v>0</v>
      </c>
      <c r="BO65">
        <v>0</v>
      </c>
      <c r="BP65">
        <v>1</v>
      </c>
      <c r="BQ65">
        <v>0</v>
      </c>
      <c r="BR65">
        <v>4.7001999999999997</v>
      </c>
      <c r="BS65">
        <v>0</v>
      </c>
      <c r="BT65">
        <v>0</v>
      </c>
      <c r="BU65">
        <v>0</v>
      </c>
      <c r="BV65">
        <v>0</v>
      </c>
      <c r="BW65">
        <v>1</v>
      </c>
      <c r="CV65">
        <v>0</v>
      </c>
      <c r="CW65">
        <f>ROUND(Y65*Source!I45*DO65,7)</f>
        <v>0</v>
      </c>
      <c r="CX65">
        <f>ROUND(Y65*Source!I45,7)</f>
        <v>6.4610000000000001E-2</v>
      </c>
      <c r="CY65">
        <f>AB65</f>
        <v>9.93</v>
      </c>
      <c r="CZ65">
        <f>AF65</f>
        <v>6.62</v>
      </c>
      <c r="DA65">
        <f>AJ65</f>
        <v>1.5</v>
      </c>
      <c r="DB65">
        <f t="shared" ref="DB65:DB96" si="28">ROUND(ROUND(AT65*CZ65,2),6)</f>
        <v>4.7</v>
      </c>
      <c r="DC65">
        <f t="shared" ref="DC65:DC96" si="29">ROUND(ROUND(AT65*AG65,2),6)</f>
        <v>0</v>
      </c>
      <c r="DD65" t="s">
        <v>3</v>
      </c>
      <c r="DE65" t="s">
        <v>3</v>
      </c>
      <c r="DF65">
        <f>ROUND(ROUND(AE65,2)*CX65,2)</f>
        <v>0</v>
      </c>
      <c r="DG65">
        <f>ROUND(ROUND(AF65*AJ65,2)*CX65,2)</f>
        <v>0.64</v>
      </c>
      <c r="DH65">
        <f t="shared" ref="DH65:DH128" si="30">ROUND(ROUND(AG65,2)*CX65,2)</f>
        <v>0</v>
      </c>
      <c r="DI65">
        <f t="shared" ref="DI65:DI128" si="31">ROUND(ROUND(AH65,2)*CX65,2)</f>
        <v>0</v>
      </c>
      <c r="DJ65">
        <f>DG65+DH65</f>
        <v>0.64</v>
      </c>
      <c r="DK65">
        <v>0</v>
      </c>
      <c r="DL65" t="s">
        <v>3</v>
      </c>
      <c r="DM65">
        <v>0</v>
      </c>
      <c r="DN65" t="s">
        <v>3</v>
      </c>
      <c r="DO65">
        <v>0</v>
      </c>
    </row>
    <row r="66" spans="1:119" x14ac:dyDescent="0.2">
      <c r="A66">
        <f>ROW(Source!A45)</f>
        <v>45</v>
      </c>
      <c r="B66">
        <v>94104265</v>
      </c>
      <c r="C66">
        <v>89966359</v>
      </c>
      <c r="D66">
        <v>87236608</v>
      </c>
      <c r="E66">
        <v>1</v>
      </c>
      <c r="F66">
        <v>1</v>
      </c>
      <c r="G66">
        <v>1</v>
      </c>
      <c r="H66">
        <v>2</v>
      </c>
      <c r="I66" t="s">
        <v>541</v>
      </c>
      <c r="J66" t="s">
        <v>542</v>
      </c>
      <c r="K66" t="s">
        <v>543</v>
      </c>
      <c r="L66">
        <v>1368</v>
      </c>
      <c r="N66">
        <v>1011</v>
      </c>
      <c r="O66" t="s">
        <v>434</v>
      </c>
      <c r="P66" t="s">
        <v>434</v>
      </c>
      <c r="Q66">
        <v>1</v>
      </c>
      <c r="W66">
        <v>0</v>
      </c>
      <c r="X66">
        <v>-996617845</v>
      </c>
      <c r="Y66">
        <f t="shared" si="27"/>
        <v>1.32</v>
      </c>
      <c r="AA66">
        <v>0</v>
      </c>
      <c r="AB66">
        <v>603.94000000000005</v>
      </c>
      <c r="AC66">
        <v>731.08</v>
      </c>
      <c r="AD66">
        <v>0</v>
      </c>
      <c r="AE66">
        <v>0</v>
      </c>
      <c r="AF66">
        <v>603.94000000000005</v>
      </c>
      <c r="AG66">
        <v>731.08</v>
      </c>
      <c r="AH66">
        <v>0</v>
      </c>
      <c r="AI66">
        <v>1</v>
      </c>
      <c r="AJ66">
        <v>1</v>
      </c>
      <c r="AK66">
        <v>1</v>
      </c>
      <c r="AL66">
        <v>1</v>
      </c>
      <c r="AM66">
        <v>-2</v>
      </c>
      <c r="AN66">
        <v>0</v>
      </c>
      <c r="AO66">
        <v>0</v>
      </c>
      <c r="AP66">
        <v>0</v>
      </c>
      <c r="AQ66">
        <v>1</v>
      </c>
      <c r="AR66">
        <v>0</v>
      </c>
      <c r="AS66" t="s">
        <v>3</v>
      </c>
      <c r="AT66">
        <v>1.32</v>
      </c>
      <c r="AU66" t="s">
        <v>3</v>
      </c>
      <c r="AV66">
        <v>1</v>
      </c>
      <c r="AW66">
        <v>2</v>
      </c>
      <c r="AX66">
        <v>89966370</v>
      </c>
      <c r="AY66">
        <v>2</v>
      </c>
      <c r="AZ66">
        <v>98304</v>
      </c>
      <c r="BA66">
        <v>66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797.20080000000007</v>
      </c>
      <c r="BL66">
        <v>965.02560000000005</v>
      </c>
      <c r="BM66">
        <v>0</v>
      </c>
      <c r="BN66">
        <v>0</v>
      </c>
      <c r="BO66">
        <v>1.32</v>
      </c>
      <c r="BP66">
        <v>1</v>
      </c>
      <c r="BQ66">
        <v>0</v>
      </c>
      <c r="BR66">
        <v>797.20080000000007</v>
      </c>
      <c r="BS66">
        <v>965.02560000000005</v>
      </c>
      <c r="BT66">
        <v>0</v>
      </c>
      <c r="BU66">
        <v>0</v>
      </c>
      <c r="BV66">
        <v>1.32</v>
      </c>
      <c r="BW66">
        <v>1</v>
      </c>
      <c r="CV66">
        <v>0</v>
      </c>
      <c r="CW66">
        <f>ROUND(Y66*Source!I45*DO66,7)</f>
        <v>0.12012</v>
      </c>
      <c r="CX66">
        <f>ROUND(Y66*Source!I45,7)</f>
        <v>0.12012</v>
      </c>
      <c r="CY66">
        <f>AB66</f>
        <v>603.94000000000005</v>
      </c>
      <c r="CZ66">
        <f>AF66</f>
        <v>603.94000000000005</v>
      </c>
      <c r="DA66">
        <f>AJ66</f>
        <v>1</v>
      </c>
      <c r="DB66">
        <f t="shared" si="28"/>
        <v>797.2</v>
      </c>
      <c r="DC66">
        <f t="shared" si="29"/>
        <v>965.03</v>
      </c>
      <c r="DD66" t="s">
        <v>3</v>
      </c>
      <c r="DE66" t="s">
        <v>3</v>
      </c>
      <c r="DF66">
        <f>ROUND(ROUND(AE66,2)*CX66,2)</f>
        <v>0</v>
      </c>
      <c r="DG66">
        <f t="shared" ref="DG66:DG71" si="32">ROUND(ROUND(AF66,2)*CX66,2)</f>
        <v>72.55</v>
      </c>
      <c r="DH66">
        <f t="shared" si="30"/>
        <v>87.82</v>
      </c>
      <c r="DI66">
        <f t="shared" si="31"/>
        <v>0</v>
      </c>
      <c r="DJ66">
        <f>DG66+DH66</f>
        <v>160.37</v>
      </c>
      <c r="DK66">
        <v>1</v>
      </c>
      <c r="DL66" t="s">
        <v>466</v>
      </c>
      <c r="DM66">
        <v>4</v>
      </c>
      <c r="DN66" t="s">
        <v>428</v>
      </c>
      <c r="DO66">
        <v>1</v>
      </c>
    </row>
    <row r="67" spans="1:119" x14ac:dyDescent="0.2">
      <c r="A67">
        <f>ROW(Source!A45)</f>
        <v>45</v>
      </c>
      <c r="B67">
        <v>94104265</v>
      </c>
      <c r="C67">
        <v>89966359</v>
      </c>
      <c r="D67">
        <v>87304091</v>
      </c>
      <c r="E67">
        <v>1</v>
      </c>
      <c r="F67">
        <v>1</v>
      </c>
      <c r="G67">
        <v>1</v>
      </c>
      <c r="H67">
        <v>3</v>
      </c>
      <c r="I67" t="s">
        <v>467</v>
      </c>
      <c r="J67" t="s">
        <v>468</v>
      </c>
      <c r="K67" t="s">
        <v>469</v>
      </c>
      <c r="L67">
        <v>1339</v>
      </c>
      <c r="N67">
        <v>1007</v>
      </c>
      <c r="O67" t="s">
        <v>34</v>
      </c>
      <c r="P67" t="s">
        <v>34</v>
      </c>
      <c r="Q67">
        <v>1</v>
      </c>
      <c r="W67">
        <v>0</v>
      </c>
      <c r="X67">
        <v>1964556667</v>
      </c>
      <c r="Y67">
        <f t="shared" si="27"/>
        <v>0.35</v>
      </c>
      <c r="AA67">
        <v>54.64</v>
      </c>
      <c r="AB67">
        <v>0</v>
      </c>
      <c r="AC67">
        <v>0</v>
      </c>
      <c r="AD67">
        <v>0</v>
      </c>
      <c r="AE67">
        <v>35.71</v>
      </c>
      <c r="AF67">
        <v>0</v>
      </c>
      <c r="AG67">
        <v>0</v>
      </c>
      <c r="AH67">
        <v>0</v>
      </c>
      <c r="AI67">
        <v>1.53</v>
      </c>
      <c r="AJ67">
        <v>1</v>
      </c>
      <c r="AK67">
        <v>1</v>
      </c>
      <c r="AL67">
        <v>1</v>
      </c>
      <c r="AM67">
        <v>2</v>
      </c>
      <c r="AN67">
        <v>0</v>
      </c>
      <c r="AO67">
        <v>0</v>
      </c>
      <c r="AP67">
        <v>0</v>
      </c>
      <c r="AQ67">
        <v>1</v>
      </c>
      <c r="AR67">
        <v>0</v>
      </c>
      <c r="AS67" t="s">
        <v>3</v>
      </c>
      <c r="AT67">
        <v>0.35</v>
      </c>
      <c r="AU67" t="s">
        <v>3</v>
      </c>
      <c r="AV67">
        <v>0</v>
      </c>
      <c r="AW67">
        <v>2</v>
      </c>
      <c r="AX67">
        <v>89966371</v>
      </c>
      <c r="AY67">
        <v>1</v>
      </c>
      <c r="AZ67">
        <v>0</v>
      </c>
      <c r="BA67">
        <v>67</v>
      </c>
      <c r="BB67">
        <v>1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12.4985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1</v>
      </c>
      <c r="BQ67">
        <v>12.4985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1</v>
      </c>
      <c r="CV67">
        <v>0</v>
      </c>
      <c r="CW67">
        <v>0</v>
      </c>
      <c r="CX67">
        <f>ROUND(Y67*Source!I45,7)</f>
        <v>3.1850000000000003E-2</v>
      </c>
      <c r="CY67">
        <f>AA67</f>
        <v>54.64</v>
      </c>
      <c r="CZ67">
        <f>AE67</f>
        <v>35.71</v>
      </c>
      <c r="DA67">
        <f>AI67</f>
        <v>1.53</v>
      </c>
      <c r="DB67">
        <f t="shared" si="28"/>
        <v>12.5</v>
      </c>
      <c r="DC67">
        <f t="shared" si="29"/>
        <v>0</v>
      </c>
      <c r="DD67" t="s">
        <v>3</v>
      </c>
      <c r="DE67" t="s">
        <v>3</v>
      </c>
      <c r="DF67">
        <f>ROUND(ROUND(AE67*AI67,2)*CX67,2)</f>
        <v>1.74</v>
      </c>
      <c r="DG67">
        <f t="shared" si="32"/>
        <v>0</v>
      </c>
      <c r="DH67">
        <f t="shared" si="30"/>
        <v>0</v>
      </c>
      <c r="DI67">
        <f t="shared" si="31"/>
        <v>0</v>
      </c>
      <c r="DJ67">
        <f>DF67</f>
        <v>1.74</v>
      </c>
      <c r="DK67">
        <v>0</v>
      </c>
      <c r="DL67" t="s">
        <v>3</v>
      </c>
      <c r="DM67">
        <v>0</v>
      </c>
      <c r="DN67" t="s">
        <v>3</v>
      </c>
      <c r="DO67">
        <v>0</v>
      </c>
    </row>
    <row r="68" spans="1:119" x14ac:dyDescent="0.2">
      <c r="A68">
        <f>ROW(Source!A45)</f>
        <v>45</v>
      </c>
      <c r="B68">
        <v>94104265</v>
      </c>
      <c r="C68">
        <v>89966359</v>
      </c>
      <c r="D68">
        <v>87308053</v>
      </c>
      <c r="E68">
        <v>1</v>
      </c>
      <c r="F68">
        <v>1</v>
      </c>
      <c r="G68">
        <v>1</v>
      </c>
      <c r="H68">
        <v>3</v>
      </c>
      <c r="I68" t="s">
        <v>544</v>
      </c>
      <c r="J68" t="s">
        <v>545</v>
      </c>
      <c r="K68" t="s">
        <v>546</v>
      </c>
      <c r="L68">
        <v>1339</v>
      </c>
      <c r="N68">
        <v>1007</v>
      </c>
      <c r="O68" t="s">
        <v>34</v>
      </c>
      <c r="P68" t="s">
        <v>34</v>
      </c>
      <c r="Q68">
        <v>1</v>
      </c>
      <c r="W68">
        <v>0</v>
      </c>
      <c r="X68">
        <v>-155823422</v>
      </c>
      <c r="Y68">
        <f t="shared" si="27"/>
        <v>2.2000000000000002</v>
      </c>
      <c r="AA68">
        <v>4749.3</v>
      </c>
      <c r="AB68">
        <v>0</v>
      </c>
      <c r="AC68">
        <v>0</v>
      </c>
      <c r="AD68">
        <v>0</v>
      </c>
      <c r="AE68">
        <v>3392.36</v>
      </c>
      <c r="AF68">
        <v>0</v>
      </c>
      <c r="AG68">
        <v>0</v>
      </c>
      <c r="AH68">
        <v>0</v>
      </c>
      <c r="AI68">
        <v>1.4</v>
      </c>
      <c r="AJ68">
        <v>1</v>
      </c>
      <c r="AK68">
        <v>1</v>
      </c>
      <c r="AL68">
        <v>1</v>
      </c>
      <c r="AM68">
        <v>2</v>
      </c>
      <c r="AN68">
        <v>0</v>
      </c>
      <c r="AO68">
        <v>0</v>
      </c>
      <c r="AP68">
        <v>0</v>
      </c>
      <c r="AQ68">
        <v>1</v>
      </c>
      <c r="AR68">
        <v>0</v>
      </c>
      <c r="AS68" t="s">
        <v>3</v>
      </c>
      <c r="AT68">
        <v>2.2000000000000002</v>
      </c>
      <c r="AU68" t="s">
        <v>3</v>
      </c>
      <c r="AV68">
        <v>0</v>
      </c>
      <c r="AW68">
        <v>2</v>
      </c>
      <c r="AX68">
        <v>89966372</v>
      </c>
      <c r="AY68">
        <v>1</v>
      </c>
      <c r="AZ68">
        <v>0</v>
      </c>
      <c r="BA68">
        <v>68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7463.1920000000009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</v>
      </c>
      <c r="BQ68">
        <v>7463.1920000000009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1</v>
      </c>
      <c r="CV68">
        <v>0</v>
      </c>
      <c r="CW68">
        <v>0</v>
      </c>
      <c r="CX68">
        <f>ROUND(Y68*Source!I45,7)</f>
        <v>0.20019999999999999</v>
      </c>
      <c r="CY68">
        <f>AA68</f>
        <v>4749.3</v>
      </c>
      <c r="CZ68">
        <f>AE68</f>
        <v>3392.36</v>
      </c>
      <c r="DA68">
        <f>AI68</f>
        <v>1.4</v>
      </c>
      <c r="DB68">
        <f t="shared" si="28"/>
        <v>7463.19</v>
      </c>
      <c r="DC68">
        <f t="shared" si="29"/>
        <v>0</v>
      </c>
      <c r="DD68" t="s">
        <v>3</v>
      </c>
      <c r="DE68" t="s">
        <v>3</v>
      </c>
      <c r="DF68">
        <f>ROUND(ROUND(AE68*AI68,2)*CX68,2)</f>
        <v>950.81</v>
      </c>
      <c r="DG68">
        <f t="shared" si="32"/>
        <v>0</v>
      </c>
      <c r="DH68">
        <f t="shared" si="30"/>
        <v>0</v>
      </c>
      <c r="DI68">
        <f t="shared" si="31"/>
        <v>0</v>
      </c>
      <c r="DJ68">
        <f>DF68</f>
        <v>950.81</v>
      </c>
      <c r="DK68">
        <v>0</v>
      </c>
      <c r="DL68" t="s">
        <v>3</v>
      </c>
      <c r="DM68">
        <v>0</v>
      </c>
      <c r="DN68" t="s">
        <v>3</v>
      </c>
      <c r="DO68">
        <v>0</v>
      </c>
    </row>
    <row r="69" spans="1:119" x14ac:dyDescent="0.2">
      <c r="A69">
        <f>ROW(Source!A45)</f>
        <v>45</v>
      </c>
      <c r="B69">
        <v>94104265</v>
      </c>
      <c r="C69">
        <v>89966359</v>
      </c>
      <c r="D69">
        <v>87235788</v>
      </c>
      <c r="E69">
        <v>117</v>
      </c>
      <c r="F69">
        <v>1</v>
      </c>
      <c r="G69">
        <v>1</v>
      </c>
      <c r="H69">
        <v>3</v>
      </c>
      <c r="I69" t="s">
        <v>28</v>
      </c>
      <c r="J69" t="s">
        <v>3</v>
      </c>
      <c r="K69" t="s">
        <v>29</v>
      </c>
      <c r="L69">
        <v>1348</v>
      </c>
      <c r="N69">
        <v>1009</v>
      </c>
      <c r="O69" t="s">
        <v>30</v>
      </c>
      <c r="P69" t="s">
        <v>30</v>
      </c>
      <c r="Q69">
        <v>1000</v>
      </c>
      <c r="W69">
        <v>0</v>
      </c>
      <c r="X69">
        <v>2102561428</v>
      </c>
      <c r="Y69">
        <f t="shared" si="27"/>
        <v>4.84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1</v>
      </c>
      <c r="AJ69">
        <v>1</v>
      </c>
      <c r="AK69">
        <v>1</v>
      </c>
      <c r="AL69">
        <v>1</v>
      </c>
      <c r="AM69">
        <v>-2</v>
      </c>
      <c r="AN69">
        <v>0</v>
      </c>
      <c r="AO69">
        <v>0</v>
      </c>
      <c r="AP69">
        <v>0</v>
      </c>
      <c r="AQ69">
        <v>0</v>
      </c>
      <c r="AR69">
        <v>0</v>
      </c>
      <c r="AS69" t="s">
        <v>3</v>
      </c>
      <c r="AT69">
        <v>4.84</v>
      </c>
      <c r="AU69" t="s">
        <v>3</v>
      </c>
      <c r="AV69">
        <v>0</v>
      </c>
      <c r="AW69">
        <v>2</v>
      </c>
      <c r="AX69">
        <v>89966373</v>
      </c>
      <c r="AY69">
        <v>1</v>
      </c>
      <c r="AZ69">
        <v>0</v>
      </c>
      <c r="BA69">
        <v>69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CV69">
        <v>0</v>
      </c>
      <c r="CW69">
        <v>0</v>
      </c>
      <c r="CX69">
        <f>ROUND(Y69*Source!I45,7)</f>
        <v>0.44044</v>
      </c>
      <c r="CY69">
        <f>AA69</f>
        <v>0</v>
      </c>
      <c r="CZ69">
        <f>AE69</f>
        <v>0</v>
      </c>
      <c r="DA69">
        <f>AI69</f>
        <v>1</v>
      </c>
      <c r="DB69">
        <f t="shared" si="28"/>
        <v>0</v>
      </c>
      <c r="DC69">
        <f t="shared" si="29"/>
        <v>0</v>
      </c>
      <c r="DD69" t="s">
        <v>3</v>
      </c>
      <c r="DE69" t="s">
        <v>3</v>
      </c>
      <c r="DF69">
        <f t="shared" ref="DF69:DF75" si="33">ROUND(ROUND(AE69,2)*CX69,2)</f>
        <v>0</v>
      </c>
      <c r="DG69">
        <f t="shared" si="32"/>
        <v>0</v>
      </c>
      <c r="DH69">
        <f t="shared" si="30"/>
        <v>0</v>
      </c>
      <c r="DI69">
        <f t="shared" si="31"/>
        <v>0</v>
      </c>
      <c r="DJ69">
        <f>DF69</f>
        <v>0</v>
      </c>
      <c r="DK69">
        <v>0</v>
      </c>
      <c r="DL69" t="s">
        <v>3</v>
      </c>
      <c r="DM69">
        <v>0</v>
      </c>
      <c r="DN69" t="s">
        <v>3</v>
      </c>
      <c r="DO69">
        <v>0</v>
      </c>
    </row>
    <row r="70" spans="1:119" x14ac:dyDescent="0.2">
      <c r="A70">
        <f>ROW(Source!A47)</f>
        <v>47</v>
      </c>
      <c r="B70">
        <v>94104265</v>
      </c>
      <c r="C70">
        <v>89967447</v>
      </c>
      <c r="D70">
        <v>87229757</v>
      </c>
      <c r="E70">
        <v>117</v>
      </c>
      <c r="F70">
        <v>1</v>
      </c>
      <c r="G70">
        <v>1</v>
      </c>
      <c r="H70">
        <v>1</v>
      </c>
      <c r="I70" t="s">
        <v>547</v>
      </c>
      <c r="J70" t="s">
        <v>3</v>
      </c>
      <c r="K70" t="s">
        <v>548</v>
      </c>
      <c r="L70">
        <v>1191</v>
      </c>
      <c r="N70">
        <v>1013</v>
      </c>
      <c r="O70" t="s">
        <v>428</v>
      </c>
      <c r="P70" t="s">
        <v>428</v>
      </c>
      <c r="Q70">
        <v>1</v>
      </c>
      <c r="W70">
        <v>0</v>
      </c>
      <c r="X70">
        <v>1426738182</v>
      </c>
      <c r="Y70">
        <f t="shared" si="27"/>
        <v>7.43</v>
      </c>
      <c r="AA70">
        <v>0</v>
      </c>
      <c r="AB70">
        <v>0</v>
      </c>
      <c r="AC70">
        <v>0</v>
      </c>
      <c r="AD70">
        <v>657.42</v>
      </c>
      <c r="AE70">
        <v>0</v>
      </c>
      <c r="AF70">
        <v>0</v>
      </c>
      <c r="AG70">
        <v>0</v>
      </c>
      <c r="AH70">
        <v>657.42</v>
      </c>
      <c r="AI70">
        <v>1</v>
      </c>
      <c r="AJ70">
        <v>1</v>
      </c>
      <c r="AK70">
        <v>1</v>
      </c>
      <c r="AL70">
        <v>1</v>
      </c>
      <c r="AM70">
        <v>-2</v>
      </c>
      <c r="AN70">
        <v>0</v>
      </c>
      <c r="AO70">
        <v>0</v>
      </c>
      <c r="AP70">
        <v>0</v>
      </c>
      <c r="AQ70">
        <v>1</v>
      </c>
      <c r="AR70">
        <v>0</v>
      </c>
      <c r="AS70" t="s">
        <v>3</v>
      </c>
      <c r="AT70">
        <v>7.43</v>
      </c>
      <c r="AU70" t="s">
        <v>3</v>
      </c>
      <c r="AV70">
        <v>1</v>
      </c>
      <c r="AW70">
        <v>2</v>
      </c>
      <c r="AX70">
        <v>89967448</v>
      </c>
      <c r="AY70">
        <v>2</v>
      </c>
      <c r="AZ70">
        <v>131072</v>
      </c>
      <c r="BA70">
        <v>70</v>
      </c>
      <c r="BB70">
        <v>1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4884.6305999999995</v>
      </c>
      <c r="BN70">
        <v>7.43</v>
      </c>
      <c r="BO70">
        <v>0</v>
      </c>
      <c r="BP70">
        <v>1</v>
      </c>
      <c r="BQ70">
        <v>0</v>
      </c>
      <c r="BR70">
        <v>0</v>
      </c>
      <c r="BS70">
        <v>0</v>
      </c>
      <c r="BT70">
        <v>4884.6305999999995</v>
      </c>
      <c r="BU70">
        <v>7.43</v>
      </c>
      <c r="BV70">
        <v>0</v>
      </c>
      <c r="BW70">
        <v>1</v>
      </c>
      <c r="CU70">
        <f>ROUND(AT70*Source!I47*AH70*AL70,2)</f>
        <v>444.5</v>
      </c>
      <c r="CV70">
        <f>ROUND(Y70*Source!I47,7)</f>
        <v>0.67613000000000001</v>
      </c>
      <c r="CW70">
        <v>0</v>
      </c>
      <c r="CX70">
        <f>ROUND(Y70*Source!I47,7)</f>
        <v>0.67613000000000001</v>
      </c>
      <c r="CY70">
        <f>AD70</f>
        <v>657.42</v>
      </c>
      <c r="CZ70">
        <f>AH70</f>
        <v>657.42</v>
      </c>
      <c r="DA70">
        <f>AL70</f>
        <v>1</v>
      </c>
      <c r="DB70">
        <f t="shared" si="28"/>
        <v>4884.63</v>
      </c>
      <c r="DC70">
        <f t="shared" si="29"/>
        <v>0</v>
      </c>
      <c r="DD70" t="s">
        <v>3</v>
      </c>
      <c r="DE70" t="s">
        <v>3</v>
      </c>
      <c r="DF70">
        <f t="shared" si="33"/>
        <v>0</v>
      </c>
      <c r="DG70">
        <f t="shared" si="32"/>
        <v>0</v>
      </c>
      <c r="DH70">
        <f t="shared" si="30"/>
        <v>0</v>
      </c>
      <c r="DI70">
        <f t="shared" si="31"/>
        <v>444.5</v>
      </c>
      <c r="DJ70">
        <f>DI70</f>
        <v>444.5</v>
      </c>
      <c r="DK70">
        <v>1</v>
      </c>
      <c r="DL70" t="s">
        <v>3</v>
      </c>
      <c r="DM70">
        <v>0</v>
      </c>
      <c r="DN70" t="s">
        <v>3</v>
      </c>
      <c r="DO70">
        <v>0</v>
      </c>
    </row>
    <row r="71" spans="1:119" x14ac:dyDescent="0.2">
      <c r="A71">
        <f>ROW(Source!A47)</f>
        <v>47</v>
      </c>
      <c r="B71">
        <v>94104265</v>
      </c>
      <c r="C71">
        <v>89967447</v>
      </c>
      <c r="D71">
        <v>87229949</v>
      </c>
      <c r="E71">
        <v>117</v>
      </c>
      <c r="F71">
        <v>1</v>
      </c>
      <c r="G71">
        <v>1</v>
      </c>
      <c r="H71">
        <v>1</v>
      </c>
      <c r="I71" t="s">
        <v>429</v>
      </c>
      <c r="J71" t="s">
        <v>3</v>
      </c>
      <c r="K71" t="s">
        <v>430</v>
      </c>
      <c r="L71">
        <v>1191</v>
      </c>
      <c r="N71">
        <v>1013</v>
      </c>
      <c r="O71" t="s">
        <v>428</v>
      </c>
      <c r="P71" t="s">
        <v>428</v>
      </c>
      <c r="Q71">
        <v>1</v>
      </c>
      <c r="W71">
        <v>0</v>
      </c>
      <c r="X71">
        <v>-1417349443</v>
      </c>
      <c r="Y71">
        <f t="shared" si="27"/>
        <v>0.08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1</v>
      </c>
      <c r="AJ71">
        <v>1</v>
      </c>
      <c r="AK71">
        <v>1</v>
      </c>
      <c r="AL71">
        <v>1</v>
      </c>
      <c r="AM71">
        <v>-2</v>
      </c>
      <c r="AN71">
        <v>0</v>
      </c>
      <c r="AO71">
        <v>0</v>
      </c>
      <c r="AP71">
        <v>0</v>
      </c>
      <c r="AQ71">
        <v>1</v>
      </c>
      <c r="AR71">
        <v>0</v>
      </c>
      <c r="AS71" t="s">
        <v>3</v>
      </c>
      <c r="AT71">
        <v>0.08</v>
      </c>
      <c r="AU71" t="s">
        <v>3</v>
      </c>
      <c r="AV71">
        <v>2</v>
      </c>
      <c r="AW71">
        <v>2</v>
      </c>
      <c r="AX71">
        <v>89967449</v>
      </c>
      <c r="AY71">
        <v>1</v>
      </c>
      <c r="AZ71">
        <v>0</v>
      </c>
      <c r="BA71">
        <v>71</v>
      </c>
      <c r="BB71">
        <v>1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CV71">
        <v>0</v>
      </c>
      <c r="CW71">
        <v>0</v>
      </c>
      <c r="CX71">
        <f>ROUND(Y71*Source!I47,7)</f>
        <v>7.28E-3</v>
      </c>
      <c r="CY71">
        <f>AD71</f>
        <v>0</v>
      </c>
      <c r="CZ71">
        <f>AH71</f>
        <v>0</v>
      </c>
      <c r="DA71">
        <f>AL71</f>
        <v>1</v>
      </c>
      <c r="DB71">
        <f t="shared" si="28"/>
        <v>0</v>
      </c>
      <c r="DC71">
        <f t="shared" si="29"/>
        <v>0</v>
      </c>
      <c r="DD71" t="s">
        <v>3</v>
      </c>
      <c r="DE71" t="s">
        <v>3</v>
      </c>
      <c r="DF71">
        <f t="shared" si="33"/>
        <v>0</v>
      </c>
      <c r="DG71">
        <f t="shared" si="32"/>
        <v>0</v>
      </c>
      <c r="DH71">
        <f t="shared" si="30"/>
        <v>0</v>
      </c>
      <c r="DI71">
        <f t="shared" si="31"/>
        <v>0</v>
      </c>
      <c r="DJ71">
        <f>DI71</f>
        <v>0</v>
      </c>
      <c r="DK71">
        <v>0</v>
      </c>
      <c r="DL71" t="s">
        <v>3</v>
      </c>
      <c r="DM71">
        <v>0</v>
      </c>
      <c r="DN71" t="s">
        <v>3</v>
      </c>
      <c r="DO71">
        <v>0</v>
      </c>
    </row>
    <row r="72" spans="1:119" x14ac:dyDescent="0.2">
      <c r="A72">
        <f>ROW(Source!A47)</f>
        <v>47</v>
      </c>
      <c r="B72">
        <v>94104265</v>
      </c>
      <c r="C72">
        <v>89967447</v>
      </c>
      <c r="D72">
        <v>87236577</v>
      </c>
      <c r="E72">
        <v>1</v>
      </c>
      <c r="F72">
        <v>1</v>
      </c>
      <c r="G72">
        <v>1</v>
      </c>
      <c r="H72">
        <v>2</v>
      </c>
      <c r="I72" t="s">
        <v>538</v>
      </c>
      <c r="J72" t="s">
        <v>539</v>
      </c>
      <c r="K72" t="s">
        <v>540</v>
      </c>
      <c r="L72">
        <v>1368</v>
      </c>
      <c r="N72">
        <v>1011</v>
      </c>
      <c r="O72" t="s">
        <v>434</v>
      </c>
      <c r="P72" t="s">
        <v>434</v>
      </c>
      <c r="Q72">
        <v>1</v>
      </c>
      <c r="W72">
        <v>0</v>
      </c>
      <c r="X72">
        <v>453228636</v>
      </c>
      <c r="Y72">
        <f t="shared" si="27"/>
        <v>0.09</v>
      </c>
      <c r="AA72">
        <v>0</v>
      </c>
      <c r="AB72">
        <v>9.93</v>
      </c>
      <c r="AC72">
        <v>0</v>
      </c>
      <c r="AD72">
        <v>0</v>
      </c>
      <c r="AE72">
        <v>0</v>
      </c>
      <c r="AF72">
        <v>6.62</v>
      </c>
      <c r="AG72">
        <v>0</v>
      </c>
      <c r="AH72">
        <v>0</v>
      </c>
      <c r="AI72">
        <v>1</v>
      </c>
      <c r="AJ72">
        <v>1.5</v>
      </c>
      <c r="AK72">
        <v>1</v>
      </c>
      <c r="AL72">
        <v>1</v>
      </c>
      <c r="AM72">
        <v>2</v>
      </c>
      <c r="AN72">
        <v>0</v>
      </c>
      <c r="AO72">
        <v>0</v>
      </c>
      <c r="AP72">
        <v>0</v>
      </c>
      <c r="AQ72">
        <v>1</v>
      </c>
      <c r="AR72">
        <v>0</v>
      </c>
      <c r="AS72" t="s">
        <v>3</v>
      </c>
      <c r="AT72">
        <v>0.09</v>
      </c>
      <c r="AU72" t="s">
        <v>3</v>
      </c>
      <c r="AV72">
        <v>1</v>
      </c>
      <c r="AW72">
        <v>2</v>
      </c>
      <c r="AX72">
        <v>89967450</v>
      </c>
      <c r="AY72">
        <v>1</v>
      </c>
      <c r="AZ72">
        <v>0</v>
      </c>
      <c r="BA72">
        <v>72</v>
      </c>
      <c r="BB72">
        <v>1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0.5958</v>
      </c>
      <c r="BL72">
        <v>0</v>
      </c>
      <c r="BM72">
        <v>0</v>
      </c>
      <c r="BN72">
        <v>0</v>
      </c>
      <c r="BO72">
        <v>0</v>
      </c>
      <c r="BP72">
        <v>1</v>
      </c>
      <c r="BQ72">
        <v>0</v>
      </c>
      <c r="BR72">
        <v>0.5958</v>
      </c>
      <c r="BS72">
        <v>0</v>
      </c>
      <c r="BT72">
        <v>0</v>
      </c>
      <c r="BU72">
        <v>0</v>
      </c>
      <c r="BV72">
        <v>0</v>
      </c>
      <c r="BW72">
        <v>1</v>
      </c>
      <c r="CV72">
        <v>0</v>
      </c>
      <c r="CW72">
        <f>ROUND(Y72*Source!I47*DO72,7)</f>
        <v>0</v>
      </c>
      <c r="CX72">
        <f>ROUND(Y72*Source!I47,7)</f>
        <v>8.1899999999999994E-3</v>
      </c>
      <c r="CY72">
        <f>AB72</f>
        <v>9.93</v>
      </c>
      <c r="CZ72">
        <f>AF72</f>
        <v>6.62</v>
      </c>
      <c r="DA72">
        <f>AJ72</f>
        <v>1.5</v>
      </c>
      <c r="DB72">
        <f t="shared" si="28"/>
        <v>0.6</v>
      </c>
      <c r="DC72">
        <f t="shared" si="29"/>
        <v>0</v>
      </c>
      <c r="DD72" t="s">
        <v>3</v>
      </c>
      <c r="DE72" t="s">
        <v>3</v>
      </c>
      <c r="DF72">
        <f t="shared" si="33"/>
        <v>0</v>
      </c>
      <c r="DG72">
        <f>ROUND(ROUND(AF72*AJ72,2)*CX72,2)</f>
        <v>0.08</v>
      </c>
      <c r="DH72">
        <f t="shared" si="30"/>
        <v>0</v>
      </c>
      <c r="DI72">
        <f t="shared" si="31"/>
        <v>0</v>
      </c>
      <c r="DJ72">
        <f>DG72+DH72</f>
        <v>0.08</v>
      </c>
      <c r="DK72">
        <v>0</v>
      </c>
      <c r="DL72" t="s">
        <v>3</v>
      </c>
      <c r="DM72">
        <v>0</v>
      </c>
      <c r="DN72" t="s">
        <v>3</v>
      </c>
      <c r="DO72">
        <v>0</v>
      </c>
    </row>
    <row r="73" spans="1:119" x14ac:dyDescent="0.2">
      <c r="A73">
        <f>ROW(Source!A47)</f>
        <v>47</v>
      </c>
      <c r="B73">
        <v>94104265</v>
      </c>
      <c r="C73">
        <v>89967447</v>
      </c>
      <c r="D73">
        <v>87237333</v>
      </c>
      <c r="E73">
        <v>1</v>
      </c>
      <c r="F73">
        <v>1</v>
      </c>
      <c r="G73">
        <v>1</v>
      </c>
      <c r="H73">
        <v>2</v>
      </c>
      <c r="I73" t="s">
        <v>463</v>
      </c>
      <c r="J73" t="s">
        <v>464</v>
      </c>
      <c r="K73" t="s">
        <v>465</v>
      </c>
      <c r="L73">
        <v>1368</v>
      </c>
      <c r="N73">
        <v>1011</v>
      </c>
      <c r="O73" t="s">
        <v>434</v>
      </c>
      <c r="P73" t="s">
        <v>434</v>
      </c>
      <c r="Q73">
        <v>1</v>
      </c>
      <c r="W73">
        <v>0</v>
      </c>
      <c r="X73">
        <v>-849950259</v>
      </c>
      <c r="Y73">
        <f t="shared" si="27"/>
        <v>0.08</v>
      </c>
      <c r="AA73">
        <v>0</v>
      </c>
      <c r="AB73">
        <v>544.91999999999996</v>
      </c>
      <c r="AC73">
        <v>731.08</v>
      </c>
      <c r="AD73">
        <v>0</v>
      </c>
      <c r="AE73">
        <v>0</v>
      </c>
      <c r="AF73">
        <v>544.91999999999996</v>
      </c>
      <c r="AG73">
        <v>731.08</v>
      </c>
      <c r="AH73">
        <v>0</v>
      </c>
      <c r="AI73">
        <v>1</v>
      </c>
      <c r="AJ73">
        <v>1</v>
      </c>
      <c r="AK73">
        <v>1</v>
      </c>
      <c r="AL73">
        <v>1</v>
      </c>
      <c r="AM73">
        <v>-2</v>
      </c>
      <c r="AN73">
        <v>0</v>
      </c>
      <c r="AO73">
        <v>0</v>
      </c>
      <c r="AP73">
        <v>0</v>
      </c>
      <c r="AQ73">
        <v>1</v>
      </c>
      <c r="AR73">
        <v>0</v>
      </c>
      <c r="AS73" t="s">
        <v>3</v>
      </c>
      <c r="AT73">
        <v>0.08</v>
      </c>
      <c r="AU73" t="s">
        <v>3</v>
      </c>
      <c r="AV73">
        <v>1</v>
      </c>
      <c r="AW73">
        <v>2</v>
      </c>
      <c r="AX73">
        <v>89967451</v>
      </c>
      <c r="AY73">
        <v>2</v>
      </c>
      <c r="AZ73">
        <v>98304</v>
      </c>
      <c r="BA73">
        <v>73</v>
      </c>
      <c r="BB73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43.593599999999995</v>
      </c>
      <c r="BL73">
        <v>58.486400000000003</v>
      </c>
      <c r="BM73">
        <v>0</v>
      </c>
      <c r="BN73">
        <v>0</v>
      </c>
      <c r="BO73">
        <v>0.08</v>
      </c>
      <c r="BP73">
        <v>1</v>
      </c>
      <c r="BQ73">
        <v>0</v>
      </c>
      <c r="BR73">
        <v>43.593599999999995</v>
      </c>
      <c r="BS73">
        <v>58.486400000000003</v>
      </c>
      <c r="BT73">
        <v>0</v>
      </c>
      <c r="BU73">
        <v>0</v>
      </c>
      <c r="BV73">
        <v>0.08</v>
      </c>
      <c r="BW73">
        <v>1</v>
      </c>
      <c r="CV73">
        <v>0</v>
      </c>
      <c r="CW73">
        <f>ROUND(Y73*Source!I47*DO73,7)</f>
        <v>7.28E-3</v>
      </c>
      <c r="CX73">
        <f>ROUND(Y73*Source!I47,7)</f>
        <v>7.28E-3</v>
      </c>
      <c r="CY73">
        <f>AB73</f>
        <v>544.91999999999996</v>
      </c>
      <c r="CZ73">
        <f>AF73</f>
        <v>544.91999999999996</v>
      </c>
      <c r="DA73">
        <f>AJ73</f>
        <v>1</v>
      </c>
      <c r="DB73">
        <f t="shared" si="28"/>
        <v>43.59</v>
      </c>
      <c r="DC73">
        <f t="shared" si="29"/>
        <v>58.49</v>
      </c>
      <c r="DD73" t="s">
        <v>3</v>
      </c>
      <c r="DE73" t="s">
        <v>3</v>
      </c>
      <c r="DF73">
        <f t="shared" si="33"/>
        <v>0</v>
      </c>
      <c r="DG73">
        <f>ROUND(ROUND(AF73,2)*CX73,2)</f>
        <v>3.97</v>
      </c>
      <c r="DH73">
        <f t="shared" si="30"/>
        <v>5.32</v>
      </c>
      <c r="DI73">
        <f t="shared" si="31"/>
        <v>0</v>
      </c>
      <c r="DJ73">
        <f>DG73+DH73</f>
        <v>9.2900000000000009</v>
      </c>
      <c r="DK73">
        <v>1</v>
      </c>
      <c r="DL73" t="s">
        <v>466</v>
      </c>
      <c r="DM73">
        <v>4</v>
      </c>
      <c r="DN73" t="s">
        <v>428</v>
      </c>
      <c r="DO73">
        <v>1</v>
      </c>
    </row>
    <row r="74" spans="1:119" x14ac:dyDescent="0.2">
      <c r="A74">
        <f>ROW(Source!A47)</f>
        <v>47</v>
      </c>
      <c r="B74">
        <v>94104265</v>
      </c>
      <c r="C74">
        <v>89967447</v>
      </c>
      <c r="D74">
        <v>87237544</v>
      </c>
      <c r="E74">
        <v>1</v>
      </c>
      <c r="F74">
        <v>1</v>
      </c>
      <c r="G74">
        <v>1</v>
      </c>
      <c r="H74">
        <v>2</v>
      </c>
      <c r="I74" t="s">
        <v>549</v>
      </c>
      <c r="J74" t="s">
        <v>550</v>
      </c>
      <c r="K74" t="s">
        <v>551</v>
      </c>
      <c r="L74">
        <v>1368</v>
      </c>
      <c r="N74">
        <v>1011</v>
      </c>
      <c r="O74" t="s">
        <v>434</v>
      </c>
      <c r="P74" t="s">
        <v>434</v>
      </c>
      <c r="Q74">
        <v>1</v>
      </c>
      <c r="W74">
        <v>0</v>
      </c>
      <c r="X74">
        <v>716025848</v>
      </c>
      <c r="Y74">
        <f t="shared" si="27"/>
        <v>3.32</v>
      </c>
      <c r="AA74">
        <v>0</v>
      </c>
      <c r="AB74">
        <v>15.41</v>
      </c>
      <c r="AC74">
        <v>0</v>
      </c>
      <c r="AD74">
        <v>0</v>
      </c>
      <c r="AE74">
        <v>0</v>
      </c>
      <c r="AF74">
        <v>11.85</v>
      </c>
      <c r="AG74">
        <v>0</v>
      </c>
      <c r="AH74">
        <v>0</v>
      </c>
      <c r="AI74">
        <v>1</v>
      </c>
      <c r="AJ74">
        <v>1.3</v>
      </c>
      <c r="AK74">
        <v>1</v>
      </c>
      <c r="AL74">
        <v>1</v>
      </c>
      <c r="AM74">
        <v>2</v>
      </c>
      <c r="AN74">
        <v>0</v>
      </c>
      <c r="AO74">
        <v>0</v>
      </c>
      <c r="AP74">
        <v>0</v>
      </c>
      <c r="AQ74">
        <v>1</v>
      </c>
      <c r="AR74">
        <v>0</v>
      </c>
      <c r="AS74" t="s">
        <v>3</v>
      </c>
      <c r="AT74">
        <v>3.32</v>
      </c>
      <c r="AU74" t="s">
        <v>3</v>
      </c>
      <c r="AV74">
        <v>1</v>
      </c>
      <c r="AW74">
        <v>2</v>
      </c>
      <c r="AX74">
        <v>89967452</v>
      </c>
      <c r="AY74">
        <v>1</v>
      </c>
      <c r="AZ74">
        <v>0</v>
      </c>
      <c r="BA74">
        <v>74</v>
      </c>
      <c r="BB74">
        <v>1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39.341999999999999</v>
      </c>
      <c r="BL74">
        <v>0</v>
      </c>
      <c r="BM74">
        <v>0</v>
      </c>
      <c r="BN74">
        <v>0</v>
      </c>
      <c r="BO74">
        <v>0</v>
      </c>
      <c r="BP74">
        <v>1</v>
      </c>
      <c r="BQ74">
        <v>0</v>
      </c>
      <c r="BR74">
        <v>39.341999999999999</v>
      </c>
      <c r="BS74">
        <v>0</v>
      </c>
      <c r="BT74">
        <v>0</v>
      </c>
      <c r="BU74">
        <v>0</v>
      </c>
      <c r="BV74">
        <v>0</v>
      </c>
      <c r="BW74">
        <v>1</v>
      </c>
      <c r="CV74">
        <v>0</v>
      </c>
      <c r="CW74">
        <f>ROUND(Y74*Source!I47*DO74,7)</f>
        <v>0</v>
      </c>
      <c r="CX74">
        <f>ROUND(Y74*Source!I47,7)</f>
        <v>0.30212</v>
      </c>
      <c r="CY74">
        <f>AB74</f>
        <v>15.41</v>
      </c>
      <c r="CZ74">
        <f>AF74</f>
        <v>11.85</v>
      </c>
      <c r="DA74">
        <f>AJ74</f>
        <v>1.3</v>
      </c>
      <c r="DB74">
        <f t="shared" si="28"/>
        <v>39.340000000000003</v>
      </c>
      <c r="DC74">
        <f t="shared" si="29"/>
        <v>0</v>
      </c>
      <c r="DD74" t="s">
        <v>3</v>
      </c>
      <c r="DE74" t="s">
        <v>3</v>
      </c>
      <c r="DF74">
        <f t="shared" si="33"/>
        <v>0</v>
      </c>
      <c r="DG74">
        <f>ROUND(ROUND(AF74*AJ74,2)*CX74,2)</f>
        <v>4.66</v>
      </c>
      <c r="DH74">
        <f t="shared" si="30"/>
        <v>0</v>
      </c>
      <c r="DI74">
        <f t="shared" si="31"/>
        <v>0</v>
      </c>
      <c r="DJ74">
        <f>DG74+DH74</f>
        <v>4.66</v>
      </c>
      <c r="DK74">
        <v>0</v>
      </c>
      <c r="DL74" t="s">
        <v>3</v>
      </c>
      <c r="DM74">
        <v>0</v>
      </c>
      <c r="DN74" t="s">
        <v>3</v>
      </c>
      <c r="DO74">
        <v>0</v>
      </c>
    </row>
    <row r="75" spans="1:119" x14ac:dyDescent="0.2">
      <c r="A75">
        <f>ROW(Source!A47)</f>
        <v>47</v>
      </c>
      <c r="B75">
        <v>94104265</v>
      </c>
      <c r="C75">
        <v>89967447</v>
      </c>
      <c r="D75">
        <v>87237890</v>
      </c>
      <c r="E75">
        <v>1</v>
      </c>
      <c r="F75">
        <v>1</v>
      </c>
      <c r="G75">
        <v>1</v>
      </c>
      <c r="H75">
        <v>2</v>
      </c>
      <c r="I75" t="s">
        <v>552</v>
      </c>
      <c r="J75" t="s">
        <v>553</v>
      </c>
      <c r="K75" t="s">
        <v>554</v>
      </c>
      <c r="L75">
        <v>1368</v>
      </c>
      <c r="N75">
        <v>1011</v>
      </c>
      <c r="O75" t="s">
        <v>434</v>
      </c>
      <c r="P75" t="s">
        <v>434</v>
      </c>
      <c r="Q75">
        <v>1</v>
      </c>
      <c r="W75">
        <v>0</v>
      </c>
      <c r="X75">
        <v>-132886196</v>
      </c>
      <c r="Y75">
        <f t="shared" si="27"/>
        <v>6.65</v>
      </c>
      <c r="AA75">
        <v>0</v>
      </c>
      <c r="AB75">
        <v>5.79</v>
      </c>
      <c r="AC75">
        <v>0</v>
      </c>
      <c r="AD75">
        <v>0</v>
      </c>
      <c r="AE75">
        <v>0</v>
      </c>
      <c r="AF75">
        <v>4.5199999999999996</v>
      </c>
      <c r="AG75">
        <v>0</v>
      </c>
      <c r="AH75">
        <v>0</v>
      </c>
      <c r="AI75">
        <v>1</v>
      </c>
      <c r="AJ75">
        <v>1.28</v>
      </c>
      <c r="AK75">
        <v>1</v>
      </c>
      <c r="AL75">
        <v>1</v>
      </c>
      <c r="AM75">
        <v>2</v>
      </c>
      <c r="AN75">
        <v>0</v>
      </c>
      <c r="AO75">
        <v>0</v>
      </c>
      <c r="AP75">
        <v>0</v>
      </c>
      <c r="AQ75">
        <v>1</v>
      </c>
      <c r="AR75">
        <v>0</v>
      </c>
      <c r="AS75" t="s">
        <v>3</v>
      </c>
      <c r="AT75">
        <v>6.65</v>
      </c>
      <c r="AU75" t="s">
        <v>3</v>
      </c>
      <c r="AV75">
        <v>1</v>
      </c>
      <c r="AW75">
        <v>2</v>
      </c>
      <c r="AX75">
        <v>89967453</v>
      </c>
      <c r="AY75">
        <v>1</v>
      </c>
      <c r="AZ75">
        <v>0</v>
      </c>
      <c r="BA75">
        <v>75</v>
      </c>
      <c r="BB75">
        <v>1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30.058</v>
      </c>
      <c r="BL75">
        <v>0</v>
      </c>
      <c r="BM75">
        <v>0</v>
      </c>
      <c r="BN75">
        <v>0</v>
      </c>
      <c r="BO75">
        <v>0</v>
      </c>
      <c r="BP75">
        <v>1</v>
      </c>
      <c r="BQ75">
        <v>0</v>
      </c>
      <c r="BR75">
        <v>30.058</v>
      </c>
      <c r="BS75">
        <v>0</v>
      </c>
      <c r="BT75">
        <v>0</v>
      </c>
      <c r="BU75">
        <v>0</v>
      </c>
      <c r="BV75">
        <v>0</v>
      </c>
      <c r="BW75">
        <v>1</v>
      </c>
      <c r="CV75">
        <v>0</v>
      </c>
      <c r="CW75">
        <f>ROUND(Y75*Source!I47*DO75,7)</f>
        <v>0</v>
      </c>
      <c r="CX75">
        <f>ROUND(Y75*Source!I47,7)</f>
        <v>0.60514999999999997</v>
      </c>
      <c r="CY75">
        <f>AB75</f>
        <v>5.79</v>
      </c>
      <c r="CZ75">
        <f>AF75</f>
        <v>4.5199999999999996</v>
      </c>
      <c r="DA75">
        <f>AJ75</f>
        <v>1.28</v>
      </c>
      <c r="DB75">
        <f t="shared" si="28"/>
        <v>30.06</v>
      </c>
      <c r="DC75">
        <f t="shared" si="29"/>
        <v>0</v>
      </c>
      <c r="DD75" t="s">
        <v>3</v>
      </c>
      <c r="DE75" t="s">
        <v>3</v>
      </c>
      <c r="DF75">
        <f t="shared" si="33"/>
        <v>0</v>
      </c>
      <c r="DG75">
        <f>ROUND(ROUND(AF75*AJ75,2)*CX75,2)</f>
        <v>3.5</v>
      </c>
      <c r="DH75">
        <f t="shared" si="30"/>
        <v>0</v>
      </c>
      <c r="DI75">
        <f t="shared" si="31"/>
        <v>0</v>
      </c>
      <c r="DJ75">
        <f>DG75+DH75</f>
        <v>3.5</v>
      </c>
      <c r="DK75">
        <v>0</v>
      </c>
      <c r="DL75" t="s">
        <v>3</v>
      </c>
      <c r="DM75">
        <v>0</v>
      </c>
      <c r="DN75" t="s">
        <v>3</v>
      </c>
      <c r="DO75">
        <v>0</v>
      </c>
    </row>
    <row r="76" spans="1:119" x14ac:dyDescent="0.2">
      <c r="A76">
        <f>ROW(Source!A47)</f>
        <v>47</v>
      </c>
      <c r="B76">
        <v>94104265</v>
      </c>
      <c r="C76">
        <v>89967447</v>
      </c>
      <c r="D76">
        <v>87306751</v>
      </c>
      <c r="E76">
        <v>1</v>
      </c>
      <c r="F76">
        <v>1</v>
      </c>
      <c r="G76">
        <v>1</v>
      </c>
      <c r="H76">
        <v>3</v>
      </c>
      <c r="I76" t="s">
        <v>519</v>
      </c>
      <c r="J76" t="s">
        <v>520</v>
      </c>
      <c r="K76" t="s">
        <v>521</v>
      </c>
      <c r="L76">
        <v>1346</v>
      </c>
      <c r="N76">
        <v>1009</v>
      </c>
      <c r="O76" t="s">
        <v>96</v>
      </c>
      <c r="P76" t="s">
        <v>96</v>
      </c>
      <c r="Q76">
        <v>1</v>
      </c>
      <c r="W76">
        <v>0</v>
      </c>
      <c r="X76">
        <v>-373327139</v>
      </c>
      <c r="Y76">
        <f t="shared" si="27"/>
        <v>0.41</v>
      </c>
      <c r="AA76">
        <v>89.78</v>
      </c>
      <c r="AB76">
        <v>0</v>
      </c>
      <c r="AC76">
        <v>0</v>
      </c>
      <c r="AD76">
        <v>0</v>
      </c>
      <c r="AE76">
        <v>56.11</v>
      </c>
      <c r="AF76">
        <v>0</v>
      </c>
      <c r="AG76">
        <v>0</v>
      </c>
      <c r="AH76">
        <v>0</v>
      </c>
      <c r="AI76">
        <v>1.6</v>
      </c>
      <c r="AJ76">
        <v>1</v>
      </c>
      <c r="AK76">
        <v>1</v>
      </c>
      <c r="AL76">
        <v>1</v>
      </c>
      <c r="AM76">
        <v>2</v>
      </c>
      <c r="AN76">
        <v>0</v>
      </c>
      <c r="AO76">
        <v>0</v>
      </c>
      <c r="AP76">
        <v>0</v>
      </c>
      <c r="AQ76">
        <v>1</v>
      </c>
      <c r="AR76">
        <v>0</v>
      </c>
      <c r="AS76" t="s">
        <v>3</v>
      </c>
      <c r="AT76">
        <v>0.41</v>
      </c>
      <c r="AU76" t="s">
        <v>3</v>
      </c>
      <c r="AV76">
        <v>0</v>
      </c>
      <c r="AW76">
        <v>2</v>
      </c>
      <c r="AX76">
        <v>89967454</v>
      </c>
      <c r="AY76">
        <v>1</v>
      </c>
      <c r="AZ76">
        <v>0</v>
      </c>
      <c r="BA76">
        <v>76</v>
      </c>
      <c r="BB76">
        <v>1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23.005099999999999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1</v>
      </c>
      <c r="BQ76">
        <v>23.005099999999999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1</v>
      </c>
      <c r="CV76">
        <v>0</v>
      </c>
      <c r="CW76">
        <v>0</v>
      </c>
      <c r="CX76">
        <f>ROUND(Y76*Source!I47,7)</f>
        <v>3.7310000000000003E-2</v>
      </c>
      <c r="CY76">
        <f>AA76</f>
        <v>89.78</v>
      </c>
      <c r="CZ76">
        <f>AE76</f>
        <v>56.11</v>
      </c>
      <c r="DA76">
        <f>AI76</f>
        <v>1.6</v>
      </c>
      <c r="DB76">
        <f t="shared" si="28"/>
        <v>23.01</v>
      </c>
      <c r="DC76">
        <f t="shared" si="29"/>
        <v>0</v>
      </c>
      <c r="DD76" t="s">
        <v>3</v>
      </c>
      <c r="DE76" t="s">
        <v>3</v>
      </c>
      <c r="DF76">
        <f>ROUND(ROUND(AE76*AI76,2)*CX76,2)</f>
        <v>3.35</v>
      </c>
      <c r="DG76">
        <f>ROUND(ROUND(AF76,2)*CX76,2)</f>
        <v>0</v>
      </c>
      <c r="DH76">
        <f t="shared" si="30"/>
        <v>0</v>
      </c>
      <c r="DI76">
        <f t="shared" si="31"/>
        <v>0</v>
      </c>
      <c r="DJ76">
        <f>DF76</f>
        <v>3.35</v>
      </c>
      <c r="DK76">
        <v>0</v>
      </c>
      <c r="DL76" t="s">
        <v>3</v>
      </c>
      <c r="DM76">
        <v>0</v>
      </c>
      <c r="DN76" t="s">
        <v>3</v>
      </c>
      <c r="DO76">
        <v>0</v>
      </c>
    </row>
    <row r="77" spans="1:119" x14ac:dyDescent="0.2">
      <c r="A77">
        <f>ROW(Source!A47)</f>
        <v>47</v>
      </c>
      <c r="B77">
        <v>94104265</v>
      </c>
      <c r="C77">
        <v>89967447</v>
      </c>
      <c r="D77">
        <v>87322814</v>
      </c>
      <c r="E77">
        <v>1</v>
      </c>
      <c r="F77">
        <v>1</v>
      </c>
      <c r="G77">
        <v>1</v>
      </c>
      <c r="H77">
        <v>3</v>
      </c>
      <c r="I77" t="s">
        <v>126</v>
      </c>
      <c r="J77" t="s">
        <v>128</v>
      </c>
      <c r="K77" t="s">
        <v>127</v>
      </c>
      <c r="L77">
        <v>1348</v>
      </c>
      <c r="N77">
        <v>1009</v>
      </c>
      <c r="O77" t="s">
        <v>30</v>
      </c>
      <c r="P77" t="s">
        <v>30</v>
      </c>
      <c r="Q77">
        <v>1000</v>
      </c>
      <c r="W77">
        <v>0</v>
      </c>
      <c r="X77">
        <v>1938102822</v>
      </c>
      <c r="Y77">
        <f t="shared" si="27"/>
        <v>3.2300000000000002E-2</v>
      </c>
      <c r="AA77">
        <v>130636.64</v>
      </c>
      <c r="AB77">
        <v>0</v>
      </c>
      <c r="AC77">
        <v>0</v>
      </c>
      <c r="AD77">
        <v>0</v>
      </c>
      <c r="AE77">
        <v>119850.13</v>
      </c>
      <c r="AF77">
        <v>0</v>
      </c>
      <c r="AG77">
        <v>0</v>
      </c>
      <c r="AH77">
        <v>0</v>
      </c>
      <c r="AI77">
        <v>1.0900000000000001</v>
      </c>
      <c r="AJ77">
        <v>1</v>
      </c>
      <c r="AK77">
        <v>1</v>
      </c>
      <c r="AL77">
        <v>1</v>
      </c>
      <c r="AM77">
        <v>2</v>
      </c>
      <c r="AN77">
        <v>0</v>
      </c>
      <c r="AO77">
        <v>0</v>
      </c>
      <c r="AP77">
        <v>1</v>
      </c>
      <c r="AQ77">
        <v>0</v>
      </c>
      <c r="AR77">
        <v>0</v>
      </c>
      <c r="AS77" t="s">
        <v>3</v>
      </c>
      <c r="AT77">
        <v>3.2300000000000002E-2</v>
      </c>
      <c r="AU77" t="s">
        <v>3</v>
      </c>
      <c r="AV77">
        <v>0</v>
      </c>
      <c r="AW77">
        <v>1</v>
      </c>
      <c r="AX77">
        <v>-1</v>
      </c>
      <c r="AY77">
        <v>0</v>
      </c>
      <c r="AZ77">
        <v>0</v>
      </c>
      <c r="BA77" t="s">
        <v>3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CV77">
        <v>0</v>
      </c>
      <c r="CW77">
        <v>0</v>
      </c>
      <c r="CX77">
        <f>ROUND(Y77*Source!I47,7)</f>
        <v>2.9393000000000002E-3</v>
      </c>
      <c r="CY77">
        <f>AA77</f>
        <v>130636.64</v>
      </c>
      <c r="CZ77">
        <f>AE77</f>
        <v>119850.13</v>
      </c>
      <c r="DA77">
        <f>AI77</f>
        <v>1.0900000000000001</v>
      </c>
      <c r="DB77">
        <f t="shared" si="28"/>
        <v>3871.16</v>
      </c>
      <c r="DC77">
        <f t="shared" si="29"/>
        <v>0</v>
      </c>
      <c r="DD77" t="s">
        <v>3</v>
      </c>
      <c r="DE77" t="s">
        <v>3</v>
      </c>
      <c r="DF77">
        <f>ROUND(ROUND(AE77*AI77,2)*CX77,2)</f>
        <v>383.98</v>
      </c>
      <c r="DG77">
        <f>ROUND(ROUND(AF77,2)*CX77,2)</f>
        <v>0</v>
      </c>
      <c r="DH77">
        <f t="shared" si="30"/>
        <v>0</v>
      </c>
      <c r="DI77">
        <f t="shared" si="31"/>
        <v>0</v>
      </c>
      <c r="DJ77">
        <f>DF77</f>
        <v>383.98</v>
      </c>
      <c r="DK77">
        <v>0</v>
      </c>
      <c r="DL77" t="s">
        <v>3</v>
      </c>
      <c r="DM77">
        <v>0</v>
      </c>
      <c r="DN77" t="s">
        <v>3</v>
      </c>
      <c r="DO77">
        <v>0</v>
      </c>
    </row>
    <row r="78" spans="1:119" x14ac:dyDescent="0.2">
      <c r="A78">
        <f>ROW(Source!A47)</f>
        <v>47</v>
      </c>
      <c r="B78">
        <v>94104265</v>
      </c>
      <c r="C78">
        <v>89967447</v>
      </c>
      <c r="D78">
        <v>87323217</v>
      </c>
      <c r="E78">
        <v>1</v>
      </c>
      <c r="F78">
        <v>1</v>
      </c>
      <c r="G78">
        <v>1</v>
      </c>
      <c r="H78">
        <v>3</v>
      </c>
      <c r="I78" t="s">
        <v>555</v>
      </c>
      <c r="J78" t="s">
        <v>556</v>
      </c>
      <c r="K78" t="s">
        <v>557</v>
      </c>
      <c r="L78">
        <v>1346</v>
      </c>
      <c r="N78">
        <v>1009</v>
      </c>
      <c r="O78" t="s">
        <v>96</v>
      </c>
      <c r="P78" t="s">
        <v>96</v>
      </c>
      <c r="Q78">
        <v>1</v>
      </c>
      <c r="W78">
        <v>0</v>
      </c>
      <c r="X78">
        <v>-939965935</v>
      </c>
      <c r="Y78">
        <f t="shared" si="27"/>
        <v>1.1000000000000001</v>
      </c>
      <c r="AA78">
        <v>87.26</v>
      </c>
      <c r="AB78">
        <v>0</v>
      </c>
      <c r="AC78">
        <v>0</v>
      </c>
      <c r="AD78">
        <v>0</v>
      </c>
      <c r="AE78">
        <v>60.6</v>
      </c>
      <c r="AF78">
        <v>0</v>
      </c>
      <c r="AG78">
        <v>0</v>
      </c>
      <c r="AH78">
        <v>0</v>
      </c>
      <c r="AI78">
        <v>1.44</v>
      </c>
      <c r="AJ78">
        <v>1</v>
      </c>
      <c r="AK78">
        <v>1</v>
      </c>
      <c r="AL78">
        <v>1</v>
      </c>
      <c r="AM78">
        <v>2</v>
      </c>
      <c r="AN78">
        <v>0</v>
      </c>
      <c r="AO78">
        <v>0</v>
      </c>
      <c r="AP78">
        <v>0</v>
      </c>
      <c r="AQ78">
        <v>1</v>
      </c>
      <c r="AR78">
        <v>0</v>
      </c>
      <c r="AS78" t="s">
        <v>3</v>
      </c>
      <c r="AT78">
        <v>1.1000000000000001</v>
      </c>
      <c r="AU78" t="s">
        <v>3</v>
      </c>
      <c r="AV78">
        <v>0</v>
      </c>
      <c r="AW78">
        <v>2</v>
      </c>
      <c r="AX78">
        <v>89967456</v>
      </c>
      <c r="AY78">
        <v>1</v>
      </c>
      <c r="AZ78">
        <v>0</v>
      </c>
      <c r="BA78">
        <v>78</v>
      </c>
      <c r="BB78">
        <v>1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66.660000000000011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1</v>
      </c>
      <c r="BQ78">
        <v>66.660000000000011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1</v>
      </c>
      <c r="CV78">
        <v>0</v>
      </c>
      <c r="CW78">
        <v>0</v>
      </c>
      <c r="CX78">
        <f>ROUND(Y78*Source!I47,7)</f>
        <v>0.10009999999999999</v>
      </c>
      <c r="CY78">
        <f>AA78</f>
        <v>87.26</v>
      </c>
      <c r="CZ78">
        <f>AE78</f>
        <v>60.6</v>
      </c>
      <c r="DA78">
        <f>AI78</f>
        <v>1.44</v>
      </c>
      <c r="DB78">
        <f t="shared" si="28"/>
        <v>66.66</v>
      </c>
      <c r="DC78">
        <f t="shared" si="29"/>
        <v>0</v>
      </c>
      <c r="DD78" t="s">
        <v>3</v>
      </c>
      <c r="DE78" t="s">
        <v>3</v>
      </c>
      <c r="DF78">
        <f>ROUND(ROUND(AE78*AI78,2)*CX78,2)</f>
        <v>8.73</v>
      </c>
      <c r="DG78">
        <f>ROUND(ROUND(AF78,2)*CX78,2)</f>
        <v>0</v>
      </c>
      <c r="DH78">
        <f t="shared" si="30"/>
        <v>0</v>
      </c>
      <c r="DI78">
        <f t="shared" si="31"/>
        <v>0</v>
      </c>
      <c r="DJ78">
        <f>DF78</f>
        <v>8.73</v>
      </c>
      <c r="DK78">
        <v>0</v>
      </c>
      <c r="DL78" t="s">
        <v>3</v>
      </c>
      <c r="DM78">
        <v>0</v>
      </c>
      <c r="DN78" t="s">
        <v>3</v>
      </c>
      <c r="DO78">
        <v>0</v>
      </c>
    </row>
    <row r="79" spans="1:119" x14ac:dyDescent="0.2">
      <c r="A79">
        <f>ROW(Source!A93)</f>
        <v>93</v>
      </c>
      <c r="B79">
        <v>94104265</v>
      </c>
      <c r="C79">
        <v>94188117</v>
      </c>
      <c r="D79">
        <v>37069968</v>
      </c>
      <c r="E79">
        <v>117</v>
      </c>
      <c r="F79">
        <v>1</v>
      </c>
      <c r="G79">
        <v>1</v>
      </c>
      <c r="H79">
        <v>1</v>
      </c>
      <c r="I79" t="s">
        <v>426</v>
      </c>
      <c r="J79" t="s">
        <v>3</v>
      </c>
      <c r="K79" t="s">
        <v>427</v>
      </c>
      <c r="L79">
        <v>1191</v>
      </c>
      <c r="N79">
        <v>1013</v>
      </c>
      <c r="O79" t="s">
        <v>428</v>
      </c>
      <c r="P79" t="s">
        <v>428</v>
      </c>
      <c r="Q79">
        <v>1</v>
      </c>
      <c r="W79">
        <v>0</v>
      </c>
      <c r="X79">
        <v>-907905829</v>
      </c>
      <c r="Y79">
        <f t="shared" si="27"/>
        <v>78.739999999999995</v>
      </c>
      <c r="AA79">
        <v>0</v>
      </c>
      <c r="AB79">
        <v>0</v>
      </c>
      <c r="AC79">
        <v>0</v>
      </c>
      <c r="AD79">
        <v>630.44000000000005</v>
      </c>
      <c r="AE79">
        <v>0</v>
      </c>
      <c r="AF79">
        <v>0</v>
      </c>
      <c r="AG79">
        <v>0</v>
      </c>
      <c r="AH79">
        <v>630.44000000000005</v>
      </c>
      <c r="AI79">
        <v>1</v>
      </c>
      <c r="AJ79">
        <v>1</v>
      </c>
      <c r="AK79">
        <v>1</v>
      </c>
      <c r="AL79">
        <v>1</v>
      </c>
      <c r="AM79">
        <v>-2</v>
      </c>
      <c r="AN79">
        <v>0</v>
      </c>
      <c r="AO79">
        <v>0</v>
      </c>
      <c r="AP79">
        <v>0</v>
      </c>
      <c r="AQ79">
        <v>1</v>
      </c>
      <c r="AR79">
        <v>0</v>
      </c>
      <c r="AS79" t="s">
        <v>3</v>
      </c>
      <c r="AT79">
        <v>78.739999999999995</v>
      </c>
      <c r="AU79" t="s">
        <v>3</v>
      </c>
      <c r="AV79">
        <v>1</v>
      </c>
      <c r="AW79">
        <v>2</v>
      </c>
      <c r="AX79">
        <v>94188122</v>
      </c>
      <c r="AY79">
        <v>1</v>
      </c>
      <c r="AZ79">
        <v>0</v>
      </c>
      <c r="BA79">
        <v>79</v>
      </c>
      <c r="BB79">
        <v>1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49640.845600000001</v>
      </c>
      <c r="BN79">
        <v>78.739999999999995</v>
      </c>
      <c r="BO79">
        <v>0</v>
      </c>
      <c r="BP79">
        <v>1</v>
      </c>
      <c r="BQ79">
        <v>0</v>
      </c>
      <c r="BR79">
        <v>0</v>
      </c>
      <c r="BS79">
        <v>0</v>
      </c>
      <c r="BT79">
        <v>49640.845600000001</v>
      </c>
      <c r="BU79">
        <v>78.739999999999995</v>
      </c>
      <c r="BV79">
        <v>0</v>
      </c>
      <c r="BW79">
        <v>1</v>
      </c>
      <c r="CU79">
        <f>ROUND(AT79*Source!I93*AH79*AL79,2)</f>
        <v>1265.8399999999999</v>
      </c>
      <c r="CV79">
        <f>ROUND(Y79*Source!I93,7)</f>
        <v>2.00787</v>
      </c>
      <c r="CW79">
        <v>0</v>
      </c>
      <c r="CX79">
        <f>ROUND(Y79*Source!I93,7)</f>
        <v>2.00787</v>
      </c>
      <c r="CY79">
        <f>AD79</f>
        <v>630.44000000000005</v>
      </c>
      <c r="CZ79">
        <f>AH79</f>
        <v>630.44000000000005</v>
      </c>
      <c r="DA79">
        <f>AL79</f>
        <v>1</v>
      </c>
      <c r="DB79">
        <f t="shared" si="28"/>
        <v>49640.85</v>
      </c>
      <c r="DC79">
        <f t="shared" si="29"/>
        <v>0</v>
      </c>
      <c r="DD79" t="s">
        <v>3</v>
      </c>
      <c r="DE79" t="s">
        <v>3</v>
      </c>
      <c r="DF79">
        <f t="shared" ref="DF79:DF86" si="34">ROUND(ROUND(AE79,2)*CX79,2)</f>
        <v>0</v>
      </c>
      <c r="DG79">
        <f>ROUND(ROUND(AF79,2)*CX79,2)</f>
        <v>0</v>
      </c>
      <c r="DH79">
        <f t="shared" si="30"/>
        <v>0</v>
      </c>
      <c r="DI79">
        <f t="shared" si="31"/>
        <v>1265.8399999999999</v>
      </c>
      <c r="DJ79">
        <f>DI79</f>
        <v>1265.8399999999999</v>
      </c>
      <c r="DK79">
        <v>0</v>
      </c>
      <c r="DL79" t="s">
        <v>3</v>
      </c>
      <c r="DM79">
        <v>0</v>
      </c>
      <c r="DN79" t="s">
        <v>3</v>
      </c>
      <c r="DO79">
        <v>0</v>
      </c>
    </row>
    <row r="80" spans="1:119" x14ac:dyDescent="0.2">
      <c r="A80">
        <f>ROW(Source!A93)</f>
        <v>93</v>
      </c>
      <c r="B80">
        <v>94104265</v>
      </c>
      <c r="C80">
        <v>94188117</v>
      </c>
      <c r="D80">
        <v>37064876</v>
      </c>
      <c r="E80">
        <v>117</v>
      </c>
      <c r="F80">
        <v>1</v>
      </c>
      <c r="G80">
        <v>1</v>
      </c>
      <c r="H80">
        <v>1</v>
      </c>
      <c r="I80" t="s">
        <v>429</v>
      </c>
      <c r="J80" t="s">
        <v>3</v>
      </c>
      <c r="K80" t="s">
        <v>430</v>
      </c>
      <c r="L80">
        <v>1191</v>
      </c>
      <c r="N80">
        <v>1013</v>
      </c>
      <c r="O80" t="s">
        <v>428</v>
      </c>
      <c r="P80" t="s">
        <v>428</v>
      </c>
      <c r="Q80">
        <v>1</v>
      </c>
      <c r="W80">
        <v>0</v>
      </c>
      <c r="X80">
        <v>-1417349443</v>
      </c>
      <c r="Y80">
        <f t="shared" si="27"/>
        <v>0.79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1</v>
      </c>
      <c r="AJ80">
        <v>1</v>
      </c>
      <c r="AK80">
        <v>1</v>
      </c>
      <c r="AL80">
        <v>1</v>
      </c>
      <c r="AM80">
        <v>-2</v>
      </c>
      <c r="AN80">
        <v>0</v>
      </c>
      <c r="AO80">
        <v>0</v>
      </c>
      <c r="AP80">
        <v>0</v>
      </c>
      <c r="AQ80">
        <v>1</v>
      </c>
      <c r="AR80">
        <v>0</v>
      </c>
      <c r="AS80" t="s">
        <v>3</v>
      </c>
      <c r="AT80">
        <v>0.79</v>
      </c>
      <c r="AU80" t="s">
        <v>3</v>
      </c>
      <c r="AV80">
        <v>2</v>
      </c>
      <c r="AW80">
        <v>2</v>
      </c>
      <c r="AX80">
        <v>94188123</v>
      </c>
      <c r="AY80">
        <v>1</v>
      </c>
      <c r="AZ80">
        <v>0</v>
      </c>
      <c r="BA80">
        <v>80</v>
      </c>
      <c r="BB80">
        <v>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CV80">
        <v>0</v>
      </c>
      <c r="CW80">
        <v>0</v>
      </c>
      <c r="CX80">
        <f>ROUND(Y80*Source!I93,7)</f>
        <v>2.0145E-2</v>
      </c>
      <c r="CY80">
        <f>AD80</f>
        <v>0</v>
      </c>
      <c r="CZ80">
        <f>AH80</f>
        <v>0</v>
      </c>
      <c r="DA80">
        <f>AL80</f>
        <v>1</v>
      </c>
      <c r="DB80">
        <f t="shared" si="28"/>
        <v>0</v>
      </c>
      <c r="DC80">
        <f t="shared" si="29"/>
        <v>0</v>
      </c>
      <c r="DD80" t="s">
        <v>3</v>
      </c>
      <c r="DE80" t="s">
        <v>3</v>
      </c>
      <c r="DF80">
        <f t="shared" si="34"/>
        <v>0</v>
      </c>
      <c r="DG80">
        <f>ROUND(ROUND(AF80,2)*CX80,2)</f>
        <v>0</v>
      </c>
      <c r="DH80">
        <f t="shared" si="30"/>
        <v>0</v>
      </c>
      <c r="DI80">
        <f t="shared" si="31"/>
        <v>0</v>
      </c>
      <c r="DJ80">
        <f>DI80</f>
        <v>0</v>
      </c>
      <c r="DK80">
        <v>0</v>
      </c>
      <c r="DL80" t="s">
        <v>3</v>
      </c>
      <c r="DM80">
        <v>0</v>
      </c>
      <c r="DN80" t="s">
        <v>3</v>
      </c>
      <c r="DO80">
        <v>0</v>
      </c>
    </row>
    <row r="81" spans="1:119" x14ac:dyDescent="0.2">
      <c r="A81">
        <f>ROW(Source!A93)</f>
        <v>93</v>
      </c>
      <c r="B81">
        <v>94104265</v>
      </c>
      <c r="C81">
        <v>94188117</v>
      </c>
      <c r="D81">
        <v>87236625</v>
      </c>
      <c r="E81">
        <v>1</v>
      </c>
      <c r="F81">
        <v>1</v>
      </c>
      <c r="G81">
        <v>1</v>
      </c>
      <c r="H81">
        <v>2</v>
      </c>
      <c r="I81" t="s">
        <v>431</v>
      </c>
      <c r="J81" t="s">
        <v>432</v>
      </c>
      <c r="K81" t="s">
        <v>433</v>
      </c>
      <c r="L81">
        <v>1368</v>
      </c>
      <c r="N81">
        <v>1011</v>
      </c>
      <c r="O81" t="s">
        <v>434</v>
      </c>
      <c r="P81" t="s">
        <v>434</v>
      </c>
      <c r="Q81">
        <v>1</v>
      </c>
      <c r="W81">
        <v>0</v>
      </c>
      <c r="X81">
        <v>945201097</v>
      </c>
      <c r="Y81">
        <f t="shared" si="27"/>
        <v>0.79</v>
      </c>
      <c r="AA81">
        <v>0</v>
      </c>
      <c r="AB81">
        <v>58.59</v>
      </c>
      <c r="AC81">
        <v>649.24</v>
      </c>
      <c r="AD81">
        <v>0</v>
      </c>
      <c r="AE81">
        <v>0</v>
      </c>
      <c r="AF81">
        <v>37.32</v>
      </c>
      <c r="AG81">
        <v>649.24</v>
      </c>
      <c r="AH81">
        <v>0</v>
      </c>
      <c r="AI81">
        <v>1</v>
      </c>
      <c r="AJ81">
        <v>1.57</v>
      </c>
      <c r="AK81">
        <v>1</v>
      </c>
      <c r="AL81">
        <v>1</v>
      </c>
      <c r="AM81">
        <v>2</v>
      </c>
      <c r="AN81">
        <v>0</v>
      </c>
      <c r="AO81">
        <v>0</v>
      </c>
      <c r="AP81">
        <v>0</v>
      </c>
      <c r="AQ81">
        <v>1</v>
      </c>
      <c r="AR81">
        <v>0</v>
      </c>
      <c r="AS81" t="s">
        <v>3</v>
      </c>
      <c r="AT81">
        <v>0.79</v>
      </c>
      <c r="AU81" t="s">
        <v>3</v>
      </c>
      <c r="AV81">
        <v>1</v>
      </c>
      <c r="AW81">
        <v>2</v>
      </c>
      <c r="AX81">
        <v>94188124</v>
      </c>
      <c r="AY81">
        <v>2</v>
      </c>
      <c r="AZ81">
        <v>65536</v>
      </c>
      <c r="BA81">
        <v>81</v>
      </c>
      <c r="BB81">
        <v>1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29.482800000000001</v>
      </c>
      <c r="BL81">
        <v>512.89960000000008</v>
      </c>
      <c r="BM81">
        <v>0</v>
      </c>
      <c r="BN81">
        <v>0</v>
      </c>
      <c r="BO81">
        <v>0.79</v>
      </c>
      <c r="BP81">
        <v>1</v>
      </c>
      <c r="BQ81">
        <v>0</v>
      </c>
      <c r="BR81">
        <v>29.482800000000001</v>
      </c>
      <c r="BS81">
        <v>512.89960000000008</v>
      </c>
      <c r="BT81">
        <v>0</v>
      </c>
      <c r="BU81">
        <v>0</v>
      </c>
      <c r="BV81">
        <v>0.79</v>
      </c>
      <c r="BW81">
        <v>1</v>
      </c>
      <c r="CV81">
        <v>0</v>
      </c>
      <c r="CW81">
        <f>ROUND(Y81*Source!I93*DO81,7)</f>
        <v>2.0145E-2</v>
      </c>
      <c r="CX81">
        <f>ROUND(Y81*Source!I93,7)</f>
        <v>2.0145E-2</v>
      </c>
      <c r="CY81">
        <f>AB81</f>
        <v>58.59</v>
      </c>
      <c r="CZ81">
        <f>AF81</f>
        <v>37.32</v>
      </c>
      <c r="DA81">
        <f>AJ81</f>
        <v>1.57</v>
      </c>
      <c r="DB81">
        <f t="shared" si="28"/>
        <v>29.48</v>
      </c>
      <c r="DC81">
        <f t="shared" si="29"/>
        <v>512.9</v>
      </c>
      <c r="DD81" t="s">
        <v>3</v>
      </c>
      <c r="DE81" t="s">
        <v>3</v>
      </c>
      <c r="DF81">
        <f t="shared" si="34"/>
        <v>0</v>
      </c>
      <c r="DG81">
        <f>ROUND(ROUND(AF81*AJ81,2)*CX81,2)</f>
        <v>1.18</v>
      </c>
      <c r="DH81">
        <f t="shared" si="30"/>
        <v>13.08</v>
      </c>
      <c r="DI81">
        <f t="shared" si="31"/>
        <v>0</v>
      </c>
      <c r="DJ81">
        <f>DG81+DH81</f>
        <v>14.26</v>
      </c>
      <c r="DK81">
        <v>0</v>
      </c>
      <c r="DL81" t="s">
        <v>435</v>
      </c>
      <c r="DM81">
        <v>3</v>
      </c>
      <c r="DN81" t="s">
        <v>428</v>
      </c>
      <c r="DO81">
        <v>1</v>
      </c>
    </row>
    <row r="82" spans="1:119" x14ac:dyDescent="0.2">
      <c r="A82">
        <f>ROW(Source!A93)</f>
        <v>93</v>
      </c>
      <c r="B82">
        <v>94104265</v>
      </c>
      <c r="C82">
        <v>94188117</v>
      </c>
      <c r="D82">
        <v>87235788</v>
      </c>
      <c r="E82">
        <v>117</v>
      </c>
      <c r="F82">
        <v>1</v>
      </c>
      <c r="G82">
        <v>1</v>
      </c>
      <c r="H82">
        <v>3</v>
      </c>
      <c r="I82" t="s">
        <v>28</v>
      </c>
      <c r="J82" t="s">
        <v>3</v>
      </c>
      <c r="K82" t="s">
        <v>29</v>
      </c>
      <c r="L82">
        <v>1348</v>
      </c>
      <c r="N82">
        <v>1009</v>
      </c>
      <c r="O82" t="s">
        <v>30</v>
      </c>
      <c r="P82" t="s">
        <v>30</v>
      </c>
      <c r="Q82">
        <v>1000</v>
      </c>
      <c r="W82">
        <v>0</v>
      </c>
      <c r="X82">
        <v>2102561428</v>
      </c>
      <c r="Y82">
        <f t="shared" si="27"/>
        <v>4.3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1</v>
      </c>
      <c r="AJ82">
        <v>1</v>
      </c>
      <c r="AK82">
        <v>1</v>
      </c>
      <c r="AL82">
        <v>1</v>
      </c>
      <c r="AM82">
        <v>-2</v>
      </c>
      <c r="AN82">
        <v>0</v>
      </c>
      <c r="AO82">
        <v>0</v>
      </c>
      <c r="AP82">
        <v>0</v>
      </c>
      <c r="AQ82">
        <v>0</v>
      </c>
      <c r="AR82">
        <v>0</v>
      </c>
      <c r="AS82" t="s">
        <v>3</v>
      </c>
      <c r="AT82">
        <v>4.3</v>
      </c>
      <c r="AU82" t="s">
        <v>3</v>
      </c>
      <c r="AV82">
        <v>0</v>
      </c>
      <c r="AW82">
        <v>2</v>
      </c>
      <c r="AX82">
        <v>94188125</v>
      </c>
      <c r="AY82">
        <v>1</v>
      </c>
      <c r="AZ82">
        <v>0</v>
      </c>
      <c r="BA82">
        <v>82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CV82">
        <v>0</v>
      </c>
      <c r="CW82">
        <v>0</v>
      </c>
      <c r="CX82">
        <f>ROUND(Y82*Source!I93,7)</f>
        <v>0.10965</v>
      </c>
      <c r="CY82">
        <f>AA82</f>
        <v>0</v>
      </c>
      <c r="CZ82">
        <f>AE82</f>
        <v>0</v>
      </c>
      <c r="DA82">
        <f>AI82</f>
        <v>1</v>
      </c>
      <c r="DB82">
        <f t="shared" si="28"/>
        <v>0</v>
      </c>
      <c r="DC82">
        <f t="shared" si="29"/>
        <v>0</v>
      </c>
      <c r="DD82" t="s">
        <v>3</v>
      </c>
      <c r="DE82" t="s">
        <v>3</v>
      </c>
      <c r="DF82">
        <f t="shared" si="34"/>
        <v>0</v>
      </c>
      <c r="DG82">
        <f>ROUND(ROUND(AF82,2)*CX82,2)</f>
        <v>0</v>
      </c>
      <c r="DH82">
        <f t="shared" si="30"/>
        <v>0</v>
      </c>
      <c r="DI82">
        <f t="shared" si="31"/>
        <v>0</v>
      </c>
      <c r="DJ82">
        <f>DF82</f>
        <v>0</v>
      </c>
      <c r="DK82">
        <v>0</v>
      </c>
      <c r="DL82" t="s">
        <v>3</v>
      </c>
      <c r="DM82">
        <v>0</v>
      </c>
      <c r="DN82" t="s">
        <v>3</v>
      </c>
      <c r="DO82">
        <v>0</v>
      </c>
    </row>
    <row r="83" spans="1:119" x14ac:dyDescent="0.2">
      <c r="A83">
        <f>ROW(Source!A95)</f>
        <v>95</v>
      </c>
      <c r="B83">
        <v>94104265</v>
      </c>
      <c r="C83">
        <v>94188127</v>
      </c>
      <c r="D83">
        <v>37065248</v>
      </c>
      <c r="E83">
        <v>117</v>
      </c>
      <c r="F83">
        <v>1</v>
      </c>
      <c r="G83">
        <v>1</v>
      </c>
      <c r="H83">
        <v>1</v>
      </c>
      <c r="I83" t="s">
        <v>436</v>
      </c>
      <c r="J83" t="s">
        <v>3</v>
      </c>
      <c r="K83" t="s">
        <v>437</v>
      </c>
      <c r="L83">
        <v>1191</v>
      </c>
      <c r="N83">
        <v>1013</v>
      </c>
      <c r="O83" t="s">
        <v>428</v>
      </c>
      <c r="P83" t="s">
        <v>428</v>
      </c>
      <c r="Q83">
        <v>1</v>
      </c>
      <c r="W83">
        <v>0</v>
      </c>
      <c r="X83">
        <v>-1833565283</v>
      </c>
      <c r="Y83">
        <f t="shared" si="27"/>
        <v>19.809999999999999</v>
      </c>
      <c r="AA83">
        <v>0</v>
      </c>
      <c r="AB83">
        <v>0</v>
      </c>
      <c r="AC83">
        <v>0</v>
      </c>
      <c r="AD83">
        <v>641.22</v>
      </c>
      <c r="AE83">
        <v>0</v>
      </c>
      <c r="AF83">
        <v>0</v>
      </c>
      <c r="AG83">
        <v>0</v>
      </c>
      <c r="AH83">
        <v>641.22</v>
      </c>
      <c r="AI83">
        <v>1</v>
      </c>
      <c r="AJ83">
        <v>1</v>
      </c>
      <c r="AK83">
        <v>1</v>
      </c>
      <c r="AL83">
        <v>1</v>
      </c>
      <c r="AM83">
        <v>-2</v>
      </c>
      <c r="AN83">
        <v>0</v>
      </c>
      <c r="AO83">
        <v>0</v>
      </c>
      <c r="AP83">
        <v>0</v>
      </c>
      <c r="AQ83">
        <v>1</v>
      </c>
      <c r="AR83">
        <v>0</v>
      </c>
      <c r="AS83" t="s">
        <v>3</v>
      </c>
      <c r="AT83">
        <v>19.809999999999999</v>
      </c>
      <c r="AU83" t="s">
        <v>3</v>
      </c>
      <c r="AV83">
        <v>1</v>
      </c>
      <c r="AW83">
        <v>2</v>
      </c>
      <c r="AX83">
        <v>94188134</v>
      </c>
      <c r="AY83">
        <v>1</v>
      </c>
      <c r="AZ83">
        <v>0</v>
      </c>
      <c r="BA83">
        <v>83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12702.5682</v>
      </c>
      <c r="BN83">
        <v>19.809999999999999</v>
      </c>
      <c r="BO83">
        <v>0</v>
      </c>
      <c r="BP83">
        <v>1</v>
      </c>
      <c r="BQ83">
        <v>0</v>
      </c>
      <c r="BR83">
        <v>0</v>
      </c>
      <c r="BS83">
        <v>0</v>
      </c>
      <c r="BT83">
        <v>12702.5682</v>
      </c>
      <c r="BU83">
        <v>19.809999999999999</v>
      </c>
      <c r="BV83">
        <v>0</v>
      </c>
      <c r="BW83">
        <v>1</v>
      </c>
      <c r="CU83">
        <f>ROUND(AT83*Source!I95*AH83*AL83,2)</f>
        <v>4858.7299999999996</v>
      </c>
      <c r="CV83">
        <f>ROUND(Y83*Source!I95,7)</f>
        <v>7.5773250000000001</v>
      </c>
      <c r="CW83">
        <v>0</v>
      </c>
      <c r="CX83">
        <f>ROUND(Y83*Source!I95,7)</f>
        <v>7.5773250000000001</v>
      </c>
      <c r="CY83">
        <f>AD83</f>
        <v>641.22</v>
      </c>
      <c r="CZ83">
        <f>AH83</f>
        <v>641.22</v>
      </c>
      <c r="DA83">
        <f>AL83</f>
        <v>1</v>
      </c>
      <c r="DB83">
        <f t="shared" si="28"/>
        <v>12702.57</v>
      </c>
      <c r="DC83">
        <f t="shared" si="29"/>
        <v>0</v>
      </c>
      <c r="DD83" t="s">
        <v>3</v>
      </c>
      <c r="DE83" t="s">
        <v>3</v>
      </c>
      <c r="DF83">
        <f t="shared" si="34"/>
        <v>0</v>
      </c>
      <c r="DG83">
        <f>ROUND(ROUND(AF83,2)*CX83,2)</f>
        <v>0</v>
      </c>
      <c r="DH83">
        <f t="shared" si="30"/>
        <v>0</v>
      </c>
      <c r="DI83">
        <f t="shared" si="31"/>
        <v>4858.7299999999996</v>
      </c>
      <c r="DJ83">
        <f>DI83</f>
        <v>4858.7299999999996</v>
      </c>
      <c r="DK83">
        <v>0</v>
      </c>
      <c r="DL83" t="s">
        <v>3</v>
      </c>
      <c r="DM83">
        <v>0</v>
      </c>
      <c r="DN83" t="s">
        <v>3</v>
      </c>
      <c r="DO83">
        <v>0</v>
      </c>
    </row>
    <row r="84" spans="1:119" x14ac:dyDescent="0.2">
      <c r="A84">
        <f>ROW(Source!A95)</f>
        <v>95</v>
      </c>
      <c r="B84">
        <v>94104265</v>
      </c>
      <c r="C84">
        <v>94188127</v>
      </c>
      <c r="D84">
        <v>87237491</v>
      </c>
      <c r="E84">
        <v>1</v>
      </c>
      <c r="F84">
        <v>1</v>
      </c>
      <c r="G84">
        <v>1</v>
      </c>
      <c r="H84">
        <v>2</v>
      </c>
      <c r="I84" t="s">
        <v>438</v>
      </c>
      <c r="J84" t="s">
        <v>439</v>
      </c>
      <c r="K84" t="s">
        <v>440</v>
      </c>
      <c r="L84">
        <v>1368</v>
      </c>
      <c r="N84">
        <v>1011</v>
      </c>
      <c r="O84" t="s">
        <v>434</v>
      </c>
      <c r="P84" t="s">
        <v>434</v>
      </c>
      <c r="Q84">
        <v>1</v>
      </c>
      <c r="W84">
        <v>0</v>
      </c>
      <c r="X84">
        <v>-880363394</v>
      </c>
      <c r="Y84">
        <f t="shared" si="27"/>
        <v>2.36</v>
      </c>
      <c r="AA84">
        <v>0</v>
      </c>
      <c r="AB84">
        <v>5.35</v>
      </c>
      <c r="AC84">
        <v>0</v>
      </c>
      <c r="AD84">
        <v>0</v>
      </c>
      <c r="AE84">
        <v>0</v>
      </c>
      <c r="AF84">
        <v>4.3499999999999996</v>
      </c>
      <c r="AG84">
        <v>0</v>
      </c>
      <c r="AH84">
        <v>0</v>
      </c>
      <c r="AI84">
        <v>1</v>
      </c>
      <c r="AJ84">
        <v>1.23</v>
      </c>
      <c r="AK84">
        <v>1</v>
      </c>
      <c r="AL84">
        <v>1</v>
      </c>
      <c r="AM84">
        <v>2</v>
      </c>
      <c r="AN84">
        <v>0</v>
      </c>
      <c r="AO84">
        <v>0</v>
      </c>
      <c r="AP84">
        <v>0</v>
      </c>
      <c r="AQ84">
        <v>1</v>
      </c>
      <c r="AR84">
        <v>0</v>
      </c>
      <c r="AS84" t="s">
        <v>3</v>
      </c>
      <c r="AT84">
        <v>2.36</v>
      </c>
      <c r="AU84" t="s">
        <v>3</v>
      </c>
      <c r="AV84">
        <v>1</v>
      </c>
      <c r="AW84">
        <v>2</v>
      </c>
      <c r="AX84">
        <v>94188135</v>
      </c>
      <c r="AY84">
        <v>1</v>
      </c>
      <c r="AZ84">
        <v>0</v>
      </c>
      <c r="BA84">
        <v>84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10.265999999999998</v>
      </c>
      <c r="BL84">
        <v>0</v>
      </c>
      <c r="BM84">
        <v>0</v>
      </c>
      <c r="BN84">
        <v>0</v>
      </c>
      <c r="BO84">
        <v>0</v>
      </c>
      <c r="BP84">
        <v>1</v>
      </c>
      <c r="BQ84">
        <v>0</v>
      </c>
      <c r="BR84">
        <v>10.265999999999998</v>
      </c>
      <c r="BS84">
        <v>0</v>
      </c>
      <c r="BT84">
        <v>0</v>
      </c>
      <c r="BU84">
        <v>0</v>
      </c>
      <c r="BV84">
        <v>0</v>
      </c>
      <c r="BW84">
        <v>1</v>
      </c>
      <c r="CV84">
        <v>0</v>
      </c>
      <c r="CW84">
        <f>ROUND(Y84*Source!I95*DO84,7)</f>
        <v>0</v>
      </c>
      <c r="CX84">
        <f>ROUND(Y84*Source!I95,7)</f>
        <v>0.90269999999999995</v>
      </c>
      <c r="CY84">
        <f>AB84</f>
        <v>5.35</v>
      </c>
      <c r="CZ84">
        <f>AF84</f>
        <v>4.3499999999999996</v>
      </c>
      <c r="DA84">
        <f>AJ84</f>
        <v>1.23</v>
      </c>
      <c r="DB84">
        <f t="shared" si="28"/>
        <v>10.27</v>
      </c>
      <c r="DC84">
        <f t="shared" si="29"/>
        <v>0</v>
      </c>
      <c r="DD84" t="s">
        <v>3</v>
      </c>
      <c r="DE84" t="s">
        <v>3</v>
      </c>
      <c r="DF84">
        <f t="shared" si="34"/>
        <v>0</v>
      </c>
      <c r="DG84">
        <f>ROUND(ROUND(AF84*AJ84,2)*CX84,2)</f>
        <v>4.83</v>
      </c>
      <c r="DH84">
        <f t="shared" si="30"/>
        <v>0</v>
      </c>
      <c r="DI84">
        <f t="shared" si="31"/>
        <v>0</v>
      </c>
      <c r="DJ84">
        <f>DG84+DH84</f>
        <v>4.83</v>
      </c>
      <c r="DK84">
        <v>0</v>
      </c>
      <c r="DL84" t="s">
        <v>3</v>
      </c>
      <c r="DM84">
        <v>0</v>
      </c>
      <c r="DN84" t="s">
        <v>3</v>
      </c>
      <c r="DO84">
        <v>0</v>
      </c>
    </row>
    <row r="85" spans="1:119" x14ac:dyDescent="0.2">
      <c r="A85">
        <f>ROW(Source!A95)</f>
        <v>95</v>
      </c>
      <c r="B85">
        <v>94104265</v>
      </c>
      <c r="C85">
        <v>94188127</v>
      </c>
      <c r="D85">
        <v>87237545</v>
      </c>
      <c r="E85">
        <v>1</v>
      </c>
      <c r="F85">
        <v>1</v>
      </c>
      <c r="G85">
        <v>1</v>
      </c>
      <c r="H85">
        <v>2</v>
      </c>
      <c r="I85" t="s">
        <v>441</v>
      </c>
      <c r="J85" t="s">
        <v>442</v>
      </c>
      <c r="K85" t="s">
        <v>443</v>
      </c>
      <c r="L85">
        <v>1368</v>
      </c>
      <c r="N85">
        <v>1011</v>
      </c>
      <c r="O85" t="s">
        <v>434</v>
      </c>
      <c r="P85" t="s">
        <v>434</v>
      </c>
      <c r="Q85">
        <v>1</v>
      </c>
      <c r="W85">
        <v>0</v>
      </c>
      <c r="X85">
        <v>-1543625212</v>
      </c>
      <c r="Y85">
        <f t="shared" si="27"/>
        <v>8.15</v>
      </c>
      <c r="AA85">
        <v>0</v>
      </c>
      <c r="AB85">
        <v>91.39</v>
      </c>
      <c r="AC85">
        <v>0</v>
      </c>
      <c r="AD85">
        <v>0</v>
      </c>
      <c r="AE85">
        <v>0</v>
      </c>
      <c r="AF85">
        <v>67.2</v>
      </c>
      <c r="AG85">
        <v>0</v>
      </c>
      <c r="AH85">
        <v>0</v>
      </c>
      <c r="AI85">
        <v>1</v>
      </c>
      <c r="AJ85">
        <v>1.36</v>
      </c>
      <c r="AK85">
        <v>1</v>
      </c>
      <c r="AL85">
        <v>1</v>
      </c>
      <c r="AM85">
        <v>2</v>
      </c>
      <c r="AN85">
        <v>0</v>
      </c>
      <c r="AO85">
        <v>0</v>
      </c>
      <c r="AP85">
        <v>0</v>
      </c>
      <c r="AQ85">
        <v>1</v>
      </c>
      <c r="AR85">
        <v>0</v>
      </c>
      <c r="AS85" t="s">
        <v>3</v>
      </c>
      <c r="AT85">
        <v>8.15</v>
      </c>
      <c r="AU85" t="s">
        <v>3</v>
      </c>
      <c r="AV85">
        <v>1</v>
      </c>
      <c r="AW85">
        <v>2</v>
      </c>
      <c r="AX85">
        <v>94188136</v>
      </c>
      <c r="AY85">
        <v>1</v>
      </c>
      <c r="AZ85">
        <v>0</v>
      </c>
      <c r="BA85">
        <v>85</v>
      </c>
      <c r="BB85">
        <v>1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547.68000000000006</v>
      </c>
      <c r="BL85">
        <v>0</v>
      </c>
      <c r="BM85">
        <v>0</v>
      </c>
      <c r="BN85">
        <v>0</v>
      </c>
      <c r="BO85">
        <v>0</v>
      </c>
      <c r="BP85">
        <v>1</v>
      </c>
      <c r="BQ85">
        <v>0</v>
      </c>
      <c r="BR85">
        <v>547.68000000000006</v>
      </c>
      <c r="BS85">
        <v>0</v>
      </c>
      <c r="BT85">
        <v>0</v>
      </c>
      <c r="BU85">
        <v>0</v>
      </c>
      <c r="BV85">
        <v>0</v>
      </c>
      <c r="BW85">
        <v>1</v>
      </c>
      <c r="CV85">
        <v>0</v>
      </c>
      <c r="CW85">
        <f>ROUND(Y85*Source!I95*DO85,7)</f>
        <v>0</v>
      </c>
      <c r="CX85">
        <f>ROUND(Y85*Source!I95,7)</f>
        <v>3.117375</v>
      </c>
      <c r="CY85">
        <f>AB85</f>
        <v>91.39</v>
      </c>
      <c r="CZ85">
        <f>AF85</f>
        <v>67.2</v>
      </c>
      <c r="DA85">
        <f>AJ85</f>
        <v>1.36</v>
      </c>
      <c r="DB85">
        <f t="shared" si="28"/>
        <v>547.67999999999995</v>
      </c>
      <c r="DC85">
        <f t="shared" si="29"/>
        <v>0</v>
      </c>
      <c r="DD85" t="s">
        <v>3</v>
      </c>
      <c r="DE85" t="s">
        <v>3</v>
      </c>
      <c r="DF85">
        <f t="shared" si="34"/>
        <v>0</v>
      </c>
      <c r="DG85">
        <f>ROUND(ROUND(AF85*AJ85,2)*CX85,2)</f>
        <v>284.89999999999998</v>
      </c>
      <c r="DH85">
        <f t="shared" si="30"/>
        <v>0</v>
      </c>
      <c r="DI85">
        <f t="shared" si="31"/>
        <v>0</v>
      </c>
      <c r="DJ85">
        <f>DG85+DH85</f>
        <v>284.89999999999998</v>
      </c>
      <c r="DK85">
        <v>0</v>
      </c>
      <c r="DL85" t="s">
        <v>3</v>
      </c>
      <c r="DM85">
        <v>0</v>
      </c>
      <c r="DN85" t="s">
        <v>3</v>
      </c>
      <c r="DO85">
        <v>0</v>
      </c>
    </row>
    <row r="86" spans="1:119" x14ac:dyDescent="0.2">
      <c r="A86">
        <f>ROW(Source!A95)</f>
        <v>95</v>
      </c>
      <c r="B86">
        <v>94104265</v>
      </c>
      <c r="C86">
        <v>94188127</v>
      </c>
      <c r="D86">
        <v>87237938</v>
      </c>
      <c r="E86">
        <v>1</v>
      </c>
      <c r="F86">
        <v>1</v>
      </c>
      <c r="G86">
        <v>1</v>
      </c>
      <c r="H86">
        <v>2</v>
      </c>
      <c r="I86" t="s">
        <v>444</v>
      </c>
      <c r="J86" t="s">
        <v>445</v>
      </c>
      <c r="K86" t="s">
        <v>446</v>
      </c>
      <c r="L86">
        <v>1368</v>
      </c>
      <c r="N86">
        <v>1011</v>
      </c>
      <c r="O86" t="s">
        <v>434</v>
      </c>
      <c r="P86" t="s">
        <v>434</v>
      </c>
      <c r="Q86">
        <v>1</v>
      </c>
      <c r="W86">
        <v>0</v>
      </c>
      <c r="X86">
        <v>584770812</v>
      </c>
      <c r="Y86">
        <f t="shared" si="27"/>
        <v>16.3</v>
      </c>
      <c r="AA86">
        <v>0</v>
      </c>
      <c r="AB86">
        <v>3.44</v>
      </c>
      <c r="AC86">
        <v>0</v>
      </c>
      <c r="AD86">
        <v>0</v>
      </c>
      <c r="AE86">
        <v>0</v>
      </c>
      <c r="AF86">
        <v>2.11</v>
      </c>
      <c r="AG86">
        <v>0</v>
      </c>
      <c r="AH86">
        <v>0</v>
      </c>
      <c r="AI86">
        <v>1</v>
      </c>
      <c r="AJ86">
        <v>1.63</v>
      </c>
      <c r="AK86">
        <v>1</v>
      </c>
      <c r="AL86">
        <v>1</v>
      </c>
      <c r="AM86">
        <v>2</v>
      </c>
      <c r="AN86">
        <v>0</v>
      </c>
      <c r="AO86">
        <v>0</v>
      </c>
      <c r="AP86">
        <v>0</v>
      </c>
      <c r="AQ86">
        <v>1</v>
      </c>
      <c r="AR86">
        <v>0</v>
      </c>
      <c r="AS86" t="s">
        <v>3</v>
      </c>
      <c r="AT86">
        <v>16.3</v>
      </c>
      <c r="AU86" t="s">
        <v>3</v>
      </c>
      <c r="AV86">
        <v>1</v>
      </c>
      <c r="AW86">
        <v>2</v>
      </c>
      <c r="AX86">
        <v>94188137</v>
      </c>
      <c r="AY86">
        <v>2</v>
      </c>
      <c r="AZ86">
        <v>32768</v>
      </c>
      <c r="BA86">
        <v>86</v>
      </c>
      <c r="BB86">
        <v>1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34.393000000000001</v>
      </c>
      <c r="BL86">
        <v>0</v>
      </c>
      <c r="BM86">
        <v>0</v>
      </c>
      <c r="BN86">
        <v>0</v>
      </c>
      <c r="BO86">
        <v>0</v>
      </c>
      <c r="BP86">
        <v>1</v>
      </c>
      <c r="BQ86">
        <v>0</v>
      </c>
      <c r="BR86">
        <v>34.393000000000001</v>
      </c>
      <c r="BS86">
        <v>0</v>
      </c>
      <c r="BT86">
        <v>0</v>
      </c>
      <c r="BU86">
        <v>0</v>
      </c>
      <c r="BV86">
        <v>0</v>
      </c>
      <c r="BW86">
        <v>1</v>
      </c>
      <c r="CV86">
        <v>0</v>
      </c>
      <c r="CW86">
        <f>ROUND(Y86*Source!I95*DO86,7)</f>
        <v>0</v>
      </c>
      <c r="CX86">
        <f>ROUND(Y86*Source!I95,7)</f>
        <v>6.23475</v>
      </c>
      <c r="CY86">
        <f>AB86</f>
        <v>3.44</v>
      </c>
      <c r="CZ86">
        <f>AF86</f>
        <v>2.11</v>
      </c>
      <c r="DA86">
        <f>AJ86</f>
        <v>1.63</v>
      </c>
      <c r="DB86">
        <f t="shared" si="28"/>
        <v>34.39</v>
      </c>
      <c r="DC86">
        <f t="shared" si="29"/>
        <v>0</v>
      </c>
      <c r="DD86" t="s">
        <v>3</v>
      </c>
      <c r="DE86" t="s">
        <v>3</v>
      </c>
      <c r="DF86">
        <f t="shared" si="34"/>
        <v>0</v>
      </c>
      <c r="DG86">
        <f>ROUND(ROUND(AF86*AJ86,2)*CX86,2)</f>
        <v>21.45</v>
      </c>
      <c r="DH86">
        <f t="shared" si="30"/>
        <v>0</v>
      </c>
      <c r="DI86">
        <f t="shared" si="31"/>
        <v>0</v>
      </c>
      <c r="DJ86">
        <f>DG86+DH86</f>
        <v>21.45</v>
      </c>
      <c r="DK86">
        <v>0</v>
      </c>
      <c r="DL86" t="s">
        <v>3</v>
      </c>
      <c r="DM86">
        <v>0</v>
      </c>
      <c r="DN86" t="s">
        <v>3</v>
      </c>
      <c r="DO86">
        <v>0</v>
      </c>
    </row>
    <row r="87" spans="1:119" x14ac:dyDescent="0.2">
      <c r="A87">
        <f>ROW(Source!A95)</f>
        <v>95</v>
      </c>
      <c r="B87">
        <v>94104265</v>
      </c>
      <c r="C87">
        <v>94188127</v>
      </c>
      <c r="D87">
        <v>87302091</v>
      </c>
      <c r="E87">
        <v>1</v>
      </c>
      <c r="F87">
        <v>1</v>
      </c>
      <c r="G87">
        <v>1</v>
      </c>
      <c r="H87">
        <v>3</v>
      </c>
      <c r="I87" t="s">
        <v>447</v>
      </c>
      <c r="J87" t="s">
        <v>448</v>
      </c>
      <c r="K87" t="s">
        <v>449</v>
      </c>
      <c r="L87">
        <v>1339</v>
      </c>
      <c r="N87">
        <v>1007</v>
      </c>
      <c r="O87" t="s">
        <v>34</v>
      </c>
      <c r="P87" t="s">
        <v>34</v>
      </c>
      <c r="Q87">
        <v>1</v>
      </c>
      <c r="W87">
        <v>0</v>
      </c>
      <c r="X87">
        <v>-1693431674</v>
      </c>
      <c r="Y87">
        <f t="shared" si="27"/>
        <v>0.26</v>
      </c>
      <c r="AA87">
        <v>544.66</v>
      </c>
      <c r="AB87">
        <v>0</v>
      </c>
      <c r="AC87">
        <v>0</v>
      </c>
      <c r="AD87">
        <v>0</v>
      </c>
      <c r="AE87">
        <v>340.41</v>
      </c>
      <c r="AF87">
        <v>0</v>
      </c>
      <c r="AG87">
        <v>0</v>
      </c>
      <c r="AH87">
        <v>0</v>
      </c>
      <c r="AI87">
        <v>1.6</v>
      </c>
      <c r="AJ87">
        <v>1</v>
      </c>
      <c r="AK87">
        <v>1</v>
      </c>
      <c r="AL87">
        <v>1</v>
      </c>
      <c r="AM87">
        <v>2</v>
      </c>
      <c r="AN87">
        <v>0</v>
      </c>
      <c r="AO87">
        <v>0</v>
      </c>
      <c r="AP87">
        <v>0</v>
      </c>
      <c r="AQ87">
        <v>1</v>
      </c>
      <c r="AR87">
        <v>0</v>
      </c>
      <c r="AS87" t="s">
        <v>3</v>
      </c>
      <c r="AT87">
        <v>0.26</v>
      </c>
      <c r="AU87" t="s">
        <v>3</v>
      </c>
      <c r="AV87">
        <v>0</v>
      </c>
      <c r="AW87">
        <v>2</v>
      </c>
      <c r="AX87">
        <v>94188138</v>
      </c>
      <c r="AY87">
        <v>1</v>
      </c>
      <c r="AZ87">
        <v>0</v>
      </c>
      <c r="BA87">
        <v>87</v>
      </c>
      <c r="BB87">
        <v>1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88.506600000000006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1</v>
      </c>
      <c r="BQ87">
        <v>88.506600000000006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1</v>
      </c>
      <c r="CV87">
        <v>0</v>
      </c>
      <c r="CW87">
        <v>0</v>
      </c>
      <c r="CX87">
        <f>ROUND(Y87*Source!I95,7)</f>
        <v>9.9449999999999997E-2</v>
      </c>
      <c r="CY87">
        <f>AA87</f>
        <v>544.66</v>
      </c>
      <c r="CZ87">
        <f>AE87</f>
        <v>340.41</v>
      </c>
      <c r="DA87">
        <f>AI87</f>
        <v>1.6</v>
      </c>
      <c r="DB87">
        <f t="shared" si="28"/>
        <v>88.51</v>
      </c>
      <c r="DC87">
        <f t="shared" si="29"/>
        <v>0</v>
      </c>
      <c r="DD87" t="s">
        <v>3</v>
      </c>
      <c r="DE87" t="s">
        <v>3</v>
      </c>
      <c r="DF87">
        <f>ROUND(ROUND(AE87*AI87,2)*CX87,2)</f>
        <v>54.17</v>
      </c>
      <c r="DG87">
        <f>ROUND(ROUND(AF87,2)*CX87,2)</f>
        <v>0</v>
      </c>
      <c r="DH87">
        <f t="shared" si="30"/>
        <v>0</v>
      </c>
      <c r="DI87">
        <f t="shared" si="31"/>
        <v>0</v>
      </c>
      <c r="DJ87">
        <f>DF87</f>
        <v>54.17</v>
      </c>
      <c r="DK87">
        <v>0</v>
      </c>
      <c r="DL87" t="s">
        <v>3</v>
      </c>
      <c r="DM87">
        <v>0</v>
      </c>
      <c r="DN87" t="s">
        <v>3</v>
      </c>
      <c r="DO87">
        <v>0</v>
      </c>
    </row>
    <row r="88" spans="1:119" x14ac:dyDescent="0.2">
      <c r="A88">
        <f>ROW(Source!A95)</f>
        <v>95</v>
      </c>
      <c r="B88">
        <v>94104265</v>
      </c>
      <c r="C88">
        <v>94188127</v>
      </c>
      <c r="D88">
        <v>87302107</v>
      </c>
      <c r="E88">
        <v>1</v>
      </c>
      <c r="F88">
        <v>1</v>
      </c>
      <c r="G88">
        <v>1</v>
      </c>
      <c r="H88">
        <v>3</v>
      </c>
      <c r="I88" t="s">
        <v>450</v>
      </c>
      <c r="J88" t="s">
        <v>451</v>
      </c>
      <c r="K88" t="s">
        <v>452</v>
      </c>
      <c r="L88">
        <v>1339</v>
      </c>
      <c r="N88">
        <v>1007</v>
      </c>
      <c r="O88" t="s">
        <v>34</v>
      </c>
      <c r="P88" t="s">
        <v>34</v>
      </c>
      <c r="Q88">
        <v>1</v>
      </c>
      <c r="W88">
        <v>0</v>
      </c>
      <c r="X88">
        <v>-2058989610</v>
      </c>
      <c r="Y88">
        <f t="shared" si="27"/>
        <v>2</v>
      </c>
      <c r="AA88">
        <v>98.59</v>
      </c>
      <c r="AB88">
        <v>0</v>
      </c>
      <c r="AC88">
        <v>0</v>
      </c>
      <c r="AD88">
        <v>0</v>
      </c>
      <c r="AE88">
        <v>114.64</v>
      </c>
      <c r="AF88">
        <v>0</v>
      </c>
      <c r="AG88">
        <v>0</v>
      </c>
      <c r="AH88">
        <v>0</v>
      </c>
      <c r="AI88">
        <v>0.86</v>
      </c>
      <c r="AJ88">
        <v>1</v>
      </c>
      <c r="AK88">
        <v>1</v>
      </c>
      <c r="AL88">
        <v>1</v>
      </c>
      <c r="AM88">
        <v>2</v>
      </c>
      <c r="AN88">
        <v>0</v>
      </c>
      <c r="AO88">
        <v>0</v>
      </c>
      <c r="AP88">
        <v>0</v>
      </c>
      <c r="AQ88">
        <v>1</v>
      </c>
      <c r="AR88">
        <v>0</v>
      </c>
      <c r="AS88" t="s">
        <v>3</v>
      </c>
      <c r="AT88">
        <v>2</v>
      </c>
      <c r="AU88" t="s">
        <v>3</v>
      </c>
      <c r="AV88">
        <v>0</v>
      </c>
      <c r="AW88">
        <v>2</v>
      </c>
      <c r="AX88">
        <v>94188139</v>
      </c>
      <c r="AY88">
        <v>1</v>
      </c>
      <c r="AZ88">
        <v>0</v>
      </c>
      <c r="BA88">
        <v>88</v>
      </c>
      <c r="BB88">
        <v>1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229.28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1</v>
      </c>
      <c r="BQ88">
        <v>229.28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1</v>
      </c>
      <c r="CV88">
        <v>0</v>
      </c>
      <c r="CW88">
        <v>0</v>
      </c>
      <c r="CX88">
        <f>ROUND(Y88*Source!I95,7)</f>
        <v>0.76500000000000001</v>
      </c>
      <c r="CY88">
        <f>AA88</f>
        <v>98.59</v>
      </c>
      <c r="CZ88">
        <f>AE88</f>
        <v>114.64</v>
      </c>
      <c r="DA88">
        <f>AI88</f>
        <v>0.86</v>
      </c>
      <c r="DB88">
        <f t="shared" si="28"/>
        <v>229.28</v>
      </c>
      <c r="DC88">
        <f t="shared" si="29"/>
        <v>0</v>
      </c>
      <c r="DD88" t="s">
        <v>3</v>
      </c>
      <c r="DE88" t="s">
        <v>3</v>
      </c>
      <c r="DF88">
        <f>ROUND(ROUND(AE88*AI88,2)*CX88,2)</f>
        <v>75.42</v>
      </c>
      <c r="DG88">
        <f>ROUND(ROUND(AF88,2)*CX88,2)</f>
        <v>0</v>
      </c>
      <c r="DH88">
        <f t="shared" si="30"/>
        <v>0</v>
      </c>
      <c r="DI88">
        <f t="shared" si="31"/>
        <v>0</v>
      </c>
      <c r="DJ88">
        <f>DF88</f>
        <v>75.42</v>
      </c>
      <c r="DK88">
        <v>0</v>
      </c>
      <c r="DL88" t="s">
        <v>3</v>
      </c>
      <c r="DM88">
        <v>0</v>
      </c>
      <c r="DN88" t="s">
        <v>3</v>
      </c>
      <c r="DO88">
        <v>0</v>
      </c>
    </row>
    <row r="89" spans="1:119" x14ac:dyDescent="0.2">
      <c r="A89">
        <f>ROW(Source!A96)</f>
        <v>96</v>
      </c>
      <c r="B89">
        <v>94104265</v>
      </c>
      <c r="C89">
        <v>94188140</v>
      </c>
      <c r="D89">
        <v>37065248</v>
      </c>
      <c r="E89">
        <v>117</v>
      </c>
      <c r="F89">
        <v>1</v>
      </c>
      <c r="G89">
        <v>1</v>
      </c>
      <c r="H89">
        <v>1</v>
      </c>
      <c r="I89" t="s">
        <v>436</v>
      </c>
      <c r="J89" t="s">
        <v>3</v>
      </c>
      <c r="K89" t="s">
        <v>437</v>
      </c>
      <c r="L89">
        <v>1191</v>
      </c>
      <c r="N89">
        <v>1013</v>
      </c>
      <c r="O89" t="s">
        <v>428</v>
      </c>
      <c r="P89" t="s">
        <v>428</v>
      </c>
      <c r="Q89">
        <v>1</v>
      </c>
      <c r="W89">
        <v>0</v>
      </c>
      <c r="X89">
        <v>-1833565283</v>
      </c>
      <c r="Y89">
        <f t="shared" si="27"/>
        <v>4.8499999999999996</v>
      </c>
      <c r="AA89">
        <v>0</v>
      </c>
      <c r="AB89">
        <v>0</v>
      </c>
      <c r="AC89">
        <v>0</v>
      </c>
      <c r="AD89">
        <v>649.24</v>
      </c>
      <c r="AE89">
        <v>0</v>
      </c>
      <c r="AF89">
        <v>0</v>
      </c>
      <c r="AG89">
        <v>0</v>
      </c>
      <c r="AH89">
        <v>649.24</v>
      </c>
      <c r="AI89">
        <v>1</v>
      </c>
      <c r="AJ89">
        <v>1</v>
      </c>
      <c r="AK89">
        <v>1</v>
      </c>
      <c r="AL89">
        <v>1</v>
      </c>
      <c r="AM89">
        <v>-2</v>
      </c>
      <c r="AN89">
        <v>0</v>
      </c>
      <c r="AO89">
        <v>0</v>
      </c>
      <c r="AP89">
        <v>1</v>
      </c>
      <c r="AQ89">
        <v>1</v>
      </c>
      <c r="AR89">
        <v>0</v>
      </c>
      <c r="AS89" t="s">
        <v>3</v>
      </c>
      <c r="AT89">
        <v>4.8499999999999996</v>
      </c>
      <c r="AU89" t="s">
        <v>3</v>
      </c>
      <c r="AV89">
        <v>1</v>
      </c>
      <c r="AW89">
        <v>2</v>
      </c>
      <c r="AX89">
        <v>94188155</v>
      </c>
      <c r="AY89">
        <v>2</v>
      </c>
      <c r="AZ89">
        <v>131072</v>
      </c>
      <c r="BA89">
        <v>89</v>
      </c>
      <c r="BB89">
        <v>1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3148.8139999999999</v>
      </c>
      <c r="BN89">
        <v>4.8499999999999996</v>
      </c>
      <c r="BO89">
        <v>0</v>
      </c>
      <c r="BP89">
        <v>1</v>
      </c>
      <c r="BQ89">
        <v>0</v>
      </c>
      <c r="BR89">
        <v>0</v>
      </c>
      <c r="BS89">
        <v>0</v>
      </c>
      <c r="BT89">
        <v>3148.8139999999999</v>
      </c>
      <c r="BU89">
        <v>4.8499999999999996</v>
      </c>
      <c r="BV89">
        <v>0</v>
      </c>
      <c r="BW89">
        <v>1</v>
      </c>
      <c r="CU89">
        <f>ROUND(AT89*Source!I96*AH89*AL89,2)</f>
        <v>1204.42</v>
      </c>
      <c r="CV89">
        <f>ROUND(Y89*Source!I96,7)</f>
        <v>1.8551249999999999</v>
      </c>
      <c r="CW89">
        <v>0</v>
      </c>
      <c r="CX89">
        <f>ROUND(Y89*Source!I96,7)</f>
        <v>1.8551249999999999</v>
      </c>
      <c r="CY89">
        <f>AD89</f>
        <v>649.24</v>
      </c>
      <c r="CZ89">
        <f>AH89</f>
        <v>649.24</v>
      </c>
      <c r="DA89">
        <f>AL89</f>
        <v>1</v>
      </c>
      <c r="DB89">
        <f t="shared" si="28"/>
        <v>3148.81</v>
      </c>
      <c r="DC89">
        <f t="shared" si="29"/>
        <v>0</v>
      </c>
      <c r="DD89" t="s">
        <v>3</v>
      </c>
      <c r="DE89" t="s">
        <v>3</v>
      </c>
      <c r="DF89">
        <f t="shared" ref="DF89:DF94" si="35">ROUND(ROUND(AE89,2)*CX89,2)</f>
        <v>0</v>
      </c>
      <c r="DG89">
        <f>ROUND(ROUND(AF89,2)*CX89,2)</f>
        <v>0</v>
      </c>
      <c r="DH89">
        <f t="shared" si="30"/>
        <v>0</v>
      </c>
      <c r="DI89">
        <f t="shared" si="31"/>
        <v>1204.42</v>
      </c>
      <c r="DJ89">
        <f>DI89</f>
        <v>1204.42</v>
      </c>
      <c r="DK89">
        <v>1</v>
      </c>
      <c r="DL89" t="s">
        <v>3</v>
      </c>
      <c r="DM89">
        <v>0</v>
      </c>
      <c r="DN89" t="s">
        <v>3</v>
      </c>
      <c r="DO89">
        <v>0</v>
      </c>
    </row>
    <row r="90" spans="1:119" x14ac:dyDescent="0.2">
      <c r="A90">
        <f>ROW(Source!A96)</f>
        <v>96</v>
      </c>
      <c r="B90">
        <v>94104265</v>
      </c>
      <c r="C90">
        <v>94188140</v>
      </c>
      <c r="D90">
        <v>37064876</v>
      </c>
      <c r="E90">
        <v>117</v>
      </c>
      <c r="F90">
        <v>1</v>
      </c>
      <c r="G90">
        <v>1</v>
      </c>
      <c r="H90">
        <v>1</v>
      </c>
      <c r="I90" t="s">
        <v>429</v>
      </c>
      <c r="J90" t="s">
        <v>3</v>
      </c>
      <c r="K90" t="s">
        <v>430</v>
      </c>
      <c r="L90">
        <v>1191</v>
      </c>
      <c r="N90">
        <v>1013</v>
      </c>
      <c r="O90" t="s">
        <v>428</v>
      </c>
      <c r="P90" t="s">
        <v>428</v>
      </c>
      <c r="Q90">
        <v>1</v>
      </c>
      <c r="W90">
        <v>0</v>
      </c>
      <c r="X90">
        <v>-1417349443</v>
      </c>
      <c r="Y90">
        <f t="shared" si="27"/>
        <v>0.12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1</v>
      </c>
      <c r="AJ90">
        <v>1</v>
      </c>
      <c r="AK90">
        <v>1</v>
      </c>
      <c r="AL90">
        <v>1</v>
      </c>
      <c r="AM90">
        <v>-2</v>
      </c>
      <c r="AN90">
        <v>0</v>
      </c>
      <c r="AO90">
        <v>0</v>
      </c>
      <c r="AP90">
        <v>1</v>
      </c>
      <c r="AQ90">
        <v>1</v>
      </c>
      <c r="AR90">
        <v>0</v>
      </c>
      <c r="AS90" t="s">
        <v>3</v>
      </c>
      <c r="AT90">
        <v>0.12</v>
      </c>
      <c r="AU90" t="s">
        <v>3</v>
      </c>
      <c r="AV90">
        <v>2</v>
      </c>
      <c r="AW90">
        <v>2</v>
      </c>
      <c r="AX90">
        <v>94188156</v>
      </c>
      <c r="AY90">
        <v>1</v>
      </c>
      <c r="AZ90">
        <v>0</v>
      </c>
      <c r="BA90">
        <v>90</v>
      </c>
      <c r="BB90">
        <v>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CV90">
        <v>0</v>
      </c>
      <c r="CW90">
        <v>0</v>
      </c>
      <c r="CX90">
        <f>ROUND(Y90*Source!I96,7)</f>
        <v>4.5900000000000003E-2</v>
      </c>
      <c r="CY90">
        <f>AD90</f>
        <v>0</v>
      </c>
      <c r="CZ90">
        <f>AH90</f>
        <v>0</v>
      </c>
      <c r="DA90">
        <f>AL90</f>
        <v>1</v>
      </c>
      <c r="DB90">
        <f t="shared" si="28"/>
        <v>0</v>
      </c>
      <c r="DC90">
        <f t="shared" si="29"/>
        <v>0</v>
      </c>
      <c r="DD90" t="s">
        <v>3</v>
      </c>
      <c r="DE90" t="s">
        <v>3</v>
      </c>
      <c r="DF90">
        <f t="shared" si="35"/>
        <v>0</v>
      </c>
      <c r="DG90">
        <f>ROUND(ROUND(AF90,2)*CX90,2)</f>
        <v>0</v>
      </c>
      <c r="DH90">
        <f t="shared" si="30"/>
        <v>0</v>
      </c>
      <c r="DI90">
        <f t="shared" si="31"/>
        <v>0</v>
      </c>
      <c r="DJ90">
        <f>DI90</f>
        <v>0</v>
      </c>
      <c r="DK90">
        <v>0</v>
      </c>
      <c r="DL90" t="s">
        <v>3</v>
      </c>
      <c r="DM90">
        <v>0</v>
      </c>
      <c r="DN90" t="s">
        <v>3</v>
      </c>
      <c r="DO90">
        <v>0</v>
      </c>
    </row>
    <row r="91" spans="1:119" x14ac:dyDescent="0.2">
      <c r="A91">
        <f>ROW(Source!A96)</f>
        <v>96</v>
      </c>
      <c r="B91">
        <v>94104265</v>
      </c>
      <c r="C91">
        <v>94188140</v>
      </c>
      <c r="D91">
        <v>87236438</v>
      </c>
      <c r="E91">
        <v>1</v>
      </c>
      <c r="F91">
        <v>1</v>
      </c>
      <c r="G91">
        <v>1</v>
      </c>
      <c r="H91">
        <v>2</v>
      </c>
      <c r="I91" t="s">
        <v>453</v>
      </c>
      <c r="J91" t="s">
        <v>454</v>
      </c>
      <c r="K91" t="s">
        <v>455</v>
      </c>
      <c r="L91">
        <v>1368</v>
      </c>
      <c r="N91">
        <v>1011</v>
      </c>
      <c r="O91" t="s">
        <v>434</v>
      </c>
      <c r="P91" t="s">
        <v>434</v>
      </c>
      <c r="Q91">
        <v>1</v>
      </c>
      <c r="W91">
        <v>0</v>
      </c>
      <c r="X91">
        <v>639918019</v>
      </c>
      <c r="Y91">
        <f t="shared" si="27"/>
        <v>0.01</v>
      </c>
      <c r="AA91">
        <v>0</v>
      </c>
      <c r="AB91">
        <v>1585.56</v>
      </c>
      <c r="AC91">
        <v>982.04</v>
      </c>
      <c r="AD91">
        <v>0</v>
      </c>
      <c r="AE91">
        <v>0</v>
      </c>
      <c r="AF91">
        <v>1585.56</v>
      </c>
      <c r="AG91">
        <v>982.04</v>
      </c>
      <c r="AH91">
        <v>0</v>
      </c>
      <c r="AI91">
        <v>1</v>
      </c>
      <c r="AJ91">
        <v>1</v>
      </c>
      <c r="AK91">
        <v>1</v>
      </c>
      <c r="AL91">
        <v>1</v>
      </c>
      <c r="AM91">
        <v>-2</v>
      </c>
      <c r="AN91">
        <v>0</v>
      </c>
      <c r="AO91">
        <v>0</v>
      </c>
      <c r="AP91">
        <v>1</v>
      </c>
      <c r="AQ91">
        <v>1</v>
      </c>
      <c r="AR91">
        <v>0</v>
      </c>
      <c r="AS91" t="s">
        <v>3</v>
      </c>
      <c r="AT91">
        <v>0.01</v>
      </c>
      <c r="AU91" t="s">
        <v>3</v>
      </c>
      <c r="AV91">
        <v>1</v>
      </c>
      <c r="AW91">
        <v>2</v>
      </c>
      <c r="AX91">
        <v>94188157</v>
      </c>
      <c r="AY91">
        <v>2</v>
      </c>
      <c r="AZ91">
        <v>98304</v>
      </c>
      <c r="BA91">
        <v>91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15.855599999999999</v>
      </c>
      <c r="BL91">
        <v>9.8203999999999994</v>
      </c>
      <c r="BM91">
        <v>0</v>
      </c>
      <c r="BN91">
        <v>0</v>
      </c>
      <c r="BO91">
        <v>0.01</v>
      </c>
      <c r="BP91">
        <v>1</v>
      </c>
      <c r="BQ91">
        <v>0</v>
      </c>
      <c r="BR91">
        <v>15.855599999999999</v>
      </c>
      <c r="BS91">
        <v>9.8203999999999994</v>
      </c>
      <c r="BT91">
        <v>0</v>
      </c>
      <c r="BU91">
        <v>0</v>
      </c>
      <c r="BV91">
        <v>0.01</v>
      </c>
      <c r="BW91">
        <v>1</v>
      </c>
      <c r="CV91">
        <v>0</v>
      </c>
      <c r="CW91">
        <f>ROUND(Y91*Source!I96*DO91,7)</f>
        <v>3.8249999999999998E-3</v>
      </c>
      <c r="CX91">
        <f>ROUND(Y91*Source!I96,7)</f>
        <v>3.8249999999999998E-3</v>
      </c>
      <c r="CY91">
        <f>AB91</f>
        <v>1585.56</v>
      </c>
      <c r="CZ91">
        <f>AF91</f>
        <v>1585.56</v>
      </c>
      <c r="DA91">
        <f>AJ91</f>
        <v>1</v>
      </c>
      <c r="DB91">
        <f t="shared" si="28"/>
        <v>15.86</v>
      </c>
      <c r="DC91">
        <f t="shared" si="29"/>
        <v>9.82</v>
      </c>
      <c r="DD91" t="s">
        <v>3</v>
      </c>
      <c r="DE91" t="s">
        <v>3</v>
      </c>
      <c r="DF91">
        <f t="shared" si="35"/>
        <v>0</v>
      </c>
      <c r="DG91">
        <f>ROUND(ROUND(AF91,2)*CX91,2)</f>
        <v>6.06</v>
      </c>
      <c r="DH91">
        <f t="shared" si="30"/>
        <v>3.76</v>
      </c>
      <c r="DI91">
        <f t="shared" si="31"/>
        <v>0</v>
      </c>
      <c r="DJ91">
        <f>DG91+DH91</f>
        <v>9.82</v>
      </c>
      <c r="DK91">
        <v>1</v>
      </c>
      <c r="DL91" t="s">
        <v>456</v>
      </c>
      <c r="DM91">
        <v>6</v>
      </c>
      <c r="DN91" t="s">
        <v>428</v>
      </c>
      <c r="DO91">
        <v>1</v>
      </c>
    </row>
    <row r="92" spans="1:119" x14ac:dyDescent="0.2">
      <c r="A92">
        <f>ROW(Source!A96)</f>
        <v>96</v>
      </c>
      <c r="B92">
        <v>94104265</v>
      </c>
      <c r="C92">
        <v>94188140</v>
      </c>
      <c r="D92">
        <v>87236694</v>
      </c>
      <c r="E92">
        <v>1</v>
      </c>
      <c r="F92">
        <v>1</v>
      </c>
      <c r="G92">
        <v>1</v>
      </c>
      <c r="H92">
        <v>2</v>
      </c>
      <c r="I92" t="s">
        <v>457</v>
      </c>
      <c r="J92" t="s">
        <v>458</v>
      </c>
      <c r="K92" t="s">
        <v>459</v>
      </c>
      <c r="L92">
        <v>1368</v>
      </c>
      <c r="N92">
        <v>1011</v>
      </c>
      <c r="O92" t="s">
        <v>434</v>
      </c>
      <c r="P92" t="s">
        <v>434</v>
      </c>
      <c r="Q92">
        <v>1</v>
      </c>
      <c r="W92">
        <v>0</v>
      </c>
      <c r="X92">
        <v>169089501</v>
      </c>
      <c r="Y92">
        <f t="shared" si="27"/>
        <v>0.17</v>
      </c>
      <c r="AA92">
        <v>0</v>
      </c>
      <c r="AB92">
        <v>12.44</v>
      </c>
      <c r="AC92">
        <v>0</v>
      </c>
      <c r="AD92">
        <v>0</v>
      </c>
      <c r="AE92">
        <v>0</v>
      </c>
      <c r="AF92">
        <v>10.37</v>
      </c>
      <c r="AG92">
        <v>0</v>
      </c>
      <c r="AH92">
        <v>0</v>
      </c>
      <c r="AI92">
        <v>1</v>
      </c>
      <c r="AJ92">
        <v>1.2</v>
      </c>
      <c r="AK92">
        <v>1</v>
      </c>
      <c r="AL92">
        <v>1</v>
      </c>
      <c r="AM92">
        <v>2</v>
      </c>
      <c r="AN92">
        <v>0</v>
      </c>
      <c r="AO92">
        <v>0</v>
      </c>
      <c r="AP92">
        <v>1</v>
      </c>
      <c r="AQ92">
        <v>1</v>
      </c>
      <c r="AR92">
        <v>0</v>
      </c>
      <c r="AS92" t="s">
        <v>3</v>
      </c>
      <c r="AT92">
        <v>0.17</v>
      </c>
      <c r="AU92" t="s">
        <v>3</v>
      </c>
      <c r="AV92">
        <v>1</v>
      </c>
      <c r="AW92">
        <v>2</v>
      </c>
      <c r="AX92">
        <v>94188158</v>
      </c>
      <c r="AY92">
        <v>1</v>
      </c>
      <c r="AZ92">
        <v>0</v>
      </c>
      <c r="BA92">
        <v>92</v>
      </c>
      <c r="BB92">
        <v>1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1.7628999999999999</v>
      </c>
      <c r="BL92">
        <v>0</v>
      </c>
      <c r="BM92">
        <v>0</v>
      </c>
      <c r="BN92">
        <v>0</v>
      </c>
      <c r="BO92">
        <v>0</v>
      </c>
      <c r="BP92">
        <v>1</v>
      </c>
      <c r="BQ92">
        <v>0</v>
      </c>
      <c r="BR92">
        <v>1.7628999999999999</v>
      </c>
      <c r="BS92">
        <v>0</v>
      </c>
      <c r="BT92">
        <v>0</v>
      </c>
      <c r="BU92">
        <v>0</v>
      </c>
      <c r="BV92">
        <v>0</v>
      </c>
      <c r="BW92">
        <v>1</v>
      </c>
      <c r="CV92">
        <v>0</v>
      </c>
      <c r="CW92">
        <f>ROUND(Y92*Source!I96*DO92,7)</f>
        <v>0</v>
      </c>
      <c r="CX92">
        <f>ROUND(Y92*Source!I96,7)</f>
        <v>6.5024999999999999E-2</v>
      </c>
      <c r="CY92">
        <f>AB92</f>
        <v>12.44</v>
      </c>
      <c r="CZ92">
        <f>AF92</f>
        <v>10.37</v>
      </c>
      <c r="DA92">
        <f>AJ92</f>
        <v>1.2</v>
      </c>
      <c r="DB92">
        <f t="shared" si="28"/>
        <v>1.76</v>
      </c>
      <c r="DC92">
        <f t="shared" si="29"/>
        <v>0</v>
      </c>
      <c r="DD92" t="s">
        <v>3</v>
      </c>
      <c r="DE92" t="s">
        <v>3</v>
      </c>
      <c r="DF92">
        <f t="shared" si="35"/>
        <v>0</v>
      </c>
      <c r="DG92">
        <f>ROUND(ROUND(AF92*AJ92,2)*CX92,2)</f>
        <v>0.81</v>
      </c>
      <c r="DH92">
        <f t="shared" si="30"/>
        <v>0</v>
      </c>
      <c r="DI92">
        <f t="shared" si="31"/>
        <v>0</v>
      </c>
      <c r="DJ92">
        <f>DG92+DH92</f>
        <v>0.81</v>
      </c>
      <c r="DK92">
        <v>0</v>
      </c>
      <c r="DL92" t="s">
        <v>3</v>
      </c>
      <c r="DM92">
        <v>0</v>
      </c>
      <c r="DN92" t="s">
        <v>3</v>
      </c>
      <c r="DO92">
        <v>0</v>
      </c>
    </row>
    <row r="93" spans="1:119" x14ac:dyDescent="0.2">
      <c r="A93">
        <f>ROW(Source!A96)</f>
        <v>96</v>
      </c>
      <c r="B93">
        <v>94104265</v>
      </c>
      <c r="C93">
        <v>94188140</v>
      </c>
      <c r="D93">
        <v>87236695</v>
      </c>
      <c r="E93">
        <v>1</v>
      </c>
      <c r="F93">
        <v>1</v>
      </c>
      <c r="G93">
        <v>1</v>
      </c>
      <c r="H93">
        <v>2</v>
      </c>
      <c r="I93" t="s">
        <v>460</v>
      </c>
      <c r="J93" t="s">
        <v>461</v>
      </c>
      <c r="K93" t="s">
        <v>462</v>
      </c>
      <c r="L93">
        <v>1368</v>
      </c>
      <c r="N93">
        <v>1011</v>
      </c>
      <c r="O93" t="s">
        <v>434</v>
      </c>
      <c r="P93" t="s">
        <v>434</v>
      </c>
      <c r="Q93">
        <v>1</v>
      </c>
      <c r="W93">
        <v>0</v>
      </c>
      <c r="X93">
        <v>-521523170</v>
      </c>
      <c r="Y93">
        <f t="shared" si="27"/>
        <v>0.1</v>
      </c>
      <c r="AA93">
        <v>0</v>
      </c>
      <c r="AB93">
        <v>12.47</v>
      </c>
      <c r="AC93">
        <v>0</v>
      </c>
      <c r="AD93">
        <v>0</v>
      </c>
      <c r="AE93">
        <v>0</v>
      </c>
      <c r="AF93">
        <v>8.5399999999999991</v>
      </c>
      <c r="AG93">
        <v>0</v>
      </c>
      <c r="AH93">
        <v>0</v>
      </c>
      <c r="AI93">
        <v>1</v>
      </c>
      <c r="AJ93">
        <v>1.46</v>
      </c>
      <c r="AK93">
        <v>1</v>
      </c>
      <c r="AL93">
        <v>1</v>
      </c>
      <c r="AM93">
        <v>2</v>
      </c>
      <c r="AN93">
        <v>0</v>
      </c>
      <c r="AO93">
        <v>0</v>
      </c>
      <c r="AP93">
        <v>1</v>
      </c>
      <c r="AQ93">
        <v>1</v>
      </c>
      <c r="AR93">
        <v>0</v>
      </c>
      <c r="AS93" t="s">
        <v>3</v>
      </c>
      <c r="AT93">
        <v>0.1</v>
      </c>
      <c r="AU93" t="s">
        <v>3</v>
      </c>
      <c r="AV93">
        <v>1</v>
      </c>
      <c r="AW93">
        <v>2</v>
      </c>
      <c r="AX93">
        <v>94188159</v>
      </c>
      <c r="AY93">
        <v>1</v>
      </c>
      <c r="AZ93">
        <v>0</v>
      </c>
      <c r="BA93">
        <v>93</v>
      </c>
      <c r="BB93">
        <v>1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0.85399999999999998</v>
      </c>
      <c r="BL93">
        <v>0</v>
      </c>
      <c r="BM93">
        <v>0</v>
      </c>
      <c r="BN93">
        <v>0</v>
      </c>
      <c r="BO93">
        <v>0</v>
      </c>
      <c r="BP93">
        <v>1</v>
      </c>
      <c r="BQ93">
        <v>0</v>
      </c>
      <c r="BR93">
        <v>0.85399999999999998</v>
      </c>
      <c r="BS93">
        <v>0</v>
      </c>
      <c r="BT93">
        <v>0</v>
      </c>
      <c r="BU93">
        <v>0</v>
      </c>
      <c r="BV93">
        <v>0</v>
      </c>
      <c r="BW93">
        <v>1</v>
      </c>
      <c r="CV93">
        <v>0</v>
      </c>
      <c r="CW93">
        <f>ROUND(Y93*Source!I96*DO93,7)</f>
        <v>0</v>
      </c>
      <c r="CX93">
        <f>ROUND(Y93*Source!I96,7)</f>
        <v>3.8249999999999999E-2</v>
      </c>
      <c r="CY93">
        <f>AB93</f>
        <v>12.47</v>
      </c>
      <c r="CZ93">
        <f>AF93</f>
        <v>8.5399999999999991</v>
      </c>
      <c r="DA93">
        <f>AJ93</f>
        <v>1.46</v>
      </c>
      <c r="DB93">
        <f t="shared" si="28"/>
        <v>0.85</v>
      </c>
      <c r="DC93">
        <f t="shared" si="29"/>
        <v>0</v>
      </c>
      <c r="DD93" t="s">
        <v>3</v>
      </c>
      <c r="DE93" t="s">
        <v>3</v>
      </c>
      <c r="DF93">
        <f t="shared" si="35"/>
        <v>0</v>
      </c>
      <c r="DG93">
        <f>ROUND(ROUND(AF93*AJ93,2)*CX93,2)</f>
        <v>0.48</v>
      </c>
      <c r="DH93">
        <f t="shared" si="30"/>
        <v>0</v>
      </c>
      <c r="DI93">
        <f t="shared" si="31"/>
        <v>0</v>
      </c>
      <c r="DJ93">
        <f>DG93+DH93</f>
        <v>0.48</v>
      </c>
      <c r="DK93">
        <v>0</v>
      </c>
      <c r="DL93" t="s">
        <v>3</v>
      </c>
      <c r="DM93">
        <v>0</v>
      </c>
      <c r="DN93" t="s">
        <v>3</v>
      </c>
      <c r="DO93">
        <v>0</v>
      </c>
    </row>
    <row r="94" spans="1:119" x14ac:dyDescent="0.2">
      <c r="A94">
        <f>ROW(Source!A96)</f>
        <v>96</v>
      </c>
      <c r="B94">
        <v>94104265</v>
      </c>
      <c r="C94">
        <v>94188140</v>
      </c>
      <c r="D94">
        <v>87237333</v>
      </c>
      <c r="E94">
        <v>1</v>
      </c>
      <c r="F94">
        <v>1</v>
      </c>
      <c r="G94">
        <v>1</v>
      </c>
      <c r="H94">
        <v>2</v>
      </c>
      <c r="I94" t="s">
        <v>463</v>
      </c>
      <c r="J94" t="s">
        <v>464</v>
      </c>
      <c r="K94" t="s">
        <v>465</v>
      </c>
      <c r="L94">
        <v>1368</v>
      </c>
      <c r="N94">
        <v>1011</v>
      </c>
      <c r="O94" t="s">
        <v>434</v>
      </c>
      <c r="P94" t="s">
        <v>434</v>
      </c>
      <c r="Q94">
        <v>1</v>
      </c>
      <c r="W94">
        <v>0</v>
      </c>
      <c r="X94">
        <v>-849950259</v>
      </c>
      <c r="Y94">
        <f t="shared" si="27"/>
        <v>0.11</v>
      </c>
      <c r="AA94">
        <v>0</v>
      </c>
      <c r="AB94">
        <v>544.91999999999996</v>
      </c>
      <c r="AC94">
        <v>731.08</v>
      </c>
      <c r="AD94">
        <v>0</v>
      </c>
      <c r="AE94">
        <v>0</v>
      </c>
      <c r="AF94">
        <v>544.91999999999996</v>
      </c>
      <c r="AG94">
        <v>731.08</v>
      </c>
      <c r="AH94">
        <v>0</v>
      </c>
      <c r="AI94">
        <v>1</v>
      </c>
      <c r="AJ94">
        <v>1</v>
      </c>
      <c r="AK94">
        <v>1</v>
      </c>
      <c r="AL94">
        <v>1</v>
      </c>
      <c r="AM94">
        <v>-2</v>
      </c>
      <c r="AN94">
        <v>0</v>
      </c>
      <c r="AO94">
        <v>0</v>
      </c>
      <c r="AP94">
        <v>1</v>
      </c>
      <c r="AQ94">
        <v>1</v>
      </c>
      <c r="AR94">
        <v>0</v>
      </c>
      <c r="AS94" t="s">
        <v>3</v>
      </c>
      <c r="AT94">
        <v>0.11</v>
      </c>
      <c r="AU94" t="s">
        <v>3</v>
      </c>
      <c r="AV94">
        <v>1</v>
      </c>
      <c r="AW94">
        <v>2</v>
      </c>
      <c r="AX94">
        <v>94188160</v>
      </c>
      <c r="AY94">
        <v>2</v>
      </c>
      <c r="AZ94">
        <v>98304</v>
      </c>
      <c r="BA94">
        <v>94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59.941199999999995</v>
      </c>
      <c r="BL94">
        <v>80.418800000000005</v>
      </c>
      <c r="BM94">
        <v>0</v>
      </c>
      <c r="BN94">
        <v>0</v>
      </c>
      <c r="BO94">
        <v>0.11</v>
      </c>
      <c r="BP94">
        <v>1</v>
      </c>
      <c r="BQ94">
        <v>0</v>
      </c>
      <c r="BR94">
        <v>59.941199999999995</v>
      </c>
      <c r="BS94">
        <v>80.418800000000005</v>
      </c>
      <c r="BT94">
        <v>0</v>
      </c>
      <c r="BU94">
        <v>0</v>
      </c>
      <c r="BV94">
        <v>0.11</v>
      </c>
      <c r="BW94">
        <v>1</v>
      </c>
      <c r="CV94">
        <v>0</v>
      </c>
      <c r="CW94">
        <f>ROUND(Y94*Source!I96*DO94,7)</f>
        <v>4.2075000000000001E-2</v>
      </c>
      <c r="CX94">
        <f>ROUND(Y94*Source!I96,7)</f>
        <v>4.2075000000000001E-2</v>
      </c>
      <c r="CY94">
        <f>AB94</f>
        <v>544.91999999999996</v>
      </c>
      <c r="CZ94">
        <f>AF94</f>
        <v>544.91999999999996</v>
      </c>
      <c r="DA94">
        <f>AJ94</f>
        <v>1</v>
      </c>
      <c r="DB94">
        <f t="shared" si="28"/>
        <v>59.94</v>
      </c>
      <c r="DC94">
        <f t="shared" si="29"/>
        <v>80.42</v>
      </c>
      <c r="DD94" t="s">
        <v>3</v>
      </c>
      <c r="DE94" t="s">
        <v>3</v>
      </c>
      <c r="DF94">
        <f t="shared" si="35"/>
        <v>0</v>
      </c>
      <c r="DG94">
        <f t="shared" ref="DG94:DG113" si="36">ROUND(ROUND(AF94,2)*CX94,2)</f>
        <v>22.93</v>
      </c>
      <c r="DH94">
        <f t="shared" si="30"/>
        <v>30.76</v>
      </c>
      <c r="DI94">
        <f t="shared" si="31"/>
        <v>0</v>
      </c>
      <c r="DJ94">
        <f>DG94+DH94</f>
        <v>53.69</v>
      </c>
      <c r="DK94">
        <v>1</v>
      </c>
      <c r="DL94" t="s">
        <v>466</v>
      </c>
      <c r="DM94">
        <v>4</v>
      </c>
      <c r="DN94" t="s">
        <v>428</v>
      </c>
      <c r="DO94">
        <v>1</v>
      </c>
    </row>
    <row r="95" spans="1:119" x14ac:dyDescent="0.2">
      <c r="A95">
        <f>ROW(Source!A96)</f>
        <v>96</v>
      </c>
      <c r="B95">
        <v>94104265</v>
      </c>
      <c r="C95">
        <v>94188140</v>
      </c>
      <c r="D95">
        <v>87304091</v>
      </c>
      <c r="E95">
        <v>1</v>
      </c>
      <c r="F95">
        <v>1</v>
      </c>
      <c r="G95">
        <v>1</v>
      </c>
      <c r="H95">
        <v>3</v>
      </c>
      <c r="I95" t="s">
        <v>467</v>
      </c>
      <c r="J95" t="s">
        <v>468</v>
      </c>
      <c r="K95" t="s">
        <v>469</v>
      </c>
      <c r="L95">
        <v>1339</v>
      </c>
      <c r="N95">
        <v>1007</v>
      </c>
      <c r="O95" t="s">
        <v>34</v>
      </c>
      <c r="P95" t="s">
        <v>34</v>
      </c>
      <c r="Q95">
        <v>1</v>
      </c>
      <c r="W95">
        <v>0</v>
      </c>
      <c r="X95">
        <v>1964556667</v>
      </c>
      <c r="Y95">
        <f t="shared" si="27"/>
        <v>8.3999999999999995E-3</v>
      </c>
      <c r="AA95">
        <v>54.64</v>
      </c>
      <c r="AB95">
        <v>0</v>
      </c>
      <c r="AC95">
        <v>0</v>
      </c>
      <c r="AD95">
        <v>0</v>
      </c>
      <c r="AE95">
        <v>35.71</v>
      </c>
      <c r="AF95">
        <v>0</v>
      </c>
      <c r="AG95">
        <v>0</v>
      </c>
      <c r="AH95">
        <v>0</v>
      </c>
      <c r="AI95">
        <v>1.53</v>
      </c>
      <c r="AJ95">
        <v>1</v>
      </c>
      <c r="AK95">
        <v>1</v>
      </c>
      <c r="AL95">
        <v>1</v>
      </c>
      <c r="AM95">
        <v>2</v>
      </c>
      <c r="AN95">
        <v>0</v>
      </c>
      <c r="AO95">
        <v>0</v>
      </c>
      <c r="AP95">
        <v>1</v>
      </c>
      <c r="AQ95">
        <v>1</v>
      </c>
      <c r="AR95">
        <v>0</v>
      </c>
      <c r="AS95" t="s">
        <v>3</v>
      </c>
      <c r="AT95">
        <v>8.3999999999999995E-3</v>
      </c>
      <c r="AU95" t="s">
        <v>3</v>
      </c>
      <c r="AV95">
        <v>0</v>
      </c>
      <c r="AW95">
        <v>2</v>
      </c>
      <c r="AX95">
        <v>94188161</v>
      </c>
      <c r="AY95">
        <v>1</v>
      </c>
      <c r="AZ95">
        <v>0</v>
      </c>
      <c r="BA95">
        <v>95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0.29996400000000001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1</v>
      </c>
      <c r="BQ95">
        <v>0.29996400000000001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1</v>
      </c>
      <c r="CV95">
        <v>0</v>
      </c>
      <c r="CW95">
        <v>0</v>
      </c>
      <c r="CX95">
        <f>ROUND(Y95*Source!I96,7)</f>
        <v>3.2130000000000001E-3</v>
      </c>
      <c r="CY95">
        <f t="shared" ref="CY95:CY102" si="37">AA95</f>
        <v>54.64</v>
      </c>
      <c r="CZ95">
        <f t="shared" ref="CZ95:CZ102" si="38">AE95</f>
        <v>35.71</v>
      </c>
      <c r="DA95">
        <f t="shared" ref="DA95:DA102" si="39">AI95</f>
        <v>1.53</v>
      </c>
      <c r="DB95">
        <f t="shared" si="28"/>
        <v>0.3</v>
      </c>
      <c r="DC95">
        <f t="shared" si="29"/>
        <v>0</v>
      </c>
      <c r="DD95" t="s">
        <v>3</v>
      </c>
      <c r="DE95" t="s">
        <v>3</v>
      </c>
      <c r="DF95">
        <f>ROUND(ROUND(AE95*AI95,2)*CX95,2)</f>
        <v>0.18</v>
      </c>
      <c r="DG95">
        <f t="shared" si="36"/>
        <v>0</v>
      </c>
      <c r="DH95">
        <f t="shared" si="30"/>
        <v>0</v>
      </c>
      <c r="DI95">
        <f t="shared" si="31"/>
        <v>0</v>
      </c>
      <c r="DJ95">
        <f t="shared" ref="DJ95:DJ102" si="40">DF95</f>
        <v>0.18</v>
      </c>
      <c r="DK95">
        <v>0</v>
      </c>
      <c r="DL95" t="s">
        <v>3</v>
      </c>
      <c r="DM95">
        <v>0</v>
      </c>
      <c r="DN95" t="s">
        <v>3</v>
      </c>
      <c r="DO95">
        <v>0</v>
      </c>
    </row>
    <row r="96" spans="1:119" x14ac:dyDescent="0.2">
      <c r="A96">
        <f>ROW(Source!A96)</f>
        <v>96</v>
      </c>
      <c r="B96">
        <v>94104265</v>
      </c>
      <c r="C96">
        <v>94188140</v>
      </c>
      <c r="D96">
        <v>87304887</v>
      </c>
      <c r="E96">
        <v>1</v>
      </c>
      <c r="F96">
        <v>1</v>
      </c>
      <c r="G96">
        <v>1</v>
      </c>
      <c r="H96">
        <v>3</v>
      </c>
      <c r="I96" t="s">
        <v>470</v>
      </c>
      <c r="J96" t="s">
        <v>471</v>
      </c>
      <c r="K96" t="s">
        <v>472</v>
      </c>
      <c r="L96">
        <v>1327</v>
      </c>
      <c r="N96">
        <v>1005</v>
      </c>
      <c r="O96" t="s">
        <v>60</v>
      </c>
      <c r="P96" t="s">
        <v>60</v>
      </c>
      <c r="Q96">
        <v>1</v>
      </c>
      <c r="W96">
        <v>0</v>
      </c>
      <c r="X96">
        <v>577899087</v>
      </c>
      <c r="Y96">
        <f t="shared" si="27"/>
        <v>0.23</v>
      </c>
      <c r="AA96">
        <v>31.22</v>
      </c>
      <c r="AB96">
        <v>0</v>
      </c>
      <c r="AC96">
        <v>0</v>
      </c>
      <c r="AD96">
        <v>0</v>
      </c>
      <c r="AE96">
        <v>28.13</v>
      </c>
      <c r="AF96">
        <v>0</v>
      </c>
      <c r="AG96">
        <v>0</v>
      </c>
      <c r="AH96">
        <v>0</v>
      </c>
      <c r="AI96">
        <v>1.1100000000000001</v>
      </c>
      <c r="AJ96">
        <v>1</v>
      </c>
      <c r="AK96">
        <v>1</v>
      </c>
      <c r="AL96">
        <v>1</v>
      </c>
      <c r="AM96">
        <v>2</v>
      </c>
      <c r="AN96">
        <v>0</v>
      </c>
      <c r="AO96">
        <v>0</v>
      </c>
      <c r="AP96">
        <v>1</v>
      </c>
      <c r="AQ96">
        <v>1</v>
      </c>
      <c r="AR96">
        <v>0</v>
      </c>
      <c r="AS96" t="s">
        <v>3</v>
      </c>
      <c r="AT96">
        <v>0.23</v>
      </c>
      <c r="AU96" t="s">
        <v>3</v>
      </c>
      <c r="AV96">
        <v>0</v>
      </c>
      <c r="AW96">
        <v>2</v>
      </c>
      <c r="AX96">
        <v>94188162</v>
      </c>
      <c r="AY96">
        <v>1</v>
      </c>
      <c r="AZ96">
        <v>0</v>
      </c>
      <c r="BA96">
        <v>96</v>
      </c>
      <c r="BB96">
        <v>1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6.4699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1</v>
      </c>
      <c r="BQ96">
        <v>6.4699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1</v>
      </c>
      <c r="CV96">
        <v>0</v>
      </c>
      <c r="CW96">
        <v>0</v>
      </c>
      <c r="CX96">
        <f>ROUND(Y96*Source!I96,7)</f>
        <v>8.7974999999999998E-2</v>
      </c>
      <c r="CY96">
        <f t="shared" si="37"/>
        <v>31.22</v>
      </c>
      <c r="CZ96">
        <f t="shared" si="38"/>
        <v>28.13</v>
      </c>
      <c r="DA96">
        <f t="shared" si="39"/>
        <v>1.1100000000000001</v>
      </c>
      <c r="DB96">
        <f t="shared" si="28"/>
        <v>6.47</v>
      </c>
      <c r="DC96">
        <f t="shared" si="29"/>
        <v>0</v>
      </c>
      <c r="DD96" t="s">
        <v>3</v>
      </c>
      <c r="DE96" t="s">
        <v>3</v>
      </c>
      <c r="DF96">
        <f>ROUND(ROUND(AE96*AI96,2)*CX96,2)</f>
        <v>2.75</v>
      </c>
      <c r="DG96">
        <f t="shared" si="36"/>
        <v>0</v>
      </c>
      <c r="DH96">
        <f t="shared" si="30"/>
        <v>0</v>
      </c>
      <c r="DI96">
        <f t="shared" si="31"/>
        <v>0</v>
      </c>
      <c r="DJ96">
        <f t="shared" si="40"/>
        <v>2.75</v>
      </c>
      <c r="DK96">
        <v>0</v>
      </c>
      <c r="DL96" t="s">
        <v>3</v>
      </c>
      <c r="DM96">
        <v>0</v>
      </c>
      <c r="DN96" t="s">
        <v>3</v>
      </c>
      <c r="DO96">
        <v>0</v>
      </c>
    </row>
    <row r="97" spans="1:119" x14ac:dyDescent="0.2">
      <c r="A97">
        <f>ROW(Source!A96)</f>
        <v>96</v>
      </c>
      <c r="B97">
        <v>94104265</v>
      </c>
      <c r="C97">
        <v>94188140</v>
      </c>
      <c r="D97">
        <v>87307667</v>
      </c>
      <c r="E97">
        <v>1</v>
      </c>
      <c r="F97">
        <v>1</v>
      </c>
      <c r="G97">
        <v>1</v>
      </c>
      <c r="H97">
        <v>3</v>
      </c>
      <c r="I97" t="s">
        <v>50</v>
      </c>
      <c r="J97" t="s">
        <v>52</v>
      </c>
      <c r="K97" t="s">
        <v>51</v>
      </c>
      <c r="L97">
        <v>1339</v>
      </c>
      <c r="N97">
        <v>1007</v>
      </c>
      <c r="O97" t="s">
        <v>34</v>
      </c>
      <c r="P97" t="s">
        <v>34</v>
      </c>
      <c r="Q97">
        <v>1</v>
      </c>
      <c r="W97">
        <v>0</v>
      </c>
      <c r="X97">
        <v>740660255</v>
      </c>
      <c r="Y97">
        <f t="shared" ref="Y97:Y128" si="41">AT97</f>
        <v>1.0149999999999999</v>
      </c>
      <c r="AA97">
        <v>6056.81</v>
      </c>
      <c r="AB97">
        <v>0</v>
      </c>
      <c r="AC97">
        <v>0</v>
      </c>
      <c r="AD97">
        <v>0</v>
      </c>
      <c r="AE97">
        <v>6056.81</v>
      </c>
      <c r="AF97">
        <v>0</v>
      </c>
      <c r="AG97">
        <v>0</v>
      </c>
      <c r="AH97">
        <v>0</v>
      </c>
      <c r="AI97">
        <v>1</v>
      </c>
      <c r="AJ97">
        <v>1</v>
      </c>
      <c r="AK97">
        <v>1</v>
      </c>
      <c r="AL97">
        <v>1</v>
      </c>
      <c r="AM97">
        <v>-2</v>
      </c>
      <c r="AN97">
        <v>0</v>
      </c>
      <c r="AO97">
        <v>0</v>
      </c>
      <c r="AP97">
        <v>1</v>
      </c>
      <c r="AQ97">
        <v>0</v>
      </c>
      <c r="AR97">
        <v>0</v>
      </c>
      <c r="AS97" t="s">
        <v>3</v>
      </c>
      <c r="AT97">
        <v>1.0149999999999999</v>
      </c>
      <c r="AU97" t="s">
        <v>3</v>
      </c>
      <c r="AV97">
        <v>0</v>
      </c>
      <c r="AW97">
        <v>1</v>
      </c>
      <c r="AX97">
        <v>-1</v>
      </c>
      <c r="AY97">
        <v>0</v>
      </c>
      <c r="AZ97">
        <v>0</v>
      </c>
      <c r="BA97" t="s">
        <v>3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CV97">
        <v>0</v>
      </c>
      <c r="CW97">
        <v>0</v>
      </c>
      <c r="CX97">
        <f>ROUND(Y97*Source!I96,7)</f>
        <v>0.38823750000000001</v>
      </c>
      <c r="CY97">
        <f t="shared" si="37"/>
        <v>6056.81</v>
      </c>
      <c r="CZ97">
        <f t="shared" si="38"/>
        <v>6056.81</v>
      </c>
      <c r="DA97">
        <f t="shared" si="39"/>
        <v>1</v>
      </c>
      <c r="DB97">
        <f t="shared" ref="DB97:DB128" si="42">ROUND(ROUND(AT97*CZ97,2),6)</f>
        <v>6147.66</v>
      </c>
      <c r="DC97">
        <f t="shared" ref="DC97:DC128" si="43">ROUND(ROUND(AT97*AG97,2),6)</f>
        <v>0</v>
      </c>
      <c r="DD97" t="s">
        <v>3</v>
      </c>
      <c r="DE97" t="s">
        <v>3</v>
      </c>
      <c r="DF97">
        <f>ROUND(ROUND(AE97,2)*CX97,2)</f>
        <v>2351.48</v>
      </c>
      <c r="DG97">
        <f t="shared" si="36"/>
        <v>0</v>
      </c>
      <c r="DH97">
        <f t="shared" si="30"/>
        <v>0</v>
      </c>
      <c r="DI97">
        <f t="shared" si="31"/>
        <v>0</v>
      </c>
      <c r="DJ97">
        <f t="shared" si="40"/>
        <v>2351.48</v>
      </c>
      <c r="DK97">
        <v>1</v>
      </c>
      <c r="DL97" t="s">
        <v>3</v>
      </c>
      <c r="DM97">
        <v>0</v>
      </c>
      <c r="DN97" t="s">
        <v>3</v>
      </c>
      <c r="DO97">
        <v>0</v>
      </c>
    </row>
    <row r="98" spans="1:119" x14ac:dyDescent="0.2">
      <c r="A98">
        <f>ROW(Source!A96)</f>
        <v>96</v>
      </c>
      <c r="B98">
        <v>94104265</v>
      </c>
      <c r="C98">
        <v>94188140</v>
      </c>
      <c r="D98">
        <v>87312047</v>
      </c>
      <c r="E98">
        <v>1</v>
      </c>
      <c r="F98">
        <v>1</v>
      </c>
      <c r="G98">
        <v>1</v>
      </c>
      <c r="H98">
        <v>3</v>
      </c>
      <c r="I98" t="s">
        <v>58</v>
      </c>
      <c r="J98" t="s">
        <v>61</v>
      </c>
      <c r="K98" t="s">
        <v>59</v>
      </c>
      <c r="L98">
        <v>1327</v>
      </c>
      <c r="N98">
        <v>1005</v>
      </c>
      <c r="O98" t="s">
        <v>60</v>
      </c>
      <c r="P98" t="s">
        <v>60</v>
      </c>
      <c r="Q98">
        <v>1</v>
      </c>
      <c r="W98">
        <v>0</v>
      </c>
      <c r="X98">
        <v>-1004543746</v>
      </c>
      <c r="Y98">
        <f t="shared" si="41"/>
        <v>6.8627450999999997</v>
      </c>
      <c r="AA98">
        <v>96.25</v>
      </c>
      <c r="AB98">
        <v>0</v>
      </c>
      <c r="AC98">
        <v>0</v>
      </c>
      <c r="AD98">
        <v>0</v>
      </c>
      <c r="AE98">
        <v>93.45</v>
      </c>
      <c r="AF98">
        <v>0</v>
      </c>
      <c r="AG98">
        <v>0</v>
      </c>
      <c r="AH98">
        <v>0</v>
      </c>
      <c r="AI98">
        <v>1.03</v>
      </c>
      <c r="AJ98">
        <v>1</v>
      </c>
      <c r="AK98">
        <v>1</v>
      </c>
      <c r="AL98">
        <v>1</v>
      </c>
      <c r="AM98">
        <v>2</v>
      </c>
      <c r="AN98">
        <v>0</v>
      </c>
      <c r="AO98">
        <v>0</v>
      </c>
      <c r="AP98">
        <v>1</v>
      </c>
      <c r="AQ98">
        <v>0</v>
      </c>
      <c r="AR98">
        <v>0</v>
      </c>
      <c r="AS98" t="s">
        <v>3</v>
      </c>
      <c r="AT98">
        <v>6.8627450999999997</v>
      </c>
      <c r="AU98" t="s">
        <v>3</v>
      </c>
      <c r="AV98">
        <v>0</v>
      </c>
      <c r="AW98">
        <v>1</v>
      </c>
      <c r="AX98">
        <v>-1</v>
      </c>
      <c r="AY98">
        <v>0</v>
      </c>
      <c r="AZ98">
        <v>0</v>
      </c>
      <c r="BA98" t="s">
        <v>3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CV98">
        <v>0</v>
      </c>
      <c r="CW98">
        <v>0</v>
      </c>
      <c r="CX98">
        <f>ROUND(Y98*Source!I96,7)</f>
        <v>2.625</v>
      </c>
      <c r="CY98">
        <f t="shared" si="37"/>
        <v>96.25</v>
      </c>
      <c r="CZ98">
        <f t="shared" si="38"/>
        <v>93.45</v>
      </c>
      <c r="DA98">
        <f t="shared" si="39"/>
        <v>1.03</v>
      </c>
      <c r="DB98">
        <f t="shared" si="42"/>
        <v>641.32000000000005</v>
      </c>
      <c r="DC98">
        <f t="shared" si="43"/>
        <v>0</v>
      </c>
      <c r="DD98" t="s">
        <v>3</v>
      </c>
      <c r="DE98" t="s">
        <v>3</v>
      </c>
      <c r="DF98">
        <f>ROUND(ROUND(AE98*AI98,2)*CX98,2)</f>
        <v>252.66</v>
      </c>
      <c r="DG98">
        <f t="shared" si="36"/>
        <v>0</v>
      </c>
      <c r="DH98">
        <f t="shared" si="30"/>
        <v>0</v>
      </c>
      <c r="DI98">
        <f t="shared" si="31"/>
        <v>0</v>
      </c>
      <c r="DJ98">
        <f t="shared" si="40"/>
        <v>252.66</v>
      </c>
      <c r="DK98">
        <v>0</v>
      </c>
      <c r="DL98" t="s">
        <v>3</v>
      </c>
      <c r="DM98">
        <v>0</v>
      </c>
      <c r="DN98" t="s">
        <v>3</v>
      </c>
      <c r="DO98">
        <v>0</v>
      </c>
    </row>
    <row r="99" spans="1:119" x14ac:dyDescent="0.2">
      <c r="A99">
        <f>ROW(Source!A96)</f>
        <v>96</v>
      </c>
      <c r="B99">
        <v>94104265</v>
      </c>
      <c r="C99">
        <v>94188140</v>
      </c>
      <c r="D99">
        <v>87312812</v>
      </c>
      <c r="E99">
        <v>1</v>
      </c>
      <c r="F99">
        <v>1</v>
      </c>
      <c r="G99">
        <v>1</v>
      </c>
      <c r="H99">
        <v>3</v>
      </c>
      <c r="I99" t="s">
        <v>473</v>
      </c>
      <c r="J99" t="s">
        <v>474</v>
      </c>
      <c r="K99" t="s">
        <v>475</v>
      </c>
      <c r="L99">
        <v>1346</v>
      </c>
      <c r="N99">
        <v>1009</v>
      </c>
      <c r="O99" t="s">
        <v>96</v>
      </c>
      <c r="P99" t="s">
        <v>96</v>
      </c>
      <c r="Q99">
        <v>1</v>
      </c>
      <c r="W99">
        <v>0</v>
      </c>
      <c r="X99">
        <v>-1683712354</v>
      </c>
      <c r="Y99">
        <f t="shared" si="41"/>
        <v>0.3</v>
      </c>
      <c r="AA99">
        <v>69.77</v>
      </c>
      <c r="AB99">
        <v>0</v>
      </c>
      <c r="AC99">
        <v>0</v>
      </c>
      <c r="AD99">
        <v>0</v>
      </c>
      <c r="AE99">
        <v>83.06</v>
      </c>
      <c r="AF99">
        <v>0</v>
      </c>
      <c r="AG99">
        <v>0</v>
      </c>
      <c r="AH99">
        <v>0</v>
      </c>
      <c r="AI99">
        <v>0.84</v>
      </c>
      <c r="AJ99">
        <v>1</v>
      </c>
      <c r="AK99">
        <v>1</v>
      </c>
      <c r="AL99">
        <v>1</v>
      </c>
      <c r="AM99">
        <v>2</v>
      </c>
      <c r="AN99">
        <v>0</v>
      </c>
      <c r="AO99">
        <v>0</v>
      </c>
      <c r="AP99">
        <v>1</v>
      </c>
      <c r="AQ99">
        <v>1</v>
      </c>
      <c r="AR99">
        <v>0</v>
      </c>
      <c r="AS99" t="s">
        <v>3</v>
      </c>
      <c r="AT99">
        <v>0.3</v>
      </c>
      <c r="AU99" t="s">
        <v>3</v>
      </c>
      <c r="AV99">
        <v>0</v>
      </c>
      <c r="AW99">
        <v>2</v>
      </c>
      <c r="AX99">
        <v>94188165</v>
      </c>
      <c r="AY99">
        <v>1</v>
      </c>
      <c r="AZ99">
        <v>0</v>
      </c>
      <c r="BA99">
        <v>99</v>
      </c>
      <c r="BB99">
        <v>1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24.917999999999999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1</v>
      </c>
      <c r="BQ99">
        <v>24.917999999999999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1</v>
      </c>
      <c r="CV99">
        <v>0</v>
      </c>
      <c r="CW99">
        <v>0</v>
      </c>
      <c r="CX99">
        <f>ROUND(Y99*Source!I96,7)</f>
        <v>0.11475</v>
      </c>
      <c r="CY99">
        <f t="shared" si="37"/>
        <v>69.77</v>
      </c>
      <c r="CZ99">
        <f t="shared" si="38"/>
        <v>83.06</v>
      </c>
      <c r="DA99">
        <f t="shared" si="39"/>
        <v>0.84</v>
      </c>
      <c r="DB99">
        <f t="shared" si="42"/>
        <v>24.92</v>
      </c>
      <c r="DC99">
        <f t="shared" si="43"/>
        <v>0</v>
      </c>
      <c r="DD99" t="s">
        <v>3</v>
      </c>
      <c r="DE99" t="s">
        <v>3</v>
      </c>
      <c r="DF99">
        <f>ROUND(ROUND(AE99*AI99,2)*CX99,2)</f>
        <v>8.01</v>
      </c>
      <c r="DG99">
        <f t="shared" si="36"/>
        <v>0</v>
      </c>
      <c r="DH99">
        <f t="shared" si="30"/>
        <v>0</v>
      </c>
      <c r="DI99">
        <f t="shared" si="31"/>
        <v>0</v>
      </c>
      <c r="DJ99">
        <f t="shared" si="40"/>
        <v>8.01</v>
      </c>
      <c r="DK99">
        <v>0</v>
      </c>
      <c r="DL99" t="s">
        <v>3</v>
      </c>
      <c r="DM99">
        <v>0</v>
      </c>
      <c r="DN99" t="s">
        <v>3</v>
      </c>
      <c r="DO99">
        <v>0</v>
      </c>
    </row>
    <row r="100" spans="1:119" x14ac:dyDescent="0.2">
      <c r="A100">
        <f>ROW(Source!A96)</f>
        <v>96</v>
      </c>
      <c r="B100">
        <v>94104265</v>
      </c>
      <c r="C100">
        <v>94188140</v>
      </c>
      <c r="D100">
        <v>87315000</v>
      </c>
      <c r="E100">
        <v>1</v>
      </c>
      <c r="F100">
        <v>1</v>
      </c>
      <c r="G100">
        <v>1</v>
      </c>
      <c r="H100">
        <v>3</v>
      </c>
      <c r="I100" t="s">
        <v>476</v>
      </c>
      <c r="J100" t="s">
        <v>477</v>
      </c>
      <c r="K100" t="s">
        <v>478</v>
      </c>
      <c r="L100">
        <v>1339</v>
      </c>
      <c r="N100">
        <v>1007</v>
      </c>
      <c r="O100" t="s">
        <v>34</v>
      </c>
      <c r="P100" t="s">
        <v>34</v>
      </c>
      <c r="Q100">
        <v>1</v>
      </c>
      <c r="W100">
        <v>0</v>
      </c>
      <c r="X100">
        <v>1562942180</v>
      </c>
      <c r="Y100">
        <f t="shared" si="41"/>
        <v>1.7999999999999999E-2</v>
      </c>
      <c r="AA100">
        <v>13856.67</v>
      </c>
      <c r="AB100">
        <v>0</v>
      </c>
      <c r="AC100">
        <v>0</v>
      </c>
      <c r="AD100">
        <v>0</v>
      </c>
      <c r="AE100">
        <v>16496.03</v>
      </c>
      <c r="AF100">
        <v>0</v>
      </c>
      <c r="AG100">
        <v>0</v>
      </c>
      <c r="AH100">
        <v>0</v>
      </c>
      <c r="AI100">
        <v>0.84</v>
      </c>
      <c r="AJ100">
        <v>1</v>
      </c>
      <c r="AK100">
        <v>1</v>
      </c>
      <c r="AL100">
        <v>1</v>
      </c>
      <c r="AM100">
        <v>2</v>
      </c>
      <c r="AN100">
        <v>0</v>
      </c>
      <c r="AO100">
        <v>0</v>
      </c>
      <c r="AP100">
        <v>1</v>
      </c>
      <c r="AQ100">
        <v>1</v>
      </c>
      <c r="AR100">
        <v>0</v>
      </c>
      <c r="AS100" t="s">
        <v>3</v>
      </c>
      <c r="AT100">
        <v>1.7999999999999999E-2</v>
      </c>
      <c r="AU100" t="s">
        <v>3</v>
      </c>
      <c r="AV100">
        <v>0</v>
      </c>
      <c r="AW100">
        <v>2</v>
      </c>
      <c r="AX100">
        <v>94188167</v>
      </c>
      <c r="AY100">
        <v>1</v>
      </c>
      <c r="AZ100">
        <v>0</v>
      </c>
      <c r="BA100">
        <v>101</v>
      </c>
      <c r="BB100">
        <v>1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296.92853999999994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1</v>
      </c>
      <c r="BQ100">
        <v>296.92853999999994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1</v>
      </c>
      <c r="CV100">
        <v>0</v>
      </c>
      <c r="CW100">
        <v>0</v>
      </c>
      <c r="CX100">
        <f>ROUND(Y100*Source!I96,7)</f>
        <v>6.8849999999999996E-3</v>
      </c>
      <c r="CY100">
        <f t="shared" si="37"/>
        <v>13856.67</v>
      </c>
      <c r="CZ100">
        <f t="shared" si="38"/>
        <v>16496.03</v>
      </c>
      <c r="DA100">
        <f t="shared" si="39"/>
        <v>0.84</v>
      </c>
      <c r="DB100">
        <f t="shared" si="42"/>
        <v>296.93</v>
      </c>
      <c r="DC100">
        <f t="shared" si="43"/>
        <v>0</v>
      </c>
      <c r="DD100" t="s">
        <v>3</v>
      </c>
      <c r="DE100" t="s">
        <v>3</v>
      </c>
      <c r="DF100">
        <f>ROUND(ROUND(AE100*AI100,2)*CX100,2)</f>
        <v>95.4</v>
      </c>
      <c r="DG100">
        <f t="shared" si="36"/>
        <v>0</v>
      </c>
      <c r="DH100">
        <f t="shared" si="30"/>
        <v>0</v>
      </c>
      <c r="DI100">
        <f t="shared" si="31"/>
        <v>0</v>
      </c>
      <c r="DJ100">
        <f t="shared" si="40"/>
        <v>95.4</v>
      </c>
      <c r="DK100">
        <v>0</v>
      </c>
      <c r="DL100" t="s">
        <v>3</v>
      </c>
      <c r="DM100">
        <v>0</v>
      </c>
      <c r="DN100" t="s">
        <v>3</v>
      </c>
      <c r="DO100">
        <v>0</v>
      </c>
    </row>
    <row r="101" spans="1:119" x14ac:dyDescent="0.2">
      <c r="A101">
        <f>ROW(Source!A96)</f>
        <v>96</v>
      </c>
      <c r="B101">
        <v>94104265</v>
      </c>
      <c r="C101">
        <v>94188140</v>
      </c>
      <c r="D101">
        <v>87315020</v>
      </c>
      <c r="E101">
        <v>1</v>
      </c>
      <c r="F101">
        <v>1</v>
      </c>
      <c r="G101">
        <v>1</v>
      </c>
      <c r="H101">
        <v>3</v>
      </c>
      <c r="I101" t="s">
        <v>54</v>
      </c>
      <c r="J101" t="s">
        <v>56</v>
      </c>
      <c r="K101" t="s">
        <v>55</v>
      </c>
      <c r="L101">
        <v>1339</v>
      </c>
      <c r="N101">
        <v>1007</v>
      </c>
      <c r="O101" t="s">
        <v>34</v>
      </c>
      <c r="P101" t="s">
        <v>34</v>
      </c>
      <c r="Q101">
        <v>1</v>
      </c>
      <c r="W101">
        <v>0</v>
      </c>
      <c r="X101">
        <v>194416042</v>
      </c>
      <c r="Y101">
        <f t="shared" si="41"/>
        <v>4.6013100000000001E-2</v>
      </c>
      <c r="AA101">
        <v>10199.25</v>
      </c>
      <c r="AB101">
        <v>0</v>
      </c>
      <c r="AC101">
        <v>0</v>
      </c>
      <c r="AD101">
        <v>0</v>
      </c>
      <c r="AE101">
        <v>7555</v>
      </c>
      <c r="AF101">
        <v>0</v>
      </c>
      <c r="AG101">
        <v>0</v>
      </c>
      <c r="AH101">
        <v>0</v>
      </c>
      <c r="AI101">
        <v>1.35</v>
      </c>
      <c r="AJ101">
        <v>1</v>
      </c>
      <c r="AK101">
        <v>1</v>
      </c>
      <c r="AL101">
        <v>1</v>
      </c>
      <c r="AM101">
        <v>2</v>
      </c>
      <c r="AN101">
        <v>0</v>
      </c>
      <c r="AO101">
        <v>0</v>
      </c>
      <c r="AP101">
        <v>1</v>
      </c>
      <c r="AQ101">
        <v>0</v>
      </c>
      <c r="AR101">
        <v>0</v>
      </c>
      <c r="AS101" t="s">
        <v>3</v>
      </c>
      <c r="AT101">
        <v>4.6013100000000001E-2</v>
      </c>
      <c r="AU101" t="s">
        <v>3</v>
      </c>
      <c r="AV101">
        <v>0</v>
      </c>
      <c r="AW101">
        <v>1</v>
      </c>
      <c r="AX101">
        <v>-1</v>
      </c>
      <c r="AY101">
        <v>0</v>
      </c>
      <c r="AZ101">
        <v>0</v>
      </c>
      <c r="BA101" t="s">
        <v>3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CV101">
        <v>0</v>
      </c>
      <c r="CW101">
        <v>0</v>
      </c>
      <c r="CX101">
        <f>ROUND(Y101*Source!I96,7)</f>
        <v>1.7600000000000001E-2</v>
      </c>
      <c r="CY101">
        <f t="shared" si="37"/>
        <v>10199.25</v>
      </c>
      <c r="CZ101">
        <f t="shared" si="38"/>
        <v>7555</v>
      </c>
      <c r="DA101">
        <f t="shared" si="39"/>
        <v>1.35</v>
      </c>
      <c r="DB101">
        <f t="shared" si="42"/>
        <v>347.63</v>
      </c>
      <c r="DC101">
        <f t="shared" si="43"/>
        <v>0</v>
      </c>
      <c r="DD101" t="s">
        <v>3</v>
      </c>
      <c r="DE101" t="s">
        <v>3</v>
      </c>
      <c r="DF101">
        <f>ROUND(ROUND(AE101*AI101,2)*CX101,2)</f>
        <v>179.51</v>
      </c>
      <c r="DG101">
        <f t="shared" si="36"/>
        <v>0</v>
      </c>
      <c r="DH101">
        <f t="shared" si="30"/>
        <v>0</v>
      </c>
      <c r="DI101">
        <f t="shared" si="31"/>
        <v>0</v>
      </c>
      <c r="DJ101">
        <f t="shared" si="40"/>
        <v>179.51</v>
      </c>
      <c r="DK101">
        <v>0</v>
      </c>
      <c r="DL101" t="s">
        <v>3</v>
      </c>
      <c r="DM101">
        <v>0</v>
      </c>
      <c r="DN101" t="s">
        <v>3</v>
      </c>
      <c r="DO101">
        <v>0</v>
      </c>
    </row>
    <row r="102" spans="1:119" x14ac:dyDescent="0.2">
      <c r="A102">
        <f>ROW(Source!A96)</f>
        <v>96</v>
      </c>
      <c r="B102">
        <v>94104265</v>
      </c>
      <c r="C102">
        <v>94188140</v>
      </c>
      <c r="D102">
        <v>87315053</v>
      </c>
      <c r="E102">
        <v>1</v>
      </c>
      <c r="F102">
        <v>1</v>
      </c>
      <c r="G102">
        <v>1</v>
      </c>
      <c r="H102">
        <v>3</v>
      </c>
      <c r="I102" t="s">
        <v>479</v>
      </c>
      <c r="J102" t="s">
        <v>480</v>
      </c>
      <c r="K102" t="s">
        <v>481</v>
      </c>
      <c r="L102">
        <v>1339</v>
      </c>
      <c r="N102">
        <v>1007</v>
      </c>
      <c r="O102" t="s">
        <v>34</v>
      </c>
      <c r="P102" t="s">
        <v>34</v>
      </c>
      <c r="Q102">
        <v>1</v>
      </c>
      <c r="W102">
        <v>0</v>
      </c>
      <c r="X102">
        <v>-2132912994</v>
      </c>
      <c r="Y102">
        <f t="shared" si="41"/>
        <v>0.13800000000000001</v>
      </c>
      <c r="AA102">
        <v>9972.4500000000007</v>
      </c>
      <c r="AB102">
        <v>0</v>
      </c>
      <c r="AC102">
        <v>0</v>
      </c>
      <c r="AD102">
        <v>0</v>
      </c>
      <c r="AE102">
        <v>5764.42</v>
      </c>
      <c r="AF102">
        <v>0</v>
      </c>
      <c r="AG102">
        <v>0</v>
      </c>
      <c r="AH102">
        <v>0</v>
      </c>
      <c r="AI102">
        <v>1.73</v>
      </c>
      <c r="AJ102">
        <v>1</v>
      </c>
      <c r="AK102">
        <v>1</v>
      </c>
      <c r="AL102">
        <v>1</v>
      </c>
      <c r="AM102">
        <v>2</v>
      </c>
      <c r="AN102">
        <v>0</v>
      </c>
      <c r="AO102">
        <v>0</v>
      </c>
      <c r="AP102">
        <v>1</v>
      </c>
      <c r="AQ102">
        <v>1</v>
      </c>
      <c r="AR102">
        <v>0</v>
      </c>
      <c r="AS102" t="s">
        <v>3</v>
      </c>
      <c r="AT102">
        <v>0.13800000000000001</v>
      </c>
      <c r="AU102" t="s">
        <v>3</v>
      </c>
      <c r="AV102">
        <v>0</v>
      </c>
      <c r="AW102">
        <v>2</v>
      </c>
      <c r="AX102">
        <v>94188168</v>
      </c>
      <c r="AY102">
        <v>1</v>
      </c>
      <c r="AZ102">
        <v>0</v>
      </c>
      <c r="BA102">
        <v>102</v>
      </c>
      <c r="BB102">
        <v>1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795.48996000000011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1</v>
      </c>
      <c r="BQ102">
        <v>795.48996000000011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1</v>
      </c>
      <c r="CV102">
        <v>0</v>
      </c>
      <c r="CW102">
        <v>0</v>
      </c>
      <c r="CX102">
        <f>ROUND(Y102*Source!I96,7)</f>
        <v>5.2784999999999999E-2</v>
      </c>
      <c r="CY102">
        <f t="shared" si="37"/>
        <v>9972.4500000000007</v>
      </c>
      <c r="CZ102">
        <f t="shared" si="38"/>
        <v>5764.42</v>
      </c>
      <c r="DA102">
        <f t="shared" si="39"/>
        <v>1.73</v>
      </c>
      <c r="DB102">
        <f t="shared" si="42"/>
        <v>795.49</v>
      </c>
      <c r="DC102">
        <f t="shared" si="43"/>
        <v>0</v>
      </c>
      <c r="DD102" t="s">
        <v>3</v>
      </c>
      <c r="DE102" t="s">
        <v>3</v>
      </c>
      <c r="DF102">
        <f>ROUND(ROUND(AE102*AI102,2)*CX102,2)</f>
        <v>526.4</v>
      </c>
      <c r="DG102">
        <f t="shared" si="36"/>
        <v>0</v>
      </c>
      <c r="DH102">
        <f t="shared" si="30"/>
        <v>0</v>
      </c>
      <c r="DI102">
        <f t="shared" si="31"/>
        <v>0</v>
      </c>
      <c r="DJ102">
        <f t="shared" si="40"/>
        <v>526.4</v>
      </c>
      <c r="DK102">
        <v>0</v>
      </c>
      <c r="DL102" t="s">
        <v>3</v>
      </c>
      <c r="DM102">
        <v>0</v>
      </c>
      <c r="DN102" t="s">
        <v>3</v>
      </c>
      <c r="DO102">
        <v>0</v>
      </c>
    </row>
    <row r="103" spans="1:119" x14ac:dyDescent="0.2">
      <c r="A103">
        <f>ROW(Source!A100)</f>
        <v>100</v>
      </c>
      <c r="B103">
        <v>94104265</v>
      </c>
      <c r="C103">
        <v>94188172</v>
      </c>
      <c r="D103">
        <v>37064928</v>
      </c>
      <c r="E103">
        <v>117</v>
      </c>
      <c r="F103">
        <v>1</v>
      </c>
      <c r="G103">
        <v>1</v>
      </c>
      <c r="H103">
        <v>1</v>
      </c>
      <c r="I103" t="s">
        <v>482</v>
      </c>
      <c r="J103" t="s">
        <v>3</v>
      </c>
      <c r="K103" t="s">
        <v>483</v>
      </c>
      <c r="L103">
        <v>1191</v>
      </c>
      <c r="N103">
        <v>1013</v>
      </c>
      <c r="O103" t="s">
        <v>428</v>
      </c>
      <c r="P103" t="s">
        <v>428</v>
      </c>
      <c r="Q103">
        <v>1</v>
      </c>
      <c r="W103">
        <v>0</v>
      </c>
      <c r="X103">
        <v>-715079457</v>
      </c>
      <c r="Y103">
        <f t="shared" si="41"/>
        <v>118</v>
      </c>
      <c r="AA103">
        <v>0</v>
      </c>
      <c r="AB103">
        <v>0</v>
      </c>
      <c r="AC103">
        <v>0</v>
      </c>
      <c r="AD103">
        <v>681.63</v>
      </c>
      <c r="AE103">
        <v>0</v>
      </c>
      <c r="AF103">
        <v>0</v>
      </c>
      <c r="AG103">
        <v>0</v>
      </c>
      <c r="AH103">
        <v>681.63</v>
      </c>
      <c r="AI103">
        <v>1</v>
      </c>
      <c r="AJ103">
        <v>1</v>
      </c>
      <c r="AK103">
        <v>1</v>
      </c>
      <c r="AL103">
        <v>1</v>
      </c>
      <c r="AM103">
        <v>-2</v>
      </c>
      <c r="AN103">
        <v>0</v>
      </c>
      <c r="AO103">
        <v>0</v>
      </c>
      <c r="AP103">
        <v>1</v>
      </c>
      <c r="AQ103">
        <v>1</v>
      </c>
      <c r="AR103">
        <v>0</v>
      </c>
      <c r="AS103" t="s">
        <v>3</v>
      </c>
      <c r="AT103">
        <v>118</v>
      </c>
      <c r="AU103" t="s">
        <v>3</v>
      </c>
      <c r="AV103">
        <v>1</v>
      </c>
      <c r="AW103">
        <v>2</v>
      </c>
      <c r="AX103">
        <v>94188182</v>
      </c>
      <c r="AY103">
        <v>1</v>
      </c>
      <c r="AZ103">
        <v>0</v>
      </c>
      <c r="BA103">
        <v>103</v>
      </c>
      <c r="BB103">
        <v>1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80432.34</v>
      </c>
      <c r="BN103">
        <v>118</v>
      </c>
      <c r="BO103">
        <v>0</v>
      </c>
      <c r="BP103">
        <v>1</v>
      </c>
      <c r="BQ103">
        <v>0</v>
      </c>
      <c r="BR103">
        <v>0</v>
      </c>
      <c r="BS103">
        <v>0</v>
      </c>
      <c r="BT103">
        <v>80432.34</v>
      </c>
      <c r="BU103">
        <v>118</v>
      </c>
      <c r="BV103">
        <v>0</v>
      </c>
      <c r="BW103">
        <v>1</v>
      </c>
      <c r="CU103">
        <f>ROUND(AT103*Source!I100*AH103*AL103,2)</f>
        <v>64.349999999999994</v>
      </c>
      <c r="CV103">
        <f>ROUND(Y103*Source!I100,7)</f>
        <v>9.4399999999999998E-2</v>
      </c>
      <c r="CW103">
        <v>0</v>
      </c>
      <c r="CX103">
        <f>ROUND(Y103*Source!I100,7)</f>
        <v>9.4399999999999998E-2</v>
      </c>
      <c r="CY103">
        <f>AD103</f>
        <v>681.63</v>
      </c>
      <c r="CZ103">
        <f>AH103</f>
        <v>681.63</v>
      </c>
      <c r="DA103">
        <f>AL103</f>
        <v>1</v>
      </c>
      <c r="DB103">
        <f t="shared" si="42"/>
        <v>80432.34</v>
      </c>
      <c r="DC103">
        <f t="shared" si="43"/>
        <v>0</v>
      </c>
      <c r="DD103" t="s">
        <v>3</v>
      </c>
      <c r="DE103" t="s">
        <v>3</v>
      </c>
      <c r="DF103">
        <f>ROUND(ROUND(AE103,2)*CX103,2)</f>
        <v>0</v>
      </c>
      <c r="DG103">
        <f t="shared" si="36"/>
        <v>0</v>
      </c>
      <c r="DH103">
        <f t="shared" si="30"/>
        <v>0</v>
      </c>
      <c r="DI103">
        <f t="shared" si="31"/>
        <v>64.349999999999994</v>
      </c>
      <c r="DJ103">
        <f>DI103</f>
        <v>64.349999999999994</v>
      </c>
      <c r="DK103">
        <v>0</v>
      </c>
      <c r="DL103" t="s">
        <v>3</v>
      </c>
      <c r="DM103">
        <v>0</v>
      </c>
      <c r="DN103" t="s">
        <v>3</v>
      </c>
      <c r="DO103">
        <v>0</v>
      </c>
    </row>
    <row r="104" spans="1:119" x14ac:dyDescent="0.2">
      <c r="A104">
        <f>ROW(Source!A100)</f>
        <v>100</v>
      </c>
      <c r="B104">
        <v>94104265</v>
      </c>
      <c r="C104">
        <v>94188172</v>
      </c>
      <c r="D104">
        <v>37064876</v>
      </c>
      <c r="E104">
        <v>117</v>
      </c>
      <c r="F104">
        <v>1</v>
      </c>
      <c r="G104">
        <v>1</v>
      </c>
      <c r="H104">
        <v>1</v>
      </c>
      <c r="I104" t="s">
        <v>429</v>
      </c>
      <c r="J104" t="s">
        <v>3</v>
      </c>
      <c r="K104" t="s">
        <v>430</v>
      </c>
      <c r="L104">
        <v>1191</v>
      </c>
      <c r="N104">
        <v>1013</v>
      </c>
      <c r="O104" t="s">
        <v>428</v>
      </c>
      <c r="P104" t="s">
        <v>428</v>
      </c>
      <c r="Q104">
        <v>1</v>
      </c>
      <c r="W104">
        <v>0</v>
      </c>
      <c r="X104">
        <v>-1417349443</v>
      </c>
      <c r="Y104">
        <f t="shared" si="41"/>
        <v>0.5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1</v>
      </c>
      <c r="AJ104">
        <v>1</v>
      </c>
      <c r="AK104">
        <v>1</v>
      </c>
      <c r="AL104">
        <v>1</v>
      </c>
      <c r="AM104">
        <v>-2</v>
      </c>
      <c r="AN104">
        <v>0</v>
      </c>
      <c r="AO104">
        <v>0</v>
      </c>
      <c r="AP104">
        <v>1</v>
      </c>
      <c r="AQ104">
        <v>1</v>
      </c>
      <c r="AR104">
        <v>0</v>
      </c>
      <c r="AS104" t="s">
        <v>3</v>
      </c>
      <c r="AT104">
        <v>0.5</v>
      </c>
      <c r="AU104" t="s">
        <v>3</v>
      </c>
      <c r="AV104">
        <v>2</v>
      </c>
      <c r="AW104">
        <v>2</v>
      </c>
      <c r="AX104">
        <v>94188183</v>
      </c>
      <c r="AY104">
        <v>1</v>
      </c>
      <c r="AZ104">
        <v>0</v>
      </c>
      <c r="BA104">
        <v>104</v>
      </c>
      <c r="BB104">
        <v>1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CV104">
        <v>0</v>
      </c>
      <c r="CW104">
        <v>0</v>
      </c>
      <c r="CX104">
        <f>ROUND(Y104*Source!I100,7)</f>
        <v>4.0000000000000002E-4</v>
      </c>
      <c r="CY104">
        <f>AD104</f>
        <v>0</v>
      </c>
      <c r="CZ104">
        <f>AH104</f>
        <v>0</v>
      </c>
      <c r="DA104">
        <f>AL104</f>
        <v>1</v>
      </c>
      <c r="DB104">
        <f t="shared" si="42"/>
        <v>0</v>
      </c>
      <c r="DC104">
        <f t="shared" si="43"/>
        <v>0</v>
      </c>
      <c r="DD104" t="s">
        <v>3</v>
      </c>
      <c r="DE104" t="s">
        <v>3</v>
      </c>
      <c r="DF104">
        <f>ROUND(ROUND(AE104,2)*CX104,2)</f>
        <v>0</v>
      </c>
      <c r="DG104">
        <f t="shared" si="36"/>
        <v>0</v>
      </c>
      <c r="DH104">
        <f t="shared" si="30"/>
        <v>0</v>
      </c>
      <c r="DI104">
        <f t="shared" si="31"/>
        <v>0</v>
      </c>
      <c r="DJ104">
        <f>DI104</f>
        <v>0</v>
      </c>
      <c r="DK104">
        <v>0</v>
      </c>
      <c r="DL104" t="s">
        <v>3</v>
      </c>
      <c r="DM104">
        <v>0</v>
      </c>
      <c r="DN104" t="s">
        <v>3</v>
      </c>
      <c r="DO104">
        <v>0</v>
      </c>
    </row>
    <row r="105" spans="1:119" x14ac:dyDescent="0.2">
      <c r="A105">
        <f>ROW(Source!A100)</f>
        <v>100</v>
      </c>
      <c r="B105">
        <v>94104265</v>
      </c>
      <c r="C105">
        <v>94188172</v>
      </c>
      <c r="D105">
        <v>87236438</v>
      </c>
      <c r="E105">
        <v>1</v>
      </c>
      <c r="F105">
        <v>1</v>
      </c>
      <c r="G105">
        <v>1</v>
      </c>
      <c r="H105">
        <v>2</v>
      </c>
      <c r="I105" t="s">
        <v>453</v>
      </c>
      <c r="J105" t="s">
        <v>454</v>
      </c>
      <c r="K105" t="s">
        <v>455</v>
      </c>
      <c r="L105">
        <v>1368</v>
      </c>
      <c r="N105">
        <v>1011</v>
      </c>
      <c r="O105" t="s">
        <v>434</v>
      </c>
      <c r="P105" t="s">
        <v>434</v>
      </c>
      <c r="Q105">
        <v>1</v>
      </c>
      <c r="W105">
        <v>0</v>
      </c>
      <c r="X105">
        <v>639918019</v>
      </c>
      <c r="Y105">
        <f t="shared" si="41"/>
        <v>0.22</v>
      </c>
      <c r="AA105">
        <v>0</v>
      </c>
      <c r="AB105">
        <v>1585.56</v>
      </c>
      <c r="AC105">
        <v>982.04</v>
      </c>
      <c r="AD105">
        <v>0</v>
      </c>
      <c r="AE105">
        <v>0</v>
      </c>
      <c r="AF105">
        <v>1585.56</v>
      </c>
      <c r="AG105">
        <v>982.04</v>
      </c>
      <c r="AH105">
        <v>0</v>
      </c>
      <c r="AI105">
        <v>1</v>
      </c>
      <c r="AJ105">
        <v>1</v>
      </c>
      <c r="AK105">
        <v>1</v>
      </c>
      <c r="AL105">
        <v>1</v>
      </c>
      <c r="AM105">
        <v>-2</v>
      </c>
      <c r="AN105">
        <v>0</v>
      </c>
      <c r="AO105">
        <v>0</v>
      </c>
      <c r="AP105">
        <v>1</v>
      </c>
      <c r="AQ105">
        <v>1</v>
      </c>
      <c r="AR105">
        <v>0</v>
      </c>
      <c r="AS105" t="s">
        <v>3</v>
      </c>
      <c r="AT105">
        <v>0.22</v>
      </c>
      <c r="AU105" t="s">
        <v>3</v>
      </c>
      <c r="AV105">
        <v>1</v>
      </c>
      <c r="AW105">
        <v>2</v>
      </c>
      <c r="AX105">
        <v>94188184</v>
      </c>
      <c r="AY105">
        <v>2</v>
      </c>
      <c r="AZ105">
        <v>98304</v>
      </c>
      <c r="BA105">
        <v>105</v>
      </c>
      <c r="BB105">
        <v>1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348.82319999999999</v>
      </c>
      <c r="BL105">
        <v>216.0488</v>
      </c>
      <c r="BM105">
        <v>0</v>
      </c>
      <c r="BN105">
        <v>0</v>
      </c>
      <c r="BO105">
        <v>0.22</v>
      </c>
      <c r="BP105">
        <v>1</v>
      </c>
      <c r="BQ105">
        <v>0</v>
      </c>
      <c r="BR105">
        <v>348.82319999999999</v>
      </c>
      <c r="BS105">
        <v>216.0488</v>
      </c>
      <c r="BT105">
        <v>0</v>
      </c>
      <c r="BU105">
        <v>0</v>
      </c>
      <c r="BV105">
        <v>0.22</v>
      </c>
      <c r="BW105">
        <v>1</v>
      </c>
      <c r="CV105">
        <v>0</v>
      </c>
      <c r="CW105">
        <f>ROUND(Y105*Source!I100*DO105,7)</f>
        <v>1.76E-4</v>
      </c>
      <c r="CX105">
        <f>ROUND(Y105*Source!I100,7)</f>
        <v>1.76E-4</v>
      </c>
      <c r="CY105">
        <f>AB105</f>
        <v>1585.56</v>
      </c>
      <c r="CZ105">
        <f>AF105</f>
        <v>1585.56</v>
      </c>
      <c r="DA105">
        <f>AJ105</f>
        <v>1</v>
      </c>
      <c r="DB105">
        <f t="shared" si="42"/>
        <v>348.82</v>
      </c>
      <c r="DC105">
        <f t="shared" si="43"/>
        <v>216.05</v>
      </c>
      <c r="DD105" t="s">
        <v>3</v>
      </c>
      <c r="DE105" t="s">
        <v>3</v>
      </c>
      <c r="DF105">
        <f>ROUND(ROUND(AE105,2)*CX105,2)</f>
        <v>0</v>
      </c>
      <c r="DG105">
        <f t="shared" si="36"/>
        <v>0.28000000000000003</v>
      </c>
      <c r="DH105">
        <f t="shared" si="30"/>
        <v>0.17</v>
      </c>
      <c r="DI105">
        <f t="shared" si="31"/>
        <v>0</v>
      </c>
      <c r="DJ105">
        <f>DG105+DH105</f>
        <v>0.45000000000000007</v>
      </c>
      <c r="DK105">
        <v>1</v>
      </c>
      <c r="DL105" t="s">
        <v>456</v>
      </c>
      <c r="DM105">
        <v>6</v>
      </c>
      <c r="DN105" t="s">
        <v>428</v>
      </c>
      <c r="DO105">
        <v>1</v>
      </c>
    </row>
    <row r="106" spans="1:119" x14ac:dyDescent="0.2">
      <c r="A106">
        <f>ROW(Source!A100)</f>
        <v>100</v>
      </c>
      <c r="B106">
        <v>94104265</v>
      </c>
      <c r="C106">
        <v>94188172</v>
      </c>
      <c r="D106">
        <v>87237333</v>
      </c>
      <c r="E106">
        <v>1</v>
      </c>
      <c r="F106">
        <v>1</v>
      </c>
      <c r="G106">
        <v>1</v>
      </c>
      <c r="H106">
        <v>2</v>
      </c>
      <c r="I106" t="s">
        <v>463</v>
      </c>
      <c r="J106" t="s">
        <v>464</v>
      </c>
      <c r="K106" t="s">
        <v>465</v>
      </c>
      <c r="L106">
        <v>1368</v>
      </c>
      <c r="N106">
        <v>1011</v>
      </c>
      <c r="O106" t="s">
        <v>434</v>
      </c>
      <c r="P106" t="s">
        <v>434</v>
      </c>
      <c r="Q106">
        <v>1</v>
      </c>
      <c r="W106">
        <v>0</v>
      </c>
      <c r="X106">
        <v>-849950259</v>
      </c>
      <c r="Y106">
        <f t="shared" si="41"/>
        <v>0.28000000000000003</v>
      </c>
      <c r="AA106">
        <v>0</v>
      </c>
      <c r="AB106">
        <v>544.91999999999996</v>
      </c>
      <c r="AC106">
        <v>731.08</v>
      </c>
      <c r="AD106">
        <v>0</v>
      </c>
      <c r="AE106">
        <v>0</v>
      </c>
      <c r="AF106">
        <v>544.91999999999996</v>
      </c>
      <c r="AG106">
        <v>731.08</v>
      </c>
      <c r="AH106">
        <v>0</v>
      </c>
      <c r="AI106">
        <v>1</v>
      </c>
      <c r="AJ106">
        <v>1</v>
      </c>
      <c r="AK106">
        <v>1</v>
      </c>
      <c r="AL106">
        <v>1</v>
      </c>
      <c r="AM106">
        <v>-2</v>
      </c>
      <c r="AN106">
        <v>0</v>
      </c>
      <c r="AO106">
        <v>0</v>
      </c>
      <c r="AP106">
        <v>1</v>
      </c>
      <c r="AQ106">
        <v>1</v>
      </c>
      <c r="AR106">
        <v>0</v>
      </c>
      <c r="AS106" t="s">
        <v>3</v>
      </c>
      <c r="AT106">
        <v>0.28000000000000003</v>
      </c>
      <c r="AU106" t="s">
        <v>3</v>
      </c>
      <c r="AV106">
        <v>1</v>
      </c>
      <c r="AW106">
        <v>2</v>
      </c>
      <c r="AX106">
        <v>94188185</v>
      </c>
      <c r="AY106">
        <v>2</v>
      </c>
      <c r="AZ106">
        <v>98304</v>
      </c>
      <c r="BA106">
        <v>106</v>
      </c>
      <c r="BB106">
        <v>1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152.57759999999999</v>
      </c>
      <c r="BL106">
        <v>204.70240000000004</v>
      </c>
      <c r="BM106">
        <v>0</v>
      </c>
      <c r="BN106">
        <v>0</v>
      </c>
      <c r="BO106">
        <v>0.28000000000000003</v>
      </c>
      <c r="BP106">
        <v>1</v>
      </c>
      <c r="BQ106">
        <v>0</v>
      </c>
      <c r="BR106">
        <v>152.57759999999999</v>
      </c>
      <c r="BS106">
        <v>204.70240000000004</v>
      </c>
      <c r="BT106">
        <v>0</v>
      </c>
      <c r="BU106">
        <v>0</v>
      </c>
      <c r="BV106">
        <v>0.28000000000000003</v>
      </c>
      <c r="BW106">
        <v>1</v>
      </c>
      <c r="CV106">
        <v>0</v>
      </c>
      <c r="CW106">
        <f>ROUND(Y106*Source!I100*DO106,7)</f>
        <v>2.24E-4</v>
      </c>
      <c r="CX106">
        <f>ROUND(Y106*Source!I100,7)</f>
        <v>2.24E-4</v>
      </c>
      <c r="CY106">
        <f>AB106</f>
        <v>544.91999999999996</v>
      </c>
      <c r="CZ106">
        <f>AF106</f>
        <v>544.91999999999996</v>
      </c>
      <c r="DA106">
        <f>AJ106</f>
        <v>1</v>
      </c>
      <c r="DB106">
        <f t="shared" si="42"/>
        <v>152.58000000000001</v>
      </c>
      <c r="DC106">
        <f t="shared" si="43"/>
        <v>204.7</v>
      </c>
      <c r="DD106" t="s">
        <v>3</v>
      </c>
      <c r="DE106" t="s">
        <v>3</v>
      </c>
      <c r="DF106">
        <f>ROUND(ROUND(AE106,2)*CX106,2)</f>
        <v>0</v>
      </c>
      <c r="DG106">
        <f t="shared" si="36"/>
        <v>0.12</v>
      </c>
      <c r="DH106">
        <f t="shared" si="30"/>
        <v>0.16</v>
      </c>
      <c r="DI106">
        <f t="shared" si="31"/>
        <v>0</v>
      </c>
      <c r="DJ106">
        <f>DG106+DH106</f>
        <v>0.28000000000000003</v>
      </c>
      <c r="DK106">
        <v>1</v>
      </c>
      <c r="DL106" t="s">
        <v>466</v>
      </c>
      <c r="DM106">
        <v>4</v>
      </c>
      <c r="DN106" t="s">
        <v>428</v>
      </c>
      <c r="DO106">
        <v>1</v>
      </c>
    </row>
    <row r="107" spans="1:119" x14ac:dyDescent="0.2">
      <c r="A107">
        <f>ROW(Source!A100)</f>
        <v>100</v>
      </c>
      <c r="B107">
        <v>94104265</v>
      </c>
      <c r="C107">
        <v>94188172</v>
      </c>
      <c r="D107">
        <v>87237529</v>
      </c>
      <c r="E107">
        <v>1</v>
      </c>
      <c r="F107">
        <v>1</v>
      </c>
      <c r="G107">
        <v>1</v>
      </c>
      <c r="H107">
        <v>2</v>
      </c>
      <c r="I107" t="s">
        <v>484</v>
      </c>
      <c r="J107" t="s">
        <v>485</v>
      </c>
      <c r="K107" t="s">
        <v>486</v>
      </c>
      <c r="L107">
        <v>1368</v>
      </c>
      <c r="N107">
        <v>1011</v>
      </c>
      <c r="O107" t="s">
        <v>434</v>
      </c>
      <c r="P107" t="s">
        <v>434</v>
      </c>
      <c r="Q107">
        <v>1</v>
      </c>
      <c r="W107">
        <v>0</v>
      </c>
      <c r="X107">
        <v>303316554</v>
      </c>
      <c r="Y107">
        <f t="shared" si="41"/>
        <v>1.49</v>
      </c>
      <c r="AA107">
        <v>0</v>
      </c>
      <c r="AB107">
        <v>32.24</v>
      </c>
      <c r="AC107">
        <v>0</v>
      </c>
      <c r="AD107">
        <v>0</v>
      </c>
      <c r="AE107">
        <v>0</v>
      </c>
      <c r="AF107">
        <v>32.24</v>
      </c>
      <c r="AG107">
        <v>0</v>
      </c>
      <c r="AH107">
        <v>0</v>
      </c>
      <c r="AI107">
        <v>1</v>
      </c>
      <c r="AJ107">
        <v>1</v>
      </c>
      <c r="AK107">
        <v>1</v>
      </c>
      <c r="AL107">
        <v>1</v>
      </c>
      <c r="AM107">
        <v>-2</v>
      </c>
      <c r="AN107">
        <v>0</v>
      </c>
      <c r="AO107">
        <v>0</v>
      </c>
      <c r="AP107">
        <v>1</v>
      </c>
      <c r="AQ107">
        <v>1</v>
      </c>
      <c r="AR107">
        <v>0</v>
      </c>
      <c r="AS107" t="s">
        <v>3</v>
      </c>
      <c r="AT107">
        <v>1.49</v>
      </c>
      <c r="AU107" t="s">
        <v>3</v>
      </c>
      <c r="AV107">
        <v>1</v>
      </c>
      <c r="AW107">
        <v>2</v>
      </c>
      <c r="AX107">
        <v>94188186</v>
      </c>
      <c r="AY107">
        <v>2</v>
      </c>
      <c r="AZ107">
        <v>32768</v>
      </c>
      <c r="BA107">
        <v>107</v>
      </c>
      <c r="BB107">
        <v>1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48.037600000000005</v>
      </c>
      <c r="BL107">
        <v>0</v>
      </c>
      <c r="BM107">
        <v>0</v>
      </c>
      <c r="BN107">
        <v>0</v>
      </c>
      <c r="BO107">
        <v>0</v>
      </c>
      <c r="BP107">
        <v>1</v>
      </c>
      <c r="BQ107">
        <v>0</v>
      </c>
      <c r="BR107">
        <v>48.037600000000005</v>
      </c>
      <c r="BS107">
        <v>0</v>
      </c>
      <c r="BT107">
        <v>0</v>
      </c>
      <c r="BU107">
        <v>0</v>
      </c>
      <c r="BV107">
        <v>0</v>
      </c>
      <c r="BW107">
        <v>1</v>
      </c>
      <c r="CV107">
        <v>0</v>
      </c>
      <c r="CW107">
        <f>ROUND(Y107*Source!I100*DO107,7)</f>
        <v>0</v>
      </c>
      <c r="CX107">
        <f>ROUND(Y107*Source!I100,7)</f>
        <v>1.1919999999999999E-3</v>
      </c>
      <c r="CY107">
        <f>AB107</f>
        <v>32.24</v>
      </c>
      <c r="CZ107">
        <f>AF107</f>
        <v>32.24</v>
      </c>
      <c r="DA107">
        <f>AJ107</f>
        <v>1</v>
      </c>
      <c r="DB107">
        <f t="shared" si="42"/>
        <v>48.04</v>
      </c>
      <c r="DC107">
        <f t="shared" si="43"/>
        <v>0</v>
      </c>
      <c r="DD107" t="s">
        <v>3</v>
      </c>
      <c r="DE107" t="s">
        <v>3</v>
      </c>
      <c r="DF107">
        <f>ROUND(ROUND(AE107,2)*CX107,2)</f>
        <v>0</v>
      </c>
      <c r="DG107">
        <f t="shared" si="36"/>
        <v>0.04</v>
      </c>
      <c r="DH107">
        <f t="shared" si="30"/>
        <v>0</v>
      </c>
      <c r="DI107">
        <f t="shared" si="31"/>
        <v>0</v>
      </c>
      <c r="DJ107">
        <f>DG107+DH107</f>
        <v>0.04</v>
      </c>
      <c r="DK107">
        <v>1</v>
      </c>
      <c r="DL107" t="s">
        <v>3</v>
      </c>
      <c r="DM107">
        <v>0</v>
      </c>
      <c r="DN107" t="s">
        <v>3</v>
      </c>
      <c r="DO107">
        <v>0</v>
      </c>
    </row>
    <row r="108" spans="1:119" x14ac:dyDescent="0.2">
      <c r="A108">
        <f>ROW(Source!A100)</f>
        <v>100</v>
      </c>
      <c r="B108">
        <v>94104265</v>
      </c>
      <c r="C108">
        <v>94188172</v>
      </c>
      <c r="D108">
        <v>87304844</v>
      </c>
      <c r="E108">
        <v>1</v>
      </c>
      <c r="F108">
        <v>1</v>
      </c>
      <c r="G108">
        <v>1</v>
      </c>
      <c r="H108">
        <v>3</v>
      </c>
      <c r="I108" t="s">
        <v>487</v>
      </c>
      <c r="J108" t="s">
        <v>488</v>
      </c>
      <c r="K108" t="s">
        <v>489</v>
      </c>
      <c r="L108">
        <v>1346</v>
      </c>
      <c r="N108">
        <v>1009</v>
      </c>
      <c r="O108" t="s">
        <v>96</v>
      </c>
      <c r="P108" t="s">
        <v>96</v>
      </c>
      <c r="Q108">
        <v>1</v>
      </c>
      <c r="W108">
        <v>0</v>
      </c>
      <c r="X108">
        <v>-163259778</v>
      </c>
      <c r="Y108">
        <f t="shared" si="41"/>
        <v>2</v>
      </c>
      <c r="AA108">
        <v>119.84</v>
      </c>
      <c r="AB108">
        <v>0</v>
      </c>
      <c r="AC108">
        <v>0</v>
      </c>
      <c r="AD108">
        <v>0</v>
      </c>
      <c r="AE108">
        <v>155.63</v>
      </c>
      <c r="AF108">
        <v>0</v>
      </c>
      <c r="AG108">
        <v>0</v>
      </c>
      <c r="AH108">
        <v>0</v>
      </c>
      <c r="AI108">
        <v>0.77</v>
      </c>
      <c r="AJ108">
        <v>1</v>
      </c>
      <c r="AK108">
        <v>1</v>
      </c>
      <c r="AL108">
        <v>1</v>
      </c>
      <c r="AM108">
        <v>2</v>
      </c>
      <c r="AN108">
        <v>0</v>
      </c>
      <c r="AO108">
        <v>0</v>
      </c>
      <c r="AP108">
        <v>0</v>
      </c>
      <c r="AQ108">
        <v>1</v>
      </c>
      <c r="AR108">
        <v>0</v>
      </c>
      <c r="AS108" t="s">
        <v>3</v>
      </c>
      <c r="AT108">
        <v>2</v>
      </c>
      <c r="AU108" t="s">
        <v>3</v>
      </c>
      <c r="AV108">
        <v>0</v>
      </c>
      <c r="AW108">
        <v>2</v>
      </c>
      <c r="AX108">
        <v>94188187</v>
      </c>
      <c r="AY108">
        <v>1</v>
      </c>
      <c r="AZ108">
        <v>0</v>
      </c>
      <c r="BA108">
        <v>108</v>
      </c>
      <c r="BB108">
        <v>1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311.26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1</v>
      </c>
      <c r="BQ108">
        <v>311.26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1</v>
      </c>
      <c r="CV108">
        <v>0</v>
      </c>
      <c r="CW108">
        <v>0</v>
      </c>
      <c r="CX108">
        <f>ROUND(Y108*Source!I100,7)</f>
        <v>1.6000000000000001E-3</v>
      </c>
      <c r="CY108">
        <f>AA108</f>
        <v>119.84</v>
      </c>
      <c r="CZ108">
        <f>AE108</f>
        <v>155.63</v>
      </c>
      <c r="DA108">
        <f>AI108</f>
        <v>0.77</v>
      </c>
      <c r="DB108">
        <f t="shared" si="42"/>
        <v>311.26</v>
      </c>
      <c r="DC108">
        <f t="shared" si="43"/>
        <v>0</v>
      </c>
      <c r="DD108" t="s">
        <v>3</v>
      </c>
      <c r="DE108" t="s">
        <v>3</v>
      </c>
      <c r="DF108">
        <f>ROUND(ROUND(AE108*AI108,2)*CX108,2)</f>
        <v>0.19</v>
      </c>
      <c r="DG108">
        <f t="shared" si="36"/>
        <v>0</v>
      </c>
      <c r="DH108">
        <f t="shared" si="30"/>
        <v>0</v>
      </c>
      <c r="DI108">
        <f t="shared" si="31"/>
        <v>0</v>
      </c>
      <c r="DJ108">
        <f>DF108</f>
        <v>0.19</v>
      </c>
      <c r="DK108">
        <v>0</v>
      </c>
      <c r="DL108" t="s">
        <v>3</v>
      </c>
      <c r="DM108">
        <v>0</v>
      </c>
      <c r="DN108" t="s">
        <v>3</v>
      </c>
      <c r="DO108">
        <v>0</v>
      </c>
    </row>
    <row r="109" spans="1:119" x14ac:dyDescent="0.2">
      <c r="A109">
        <f>ROW(Source!A100)</f>
        <v>100</v>
      </c>
      <c r="B109">
        <v>94104265</v>
      </c>
      <c r="C109">
        <v>94188172</v>
      </c>
      <c r="D109">
        <v>87310747</v>
      </c>
      <c r="E109">
        <v>1</v>
      </c>
      <c r="F109">
        <v>1</v>
      </c>
      <c r="G109">
        <v>1</v>
      </c>
      <c r="H109">
        <v>3</v>
      </c>
      <c r="I109" t="s">
        <v>490</v>
      </c>
      <c r="J109" t="s">
        <v>491</v>
      </c>
      <c r="K109" t="s">
        <v>492</v>
      </c>
      <c r="L109">
        <v>1371</v>
      </c>
      <c r="N109">
        <v>1013</v>
      </c>
      <c r="O109" t="s">
        <v>279</v>
      </c>
      <c r="P109" t="s">
        <v>279</v>
      </c>
      <c r="Q109">
        <v>1</v>
      </c>
      <c r="W109">
        <v>0</v>
      </c>
      <c r="X109">
        <v>-1820715776</v>
      </c>
      <c r="Y109">
        <f t="shared" si="41"/>
        <v>0.01</v>
      </c>
      <c r="AA109">
        <v>78100.17</v>
      </c>
      <c r="AB109">
        <v>0</v>
      </c>
      <c r="AC109">
        <v>0</v>
      </c>
      <c r="AD109">
        <v>0</v>
      </c>
      <c r="AE109">
        <v>61015.76</v>
      </c>
      <c r="AF109">
        <v>0</v>
      </c>
      <c r="AG109">
        <v>0</v>
      </c>
      <c r="AH109">
        <v>0</v>
      </c>
      <c r="AI109">
        <v>1.28</v>
      </c>
      <c r="AJ109">
        <v>1</v>
      </c>
      <c r="AK109">
        <v>1</v>
      </c>
      <c r="AL109">
        <v>1</v>
      </c>
      <c r="AM109">
        <v>2</v>
      </c>
      <c r="AN109">
        <v>0</v>
      </c>
      <c r="AO109">
        <v>0</v>
      </c>
      <c r="AP109">
        <v>0</v>
      </c>
      <c r="AQ109">
        <v>1</v>
      </c>
      <c r="AR109">
        <v>0</v>
      </c>
      <c r="AS109" t="s">
        <v>3</v>
      </c>
      <c r="AT109">
        <v>0.01</v>
      </c>
      <c r="AU109" t="s">
        <v>3</v>
      </c>
      <c r="AV109">
        <v>0</v>
      </c>
      <c r="AW109">
        <v>2</v>
      </c>
      <c r="AX109">
        <v>94188188</v>
      </c>
      <c r="AY109">
        <v>1</v>
      </c>
      <c r="AZ109">
        <v>0</v>
      </c>
      <c r="BA109">
        <v>109</v>
      </c>
      <c r="BB109">
        <v>1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610.1576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1</v>
      </c>
      <c r="BQ109">
        <v>610.1576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1</v>
      </c>
      <c r="CV109">
        <v>0</v>
      </c>
      <c r="CW109">
        <v>0</v>
      </c>
      <c r="CX109">
        <f>ROUND(Y109*Source!I100,7)</f>
        <v>7.9999999999999996E-6</v>
      </c>
      <c r="CY109">
        <f>AA109</f>
        <v>78100.17</v>
      </c>
      <c r="CZ109">
        <f>AE109</f>
        <v>61015.76</v>
      </c>
      <c r="DA109">
        <f>AI109</f>
        <v>1.28</v>
      </c>
      <c r="DB109">
        <f t="shared" si="42"/>
        <v>610.16</v>
      </c>
      <c r="DC109">
        <f t="shared" si="43"/>
        <v>0</v>
      </c>
      <c r="DD109" t="s">
        <v>3</v>
      </c>
      <c r="DE109" t="s">
        <v>3</v>
      </c>
      <c r="DF109">
        <f>ROUND(ROUND(AE109*AI109,2)*CX109,2)</f>
        <v>0.62</v>
      </c>
      <c r="DG109">
        <f t="shared" si="36"/>
        <v>0</v>
      </c>
      <c r="DH109">
        <f t="shared" si="30"/>
        <v>0</v>
      </c>
      <c r="DI109">
        <f t="shared" si="31"/>
        <v>0</v>
      </c>
      <c r="DJ109">
        <f>DF109</f>
        <v>0.62</v>
      </c>
      <c r="DK109">
        <v>0</v>
      </c>
      <c r="DL109" t="s">
        <v>3</v>
      </c>
      <c r="DM109">
        <v>0</v>
      </c>
      <c r="DN109" t="s">
        <v>3</v>
      </c>
      <c r="DO109">
        <v>0</v>
      </c>
    </row>
    <row r="110" spans="1:119" x14ac:dyDescent="0.2">
      <c r="A110">
        <f>ROW(Source!A100)</f>
        <v>100</v>
      </c>
      <c r="B110">
        <v>94104265</v>
      </c>
      <c r="C110">
        <v>94188172</v>
      </c>
      <c r="D110">
        <v>87313298</v>
      </c>
      <c r="E110">
        <v>1</v>
      </c>
      <c r="F110">
        <v>1</v>
      </c>
      <c r="G110">
        <v>1</v>
      </c>
      <c r="H110">
        <v>3</v>
      </c>
      <c r="I110" t="s">
        <v>67</v>
      </c>
      <c r="J110" t="s">
        <v>69</v>
      </c>
      <c r="K110" t="s">
        <v>68</v>
      </c>
      <c r="L110">
        <v>1348</v>
      </c>
      <c r="N110">
        <v>1009</v>
      </c>
      <c r="O110" t="s">
        <v>30</v>
      </c>
      <c r="P110" t="s">
        <v>30</v>
      </c>
      <c r="Q110">
        <v>1000</v>
      </c>
      <c r="W110">
        <v>0</v>
      </c>
      <c r="X110">
        <v>1532513223</v>
      </c>
      <c r="Y110">
        <f t="shared" si="41"/>
        <v>1</v>
      </c>
      <c r="AA110">
        <v>207047.78</v>
      </c>
      <c r="AB110">
        <v>0</v>
      </c>
      <c r="AC110">
        <v>0</v>
      </c>
      <c r="AD110">
        <v>0</v>
      </c>
      <c r="AE110">
        <v>191710.91</v>
      </c>
      <c r="AF110">
        <v>0</v>
      </c>
      <c r="AG110">
        <v>0</v>
      </c>
      <c r="AH110">
        <v>0</v>
      </c>
      <c r="AI110">
        <v>1.08</v>
      </c>
      <c r="AJ110">
        <v>1</v>
      </c>
      <c r="AK110">
        <v>1</v>
      </c>
      <c r="AL110">
        <v>1</v>
      </c>
      <c r="AM110">
        <v>2</v>
      </c>
      <c r="AN110">
        <v>0</v>
      </c>
      <c r="AO110">
        <v>0</v>
      </c>
      <c r="AP110">
        <v>1</v>
      </c>
      <c r="AQ110">
        <v>0</v>
      </c>
      <c r="AR110">
        <v>0</v>
      </c>
      <c r="AS110" t="s">
        <v>3</v>
      </c>
      <c r="AT110">
        <v>1</v>
      </c>
      <c r="AU110" t="s">
        <v>3</v>
      </c>
      <c r="AV110">
        <v>0</v>
      </c>
      <c r="AW110">
        <v>1</v>
      </c>
      <c r="AX110">
        <v>-1</v>
      </c>
      <c r="AY110">
        <v>0</v>
      </c>
      <c r="AZ110">
        <v>0</v>
      </c>
      <c r="BA110" t="s">
        <v>3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CV110">
        <v>0</v>
      </c>
      <c r="CW110">
        <v>0</v>
      </c>
      <c r="CX110">
        <f>ROUND(Y110*Source!I100,7)</f>
        <v>8.0000000000000004E-4</v>
      </c>
      <c r="CY110">
        <f>AA110</f>
        <v>207047.78</v>
      </c>
      <c r="CZ110">
        <f>AE110</f>
        <v>191710.91</v>
      </c>
      <c r="DA110">
        <f>AI110</f>
        <v>1.08</v>
      </c>
      <c r="DB110">
        <f t="shared" si="42"/>
        <v>191710.91</v>
      </c>
      <c r="DC110">
        <f t="shared" si="43"/>
        <v>0</v>
      </c>
      <c r="DD110" t="s">
        <v>3</v>
      </c>
      <c r="DE110" t="s">
        <v>3</v>
      </c>
      <c r="DF110">
        <f>ROUND(ROUND(AE110*AI110,2)*CX110,2)</f>
        <v>165.64</v>
      </c>
      <c r="DG110">
        <f t="shared" si="36"/>
        <v>0</v>
      </c>
      <c r="DH110">
        <f t="shared" si="30"/>
        <v>0</v>
      </c>
      <c r="DI110">
        <f t="shared" si="31"/>
        <v>0</v>
      </c>
      <c r="DJ110">
        <f>DF110</f>
        <v>165.64</v>
      </c>
      <c r="DK110">
        <v>0</v>
      </c>
      <c r="DL110" t="s">
        <v>3</v>
      </c>
      <c r="DM110">
        <v>0</v>
      </c>
      <c r="DN110" t="s">
        <v>3</v>
      </c>
      <c r="DO110">
        <v>0</v>
      </c>
    </row>
    <row r="111" spans="1:119" x14ac:dyDescent="0.2">
      <c r="A111">
        <f>ROW(Source!A100)</f>
        <v>100</v>
      </c>
      <c r="B111">
        <v>94104265</v>
      </c>
      <c r="C111">
        <v>94188172</v>
      </c>
      <c r="D111">
        <v>87313316</v>
      </c>
      <c r="E111">
        <v>1</v>
      </c>
      <c r="F111">
        <v>1</v>
      </c>
      <c r="G111">
        <v>1</v>
      </c>
      <c r="H111">
        <v>3</v>
      </c>
      <c r="I111" t="s">
        <v>493</v>
      </c>
      <c r="J111" t="s">
        <v>494</v>
      </c>
      <c r="K111" t="s">
        <v>495</v>
      </c>
      <c r="L111">
        <v>1348</v>
      </c>
      <c r="N111">
        <v>1009</v>
      </c>
      <c r="O111" t="s">
        <v>30</v>
      </c>
      <c r="P111" t="s">
        <v>30</v>
      </c>
      <c r="Q111">
        <v>1000</v>
      </c>
      <c r="W111">
        <v>0</v>
      </c>
      <c r="X111">
        <v>-1427343576</v>
      </c>
      <c r="Y111">
        <f t="shared" si="41"/>
        <v>0.09</v>
      </c>
      <c r="AA111">
        <v>39346.92</v>
      </c>
      <c r="AB111">
        <v>0</v>
      </c>
      <c r="AC111">
        <v>0</v>
      </c>
      <c r="AD111">
        <v>0</v>
      </c>
      <c r="AE111">
        <v>39346.92</v>
      </c>
      <c r="AF111">
        <v>0</v>
      </c>
      <c r="AG111">
        <v>0</v>
      </c>
      <c r="AH111">
        <v>0</v>
      </c>
      <c r="AI111">
        <v>1</v>
      </c>
      <c r="AJ111">
        <v>1</v>
      </c>
      <c r="AK111">
        <v>1</v>
      </c>
      <c r="AL111">
        <v>1</v>
      </c>
      <c r="AM111">
        <v>-2</v>
      </c>
      <c r="AN111">
        <v>0</v>
      </c>
      <c r="AO111">
        <v>0</v>
      </c>
      <c r="AP111">
        <v>0</v>
      </c>
      <c r="AQ111">
        <v>1</v>
      </c>
      <c r="AR111">
        <v>0</v>
      </c>
      <c r="AS111" t="s">
        <v>3</v>
      </c>
      <c r="AT111">
        <v>0.09</v>
      </c>
      <c r="AU111" t="s">
        <v>3</v>
      </c>
      <c r="AV111">
        <v>0</v>
      </c>
      <c r="AW111">
        <v>2</v>
      </c>
      <c r="AX111">
        <v>94188190</v>
      </c>
      <c r="AY111">
        <v>2</v>
      </c>
      <c r="AZ111">
        <v>16384</v>
      </c>
      <c r="BA111">
        <v>111</v>
      </c>
      <c r="BB111">
        <v>1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3541.2227999999996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1</v>
      </c>
      <c r="BQ111">
        <v>3541.2227999999996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1</v>
      </c>
      <c r="CV111">
        <v>0</v>
      </c>
      <c r="CW111">
        <v>0</v>
      </c>
      <c r="CX111">
        <f>ROUND(Y111*Source!I100,7)</f>
        <v>7.2000000000000002E-5</v>
      </c>
      <c r="CY111">
        <f>AA111</f>
        <v>39346.92</v>
      </c>
      <c r="CZ111">
        <f>AE111</f>
        <v>39346.92</v>
      </c>
      <c r="DA111">
        <f>AI111</f>
        <v>1</v>
      </c>
      <c r="DB111">
        <f t="shared" si="42"/>
        <v>3541.22</v>
      </c>
      <c r="DC111">
        <f t="shared" si="43"/>
        <v>0</v>
      </c>
      <c r="DD111" t="s">
        <v>3</v>
      </c>
      <c r="DE111" t="s">
        <v>3</v>
      </c>
      <c r="DF111">
        <f t="shared" ref="DF111:DF117" si="44">ROUND(ROUND(AE111,2)*CX111,2)</f>
        <v>2.83</v>
      </c>
      <c r="DG111">
        <f t="shared" si="36"/>
        <v>0</v>
      </c>
      <c r="DH111">
        <f t="shared" si="30"/>
        <v>0</v>
      </c>
      <c r="DI111">
        <f t="shared" si="31"/>
        <v>0</v>
      </c>
      <c r="DJ111">
        <f>DF111</f>
        <v>2.83</v>
      </c>
      <c r="DK111">
        <v>1</v>
      </c>
      <c r="DL111" t="s">
        <v>3</v>
      </c>
      <c r="DM111">
        <v>0</v>
      </c>
      <c r="DN111" t="s">
        <v>3</v>
      </c>
      <c r="DO111">
        <v>0</v>
      </c>
    </row>
    <row r="112" spans="1:119" x14ac:dyDescent="0.2">
      <c r="A112">
        <f>ROW(Source!A102)</f>
        <v>102</v>
      </c>
      <c r="B112">
        <v>94104265</v>
      </c>
      <c r="C112">
        <v>94188192</v>
      </c>
      <c r="D112">
        <v>37070176</v>
      </c>
      <c r="E112">
        <v>117</v>
      </c>
      <c r="F112">
        <v>1</v>
      </c>
      <c r="G112">
        <v>1</v>
      </c>
      <c r="H112">
        <v>1</v>
      </c>
      <c r="I112" t="s">
        <v>496</v>
      </c>
      <c r="J112" t="s">
        <v>3</v>
      </c>
      <c r="K112" t="s">
        <v>497</v>
      </c>
      <c r="L112">
        <v>1191</v>
      </c>
      <c r="N112">
        <v>1013</v>
      </c>
      <c r="O112" t="s">
        <v>428</v>
      </c>
      <c r="P112" t="s">
        <v>428</v>
      </c>
      <c r="Q112">
        <v>1</v>
      </c>
      <c r="W112">
        <v>0</v>
      </c>
      <c r="X112">
        <v>303490689</v>
      </c>
      <c r="Y112">
        <f t="shared" si="41"/>
        <v>24.3</v>
      </c>
      <c r="AA112">
        <v>0</v>
      </c>
      <c r="AB112">
        <v>0</v>
      </c>
      <c r="AC112">
        <v>0</v>
      </c>
      <c r="AD112">
        <v>819.04</v>
      </c>
      <c r="AE112">
        <v>0</v>
      </c>
      <c r="AF112">
        <v>0</v>
      </c>
      <c r="AG112">
        <v>0</v>
      </c>
      <c r="AH112">
        <v>819.04</v>
      </c>
      <c r="AI112">
        <v>1</v>
      </c>
      <c r="AJ112">
        <v>1</v>
      </c>
      <c r="AK112">
        <v>1</v>
      </c>
      <c r="AL112">
        <v>1</v>
      </c>
      <c r="AM112">
        <v>-2</v>
      </c>
      <c r="AN112">
        <v>0</v>
      </c>
      <c r="AO112">
        <v>0</v>
      </c>
      <c r="AP112">
        <v>0</v>
      </c>
      <c r="AQ112">
        <v>1</v>
      </c>
      <c r="AR112">
        <v>0</v>
      </c>
      <c r="AS112" t="s">
        <v>3</v>
      </c>
      <c r="AT112">
        <v>24.3</v>
      </c>
      <c r="AU112" t="s">
        <v>3</v>
      </c>
      <c r="AV112">
        <v>1</v>
      </c>
      <c r="AW112">
        <v>2</v>
      </c>
      <c r="AX112">
        <v>94188205</v>
      </c>
      <c r="AY112">
        <v>1</v>
      </c>
      <c r="AZ112">
        <v>0</v>
      </c>
      <c r="BA112">
        <v>112</v>
      </c>
      <c r="BB112">
        <v>1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19902.671999999999</v>
      </c>
      <c r="BN112">
        <v>24.3</v>
      </c>
      <c r="BO112">
        <v>0</v>
      </c>
      <c r="BP112">
        <v>1</v>
      </c>
      <c r="BQ112">
        <v>0</v>
      </c>
      <c r="BR112">
        <v>0</v>
      </c>
      <c r="BS112">
        <v>0</v>
      </c>
      <c r="BT112">
        <v>19902.671999999999</v>
      </c>
      <c r="BU112">
        <v>24.3</v>
      </c>
      <c r="BV112">
        <v>0</v>
      </c>
      <c r="BW112">
        <v>1</v>
      </c>
      <c r="CU112">
        <f>ROUND(AT112*Source!I102*AH112*AL112,2)</f>
        <v>647.83000000000004</v>
      </c>
      <c r="CV112">
        <f>ROUND(Y112*Source!I102,7)</f>
        <v>0.79096500000000003</v>
      </c>
      <c r="CW112">
        <v>0</v>
      </c>
      <c r="CX112">
        <f>ROUND(Y112*Source!I102,7)</f>
        <v>0.79096500000000003</v>
      </c>
      <c r="CY112">
        <f>AD112</f>
        <v>819.04</v>
      </c>
      <c r="CZ112">
        <f>AH112</f>
        <v>819.04</v>
      </c>
      <c r="DA112">
        <f>AL112</f>
        <v>1</v>
      </c>
      <c r="DB112">
        <f t="shared" si="42"/>
        <v>19902.669999999998</v>
      </c>
      <c r="DC112">
        <f t="shared" si="43"/>
        <v>0</v>
      </c>
      <c r="DD112" t="s">
        <v>3</v>
      </c>
      <c r="DE112" t="s">
        <v>3</v>
      </c>
      <c r="DF112">
        <f t="shared" si="44"/>
        <v>0</v>
      </c>
      <c r="DG112">
        <f t="shared" si="36"/>
        <v>0</v>
      </c>
      <c r="DH112">
        <f t="shared" si="30"/>
        <v>0</v>
      </c>
      <c r="DI112">
        <f t="shared" si="31"/>
        <v>647.83000000000004</v>
      </c>
      <c r="DJ112">
        <f>DI112</f>
        <v>647.83000000000004</v>
      </c>
      <c r="DK112">
        <v>0</v>
      </c>
      <c r="DL112" t="s">
        <v>3</v>
      </c>
      <c r="DM112">
        <v>0</v>
      </c>
      <c r="DN112" t="s">
        <v>3</v>
      </c>
      <c r="DO112">
        <v>0</v>
      </c>
    </row>
    <row r="113" spans="1:119" x14ac:dyDescent="0.2">
      <c r="A113">
        <f>ROW(Source!A102)</f>
        <v>102</v>
      </c>
      <c r="B113">
        <v>94104265</v>
      </c>
      <c r="C113">
        <v>94188192</v>
      </c>
      <c r="D113">
        <v>37064876</v>
      </c>
      <c r="E113">
        <v>117</v>
      </c>
      <c r="F113">
        <v>1</v>
      </c>
      <c r="G113">
        <v>1</v>
      </c>
      <c r="H113">
        <v>1</v>
      </c>
      <c r="I113" t="s">
        <v>429</v>
      </c>
      <c r="J113" t="s">
        <v>3</v>
      </c>
      <c r="K113" t="s">
        <v>430</v>
      </c>
      <c r="L113">
        <v>1191</v>
      </c>
      <c r="N113">
        <v>1013</v>
      </c>
      <c r="O113" t="s">
        <v>428</v>
      </c>
      <c r="P113" t="s">
        <v>428</v>
      </c>
      <c r="Q113">
        <v>1</v>
      </c>
      <c r="W113">
        <v>0</v>
      </c>
      <c r="X113">
        <v>-1417349443</v>
      </c>
      <c r="Y113">
        <f t="shared" si="41"/>
        <v>0.43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1</v>
      </c>
      <c r="AJ113">
        <v>1</v>
      </c>
      <c r="AK113">
        <v>1</v>
      </c>
      <c r="AL113">
        <v>1</v>
      </c>
      <c r="AM113">
        <v>-2</v>
      </c>
      <c r="AN113">
        <v>0</v>
      </c>
      <c r="AO113">
        <v>0</v>
      </c>
      <c r="AP113">
        <v>0</v>
      </c>
      <c r="AQ113">
        <v>1</v>
      </c>
      <c r="AR113">
        <v>0</v>
      </c>
      <c r="AS113" t="s">
        <v>3</v>
      </c>
      <c r="AT113">
        <v>0.43</v>
      </c>
      <c r="AU113" t="s">
        <v>3</v>
      </c>
      <c r="AV113">
        <v>2</v>
      </c>
      <c r="AW113">
        <v>2</v>
      </c>
      <c r="AX113">
        <v>94188206</v>
      </c>
      <c r="AY113">
        <v>1</v>
      </c>
      <c r="AZ113">
        <v>0</v>
      </c>
      <c r="BA113">
        <v>113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CV113">
        <v>0</v>
      </c>
      <c r="CW113">
        <v>0</v>
      </c>
      <c r="CX113">
        <f>ROUND(Y113*Source!I102,7)</f>
        <v>1.39965E-2</v>
      </c>
      <c r="CY113">
        <f>AD113</f>
        <v>0</v>
      </c>
      <c r="CZ113">
        <f>AH113</f>
        <v>0</v>
      </c>
      <c r="DA113">
        <f>AL113</f>
        <v>1</v>
      </c>
      <c r="DB113">
        <f t="shared" si="42"/>
        <v>0</v>
      </c>
      <c r="DC113">
        <f t="shared" si="43"/>
        <v>0</v>
      </c>
      <c r="DD113" t="s">
        <v>3</v>
      </c>
      <c r="DE113" t="s">
        <v>3</v>
      </c>
      <c r="DF113">
        <f t="shared" si="44"/>
        <v>0</v>
      </c>
      <c r="DG113">
        <f t="shared" si="36"/>
        <v>0</v>
      </c>
      <c r="DH113">
        <f t="shared" si="30"/>
        <v>0</v>
      </c>
      <c r="DI113">
        <f t="shared" si="31"/>
        <v>0</v>
      </c>
      <c r="DJ113">
        <f>DI113</f>
        <v>0</v>
      </c>
      <c r="DK113">
        <v>0</v>
      </c>
      <c r="DL113" t="s">
        <v>3</v>
      </c>
      <c r="DM113">
        <v>0</v>
      </c>
      <c r="DN113" t="s">
        <v>3</v>
      </c>
      <c r="DO113">
        <v>0</v>
      </c>
    </row>
    <row r="114" spans="1:119" x14ac:dyDescent="0.2">
      <c r="A114">
        <f>ROW(Source!A102)</f>
        <v>102</v>
      </c>
      <c r="B114">
        <v>94104265</v>
      </c>
      <c r="C114">
        <v>94188192</v>
      </c>
      <c r="D114">
        <v>87236625</v>
      </c>
      <c r="E114">
        <v>1</v>
      </c>
      <c r="F114">
        <v>1</v>
      </c>
      <c r="G114">
        <v>1</v>
      </c>
      <c r="H114">
        <v>2</v>
      </c>
      <c r="I114" t="s">
        <v>431</v>
      </c>
      <c r="J114" t="s">
        <v>432</v>
      </c>
      <c r="K114" t="s">
        <v>433</v>
      </c>
      <c r="L114">
        <v>1368</v>
      </c>
      <c r="N114">
        <v>1011</v>
      </c>
      <c r="O114" t="s">
        <v>434</v>
      </c>
      <c r="P114" t="s">
        <v>434</v>
      </c>
      <c r="Q114">
        <v>1</v>
      </c>
      <c r="W114">
        <v>0</v>
      </c>
      <c r="X114">
        <v>945201097</v>
      </c>
      <c r="Y114">
        <f t="shared" si="41"/>
        <v>0.18</v>
      </c>
      <c r="AA114">
        <v>0</v>
      </c>
      <c r="AB114">
        <v>58.59</v>
      </c>
      <c r="AC114">
        <v>649.24</v>
      </c>
      <c r="AD114">
        <v>0</v>
      </c>
      <c r="AE114">
        <v>0</v>
      </c>
      <c r="AF114">
        <v>37.32</v>
      </c>
      <c r="AG114">
        <v>649.24</v>
      </c>
      <c r="AH114">
        <v>0</v>
      </c>
      <c r="AI114">
        <v>1</v>
      </c>
      <c r="AJ114">
        <v>1.57</v>
      </c>
      <c r="AK114">
        <v>1</v>
      </c>
      <c r="AL114">
        <v>1</v>
      </c>
      <c r="AM114">
        <v>2</v>
      </c>
      <c r="AN114">
        <v>0</v>
      </c>
      <c r="AO114">
        <v>0</v>
      </c>
      <c r="AP114">
        <v>0</v>
      </c>
      <c r="AQ114">
        <v>1</v>
      </c>
      <c r="AR114">
        <v>0</v>
      </c>
      <c r="AS114" t="s">
        <v>3</v>
      </c>
      <c r="AT114">
        <v>0.18</v>
      </c>
      <c r="AU114" t="s">
        <v>3</v>
      </c>
      <c r="AV114">
        <v>1</v>
      </c>
      <c r="AW114">
        <v>2</v>
      </c>
      <c r="AX114">
        <v>94188207</v>
      </c>
      <c r="AY114">
        <v>2</v>
      </c>
      <c r="AZ114">
        <v>65536</v>
      </c>
      <c r="BA114">
        <v>114</v>
      </c>
      <c r="BB114">
        <v>1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6.7176</v>
      </c>
      <c r="BL114">
        <v>116.86319999999999</v>
      </c>
      <c r="BM114">
        <v>0</v>
      </c>
      <c r="BN114">
        <v>0</v>
      </c>
      <c r="BO114">
        <v>0.18</v>
      </c>
      <c r="BP114">
        <v>1</v>
      </c>
      <c r="BQ114">
        <v>0</v>
      </c>
      <c r="BR114">
        <v>6.7176</v>
      </c>
      <c r="BS114">
        <v>116.86319999999999</v>
      </c>
      <c r="BT114">
        <v>0</v>
      </c>
      <c r="BU114">
        <v>0</v>
      </c>
      <c r="BV114">
        <v>0.18</v>
      </c>
      <c r="BW114">
        <v>1</v>
      </c>
      <c r="CV114">
        <v>0</v>
      </c>
      <c r="CW114">
        <f>ROUND(Y114*Source!I102*DO114,7)</f>
        <v>5.8589999999999996E-3</v>
      </c>
      <c r="CX114">
        <f>ROUND(Y114*Source!I102,7)</f>
        <v>5.8589999999999996E-3</v>
      </c>
      <c r="CY114">
        <f>AB114</f>
        <v>58.59</v>
      </c>
      <c r="CZ114">
        <f>AF114</f>
        <v>37.32</v>
      </c>
      <c r="DA114">
        <f>AJ114</f>
        <v>1.57</v>
      </c>
      <c r="DB114">
        <f t="shared" si="42"/>
        <v>6.72</v>
      </c>
      <c r="DC114">
        <f t="shared" si="43"/>
        <v>116.86</v>
      </c>
      <c r="DD114" t="s">
        <v>3</v>
      </c>
      <c r="DE114" t="s">
        <v>3</v>
      </c>
      <c r="DF114">
        <f t="shared" si="44"/>
        <v>0</v>
      </c>
      <c r="DG114">
        <f>ROUND(ROUND(AF114*AJ114,2)*CX114,2)</f>
        <v>0.34</v>
      </c>
      <c r="DH114">
        <f t="shared" si="30"/>
        <v>3.8</v>
      </c>
      <c r="DI114">
        <f t="shared" si="31"/>
        <v>0</v>
      </c>
      <c r="DJ114">
        <f>DG114+DH114</f>
        <v>4.1399999999999997</v>
      </c>
      <c r="DK114">
        <v>0</v>
      </c>
      <c r="DL114" t="s">
        <v>435</v>
      </c>
      <c r="DM114">
        <v>3</v>
      </c>
      <c r="DN114" t="s">
        <v>428</v>
      </c>
      <c r="DO114">
        <v>1</v>
      </c>
    </row>
    <row r="115" spans="1:119" x14ac:dyDescent="0.2">
      <c r="A115">
        <f>ROW(Source!A102)</f>
        <v>102</v>
      </c>
      <c r="B115">
        <v>94104265</v>
      </c>
      <c r="C115">
        <v>94188192</v>
      </c>
      <c r="D115">
        <v>87236807</v>
      </c>
      <c r="E115">
        <v>1</v>
      </c>
      <c r="F115">
        <v>1</v>
      </c>
      <c r="G115">
        <v>1</v>
      </c>
      <c r="H115">
        <v>2</v>
      </c>
      <c r="I115" t="s">
        <v>498</v>
      </c>
      <c r="J115" t="s">
        <v>499</v>
      </c>
      <c r="K115" t="s">
        <v>500</v>
      </c>
      <c r="L115">
        <v>1368</v>
      </c>
      <c r="N115">
        <v>1011</v>
      </c>
      <c r="O115" t="s">
        <v>434</v>
      </c>
      <c r="P115" t="s">
        <v>434</v>
      </c>
      <c r="Q115">
        <v>1</v>
      </c>
      <c r="W115">
        <v>0</v>
      </c>
      <c r="X115">
        <v>1291464883</v>
      </c>
      <c r="Y115">
        <f t="shared" si="41"/>
        <v>4.37</v>
      </c>
      <c r="AA115">
        <v>0</v>
      </c>
      <c r="AB115">
        <v>136.21</v>
      </c>
      <c r="AC115">
        <v>0</v>
      </c>
      <c r="AD115">
        <v>0</v>
      </c>
      <c r="AE115">
        <v>0</v>
      </c>
      <c r="AF115">
        <v>95.25</v>
      </c>
      <c r="AG115">
        <v>0</v>
      </c>
      <c r="AH115">
        <v>0</v>
      </c>
      <c r="AI115">
        <v>1</v>
      </c>
      <c r="AJ115">
        <v>1.43</v>
      </c>
      <c r="AK115">
        <v>1</v>
      </c>
      <c r="AL115">
        <v>1</v>
      </c>
      <c r="AM115">
        <v>2</v>
      </c>
      <c r="AN115">
        <v>0</v>
      </c>
      <c r="AO115">
        <v>0</v>
      </c>
      <c r="AP115">
        <v>0</v>
      </c>
      <c r="AQ115">
        <v>1</v>
      </c>
      <c r="AR115">
        <v>0</v>
      </c>
      <c r="AS115" t="s">
        <v>3</v>
      </c>
      <c r="AT115">
        <v>4.37</v>
      </c>
      <c r="AU115" t="s">
        <v>3</v>
      </c>
      <c r="AV115">
        <v>1</v>
      </c>
      <c r="AW115">
        <v>2</v>
      </c>
      <c r="AX115">
        <v>94188208</v>
      </c>
      <c r="AY115">
        <v>1</v>
      </c>
      <c r="AZ115">
        <v>0</v>
      </c>
      <c r="BA115">
        <v>115</v>
      </c>
      <c r="BB115">
        <v>1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416.24250000000001</v>
      </c>
      <c r="BL115">
        <v>0</v>
      </c>
      <c r="BM115">
        <v>0</v>
      </c>
      <c r="BN115">
        <v>0</v>
      </c>
      <c r="BO115">
        <v>0</v>
      </c>
      <c r="BP115">
        <v>1</v>
      </c>
      <c r="BQ115">
        <v>0</v>
      </c>
      <c r="BR115">
        <v>416.24250000000001</v>
      </c>
      <c r="BS115">
        <v>0</v>
      </c>
      <c r="BT115">
        <v>0</v>
      </c>
      <c r="BU115">
        <v>0</v>
      </c>
      <c r="BV115">
        <v>0</v>
      </c>
      <c r="BW115">
        <v>1</v>
      </c>
      <c r="CV115">
        <v>0</v>
      </c>
      <c r="CW115">
        <f>ROUND(Y115*Source!I102*DO115,7)</f>
        <v>0</v>
      </c>
      <c r="CX115">
        <f>ROUND(Y115*Source!I102,7)</f>
        <v>0.14224349999999999</v>
      </c>
      <c r="CY115">
        <f>AB115</f>
        <v>136.21</v>
      </c>
      <c r="CZ115">
        <f>AF115</f>
        <v>95.25</v>
      </c>
      <c r="DA115">
        <f>AJ115</f>
        <v>1.43</v>
      </c>
      <c r="DB115">
        <f t="shared" si="42"/>
        <v>416.24</v>
      </c>
      <c r="DC115">
        <f t="shared" si="43"/>
        <v>0</v>
      </c>
      <c r="DD115" t="s">
        <v>3</v>
      </c>
      <c r="DE115" t="s">
        <v>3</v>
      </c>
      <c r="DF115">
        <f t="shared" si="44"/>
        <v>0</v>
      </c>
      <c r="DG115">
        <f>ROUND(ROUND(AF115*AJ115,2)*CX115,2)</f>
        <v>19.37</v>
      </c>
      <c r="DH115">
        <f t="shared" si="30"/>
        <v>0</v>
      </c>
      <c r="DI115">
        <f t="shared" si="31"/>
        <v>0</v>
      </c>
      <c r="DJ115">
        <f>DG115+DH115</f>
        <v>19.37</v>
      </c>
      <c r="DK115">
        <v>0</v>
      </c>
      <c r="DL115" t="s">
        <v>3</v>
      </c>
      <c r="DM115">
        <v>0</v>
      </c>
      <c r="DN115" t="s">
        <v>3</v>
      </c>
      <c r="DO115">
        <v>0</v>
      </c>
    </row>
    <row r="116" spans="1:119" x14ac:dyDescent="0.2">
      <c r="A116">
        <f>ROW(Source!A102)</f>
        <v>102</v>
      </c>
      <c r="B116">
        <v>94104265</v>
      </c>
      <c r="C116">
        <v>94188192</v>
      </c>
      <c r="D116">
        <v>87237333</v>
      </c>
      <c r="E116">
        <v>1</v>
      </c>
      <c r="F116">
        <v>1</v>
      </c>
      <c r="G116">
        <v>1</v>
      </c>
      <c r="H116">
        <v>2</v>
      </c>
      <c r="I116" t="s">
        <v>463</v>
      </c>
      <c r="J116" t="s">
        <v>464</v>
      </c>
      <c r="K116" t="s">
        <v>465</v>
      </c>
      <c r="L116">
        <v>1368</v>
      </c>
      <c r="N116">
        <v>1011</v>
      </c>
      <c r="O116" t="s">
        <v>434</v>
      </c>
      <c r="P116" t="s">
        <v>434</v>
      </c>
      <c r="Q116">
        <v>1</v>
      </c>
      <c r="W116">
        <v>0</v>
      </c>
      <c r="X116">
        <v>-849950259</v>
      </c>
      <c r="Y116">
        <f t="shared" si="41"/>
        <v>0.25</v>
      </c>
      <c r="AA116">
        <v>0</v>
      </c>
      <c r="AB116">
        <v>544.91999999999996</v>
      </c>
      <c r="AC116">
        <v>731.08</v>
      </c>
      <c r="AD116">
        <v>0</v>
      </c>
      <c r="AE116">
        <v>0</v>
      </c>
      <c r="AF116">
        <v>544.91999999999996</v>
      </c>
      <c r="AG116">
        <v>731.08</v>
      </c>
      <c r="AH116">
        <v>0</v>
      </c>
      <c r="AI116">
        <v>1</v>
      </c>
      <c r="AJ116">
        <v>1</v>
      </c>
      <c r="AK116">
        <v>1</v>
      </c>
      <c r="AL116">
        <v>1</v>
      </c>
      <c r="AM116">
        <v>-2</v>
      </c>
      <c r="AN116">
        <v>0</v>
      </c>
      <c r="AO116">
        <v>0</v>
      </c>
      <c r="AP116">
        <v>0</v>
      </c>
      <c r="AQ116">
        <v>1</v>
      </c>
      <c r="AR116">
        <v>0</v>
      </c>
      <c r="AS116" t="s">
        <v>3</v>
      </c>
      <c r="AT116">
        <v>0.25</v>
      </c>
      <c r="AU116" t="s">
        <v>3</v>
      </c>
      <c r="AV116">
        <v>1</v>
      </c>
      <c r="AW116">
        <v>2</v>
      </c>
      <c r="AX116">
        <v>94188209</v>
      </c>
      <c r="AY116">
        <v>2</v>
      </c>
      <c r="AZ116">
        <v>98304</v>
      </c>
      <c r="BA116">
        <v>116</v>
      </c>
      <c r="BB116">
        <v>1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136.22999999999999</v>
      </c>
      <c r="BL116">
        <v>182.77</v>
      </c>
      <c r="BM116">
        <v>0</v>
      </c>
      <c r="BN116">
        <v>0</v>
      </c>
      <c r="BO116">
        <v>0.25</v>
      </c>
      <c r="BP116">
        <v>1</v>
      </c>
      <c r="BQ116">
        <v>0</v>
      </c>
      <c r="BR116">
        <v>136.22999999999999</v>
      </c>
      <c r="BS116">
        <v>182.77</v>
      </c>
      <c r="BT116">
        <v>0</v>
      </c>
      <c r="BU116">
        <v>0</v>
      </c>
      <c r="BV116">
        <v>0.25</v>
      </c>
      <c r="BW116">
        <v>1</v>
      </c>
      <c r="CV116">
        <v>0</v>
      </c>
      <c r="CW116">
        <f>ROUND(Y116*Source!I102*DO116,7)</f>
        <v>8.1375000000000006E-3</v>
      </c>
      <c r="CX116">
        <f>ROUND(Y116*Source!I102,7)</f>
        <v>8.1375000000000006E-3</v>
      </c>
      <c r="CY116">
        <f>AB116</f>
        <v>544.91999999999996</v>
      </c>
      <c r="CZ116">
        <f>AF116</f>
        <v>544.91999999999996</v>
      </c>
      <c r="DA116">
        <f>AJ116</f>
        <v>1</v>
      </c>
      <c r="DB116">
        <f t="shared" si="42"/>
        <v>136.22999999999999</v>
      </c>
      <c r="DC116">
        <f t="shared" si="43"/>
        <v>182.77</v>
      </c>
      <c r="DD116" t="s">
        <v>3</v>
      </c>
      <c r="DE116" t="s">
        <v>3</v>
      </c>
      <c r="DF116">
        <f t="shared" si="44"/>
        <v>0</v>
      </c>
      <c r="DG116">
        <f>ROUND(ROUND(AF116,2)*CX116,2)</f>
        <v>4.43</v>
      </c>
      <c r="DH116">
        <f t="shared" si="30"/>
        <v>5.95</v>
      </c>
      <c r="DI116">
        <f t="shared" si="31"/>
        <v>0</v>
      </c>
      <c r="DJ116">
        <f>DG116+DH116</f>
        <v>10.379999999999999</v>
      </c>
      <c r="DK116">
        <v>1</v>
      </c>
      <c r="DL116" t="s">
        <v>466</v>
      </c>
      <c r="DM116">
        <v>4</v>
      </c>
      <c r="DN116" t="s">
        <v>428</v>
      </c>
      <c r="DO116">
        <v>1</v>
      </c>
    </row>
    <row r="117" spans="1:119" x14ac:dyDescent="0.2">
      <c r="A117">
        <f>ROW(Source!A102)</f>
        <v>102</v>
      </c>
      <c r="B117">
        <v>94104265</v>
      </c>
      <c r="C117">
        <v>94188192</v>
      </c>
      <c r="D117">
        <v>87238073</v>
      </c>
      <c r="E117">
        <v>1</v>
      </c>
      <c r="F117">
        <v>1</v>
      </c>
      <c r="G117">
        <v>1</v>
      </c>
      <c r="H117">
        <v>2</v>
      </c>
      <c r="I117" t="s">
        <v>501</v>
      </c>
      <c r="J117" t="s">
        <v>502</v>
      </c>
      <c r="K117" t="s">
        <v>503</v>
      </c>
      <c r="L117">
        <v>1368</v>
      </c>
      <c r="N117">
        <v>1011</v>
      </c>
      <c r="O117" t="s">
        <v>434</v>
      </c>
      <c r="P117" t="s">
        <v>434</v>
      </c>
      <c r="Q117">
        <v>1</v>
      </c>
      <c r="W117">
        <v>0</v>
      </c>
      <c r="X117">
        <v>-832349376</v>
      </c>
      <c r="Y117">
        <f t="shared" si="41"/>
        <v>1.5</v>
      </c>
      <c r="AA117">
        <v>0</v>
      </c>
      <c r="AB117">
        <v>32.299999999999997</v>
      </c>
      <c r="AC117">
        <v>0</v>
      </c>
      <c r="AD117">
        <v>0</v>
      </c>
      <c r="AE117">
        <v>0</v>
      </c>
      <c r="AF117">
        <v>26.26</v>
      </c>
      <c r="AG117">
        <v>0</v>
      </c>
      <c r="AH117">
        <v>0</v>
      </c>
      <c r="AI117">
        <v>1</v>
      </c>
      <c r="AJ117">
        <v>1.23</v>
      </c>
      <c r="AK117">
        <v>1</v>
      </c>
      <c r="AL117">
        <v>1</v>
      </c>
      <c r="AM117">
        <v>2</v>
      </c>
      <c r="AN117">
        <v>0</v>
      </c>
      <c r="AO117">
        <v>0</v>
      </c>
      <c r="AP117">
        <v>0</v>
      </c>
      <c r="AQ117">
        <v>1</v>
      </c>
      <c r="AR117">
        <v>0</v>
      </c>
      <c r="AS117" t="s">
        <v>3</v>
      </c>
      <c r="AT117">
        <v>1.5</v>
      </c>
      <c r="AU117" t="s">
        <v>3</v>
      </c>
      <c r="AV117">
        <v>1</v>
      </c>
      <c r="AW117">
        <v>2</v>
      </c>
      <c r="AX117">
        <v>94188210</v>
      </c>
      <c r="AY117">
        <v>1</v>
      </c>
      <c r="AZ117">
        <v>0</v>
      </c>
      <c r="BA117">
        <v>117</v>
      </c>
      <c r="BB117">
        <v>1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39.39</v>
      </c>
      <c r="BL117">
        <v>0</v>
      </c>
      <c r="BM117">
        <v>0</v>
      </c>
      <c r="BN117">
        <v>0</v>
      </c>
      <c r="BO117">
        <v>0</v>
      </c>
      <c r="BP117">
        <v>1</v>
      </c>
      <c r="BQ117">
        <v>0</v>
      </c>
      <c r="BR117">
        <v>39.39</v>
      </c>
      <c r="BS117">
        <v>0</v>
      </c>
      <c r="BT117">
        <v>0</v>
      </c>
      <c r="BU117">
        <v>0</v>
      </c>
      <c r="BV117">
        <v>0</v>
      </c>
      <c r="BW117">
        <v>1</v>
      </c>
      <c r="CV117">
        <v>0</v>
      </c>
      <c r="CW117">
        <f>ROUND(Y117*Source!I102*DO117,7)</f>
        <v>0</v>
      </c>
      <c r="CX117">
        <f>ROUND(Y117*Source!I102,7)</f>
        <v>4.8825E-2</v>
      </c>
      <c r="CY117">
        <f>AB117</f>
        <v>32.299999999999997</v>
      </c>
      <c r="CZ117">
        <f>AF117</f>
        <v>26.26</v>
      </c>
      <c r="DA117">
        <f>AJ117</f>
        <v>1.23</v>
      </c>
      <c r="DB117">
        <f t="shared" si="42"/>
        <v>39.39</v>
      </c>
      <c r="DC117">
        <f t="shared" si="43"/>
        <v>0</v>
      </c>
      <c r="DD117" t="s">
        <v>3</v>
      </c>
      <c r="DE117" t="s">
        <v>3</v>
      </c>
      <c r="DF117">
        <f t="shared" si="44"/>
        <v>0</v>
      </c>
      <c r="DG117">
        <f>ROUND(ROUND(AF117*AJ117,2)*CX117,2)</f>
        <v>1.58</v>
      </c>
      <c r="DH117">
        <f t="shared" si="30"/>
        <v>0</v>
      </c>
      <c r="DI117">
        <f t="shared" si="31"/>
        <v>0</v>
      </c>
      <c r="DJ117">
        <f>DG117+DH117</f>
        <v>1.58</v>
      </c>
      <c r="DK117">
        <v>0</v>
      </c>
      <c r="DL117" t="s">
        <v>3</v>
      </c>
      <c r="DM117">
        <v>0</v>
      </c>
      <c r="DN117" t="s">
        <v>3</v>
      </c>
      <c r="DO117">
        <v>0</v>
      </c>
    </row>
    <row r="118" spans="1:119" x14ac:dyDescent="0.2">
      <c r="A118">
        <f>ROW(Source!A102)</f>
        <v>102</v>
      </c>
      <c r="B118">
        <v>94104265</v>
      </c>
      <c r="C118">
        <v>94188192</v>
      </c>
      <c r="D118">
        <v>87301954</v>
      </c>
      <c r="E118">
        <v>1</v>
      </c>
      <c r="F118">
        <v>1</v>
      </c>
      <c r="G118">
        <v>1</v>
      </c>
      <c r="H118">
        <v>3</v>
      </c>
      <c r="I118" t="s">
        <v>504</v>
      </c>
      <c r="J118" t="s">
        <v>505</v>
      </c>
      <c r="K118" t="s">
        <v>506</v>
      </c>
      <c r="L118">
        <v>1348</v>
      </c>
      <c r="N118">
        <v>1009</v>
      </c>
      <c r="O118" t="s">
        <v>30</v>
      </c>
      <c r="P118" t="s">
        <v>30</v>
      </c>
      <c r="Q118">
        <v>1000</v>
      </c>
      <c r="W118">
        <v>0</v>
      </c>
      <c r="X118">
        <v>192185020</v>
      </c>
      <c r="Y118">
        <f t="shared" si="41"/>
        <v>8.0000000000000002E-3</v>
      </c>
      <c r="AA118">
        <v>25474.25</v>
      </c>
      <c r="AB118">
        <v>0</v>
      </c>
      <c r="AC118">
        <v>0</v>
      </c>
      <c r="AD118">
        <v>0</v>
      </c>
      <c r="AE118">
        <v>21588.35</v>
      </c>
      <c r="AF118">
        <v>0</v>
      </c>
      <c r="AG118">
        <v>0</v>
      </c>
      <c r="AH118">
        <v>0</v>
      </c>
      <c r="AI118">
        <v>1.18</v>
      </c>
      <c r="AJ118">
        <v>1</v>
      </c>
      <c r="AK118">
        <v>1</v>
      </c>
      <c r="AL118">
        <v>1</v>
      </c>
      <c r="AM118">
        <v>2</v>
      </c>
      <c r="AN118">
        <v>0</v>
      </c>
      <c r="AO118">
        <v>0</v>
      </c>
      <c r="AP118">
        <v>0</v>
      </c>
      <c r="AQ118">
        <v>1</v>
      </c>
      <c r="AR118">
        <v>0</v>
      </c>
      <c r="AS118" t="s">
        <v>3</v>
      </c>
      <c r="AT118">
        <v>8.0000000000000002E-3</v>
      </c>
      <c r="AU118" t="s">
        <v>3</v>
      </c>
      <c r="AV118">
        <v>0</v>
      </c>
      <c r="AW118">
        <v>2</v>
      </c>
      <c r="AX118">
        <v>94188211</v>
      </c>
      <c r="AY118">
        <v>1</v>
      </c>
      <c r="AZ118">
        <v>0</v>
      </c>
      <c r="BA118">
        <v>118</v>
      </c>
      <c r="BB118">
        <v>1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172.70679999999999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1</v>
      </c>
      <c r="BQ118">
        <v>172.70679999999999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1</v>
      </c>
      <c r="CV118">
        <v>0</v>
      </c>
      <c r="CW118">
        <v>0</v>
      </c>
      <c r="CX118">
        <f>ROUND(Y118*Source!I102,7)</f>
        <v>2.6039999999999999E-4</v>
      </c>
      <c r="CY118">
        <f t="shared" ref="CY118:CY123" si="45">AA118</f>
        <v>25474.25</v>
      </c>
      <c r="CZ118">
        <f t="shared" ref="CZ118:CZ123" si="46">AE118</f>
        <v>21588.35</v>
      </c>
      <c r="DA118">
        <f t="shared" ref="DA118:DA123" si="47">AI118</f>
        <v>1.18</v>
      </c>
      <c r="DB118">
        <f t="shared" si="42"/>
        <v>172.71</v>
      </c>
      <c r="DC118">
        <f t="shared" si="43"/>
        <v>0</v>
      </c>
      <c r="DD118" t="s">
        <v>3</v>
      </c>
      <c r="DE118" t="s">
        <v>3</v>
      </c>
      <c r="DF118">
        <f>ROUND(ROUND(AE118*AI118,2)*CX118,2)</f>
        <v>6.63</v>
      </c>
      <c r="DG118">
        <f t="shared" ref="DG118:DG125" si="48">ROUND(ROUND(AF118,2)*CX118,2)</f>
        <v>0</v>
      </c>
      <c r="DH118">
        <f t="shared" si="30"/>
        <v>0</v>
      </c>
      <c r="DI118">
        <f t="shared" si="31"/>
        <v>0</v>
      </c>
      <c r="DJ118">
        <f t="shared" ref="DJ118:DJ123" si="49">DF118</f>
        <v>6.63</v>
      </c>
      <c r="DK118">
        <v>0</v>
      </c>
      <c r="DL118" t="s">
        <v>3</v>
      </c>
      <c r="DM118">
        <v>0</v>
      </c>
      <c r="DN118" t="s">
        <v>3</v>
      </c>
      <c r="DO118">
        <v>0</v>
      </c>
    </row>
    <row r="119" spans="1:119" x14ac:dyDescent="0.2">
      <c r="A119">
        <f>ROW(Source!A102)</f>
        <v>102</v>
      </c>
      <c r="B119">
        <v>94104265</v>
      </c>
      <c r="C119">
        <v>94188192</v>
      </c>
      <c r="D119">
        <v>87301970</v>
      </c>
      <c r="E119">
        <v>1</v>
      </c>
      <c r="F119">
        <v>1</v>
      </c>
      <c r="G119">
        <v>1</v>
      </c>
      <c r="H119">
        <v>3</v>
      </c>
      <c r="I119" t="s">
        <v>507</v>
      </c>
      <c r="J119" t="s">
        <v>508</v>
      </c>
      <c r="K119" t="s">
        <v>509</v>
      </c>
      <c r="L119">
        <v>1348</v>
      </c>
      <c r="N119">
        <v>1009</v>
      </c>
      <c r="O119" t="s">
        <v>30</v>
      </c>
      <c r="P119" t="s">
        <v>30</v>
      </c>
      <c r="Q119">
        <v>1000</v>
      </c>
      <c r="W119">
        <v>0</v>
      </c>
      <c r="X119">
        <v>-1461371034</v>
      </c>
      <c r="Y119">
        <f t="shared" si="41"/>
        <v>1.9E-2</v>
      </c>
      <c r="AA119">
        <v>25697.86</v>
      </c>
      <c r="AB119">
        <v>0</v>
      </c>
      <c r="AC119">
        <v>0</v>
      </c>
      <c r="AD119">
        <v>0</v>
      </c>
      <c r="AE119">
        <v>25697.86</v>
      </c>
      <c r="AF119">
        <v>0</v>
      </c>
      <c r="AG119">
        <v>0</v>
      </c>
      <c r="AH119">
        <v>0</v>
      </c>
      <c r="AI119">
        <v>1</v>
      </c>
      <c r="AJ119">
        <v>1</v>
      </c>
      <c r="AK119">
        <v>1</v>
      </c>
      <c r="AL119">
        <v>1</v>
      </c>
      <c r="AM119">
        <v>-2</v>
      </c>
      <c r="AN119">
        <v>0</v>
      </c>
      <c r="AO119">
        <v>0</v>
      </c>
      <c r="AP119">
        <v>0</v>
      </c>
      <c r="AQ119">
        <v>1</v>
      </c>
      <c r="AR119">
        <v>0</v>
      </c>
      <c r="AS119" t="s">
        <v>3</v>
      </c>
      <c r="AT119">
        <v>1.9E-2</v>
      </c>
      <c r="AU119" t="s">
        <v>3</v>
      </c>
      <c r="AV119">
        <v>0</v>
      </c>
      <c r="AW119">
        <v>2</v>
      </c>
      <c r="AX119">
        <v>94188212</v>
      </c>
      <c r="AY119">
        <v>2</v>
      </c>
      <c r="AZ119">
        <v>16384</v>
      </c>
      <c r="BA119">
        <v>119</v>
      </c>
      <c r="BB119">
        <v>1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488.25934000000001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1</v>
      </c>
      <c r="BQ119">
        <v>488.25934000000001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1</v>
      </c>
      <c r="CV119">
        <v>0</v>
      </c>
      <c r="CW119">
        <v>0</v>
      </c>
      <c r="CX119">
        <f>ROUND(Y119*Source!I102,7)</f>
        <v>6.1850000000000002E-4</v>
      </c>
      <c r="CY119">
        <f t="shared" si="45"/>
        <v>25697.86</v>
      </c>
      <c r="CZ119">
        <f t="shared" si="46"/>
        <v>25697.86</v>
      </c>
      <c r="DA119">
        <f t="shared" si="47"/>
        <v>1</v>
      </c>
      <c r="DB119">
        <f t="shared" si="42"/>
        <v>488.26</v>
      </c>
      <c r="DC119">
        <f t="shared" si="43"/>
        <v>0</v>
      </c>
      <c r="DD119" t="s">
        <v>3</v>
      </c>
      <c r="DE119" t="s">
        <v>3</v>
      </c>
      <c r="DF119">
        <f>ROUND(ROUND(AE119,2)*CX119,2)</f>
        <v>15.89</v>
      </c>
      <c r="DG119">
        <f t="shared" si="48"/>
        <v>0</v>
      </c>
      <c r="DH119">
        <f t="shared" si="30"/>
        <v>0</v>
      </c>
      <c r="DI119">
        <f t="shared" si="31"/>
        <v>0</v>
      </c>
      <c r="DJ119">
        <f t="shared" si="49"/>
        <v>15.89</v>
      </c>
      <c r="DK119">
        <v>1</v>
      </c>
      <c r="DL119" t="s">
        <v>3</v>
      </c>
      <c r="DM119">
        <v>0</v>
      </c>
      <c r="DN119" t="s">
        <v>3</v>
      </c>
      <c r="DO119">
        <v>0</v>
      </c>
    </row>
    <row r="120" spans="1:119" x14ac:dyDescent="0.2">
      <c r="A120">
        <f>ROW(Source!A102)</f>
        <v>102</v>
      </c>
      <c r="B120">
        <v>94104265</v>
      </c>
      <c r="C120">
        <v>94188192</v>
      </c>
      <c r="D120">
        <v>87301971</v>
      </c>
      <c r="E120">
        <v>1</v>
      </c>
      <c r="F120">
        <v>1</v>
      </c>
      <c r="G120">
        <v>1</v>
      </c>
      <c r="H120">
        <v>3</v>
      </c>
      <c r="I120" t="s">
        <v>510</v>
      </c>
      <c r="J120" t="s">
        <v>511</v>
      </c>
      <c r="K120" t="s">
        <v>512</v>
      </c>
      <c r="L120">
        <v>1348</v>
      </c>
      <c r="N120">
        <v>1009</v>
      </c>
      <c r="O120" t="s">
        <v>30</v>
      </c>
      <c r="P120" t="s">
        <v>30</v>
      </c>
      <c r="Q120">
        <v>1000</v>
      </c>
      <c r="W120">
        <v>0</v>
      </c>
      <c r="X120">
        <v>-1084587922</v>
      </c>
      <c r="Y120">
        <f t="shared" si="41"/>
        <v>0.157</v>
      </c>
      <c r="AA120">
        <v>20209.38</v>
      </c>
      <c r="AB120">
        <v>0</v>
      </c>
      <c r="AC120">
        <v>0</v>
      </c>
      <c r="AD120">
        <v>0</v>
      </c>
      <c r="AE120">
        <v>22965.21</v>
      </c>
      <c r="AF120">
        <v>0</v>
      </c>
      <c r="AG120">
        <v>0</v>
      </c>
      <c r="AH120">
        <v>0</v>
      </c>
      <c r="AI120">
        <v>0.88</v>
      </c>
      <c r="AJ120">
        <v>1</v>
      </c>
      <c r="AK120">
        <v>1</v>
      </c>
      <c r="AL120">
        <v>1</v>
      </c>
      <c r="AM120">
        <v>2</v>
      </c>
      <c r="AN120">
        <v>0</v>
      </c>
      <c r="AO120">
        <v>0</v>
      </c>
      <c r="AP120">
        <v>0</v>
      </c>
      <c r="AQ120">
        <v>1</v>
      </c>
      <c r="AR120">
        <v>0</v>
      </c>
      <c r="AS120" t="s">
        <v>3</v>
      </c>
      <c r="AT120">
        <v>0.157</v>
      </c>
      <c r="AU120" t="s">
        <v>3</v>
      </c>
      <c r="AV120">
        <v>0</v>
      </c>
      <c r="AW120">
        <v>2</v>
      </c>
      <c r="AX120">
        <v>94188213</v>
      </c>
      <c r="AY120">
        <v>2</v>
      </c>
      <c r="AZ120">
        <v>16384</v>
      </c>
      <c r="BA120">
        <v>120</v>
      </c>
      <c r="BB120">
        <v>1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3605.5379699999999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1</v>
      </c>
      <c r="BQ120">
        <v>3605.5379699999999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1</v>
      </c>
      <c r="CV120">
        <v>0</v>
      </c>
      <c r="CW120">
        <v>0</v>
      </c>
      <c r="CX120">
        <f>ROUND(Y120*Source!I102,7)</f>
        <v>5.1104000000000002E-3</v>
      </c>
      <c r="CY120">
        <f t="shared" si="45"/>
        <v>20209.38</v>
      </c>
      <c r="CZ120">
        <f t="shared" si="46"/>
        <v>22965.21</v>
      </c>
      <c r="DA120">
        <f t="shared" si="47"/>
        <v>0.88</v>
      </c>
      <c r="DB120">
        <f t="shared" si="42"/>
        <v>3605.54</v>
      </c>
      <c r="DC120">
        <f t="shared" si="43"/>
        <v>0</v>
      </c>
      <c r="DD120" t="s">
        <v>3</v>
      </c>
      <c r="DE120" t="s">
        <v>3</v>
      </c>
      <c r="DF120">
        <f>ROUND(ROUND(AE120*AI120,2)*CX120,2)</f>
        <v>103.28</v>
      </c>
      <c r="DG120">
        <f t="shared" si="48"/>
        <v>0</v>
      </c>
      <c r="DH120">
        <f t="shared" si="30"/>
        <v>0</v>
      </c>
      <c r="DI120">
        <f t="shared" si="31"/>
        <v>0</v>
      </c>
      <c r="DJ120">
        <f t="shared" si="49"/>
        <v>103.28</v>
      </c>
      <c r="DK120">
        <v>0</v>
      </c>
      <c r="DL120" t="s">
        <v>3</v>
      </c>
      <c r="DM120">
        <v>0</v>
      </c>
      <c r="DN120" t="s">
        <v>3</v>
      </c>
      <c r="DO120">
        <v>0</v>
      </c>
    </row>
    <row r="121" spans="1:119" x14ac:dyDescent="0.2">
      <c r="A121">
        <f>ROW(Source!A102)</f>
        <v>102</v>
      </c>
      <c r="B121">
        <v>94104265</v>
      </c>
      <c r="C121">
        <v>94188192</v>
      </c>
      <c r="D121">
        <v>87302033</v>
      </c>
      <c r="E121">
        <v>1</v>
      </c>
      <c r="F121">
        <v>1</v>
      </c>
      <c r="G121">
        <v>1</v>
      </c>
      <c r="H121">
        <v>3</v>
      </c>
      <c r="I121" t="s">
        <v>513</v>
      </c>
      <c r="J121" t="s">
        <v>514</v>
      </c>
      <c r="K121" t="s">
        <v>515</v>
      </c>
      <c r="L121">
        <v>1346</v>
      </c>
      <c r="N121">
        <v>1009</v>
      </c>
      <c r="O121" t="s">
        <v>96</v>
      </c>
      <c r="P121" t="s">
        <v>96</v>
      </c>
      <c r="Q121">
        <v>1</v>
      </c>
      <c r="W121">
        <v>0</v>
      </c>
      <c r="X121">
        <v>1797972292</v>
      </c>
      <c r="Y121">
        <f t="shared" si="41"/>
        <v>57</v>
      </c>
      <c r="AA121">
        <v>206.75</v>
      </c>
      <c r="AB121">
        <v>0</v>
      </c>
      <c r="AC121">
        <v>0</v>
      </c>
      <c r="AD121">
        <v>0</v>
      </c>
      <c r="AE121">
        <v>160.27000000000001</v>
      </c>
      <c r="AF121">
        <v>0</v>
      </c>
      <c r="AG121">
        <v>0</v>
      </c>
      <c r="AH121">
        <v>0</v>
      </c>
      <c r="AI121">
        <v>1.29</v>
      </c>
      <c r="AJ121">
        <v>1</v>
      </c>
      <c r="AK121">
        <v>1</v>
      </c>
      <c r="AL121">
        <v>1</v>
      </c>
      <c r="AM121">
        <v>2</v>
      </c>
      <c r="AN121">
        <v>0</v>
      </c>
      <c r="AO121">
        <v>0</v>
      </c>
      <c r="AP121">
        <v>0</v>
      </c>
      <c r="AQ121">
        <v>1</v>
      </c>
      <c r="AR121">
        <v>0</v>
      </c>
      <c r="AS121" t="s">
        <v>3</v>
      </c>
      <c r="AT121">
        <v>57</v>
      </c>
      <c r="AU121" t="s">
        <v>3</v>
      </c>
      <c r="AV121">
        <v>0</v>
      </c>
      <c r="AW121">
        <v>2</v>
      </c>
      <c r="AX121">
        <v>94188214</v>
      </c>
      <c r="AY121">
        <v>1</v>
      </c>
      <c r="AZ121">
        <v>0</v>
      </c>
      <c r="BA121">
        <v>121</v>
      </c>
      <c r="BB121">
        <v>1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9135.3900000000012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1</v>
      </c>
      <c r="BQ121">
        <v>9135.3900000000012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1</v>
      </c>
      <c r="CV121">
        <v>0</v>
      </c>
      <c r="CW121">
        <v>0</v>
      </c>
      <c r="CX121">
        <f>ROUND(Y121*Source!I102,7)</f>
        <v>1.8553500000000001</v>
      </c>
      <c r="CY121">
        <f t="shared" si="45"/>
        <v>206.75</v>
      </c>
      <c r="CZ121">
        <f t="shared" si="46"/>
        <v>160.27000000000001</v>
      </c>
      <c r="DA121">
        <f t="shared" si="47"/>
        <v>1.29</v>
      </c>
      <c r="DB121">
        <f t="shared" si="42"/>
        <v>9135.39</v>
      </c>
      <c r="DC121">
        <f t="shared" si="43"/>
        <v>0</v>
      </c>
      <c r="DD121" t="s">
        <v>3</v>
      </c>
      <c r="DE121" t="s">
        <v>3</v>
      </c>
      <c r="DF121">
        <f>ROUND(ROUND(AE121*AI121,2)*CX121,2)</f>
        <v>383.59</v>
      </c>
      <c r="DG121">
        <f t="shared" si="48"/>
        <v>0</v>
      </c>
      <c r="DH121">
        <f t="shared" si="30"/>
        <v>0</v>
      </c>
      <c r="DI121">
        <f t="shared" si="31"/>
        <v>0</v>
      </c>
      <c r="DJ121">
        <f t="shared" si="49"/>
        <v>383.59</v>
      </c>
      <c r="DK121">
        <v>0</v>
      </c>
      <c r="DL121" t="s">
        <v>3</v>
      </c>
      <c r="DM121">
        <v>0</v>
      </c>
      <c r="DN121" t="s">
        <v>3</v>
      </c>
      <c r="DO121">
        <v>0</v>
      </c>
    </row>
    <row r="122" spans="1:119" x14ac:dyDescent="0.2">
      <c r="A122">
        <f>ROW(Source!A102)</f>
        <v>102</v>
      </c>
      <c r="B122">
        <v>94104265</v>
      </c>
      <c r="C122">
        <v>94188192</v>
      </c>
      <c r="D122">
        <v>87304409</v>
      </c>
      <c r="E122">
        <v>1</v>
      </c>
      <c r="F122">
        <v>1</v>
      </c>
      <c r="G122">
        <v>1</v>
      </c>
      <c r="H122">
        <v>3</v>
      </c>
      <c r="I122" t="s">
        <v>516</v>
      </c>
      <c r="J122" t="s">
        <v>517</v>
      </c>
      <c r="K122" t="s">
        <v>518</v>
      </c>
      <c r="L122">
        <v>1348</v>
      </c>
      <c r="N122">
        <v>1009</v>
      </c>
      <c r="O122" t="s">
        <v>30</v>
      </c>
      <c r="P122" t="s">
        <v>30</v>
      </c>
      <c r="Q122">
        <v>1000</v>
      </c>
      <c r="W122">
        <v>0</v>
      </c>
      <c r="X122">
        <v>1537664666</v>
      </c>
      <c r="Y122">
        <f t="shared" si="41"/>
        <v>0.125</v>
      </c>
      <c r="AA122">
        <v>21455.54</v>
      </c>
      <c r="AB122">
        <v>0</v>
      </c>
      <c r="AC122">
        <v>0</v>
      </c>
      <c r="AD122">
        <v>0</v>
      </c>
      <c r="AE122">
        <v>10415.31</v>
      </c>
      <c r="AF122">
        <v>0</v>
      </c>
      <c r="AG122">
        <v>0</v>
      </c>
      <c r="AH122">
        <v>0</v>
      </c>
      <c r="AI122">
        <v>2.06</v>
      </c>
      <c r="AJ122">
        <v>1</v>
      </c>
      <c r="AK122">
        <v>1</v>
      </c>
      <c r="AL122">
        <v>1</v>
      </c>
      <c r="AM122">
        <v>2</v>
      </c>
      <c r="AN122">
        <v>0</v>
      </c>
      <c r="AO122">
        <v>0</v>
      </c>
      <c r="AP122">
        <v>0</v>
      </c>
      <c r="AQ122">
        <v>1</v>
      </c>
      <c r="AR122">
        <v>0</v>
      </c>
      <c r="AS122" t="s">
        <v>3</v>
      </c>
      <c r="AT122">
        <v>0.125</v>
      </c>
      <c r="AU122" t="s">
        <v>3</v>
      </c>
      <c r="AV122">
        <v>0</v>
      </c>
      <c r="AW122">
        <v>2</v>
      </c>
      <c r="AX122">
        <v>94188215</v>
      </c>
      <c r="AY122">
        <v>1</v>
      </c>
      <c r="AZ122">
        <v>0</v>
      </c>
      <c r="BA122">
        <v>122</v>
      </c>
      <c r="BB122">
        <v>1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1301.9137499999999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1</v>
      </c>
      <c r="BQ122">
        <v>1301.9137499999999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1</v>
      </c>
      <c r="CV122">
        <v>0</v>
      </c>
      <c r="CW122">
        <v>0</v>
      </c>
      <c r="CX122">
        <f>ROUND(Y122*Source!I102,7)</f>
        <v>4.0688E-3</v>
      </c>
      <c r="CY122">
        <f t="shared" si="45"/>
        <v>21455.54</v>
      </c>
      <c r="CZ122">
        <f t="shared" si="46"/>
        <v>10415.31</v>
      </c>
      <c r="DA122">
        <f t="shared" si="47"/>
        <v>2.06</v>
      </c>
      <c r="DB122">
        <f t="shared" si="42"/>
        <v>1301.9100000000001</v>
      </c>
      <c r="DC122">
        <f t="shared" si="43"/>
        <v>0</v>
      </c>
      <c r="DD122" t="s">
        <v>3</v>
      </c>
      <c r="DE122" t="s">
        <v>3</v>
      </c>
      <c r="DF122">
        <f>ROUND(ROUND(AE122*AI122,2)*CX122,2)</f>
        <v>87.3</v>
      </c>
      <c r="DG122">
        <f t="shared" si="48"/>
        <v>0</v>
      </c>
      <c r="DH122">
        <f t="shared" si="30"/>
        <v>0</v>
      </c>
      <c r="DI122">
        <f t="shared" si="31"/>
        <v>0</v>
      </c>
      <c r="DJ122">
        <f t="shared" si="49"/>
        <v>87.3</v>
      </c>
      <c r="DK122">
        <v>0</v>
      </c>
      <c r="DL122" t="s">
        <v>3</v>
      </c>
      <c r="DM122">
        <v>0</v>
      </c>
      <c r="DN122" t="s">
        <v>3</v>
      </c>
      <c r="DO122">
        <v>0</v>
      </c>
    </row>
    <row r="123" spans="1:119" x14ac:dyDescent="0.2">
      <c r="A123">
        <f>ROW(Source!A102)</f>
        <v>102</v>
      </c>
      <c r="B123">
        <v>94104265</v>
      </c>
      <c r="C123">
        <v>94188192</v>
      </c>
      <c r="D123">
        <v>87306751</v>
      </c>
      <c r="E123">
        <v>1</v>
      </c>
      <c r="F123">
        <v>1</v>
      </c>
      <c r="G123">
        <v>1</v>
      </c>
      <c r="H123">
        <v>3</v>
      </c>
      <c r="I123" t="s">
        <v>519</v>
      </c>
      <c r="J123" t="s">
        <v>520</v>
      </c>
      <c r="K123" t="s">
        <v>521</v>
      </c>
      <c r="L123">
        <v>1346</v>
      </c>
      <c r="N123">
        <v>1009</v>
      </c>
      <c r="O123" t="s">
        <v>96</v>
      </c>
      <c r="P123" t="s">
        <v>96</v>
      </c>
      <c r="Q123">
        <v>1</v>
      </c>
      <c r="W123">
        <v>0</v>
      </c>
      <c r="X123">
        <v>-373327139</v>
      </c>
      <c r="Y123">
        <f t="shared" si="41"/>
        <v>0.5</v>
      </c>
      <c r="AA123">
        <v>89.78</v>
      </c>
      <c r="AB123">
        <v>0</v>
      </c>
      <c r="AC123">
        <v>0</v>
      </c>
      <c r="AD123">
        <v>0</v>
      </c>
      <c r="AE123">
        <v>56.11</v>
      </c>
      <c r="AF123">
        <v>0</v>
      </c>
      <c r="AG123">
        <v>0</v>
      </c>
      <c r="AH123">
        <v>0</v>
      </c>
      <c r="AI123">
        <v>1.6</v>
      </c>
      <c r="AJ123">
        <v>1</v>
      </c>
      <c r="AK123">
        <v>1</v>
      </c>
      <c r="AL123">
        <v>1</v>
      </c>
      <c r="AM123">
        <v>2</v>
      </c>
      <c r="AN123">
        <v>0</v>
      </c>
      <c r="AO123">
        <v>0</v>
      </c>
      <c r="AP123">
        <v>0</v>
      </c>
      <c r="AQ123">
        <v>1</v>
      </c>
      <c r="AR123">
        <v>0</v>
      </c>
      <c r="AS123" t="s">
        <v>3</v>
      </c>
      <c r="AT123">
        <v>0.5</v>
      </c>
      <c r="AU123" t="s">
        <v>3</v>
      </c>
      <c r="AV123">
        <v>0</v>
      </c>
      <c r="AW123">
        <v>2</v>
      </c>
      <c r="AX123">
        <v>94188216</v>
      </c>
      <c r="AY123">
        <v>1</v>
      </c>
      <c r="AZ123">
        <v>0</v>
      </c>
      <c r="BA123">
        <v>123</v>
      </c>
      <c r="BB123">
        <v>1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28.055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1</v>
      </c>
      <c r="BQ123">
        <v>28.055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1</v>
      </c>
      <c r="CV123">
        <v>0</v>
      </c>
      <c r="CW123">
        <v>0</v>
      </c>
      <c r="CX123">
        <f>ROUND(Y123*Source!I102,7)</f>
        <v>1.6275000000000001E-2</v>
      </c>
      <c r="CY123">
        <f t="shared" si="45"/>
        <v>89.78</v>
      </c>
      <c r="CZ123">
        <f t="shared" si="46"/>
        <v>56.11</v>
      </c>
      <c r="DA123">
        <f t="shared" si="47"/>
        <v>1.6</v>
      </c>
      <c r="DB123">
        <f t="shared" si="42"/>
        <v>28.06</v>
      </c>
      <c r="DC123">
        <f t="shared" si="43"/>
        <v>0</v>
      </c>
      <c r="DD123" t="s">
        <v>3</v>
      </c>
      <c r="DE123" t="s">
        <v>3</v>
      </c>
      <c r="DF123">
        <f>ROUND(ROUND(AE123*AI123,2)*CX123,2)</f>
        <v>1.46</v>
      </c>
      <c r="DG123">
        <f t="shared" si="48"/>
        <v>0</v>
      </c>
      <c r="DH123">
        <f t="shared" si="30"/>
        <v>0</v>
      </c>
      <c r="DI123">
        <f t="shared" si="31"/>
        <v>0</v>
      </c>
      <c r="DJ123">
        <f t="shared" si="49"/>
        <v>1.46</v>
      </c>
      <c r="DK123">
        <v>0</v>
      </c>
      <c r="DL123" t="s">
        <v>3</v>
      </c>
      <c r="DM123">
        <v>0</v>
      </c>
      <c r="DN123" t="s">
        <v>3</v>
      </c>
      <c r="DO123">
        <v>0</v>
      </c>
    </row>
    <row r="124" spans="1:119" x14ac:dyDescent="0.2">
      <c r="A124">
        <f>ROW(Source!A103)</f>
        <v>103</v>
      </c>
      <c r="B124">
        <v>94104265</v>
      </c>
      <c r="C124">
        <v>94188217</v>
      </c>
      <c r="D124">
        <v>37070495</v>
      </c>
      <c r="E124">
        <v>117</v>
      </c>
      <c r="F124">
        <v>1</v>
      </c>
      <c r="G124">
        <v>1</v>
      </c>
      <c r="H124">
        <v>1</v>
      </c>
      <c r="I124" t="s">
        <v>522</v>
      </c>
      <c r="J124" t="s">
        <v>3</v>
      </c>
      <c r="K124" t="s">
        <v>523</v>
      </c>
      <c r="L124">
        <v>1191</v>
      </c>
      <c r="N124">
        <v>1013</v>
      </c>
      <c r="O124" t="s">
        <v>428</v>
      </c>
      <c r="P124" t="s">
        <v>428</v>
      </c>
      <c r="Q124">
        <v>1</v>
      </c>
      <c r="W124">
        <v>0</v>
      </c>
      <c r="X124">
        <v>1958912953</v>
      </c>
      <c r="Y124">
        <f t="shared" si="41"/>
        <v>310.42</v>
      </c>
      <c r="AA124">
        <v>0</v>
      </c>
      <c r="AB124">
        <v>0</v>
      </c>
      <c r="AC124">
        <v>0</v>
      </c>
      <c r="AD124">
        <v>665.61</v>
      </c>
      <c r="AE124">
        <v>0</v>
      </c>
      <c r="AF124">
        <v>0</v>
      </c>
      <c r="AG124">
        <v>0</v>
      </c>
      <c r="AH124">
        <v>665.61</v>
      </c>
      <c r="AI124">
        <v>1</v>
      </c>
      <c r="AJ124">
        <v>1</v>
      </c>
      <c r="AK124">
        <v>1</v>
      </c>
      <c r="AL124">
        <v>1</v>
      </c>
      <c r="AM124">
        <v>-2</v>
      </c>
      <c r="AN124">
        <v>0</v>
      </c>
      <c r="AO124">
        <v>0</v>
      </c>
      <c r="AP124">
        <v>1</v>
      </c>
      <c r="AQ124">
        <v>1</v>
      </c>
      <c r="AR124">
        <v>0</v>
      </c>
      <c r="AS124" t="s">
        <v>3</v>
      </c>
      <c r="AT124">
        <v>310.42</v>
      </c>
      <c r="AU124" t="s">
        <v>3</v>
      </c>
      <c r="AV124">
        <v>1</v>
      </c>
      <c r="AW124">
        <v>2</v>
      </c>
      <c r="AX124">
        <v>94188231</v>
      </c>
      <c r="AY124">
        <v>2</v>
      </c>
      <c r="AZ124">
        <v>131072</v>
      </c>
      <c r="BA124">
        <v>124</v>
      </c>
      <c r="BB124">
        <v>1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206618.65620000003</v>
      </c>
      <c r="BN124">
        <v>310.42</v>
      </c>
      <c r="BO124">
        <v>0</v>
      </c>
      <c r="BP124">
        <v>1</v>
      </c>
      <c r="BQ124">
        <v>0</v>
      </c>
      <c r="BR124">
        <v>0</v>
      </c>
      <c r="BS124">
        <v>0</v>
      </c>
      <c r="BT124">
        <v>206618.65620000003</v>
      </c>
      <c r="BU124">
        <v>310.42</v>
      </c>
      <c r="BV124">
        <v>0</v>
      </c>
      <c r="BW124">
        <v>1</v>
      </c>
      <c r="CU124">
        <f>ROUND(AT124*Source!I103*AH124*AL124,2)</f>
        <v>6725.44</v>
      </c>
      <c r="CV124">
        <f>ROUND(Y124*Source!I103,7)</f>
        <v>10.104170999999999</v>
      </c>
      <c r="CW124">
        <v>0</v>
      </c>
      <c r="CX124">
        <f>ROUND(Y124*Source!I103,7)</f>
        <v>10.104170999999999</v>
      </c>
      <c r="CY124">
        <f>AD124</f>
        <v>665.61</v>
      </c>
      <c r="CZ124">
        <f>AH124</f>
        <v>665.61</v>
      </c>
      <c r="DA124">
        <f>AL124</f>
        <v>1</v>
      </c>
      <c r="DB124">
        <f t="shared" si="42"/>
        <v>206618.66</v>
      </c>
      <c r="DC124">
        <f t="shared" si="43"/>
        <v>0</v>
      </c>
      <c r="DD124" t="s">
        <v>3</v>
      </c>
      <c r="DE124" t="s">
        <v>3</v>
      </c>
      <c r="DF124">
        <f t="shared" ref="DF124:DF129" si="50">ROUND(ROUND(AE124,2)*CX124,2)</f>
        <v>0</v>
      </c>
      <c r="DG124">
        <f t="shared" si="48"/>
        <v>0</v>
      </c>
      <c r="DH124">
        <f t="shared" si="30"/>
        <v>0</v>
      </c>
      <c r="DI124">
        <f t="shared" si="31"/>
        <v>6725.44</v>
      </c>
      <c r="DJ124">
        <f>DI124</f>
        <v>6725.44</v>
      </c>
      <c r="DK124">
        <v>1</v>
      </c>
      <c r="DL124" t="s">
        <v>3</v>
      </c>
      <c r="DM124">
        <v>0</v>
      </c>
      <c r="DN124" t="s">
        <v>3</v>
      </c>
      <c r="DO124">
        <v>0</v>
      </c>
    </row>
    <row r="125" spans="1:119" x14ac:dyDescent="0.2">
      <c r="A125">
        <f>ROW(Source!A103)</f>
        <v>103</v>
      </c>
      <c r="B125">
        <v>94104265</v>
      </c>
      <c r="C125">
        <v>94188217</v>
      </c>
      <c r="D125">
        <v>37064876</v>
      </c>
      <c r="E125">
        <v>117</v>
      </c>
      <c r="F125">
        <v>1</v>
      </c>
      <c r="G125">
        <v>1</v>
      </c>
      <c r="H125">
        <v>1</v>
      </c>
      <c r="I125" t="s">
        <v>429</v>
      </c>
      <c r="J125" t="s">
        <v>3</v>
      </c>
      <c r="K125" t="s">
        <v>430</v>
      </c>
      <c r="L125">
        <v>1191</v>
      </c>
      <c r="N125">
        <v>1013</v>
      </c>
      <c r="O125" t="s">
        <v>428</v>
      </c>
      <c r="P125" t="s">
        <v>428</v>
      </c>
      <c r="Q125">
        <v>1</v>
      </c>
      <c r="W125">
        <v>0</v>
      </c>
      <c r="X125">
        <v>-1417349443</v>
      </c>
      <c r="Y125">
        <f t="shared" si="41"/>
        <v>1.73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1</v>
      </c>
      <c r="AJ125">
        <v>1</v>
      </c>
      <c r="AK125">
        <v>1</v>
      </c>
      <c r="AL125">
        <v>1</v>
      </c>
      <c r="AM125">
        <v>-2</v>
      </c>
      <c r="AN125">
        <v>0</v>
      </c>
      <c r="AO125">
        <v>0</v>
      </c>
      <c r="AP125">
        <v>1</v>
      </c>
      <c r="AQ125">
        <v>1</v>
      </c>
      <c r="AR125">
        <v>0</v>
      </c>
      <c r="AS125" t="s">
        <v>3</v>
      </c>
      <c r="AT125">
        <v>1.73</v>
      </c>
      <c r="AU125" t="s">
        <v>3</v>
      </c>
      <c r="AV125">
        <v>2</v>
      </c>
      <c r="AW125">
        <v>2</v>
      </c>
      <c r="AX125">
        <v>94188232</v>
      </c>
      <c r="AY125">
        <v>1</v>
      </c>
      <c r="AZ125">
        <v>0</v>
      </c>
      <c r="BA125">
        <v>125</v>
      </c>
      <c r="BB125">
        <v>1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CV125">
        <v>0</v>
      </c>
      <c r="CW125">
        <v>0</v>
      </c>
      <c r="CX125">
        <f>ROUND(Y125*Source!I103,7)</f>
        <v>5.63115E-2</v>
      </c>
      <c r="CY125">
        <f>AD125</f>
        <v>0</v>
      </c>
      <c r="CZ125">
        <f>AH125</f>
        <v>0</v>
      </c>
      <c r="DA125">
        <f>AL125</f>
        <v>1</v>
      </c>
      <c r="DB125">
        <f t="shared" si="42"/>
        <v>0</v>
      </c>
      <c r="DC125">
        <f t="shared" si="43"/>
        <v>0</v>
      </c>
      <c r="DD125" t="s">
        <v>3</v>
      </c>
      <c r="DE125" t="s">
        <v>3</v>
      </c>
      <c r="DF125">
        <f t="shared" si="50"/>
        <v>0</v>
      </c>
      <c r="DG125">
        <f t="shared" si="48"/>
        <v>0</v>
      </c>
      <c r="DH125">
        <f t="shared" si="30"/>
        <v>0</v>
      </c>
      <c r="DI125">
        <f t="shared" si="31"/>
        <v>0</v>
      </c>
      <c r="DJ125">
        <f>DI125</f>
        <v>0</v>
      </c>
      <c r="DK125">
        <v>0</v>
      </c>
      <c r="DL125" t="s">
        <v>3</v>
      </c>
      <c r="DM125">
        <v>0</v>
      </c>
      <c r="DN125" t="s">
        <v>3</v>
      </c>
      <c r="DO125">
        <v>0</v>
      </c>
    </row>
    <row r="126" spans="1:119" x14ac:dyDescent="0.2">
      <c r="A126">
        <f>ROW(Source!A103)</f>
        <v>103</v>
      </c>
      <c r="B126">
        <v>94104265</v>
      </c>
      <c r="C126">
        <v>94188217</v>
      </c>
      <c r="D126">
        <v>87236385</v>
      </c>
      <c r="E126">
        <v>1</v>
      </c>
      <c r="F126">
        <v>1</v>
      </c>
      <c r="G126">
        <v>1</v>
      </c>
      <c r="H126">
        <v>2</v>
      </c>
      <c r="I126" t="s">
        <v>524</v>
      </c>
      <c r="J126" t="s">
        <v>525</v>
      </c>
      <c r="K126" t="s">
        <v>526</v>
      </c>
      <c r="L126">
        <v>1368</v>
      </c>
      <c r="N126">
        <v>1011</v>
      </c>
      <c r="O126" t="s">
        <v>434</v>
      </c>
      <c r="P126" t="s">
        <v>434</v>
      </c>
      <c r="Q126">
        <v>1</v>
      </c>
      <c r="W126">
        <v>0</v>
      </c>
      <c r="X126">
        <v>1158292232</v>
      </c>
      <c r="Y126">
        <f t="shared" si="41"/>
        <v>0.02</v>
      </c>
      <c r="AA126">
        <v>0</v>
      </c>
      <c r="AB126">
        <v>372.62</v>
      </c>
      <c r="AC126">
        <v>982.04</v>
      </c>
      <c r="AD126">
        <v>0</v>
      </c>
      <c r="AE126">
        <v>0</v>
      </c>
      <c r="AF126">
        <v>251.77</v>
      </c>
      <c r="AG126">
        <v>982.04</v>
      </c>
      <c r="AH126">
        <v>0</v>
      </c>
      <c r="AI126">
        <v>1</v>
      </c>
      <c r="AJ126">
        <v>1.48</v>
      </c>
      <c r="AK126">
        <v>1</v>
      </c>
      <c r="AL126">
        <v>1</v>
      </c>
      <c r="AM126">
        <v>2</v>
      </c>
      <c r="AN126">
        <v>0</v>
      </c>
      <c r="AO126">
        <v>0</v>
      </c>
      <c r="AP126">
        <v>1</v>
      </c>
      <c r="AQ126">
        <v>1</v>
      </c>
      <c r="AR126">
        <v>0</v>
      </c>
      <c r="AS126" t="s">
        <v>3</v>
      </c>
      <c r="AT126">
        <v>0.02</v>
      </c>
      <c r="AU126" t="s">
        <v>3</v>
      </c>
      <c r="AV126">
        <v>1</v>
      </c>
      <c r="AW126">
        <v>2</v>
      </c>
      <c r="AX126">
        <v>94188233</v>
      </c>
      <c r="AY126">
        <v>2</v>
      </c>
      <c r="AZ126">
        <v>65536</v>
      </c>
      <c r="BA126">
        <v>126</v>
      </c>
      <c r="BB126">
        <v>1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5.0354000000000001</v>
      </c>
      <c r="BL126">
        <v>19.640799999999999</v>
      </c>
      <c r="BM126">
        <v>0</v>
      </c>
      <c r="BN126">
        <v>0</v>
      </c>
      <c r="BO126">
        <v>0.02</v>
      </c>
      <c r="BP126">
        <v>1</v>
      </c>
      <c r="BQ126">
        <v>0</v>
      </c>
      <c r="BR126">
        <v>5.0354000000000001</v>
      </c>
      <c r="BS126">
        <v>19.640799999999999</v>
      </c>
      <c r="BT126">
        <v>0</v>
      </c>
      <c r="BU126">
        <v>0</v>
      </c>
      <c r="BV126">
        <v>0.02</v>
      </c>
      <c r="BW126">
        <v>1</v>
      </c>
      <c r="CV126">
        <v>0</v>
      </c>
      <c r="CW126">
        <f>ROUND(Y126*Source!I103*DO126,7)</f>
        <v>6.5099999999999999E-4</v>
      </c>
      <c r="CX126">
        <f>ROUND(Y126*Source!I103,7)</f>
        <v>6.5099999999999999E-4</v>
      </c>
      <c r="CY126">
        <f>AB126</f>
        <v>372.62</v>
      </c>
      <c r="CZ126">
        <f>AF126</f>
        <v>251.77</v>
      </c>
      <c r="DA126">
        <f>AJ126</f>
        <v>1.48</v>
      </c>
      <c r="DB126">
        <f t="shared" si="42"/>
        <v>5.04</v>
      </c>
      <c r="DC126">
        <f t="shared" si="43"/>
        <v>19.64</v>
      </c>
      <c r="DD126" t="s">
        <v>3</v>
      </c>
      <c r="DE126" t="s">
        <v>3</v>
      </c>
      <c r="DF126">
        <f t="shared" si="50"/>
        <v>0</v>
      </c>
      <c r="DG126">
        <f>ROUND(ROUND(AF126*AJ126,2)*CX126,2)</f>
        <v>0.24</v>
      </c>
      <c r="DH126">
        <f t="shared" si="30"/>
        <v>0.64</v>
      </c>
      <c r="DI126">
        <f t="shared" si="31"/>
        <v>0</v>
      </c>
      <c r="DJ126">
        <f>DG126+DH126</f>
        <v>0.88</v>
      </c>
      <c r="DK126">
        <v>0</v>
      </c>
      <c r="DL126" t="s">
        <v>456</v>
      </c>
      <c r="DM126">
        <v>6</v>
      </c>
      <c r="DN126" t="s">
        <v>428</v>
      </c>
      <c r="DO126">
        <v>1</v>
      </c>
    </row>
    <row r="127" spans="1:119" x14ac:dyDescent="0.2">
      <c r="A127">
        <f>ROW(Source!A103)</f>
        <v>103</v>
      </c>
      <c r="B127">
        <v>94104265</v>
      </c>
      <c r="C127">
        <v>94188217</v>
      </c>
      <c r="D127">
        <v>87236438</v>
      </c>
      <c r="E127">
        <v>1</v>
      </c>
      <c r="F127">
        <v>1</v>
      </c>
      <c r="G127">
        <v>1</v>
      </c>
      <c r="H127">
        <v>2</v>
      </c>
      <c r="I127" t="s">
        <v>453</v>
      </c>
      <c r="J127" t="s">
        <v>454</v>
      </c>
      <c r="K127" t="s">
        <v>455</v>
      </c>
      <c r="L127">
        <v>1368</v>
      </c>
      <c r="N127">
        <v>1011</v>
      </c>
      <c r="O127" t="s">
        <v>434</v>
      </c>
      <c r="P127" t="s">
        <v>434</v>
      </c>
      <c r="Q127">
        <v>1</v>
      </c>
      <c r="W127">
        <v>0</v>
      </c>
      <c r="X127">
        <v>639918019</v>
      </c>
      <c r="Y127">
        <f t="shared" si="41"/>
        <v>0.01</v>
      </c>
      <c r="AA127">
        <v>0</v>
      </c>
      <c r="AB127">
        <v>1585.56</v>
      </c>
      <c r="AC127">
        <v>982.04</v>
      </c>
      <c r="AD127">
        <v>0</v>
      </c>
      <c r="AE127">
        <v>0</v>
      </c>
      <c r="AF127">
        <v>1585.56</v>
      </c>
      <c r="AG127">
        <v>982.04</v>
      </c>
      <c r="AH127">
        <v>0</v>
      </c>
      <c r="AI127">
        <v>1</v>
      </c>
      <c r="AJ127">
        <v>1</v>
      </c>
      <c r="AK127">
        <v>1</v>
      </c>
      <c r="AL127">
        <v>1</v>
      </c>
      <c r="AM127">
        <v>-2</v>
      </c>
      <c r="AN127">
        <v>0</v>
      </c>
      <c r="AO127">
        <v>0</v>
      </c>
      <c r="AP127">
        <v>1</v>
      </c>
      <c r="AQ127">
        <v>1</v>
      </c>
      <c r="AR127">
        <v>0</v>
      </c>
      <c r="AS127" t="s">
        <v>3</v>
      </c>
      <c r="AT127">
        <v>0.01</v>
      </c>
      <c r="AU127" t="s">
        <v>3</v>
      </c>
      <c r="AV127">
        <v>1</v>
      </c>
      <c r="AW127">
        <v>2</v>
      </c>
      <c r="AX127">
        <v>94188234</v>
      </c>
      <c r="AY127">
        <v>2</v>
      </c>
      <c r="AZ127">
        <v>98304</v>
      </c>
      <c r="BA127">
        <v>127</v>
      </c>
      <c r="BB127">
        <v>1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15.855599999999999</v>
      </c>
      <c r="BL127">
        <v>9.8203999999999994</v>
      </c>
      <c r="BM127">
        <v>0</v>
      </c>
      <c r="BN127">
        <v>0</v>
      </c>
      <c r="BO127">
        <v>0.01</v>
      </c>
      <c r="BP127">
        <v>1</v>
      </c>
      <c r="BQ127">
        <v>0</v>
      </c>
      <c r="BR127">
        <v>15.855599999999999</v>
      </c>
      <c r="BS127">
        <v>9.8203999999999994</v>
      </c>
      <c r="BT127">
        <v>0</v>
      </c>
      <c r="BU127">
        <v>0</v>
      </c>
      <c r="BV127">
        <v>0.01</v>
      </c>
      <c r="BW127">
        <v>1</v>
      </c>
      <c r="CV127">
        <v>0</v>
      </c>
      <c r="CW127">
        <f>ROUND(Y127*Source!I103*DO127,7)</f>
        <v>3.255E-4</v>
      </c>
      <c r="CX127">
        <f>ROUND(Y127*Source!I103,7)</f>
        <v>3.255E-4</v>
      </c>
      <c r="CY127">
        <f>AB127</f>
        <v>1585.56</v>
      </c>
      <c r="CZ127">
        <f>AF127</f>
        <v>1585.56</v>
      </c>
      <c r="DA127">
        <f>AJ127</f>
        <v>1</v>
      </c>
      <c r="DB127">
        <f t="shared" si="42"/>
        <v>15.86</v>
      </c>
      <c r="DC127">
        <f t="shared" si="43"/>
        <v>9.82</v>
      </c>
      <c r="DD127" t="s">
        <v>3</v>
      </c>
      <c r="DE127" t="s">
        <v>3</v>
      </c>
      <c r="DF127">
        <f t="shared" si="50"/>
        <v>0</v>
      </c>
      <c r="DG127">
        <f>ROUND(ROUND(AF127,2)*CX127,2)</f>
        <v>0.52</v>
      </c>
      <c r="DH127">
        <f t="shared" si="30"/>
        <v>0.32</v>
      </c>
      <c r="DI127">
        <f t="shared" si="31"/>
        <v>0</v>
      </c>
      <c r="DJ127">
        <f>DG127+DH127</f>
        <v>0.84000000000000008</v>
      </c>
      <c r="DK127">
        <v>1</v>
      </c>
      <c r="DL127" t="s">
        <v>456</v>
      </c>
      <c r="DM127">
        <v>6</v>
      </c>
      <c r="DN127" t="s">
        <v>428</v>
      </c>
      <c r="DO127">
        <v>1</v>
      </c>
    </row>
    <row r="128" spans="1:119" x14ac:dyDescent="0.2">
      <c r="A128">
        <f>ROW(Source!A103)</f>
        <v>103</v>
      </c>
      <c r="B128">
        <v>94104265</v>
      </c>
      <c r="C128">
        <v>94188217</v>
      </c>
      <c r="D128">
        <v>87236730</v>
      </c>
      <c r="E128">
        <v>1</v>
      </c>
      <c r="F128">
        <v>1</v>
      </c>
      <c r="G128">
        <v>1</v>
      </c>
      <c r="H128">
        <v>2</v>
      </c>
      <c r="I128" t="s">
        <v>527</v>
      </c>
      <c r="J128" t="s">
        <v>528</v>
      </c>
      <c r="K128" t="s">
        <v>529</v>
      </c>
      <c r="L128">
        <v>1368</v>
      </c>
      <c r="N128">
        <v>1011</v>
      </c>
      <c r="O128" t="s">
        <v>434</v>
      </c>
      <c r="P128" t="s">
        <v>434</v>
      </c>
      <c r="Q128">
        <v>1</v>
      </c>
      <c r="W128">
        <v>0</v>
      </c>
      <c r="X128">
        <v>-903812129</v>
      </c>
      <c r="Y128">
        <f t="shared" si="41"/>
        <v>1.69</v>
      </c>
      <c r="AA128">
        <v>0</v>
      </c>
      <c r="AB128">
        <v>3.81</v>
      </c>
      <c r="AC128">
        <v>649.24</v>
      </c>
      <c r="AD128">
        <v>0</v>
      </c>
      <c r="AE128">
        <v>0</v>
      </c>
      <c r="AF128">
        <v>2.31</v>
      </c>
      <c r="AG128">
        <v>649.24</v>
      </c>
      <c r="AH128">
        <v>0</v>
      </c>
      <c r="AI128">
        <v>1</v>
      </c>
      <c r="AJ128">
        <v>1.65</v>
      </c>
      <c r="AK128">
        <v>1</v>
      </c>
      <c r="AL128">
        <v>1</v>
      </c>
      <c r="AM128">
        <v>2</v>
      </c>
      <c r="AN128">
        <v>0</v>
      </c>
      <c r="AO128">
        <v>0</v>
      </c>
      <c r="AP128">
        <v>1</v>
      </c>
      <c r="AQ128">
        <v>1</v>
      </c>
      <c r="AR128">
        <v>0</v>
      </c>
      <c r="AS128" t="s">
        <v>3</v>
      </c>
      <c r="AT128">
        <v>1.69</v>
      </c>
      <c r="AU128" t="s">
        <v>3</v>
      </c>
      <c r="AV128">
        <v>1</v>
      </c>
      <c r="AW128">
        <v>2</v>
      </c>
      <c r="AX128">
        <v>94188235</v>
      </c>
      <c r="AY128">
        <v>2</v>
      </c>
      <c r="AZ128">
        <v>65536</v>
      </c>
      <c r="BA128">
        <v>128</v>
      </c>
      <c r="BB128">
        <v>1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3.9039000000000001</v>
      </c>
      <c r="BL128">
        <v>1097.2156</v>
      </c>
      <c r="BM128">
        <v>0</v>
      </c>
      <c r="BN128">
        <v>0</v>
      </c>
      <c r="BO128">
        <v>1.69</v>
      </c>
      <c r="BP128">
        <v>1</v>
      </c>
      <c r="BQ128">
        <v>0</v>
      </c>
      <c r="BR128">
        <v>3.9039000000000001</v>
      </c>
      <c r="BS128">
        <v>1097.2156</v>
      </c>
      <c r="BT128">
        <v>0</v>
      </c>
      <c r="BU128">
        <v>0</v>
      </c>
      <c r="BV128">
        <v>1.69</v>
      </c>
      <c r="BW128">
        <v>1</v>
      </c>
      <c r="CV128">
        <v>0</v>
      </c>
      <c r="CW128">
        <f>ROUND(Y128*Source!I103*DO128,7)</f>
        <v>5.5009500000000003E-2</v>
      </c>
      <c r="CX128">
        <f>ROUND(Y128*Source!I103,7)</f>
        <v>5.5009500000000003E-2</v>
      </c>
      <c r="CY128">
        <f>AB128</f>
        <v>3.81</v>
      </c>
      <c r="CZ128">
        <f>AF128</f>
        <v>2.31</v>
      </c>
      <c r="DA128">
        <f>AJ128</f>
        <v>1.65</v>
      </c>
      <c r="DB128">
        <f t="shared" si="42"/>
        <v>3.9</v>
      </c>
      <c r="DC128">
        <f t="shared" si="43"/>
        <v>1097.22</v>
      </c>
      <c r="DD128" t="s">
        <v>3</v>
      </c>
      <c r="DE128" t="s">
        <v>3</v>
      </c>
      <c r="DF128">
        <f t="shared" si="50"/>
        <v>0</v>
      </c>
      <c r="DG128">
        <f>ROUND(ROUND(AF128*AJ128,2)*CX128,2)</f>
        <v>0.21</v>
      </c>
      <c r="DH128">
        <f t="shared" si="30"/>
        <v>35.71</v>
      </c>
      <c r="DI128">
        <f t="shared" si="31"/>
        <v>0</v>
      </c>
      <c r="DJ128">
        <f>DG128+DH128</f>
        <v>35.92</v>
      </c>
      <c r="DK128">
        <v>0</v>
      </c>
      <c r="DL128" t="s">
        <v>435</v>
      </c>
      <c r="DM128">
        <v>3</v>
      </c>
      <c r="DN128" t="s">
        <v>428</v>
      </c>
      <c r="DO128">
        <v>1</v>
      </c>
    </row>
    <row r="129" spans="1:119" x14ac:dyDescent="0.2">
      <c r="A129">
        <f>ROW(Source!A103)</f>
        <v>103</v>
      </c>
      <c r="B129">
        <v>94104265</v>
      </c>
      <c r="C129">
        <v>94188217</v>
      </c>
      <c r="D129">
        <v>87237333</v>
      </c>
      <c r="E129">
        <v>1</v>
      </c>
      <c r="F129">
        <v>1</v>
      </c>
      <c r="G129">
        <v>1</v>
      </c>
      <c r="H129">
        <v>2</v>
      </c>
      <c r="I129" t="s">
        <v>463</v>
      </c>
      <c r="J129" t="s">
        <v>464</v>
      </c>
      <c r="K129" t="s">
        <v>465</v>
      </c>
      <c r="L129">
        <v>1368</v>
      </c>
      <c r="N129">
        <v>1011</v>
      </c>
      <c r="O129" t="s">
        <v>434</v>
      </c>
      <c r="P129" t="s">
        <v>434</v>
      </c>
      <c r="Q129">
        <v>1</v>
      </c>
      <c r="W129">
        <v>0</v>
      </c>
      <c r="X129">
        <v>-849950259</v>
      </c>
      <c r="Y129">
        <f t="shared" ref="Y129:Y160" si="51">AT129</f>
        <v>0.01</v>
      </c>
      <c r="AA129">
        <v>0</v>
      </c>
      <c r="AB129">
        <v>544.91999999999996</v>
      </c>
      <c r="AC129">
        <v>731.08</v>
      </c>
      <c r="AD129">
        <v>0</v>
      </c>
      <c r="AE129">
        <v>0</v>
      </c>
      <c r="AF129">
        <v>544.91999999999996</v>
      </c>
      <c r="AG129">
        <v>731.08</v>
      </c>
      <c r="AH129">
        <v>0</v>
      </c>
      <c r="AI129">
        <v>1</v>
      </c>
      <c r="AJ129">
        <v>1</v>
      </c>
      <c r="AK129">
        <v>1</v>
      </c>
      <c r="AL129">
        <v>1</v>
      </c>
      <c r="AM129">
        <v>-2</v>
      </c>
      <c r="AN129">
        <v>0</v>
      </c>
      <c r="AO129">
        <v>0</v>
      </c>
      <c r="AP129">
        <v>1</v>
      </c>
      <c r="AQ129">
        <v>1</v>
      </c>
      <c r="AR129">
        <v>0</v>
      </c>
      <c r="AS129" t="s">
        <v>3</v>
      </c>
      <c r="AT129">
        <v>0.01</v>
      </c>
      <c r="AU129" t="s">
        <v>3</v>
      </c>
      <c r="AV129">
        <v>1</v>
      </c>
      <c r="AW129">
        <v>2</v>
      </c>
      <c r="AX129">
        <v>94188236</v>
      </c>
      <c r="AY129">
        <v>2</v>
      </c>
      <c r="AZ129">
        <v>98304</v>
      </c>
      <c r="BA129">
        <v>129</v>
      </c>
      <c r="BB129">
        <v>1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5.4491999999999994</v>
      </c>
      <c r="BL129">
        <v>7.3108000000000004</v>
      </c>
      <c r="BM129">
        <v>0</v>
      </c>
      <c r="BN129">
        <v>0</v>
      </c>
      <c r="BO129">
        <v>0.01</v>
      </c>
      <c r="BP129">
        <v>1</v>
      </c>
      <c r="BQ129">
        <v>0</v>
      </c>
      <c r="BR129">
        <v>5.4491999999999994</v>
      </c>
      <c r="BS129">
        <v>7.3108000000000004</v>
      </c>
      <c r="BT129">
        <v>0</v>
      </c>
      <c r="BU129">
        <v>0</v>
      </c>
      <c r="BV129">
        <v>0.01</v>
      </c>
      <c r="BW129">
        <v>1</v>
      </c>
      <c r="CV129">
        <v>0</v>
      </c>
      <c r="CW129">
        <f>ROUND(Y129*Source!I103*DO129,7)</f>
        <v>3.255E-4</v>
      </c>
      <c r="CX129">
        <f>ROUND(Y129*Source!I103,7)</f>
        <v>3.255E-4</v>
      </c>
      <c r="CY129">
        <f>AB129</f>
        <v>544.91999999999996</v>
      </c>
      <c r="CZ129">
        <f>AF129</f>
        <v>544.91999999999996</v>
      </c>
      <c r="DA129">
        <f>AJ129</f>
        <v>1</v>
      </c>
      <c r="DB129">
        <f t="shared" ref="DB129:DB160" si="52">ROUND(ROUND(AT129*CZ129,2),6)</f>
        <v>5.45</v>
      </c>
      <c r="DC129">
        <f t="shared" ref="DC129:DC160" si="53">ROUND(ROUND(AT129*AG129,2),6)</f>
        <v>7.31</v>
      </c>
      <c r="DD129" t="s">
        <v>3</v>
      </c>
      <c r="DE129" t="s">
        <v>3</v>
      </c>
      <c r="DF129">
        <f t="shared" si="50"/>
        <v>0</v>
      </c>
      <c r="DG129">
        <f t="shared" ref="DG129:DG142" si="54">ROUND(ROUND(AF129,2)*CX129,2)</f>
        <v>0.18</v>
      </c>
      <c r="DH129">
        <f t="shared" ref="DH129:DH192" si="55">ROUND(ROUND(AG129,2)*CX129,2)</f>
        <v>0.24</v>
      </c>
      <c r="DI129">
        <f t="shared" ref="DI129:DI192" si="56">ROUND(ROUND(AH129,2)*CX129,2)</f>
        <v>0</v>
      </c>
      <c r="DJ129">
        <f>DG129+DH129</f>
        <v>0.42</v>
      </c>
      <c r="DK129">
        <v>1</v>
      </c>
      <c r="DL129" t="s">
        <v>466</v>
      </c>
      <c r="DM129">
        <v>4</v>
      </c>
      <c r="DN129" t="s">
        <v>428</v>
      </c>
      <c r="DO129">
        <v>1</v>
      </c>
    </row>
    <row r="130" spans="1:119" x14ac:dyDescent="0.2">
      <c r="A130">
        <f>ROW(Source!A103)</f>
        <v>103</v>
      </c>
      <c r="B130">
        <v>94104265</v>
      </c>
      <c r="C130">
        <v>94188217</v>
      </c>
      <c r="D130">
        <v>87304091</v>
      </c>
      <c r="E130">
        <v>1</v>
      </c>
      <c r="F130">
        <v>1</v>
      </c>
      <c r="G130">
        <v>1</v>
      </c>
      <c r="H130">
        <v>3</v>
      </c>
      <c r="I130" t="s">
        <v>467</v>
      </c>
      <c r="J130" t="s">
        <v>468</v>
      </c>
      <c r="K130" t="s">
        <v>469</v>
      </c>
      <c r="L130">
        <v>1339</v>
      </c>
      <c r="N130">
        <v>1007</v>
      </c>
      <c r="O130" t="s">
        <v>34</v>
      </c>
      <c r="P130" t="s">
        <v>34</v>
      </c>
      <c r="Q130">
        <v>1</v>
      </c>
      <c r="W130">
        <v>0</v>
      </c>
      <c r="X130">
        <v>1964556667</v>
      </c>
      <c r="Y130">
        <f t="shared" si="51"/>
        <v>0.44</v>
      </c>
      <c r="AA130">
        <v>54.64</v>
      </c>
      <c r="AB130">
        <v>0</v>
      </c>
      <c r="AC130">
        <v>0</v>
      </c>
      <c r="AD130">
        <v>0</v>
      </c>
      <c r="AE130">
        <v>35.71</v>
      </c>
      <c r="AF130">
        <v>0</v>
      </c>
      <c r="AG130">
        <v>0</v>
      </c>
      <c r="AH130">
        <v>0</v>
      </c>
      <c r="AI130">
        <v>1.53</v>
      </c>
      <c r="AJ130">
        <v>1</v>
      </c>
      <c r="AK130">
        <v>1</v>
      </c>
      <c r="AL130">
        <v>1</v>
      </c>
      <c r="AM130">
        <v>2</v>
      </c>
      <c r="AN130">
        <v>0</v>
      </c>
      <c r="AO130">
        <v>0</v>
      </c>
      <c r="AP130">
        <v>1</v>
      </c>
      <c r="AQ130">
        <v>1</v>
      </c>
      <c r="AR130">
        <v>0</v>
      </c>
      <c r="AS130" t="s">
        <v>3</v>
      </c>
      <c r="AT130">
        <v>0.44</v>
      </c>
      <c r="AU130" t="s">
        <v>3</v>
      </c>
      <c r="AV130">
        <v>0</v>
      </c>
      <c r="AW130">
        <v>2</v>
      </c>
      <c r="AX130">
        <v>94188237</v>
      </c>
      <c r="AY130">
        <v>1</v>
      </c>
      <c r="AZ130">
        <v>0</v>
      </c>
      <c r="BA130">
        <v>130</v>
      </c>
      <c r="BB130">
        <v>1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15.712400000000001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1</v>
      </c>
      <c r="BQ130">
        <v>15.712400000000001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1</v>
      </c>
      <c r="CV130">
        <v>0</v>
      </c>
      <c r="CW130">
        <v>0</v>
      </c>
      <c r="CX130">
        <f>ROUND(Y130*Source!I103,7)</f>
        <v>1.4322E-2</v>
      </c>
      <c r="CY130">
        <f t="shared" ref="CY130:CY136" si="57">AA130</f>
        <v>54.64</v>
      </c>
      <c r="CZ130">
        <f t="shared" ref="CZ130:CZ136" si="58">AE130</f>
        <v>35.71</v>
      </c>
      <c r="DA130">
        <f t="shared" ref="DA130:DA136" si="59">AI130</f>
        <v>1.53</v>
      </c>
      <c r="DB130">
        <f t="shared" si="52"/>
        <v>15.71</v>
      </c>
      <c r="DC130">
        <f t="shared" si="53"/>
        <v>0</v>
      </c>
      <c r="DD130" t="s">
        <v>3</v>
      </c>
      <c r="DE130" t="s">
        <v>3</v>
      </c>
      <c r="DF130">
        <f>ROUND(ROUND(AE130*AI130,2)*CX130,2)</f>
        <v>0.78</v>
      </c>
      <c r="DG130">
        <f t="shared" si="54"/>
        <v>0</v>
      </c>
      <c r="DH130">
        <f t="shared" si="55"/>
        <v>0</v>
      </c>
      <c r="DI130">
        <f t="shared" si="56"/>
        <v>0</v>
      </c>
      <c r="DJ130">
        <f t="shared" ref="DJ130:DJ136" si="60">DF130</f>
        <v>0.78</v>
      </c>
      <c r="DK130">
        <v>0</v>
      </c>
      <c r="DL130" t="s">
        <v>3</v>
      </c>
      <c r="DM130">
        <v>0</v>
      </c>
      <c r="DN130" t="s">
        <v>3</v>
      </c>
      <c r="DO130">
        <v>0</v>
      </c>
    </row>
    <row r="131" spans="1:119" x14ac:dyDescent="0.2">
      <c r="A131">
        <f>ROW(Source!A103)</f>
        <v>103</v>
      </c>
      <c r="B131">
        <v>94104265</v>
      </c>
      <c r="C131">
        <v>94188217</v>
      </c>
      <c r="D131">
        <v>87304103</v>
      </c>
      <c r="E131">
        <v>1</v>
      </c>
      <c r="F131">
        <v>1</v>
      </c>
      <c r="G131">
        <v>1</v>
      </c>
      <c r="H131">
        <v>3</v>
      </c>
      <c r="I131" t="s">
        <v>530</v>
      </c>
      <c r="J131" t="s">
        <v>531</v>
      </c>
      <c r="K131" t="s">
        <v>532</v>
      </c>
      <c r="L131">
        <v>1383</v>
      </c>
      <c r="N131">
        <v>1013</v>
      </c>
      <c r="O131" t="s">
        <v>533</v>
      </c>
      <c r="P131" t="s">
        <v>533</v>
      </c>
      <c r="Q131">
        <v>1</v>
      </c>
      <c r="W131">
        <v>0</v>
      </c>
      <c r="X131">
        <v>1840299850</v>
      </c>
      <c r="Y131">
        <f t="shared" si="51"/>
        <v>3.2500000000000001E-2</v>
      </c>
      <c r="AA131">
        <v>6.92</v>
      </c>
      <c r="AB131">
        <v>0</v>
      </c>
      <c r="AC131">
        <v>0</v>
      </c>
      <c r="AD131">
        <v>0</v>
      </c>
      <c r="AE131">
        <v>6.92</v>
      </c>
      <c r="AF131">
        <v>0</v>
      </c>
      <c r="AG131">
        <v>0</v>
      </c>
      <c r="AH131">
        <v>0</v>
      </c>
      <c r="AI131">
        <v>1</v>
      </c>
      <c r="AJ131">
        <v>1</v>
      </c>
      <c r="AK131">
        <v>1</v>
      </c>
      <c r="AL131">
        <v>1</v>
      </c>
      <c r="AM131">
        <v>-2</v>
      </c>
      <c r="AN131">
        <v>0</v>
      </c>
      <c r="AO131">
        <v>0</v>
      </c>
      <c r="AP131">
        <v>1</v>
      </c>
      <c r="AQ131">
        <v>1</v>
      </c>
      <c r="AR131">
        <v>0</v>
      </c>
      <c r="AS131" t="s">
        <v>3</v>
      </c>
      <c r="AT131">
        <v>3.2500000000000001E-2</v>
      </c>
      <c r="AU131" t="s">
        <v>3</v>
      </c>
      <c r="AV131">
        <v>0</v>
      </c>
      <c r="AW131">
        <v>2</v>
      </c>
      <c r="AX131">
        <v>94188238</v>
      </c>
      <c r="AY131">
        <v>2</v>
      </c>
      <c r="AZ131">
        <v>16384</v>
      </c>
      <c r="BA131">
        <v>131</v>
      </c>
      <c r="BB131">
        <v>1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0.22490000000000002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1</v>
      </c>
      <c r="BQ131">
        <v>0.22490000000000002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1</v>
      </c>
      <c r="CV131">
        <v>0</v>
      </c>
      <c r="CW131">
        <v>0</v>
      </c>
      <c r="CX131">
        <f>ROUND(Y131*Source!I103,7)</f>
        <v>1.0579000000000001E-3</v>
      </c>
      <c r="CY131">
        <f t="shared" si="57"/>
        <v>6.92</v>
      </c>
      <c r="CZ131">
        <f t="shared" si="58"/>
        <v>6.92</v>
      </c>
      <c r="DA131">
        <f t="shared" si="59"/>
        <v>1</v>
      </c>
      <c r="DB131">
        <f t="shared" si="52"/>
        <v>0.22</v>
      </c>
      <c r="DC131">
        <f t="shared" si="53"/>
        <v>0</v>
      </c>
      <c r="DD131" t="s">
        <v>3</v>
      </c>
      <c r="DE131" t="s">
        <v>3</v>
      </c>
      <c r="DF131">
        <f>ROUND(ROUND(AE131,2)*CX131,2)</f>
        <v>0.01</v>
      </c>
      <c r="DG131">
        <f t="shared" si="54"/>
        <v>0</v>
      </c>
      <c r="DH131">
        <f t="shared" si="55"/>
        <v>0</v>
      </c>
      <c r="DI131">
        <f t="shared" si="56"/>
        <v>0</v>
      </c>
      <c r="DJ131">
        <f t="shared" si="60"/>
        <v>0.01</v>
      </c>
      <c r="DK131">
        <v>1</v>
      </c>
      <c r="DL131" t="s">
        <v>3</v>
      </c>
      <c r="DM131">
        <v>0</v>
      </c>
      <c r="DN131" t="s">
        <v>3</v>
      </c>
      <c r="DO131">
        <v>0</v>
      </c>
    </row>
    <row r="132" spans="1:119" x14ac:dyDescent="0.2">
      <c r="A132">
        <f>ROW(Source!A103)</f>
        <v>103</v>
      </c>
      <c r="B132">
        <v>94104265</v>
      </c>
      <c r="C132">
        <v>94188217</v>
      </c>
      <c r="D132">
        <v>87308126</v>
      </c>
      <c r="E132">
        <v>1</v>
      </c>
      <c r="F132">
        <v>1</v>
      </c>
      <c r="G132">
        <v>1</v>
      </c>
      <c r="H132">
        <v>3</v>
      </c>
      <c r="I132" t="s">
        <v>261</v>
      </c>
      <c r="J132" t="s">
        <v>263</v>
      </c>
      <c r="K132" t="s">
        <v>262</v>
      </c>
      <c r="L132">
        <v>1348</v>
      </c>
      <c r="N132">
        <v>1009</v>
      </c>
      <c r="O132" t="s">
        <v>30</v>
      </c>
      <c r="P132" t="s">
        <v>30</v>
      </c>
      <c r="Q132">
        <v>1000</v>
      </c>
      <c r="W132">
        <v>0</v>
      </c>
      <c r="X132">
        <v>70029355</v>
      </c>
      <c r="Y132">
        <f t="shared" si="51"/>
        <v>1.2999999999999999E-2</v>
      </c>
      <c r="AA132">
        <v>73889</v>
      </c>
      <c r="AB132">
        <v>0</v>
      </c>
      <c r="AC132">
        <v>0</v>
      </c>
      <c r="AD132">
        <v>0</v>
      </c>
      <c r="AE132">
        <v>73889</v>
      </c>
      <c r="AF132">
        <v>0</v>
      </c>
      <c r="AG132">
        <v>0</v>
      </c>
      <c r="AH132">
        <v>0</v>
      </c>
      <c r="AI132">
        <v>1</v>
      </c>
      <c r="AJ132">
        <v>1</v>
      </c>
      <c r="AK132">
        <v>1</v>
      </c>
      <c r="AL132">
        <v>1</v>
      </c>
      <c r="AM132">
        <v>-2</v>
      </c>
      <c r="AN132">
        <v>0</v>
      </c>
      <c r="AO132">
        <v>0</v>
      </c>
      <c r="AP132">
        <v>1</v>
      </c>
      <c r="AQ132">
        <v>1</v>
      </c>
      <c r="AR132">
        <v>0</v>
      </c>
      <c r="AS132" t="s">
        <v>3</v>
      </c>
      <c r="AT132">
        <v>1.2999999999999999E-2</v>
      </c>
      <c r="AU132" t="s">
        <v>3</v>
      </c>
      <c r="AV132">
        <v>0</v>
      </c>
      <c r="AW132">
        <v>2</v>
      </c>
      <c r="AX132">
        <v>94188239</v>
      </c>
      <c r="AY132">
        <v>2</v>
      </c>
      <c r="AZ132">
        <v>16384</v>
      </c>
      <c r="BA132">
        <v>132</v>
      </c>
      <c r="BB132">
        <v>1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960.5569999999999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1</v>
      </c>
      <c r="BQ132">
        <v>960.5569999999999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1</v>
      </c>
      <c r="CV132">
        <v>0</v>
      </c>
      <c r="CW132">
        <v>0</v>
      </c>
      <c r="CX132">
        <f>ROUND(Y132*Source!I103,7)</f>
        <v>4.2319999999999999E-4</v>
      </c>
      <c r="CY132">
        <f t="shared" si="57"/>
        <v>73889</v>
      </c>
      <c r="CZ132">
        <f t="shared" si="58"/>
        <v>73889</v>
      </c>
      <c r="DA132">
        <f t="shared" si="59"/>
        <v>1</v>
      </c>
      <c r="DB132">
        <f t="shared" si="52"/>
        <v>960.56</v>
      </c>
      <c r="DC132">
        <f t="shared" si="53"/>
        <v>0</v>
      </c>
      <c r="DD132" t="s">
        <v>3</v>
      </c>
      <c r="DE132" t="s">
        <v>3</v>
      </c>
      <c r="DF132">
        <f>ROUND(ROUND(AE132,2)*CX132,2)</f>
        <v>31.27</v>
      </c>
      <c r="DG132">
        <f t="shared" si="54"/>
        <v>0</v>
      </c>
      <c r="DH132">
        <f t="shared" si="55"/>
        <v>0</v>
      </c>
      <c r="DI132">
        <f t="shared" si="56"/>
        <v>0</v>
      </c>
      <c r="DJ132">
        <f t="shared" si="60"/>
        <v>31.27</v>
      </c>
      <c r="DK132">
        <v>1</v>
      </c>
      <c r="DL132" t="s">
        <v>3</v>
      </c>
      <c r="DM132">
        <v>0</v>
      </c>
      <c r="DN132" t="s">
        <v>3</v>
      </c>
      <c r="DO132">
        <v>0</v>
      </c>
    </row>
    <row r="133" spans="1:119" x14ac:dyDescent="0.2">
      <c r="A133">
        <f>ROW(Source!A103)</f>
        <v>103</v>
      </c>
      <c r="B133">
        <v>94104265</v>
      </c>
      <c r="C133">
        <v>94188217</v>
      </c>
      <c r="D133">
        <v>87309902</v>
      </c>
      <c r="E133">
        <v>1</v>
      </c>
      <c r="F133">
        <v>1</v>
      </c>
      <c r="G133">
        <v>1</v>
      </c>
      <c r="H133">
        <v>3</v>
      </c>
      <c r="I133" t="s">
        <v>82</v>
      </c>
      <c r="J133" t="s">
        <v>84</v>
      </c>
      <c r="K133" t="s">
        <v>83</v>
      </c>
      <c r="L133">
        <v>1327</v>
      </c>
      <c r="N133">
        <v>1005</v>
      </c>
      <c r="O133" t="s">
        <v>60</v>
      </c>
      <c r="P133" t="s">
        <v>60</v>
      </c>
      <c r="Q133">
        <v>1</v>
      </c>
      <c r="W133">
        <v>0</v>
      </c>
      <c r="X133">
        <v>-917950727</v>
      </c>
      <c r="Y133">
        <f t="shared" si="51"/>
        <v>102</v>
      </c>
      <c r="AA133">
        <v>908.39</v>
      </c>
      <c r="AB133">
        <v>0</v>
      </c>
      <c r="AC133">
        <v>0</v>
      </c>
      <c r="AD133">
        <v>0</v>
      </c>
      <c r="AE133">
        <v>908.39</v>
      </c>
      <c r="AF133">
        <v>0</v>
      </c>
      <c r="AG133">
        <v>0</v>
      </c>
      <c r="AH133">
        <v>0</v>
      </c>
      <c r="AI133">
        <v>1</v>
      </c>
      <c r="AJ133">
        <v>1</v>
      </c>
      <c r="AK133">
        <v>1</v>
      </c>
      <c r="AL133">
        <v>1</v>
      </c>
      <c r="AM133">
        <v>-2</v>
      </c>
      <c r="AN133">
        <v>0</v>
      </c>
      <c r="AO133">
        <v>0</v>
      </c>
      <c r="AP133">
        <v>1</v>
      </c>
      <c r="AQ133">
        <v>0</v>
      </c>
      <c r="AR133">
        <v>0</v>
      </c>
      <c r="AS133" t="s">
        <v>3</v>
      </c>
      <c r="AT133">
        <v>102</v>
      </c>
      <c r="AU133" t="s">
        <v>3</v>
      </c>
      <c r="AV133">
        <v>0</v>
      </c>
      <c r="AW133">
        <v>1</v>
      </c>
      <c r="AX133">
        <v>-1</v>
      </c>
      <c r="AY133">
        <v>0</v>
      </c>
      <c r="AZ133">
        <v>0</v>
      </c>
      <c r="BA133" t="s">
        <v>3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CV133">
        <v>0</v>
      </c>
      <c r="CW133">
        <v>0</v>
      </c>
      <c r="CX133">
        <f>ROUND(Y133*Source!I103,7)</f>
        <v>3.3201000000000001</v>
      </c>
      <c r="CY133">
        <f t="shared" si="57"/>
        <v>908.39</v>
      </c>
      <c r="CZ133">
        <f t="shared" si="58"/>
        <v>908.39</v>
      </c>
      <c r="DA133">
        <f t="shared" si="59"/>
        <v>1</v>
      </c>
      <c r="DB133">
        <f t="shared" si="52"/>
        <v>92655.78</v>
      </c>
      <c r="DC133">
        <f t="shared" si="53"/>
        <v>0</v>
      </c>
      <c r="DD133" t="s">
        <v>3</v>
      </c>
      <c r="DE133" t="s">
        <v>3</v>
      </c>
      <c r="DF133">
        <f>ROUND(ROUND(AE133,2)*CX133,2)</f>
        <v>3015.95</v>
      </c>
      <c r="DG133">
        <f t="shared" si="54"/>
        <v>0</v>
      </c>
      <c r="DH133">
        <f t="shared" si="55"/>
        <v>0</v>
      </c>
      <c r="DI133">
        <f t="shared" si="56"/>
        <v>0</v>
      </c>
      <c r="DJ133">
        <f t="shared" si="60"/>
        <v>3015.95</v>
      </c>
      <c r="DK133">
        <v>1</v>
      </c>
      <c r="DL133" t="s">
        <v>3</v>
      </c>
      <c r="DM133">
        <v>0</v>
      </c>
      <c r="DN133" t="s">
        <v>3</v>
      </c>
      <c r="DO133">
        <v>0</v>
      </c>
    </row>
    <row r="134" spans="1:119" x14ac:dyDescent="0.2">
      <c r="A134">
        <f>ROW(Source!A103)</f>
        <v>103</v>
      </c>
      <c r="B134">
        <v>94104265</v>
      </c>
      <c r="C134">
        <v>94188217</v>
      </c>
      <c r="D134">
        <v>87315253</v>
      </c>
      <c r="E134">
        <v>1</v>
      </c>
      <c r="F134">
        <v>1</v>
      </c>
      <c r="G134">
        <v>1</v>
      </c>
      <c r="H134">
        <v>3</v>
      </c>
      <c r="I134" t="s">
        <v>86</v>
      </c>
      <c r="J134" t="s">
        <v>88</v>
      </c>
      <c r="K134" t="s">
        <v>87</v>
      </c>
      <c r="L134">
        <v>1339</v>
      </c>
      <c r="N134">
        <v>1007</v>
      </c>
      <c r="O134" t="s">
        <v>34</v>
      </c>
      <c r="P134" t="s">
        <v>34</v>
      </c>
      <c r="Q134">
        <v>1</v>
      </c>
      <c r="W134">
        <v>0</v>
      </c>
      <c r="X134">
        <v>-492236760</v>
      </c>
      <c r="Y134">
        <f t="shared" si="51"/>
        <v>0.01</v>
      </c>
      <c r="AA134">
        <v>40030.75</v>
      </c>
      <c r="AB134">
        <v>0</v>
      </c>
      <c r="AC134">
        <v>0</v>
      </c>
      <c r="AD134">
        <v>0</v>
      </c>
      <c r="AE134">
        <v>23139.16</v>
      </c>
      <c r="AF134">
        <v>0</v>
      </c>
      <c r="AG134">
        <v>0</v>
      </c>
      <c r="AH134">
        <v>0</v>
      </c>
      <c r="AI134">
        <v>1.73</v>
      </c>
      <c r="AJ134">
        <v>1</v>
      </c>
      <c r="AK134">
        <v>1</v>
      </c>
      <c r="AL134">
        <v>1</v>
      </c>
      <c r="AM134">
        <v>2</v>
      </c>
      <c r="AN134">
        <v>0</v>
      </c>
      <c r="AO134">
        <v>0</v>
      </c>
      <c r="AP134">
        <v>1</v>
      </c>
      <c r="AQ134">
        <v>0</v>
      </c>
      <c r="AR134">
        <v>0</v>
      </c>
      <c r="AS134" t="s">
        <v>3</v>
      </c>
      <c r="AT134">
        <v>0.01</v>
      </c>
      <c r="AU134" t="s">
        <v>3</v>
      </c>
      <c r="AV134">
        <v>0</v>
      </c>
      <c r="AW134">
        <v>1</v>
      </c>
      <c r="AX134">
        <v>-1</v>
      </c>
      <c r="AY134">
        <v>0</v>
      </c>
      <c r="AZ134">
        <v>0</v>
      </c>
      <c r="BA134" t="s">
        <v>3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CV134">
        <v>0</v>
      </c>
      <c r="CW134">
        <v>0</v>
      </c>
      <c r="CX134">
        <f>ROUND(Y134*Source!I103,7)</f>
        <v>3.255E-4</v>
      </c>
      <c r="CY134">
        <f t="shared" si="57"/>
        <v>40030.75</v>
      </c>
      <c r="CZ134">
        <f t="shared" si="58"/>
        <v>23139.16</v>
      </c>
      <c r="DA134">
        <f t="shared" si="59"/>
        <v>1.73</v>
      </c>
      <c r="DB134">
        <f t="shared" si="52"/>
        <v>231.39</v>
      </c>
      <c r="DC134">
        <f t="shared" si="53"/>
        <v>0</v>
      </c>
      <c r="DD134" t="s">
        <v>3</v>
      </c>
      <c r="DE134" t="s">
        <v>3</v>
      </c>
      <c r="DF134">
        <f>ROUND(ROUND(AE134*AI134,2)*CX134,2)</f>
        <v>13.03</v>
      </c>
      <c r="DG134">
        <f t="shared" si="54"/>
        <v>0</v>
      </c>
      <c r="DH134">
        <f t="shared" si="55"/>
        <v>0</v>
      </c>
      <c r="DI134">
        <f t="shared" si="56"/>
        <v>0</v>
      </c>
      <c r="DJ134">
        <f t="shared" si="60"/>
        <v>13.03</v>
      </c>
      <c r="DK134">
        <v>0</v>
      </c>
      <c r="DL134" t="s">
        <v>3</v>
      </c>
      <c r="DM134">
        <v>0</v>
      </c>
      <c r="DN134" t="s">
        <v>3</v>
      </c>
      <c r="DO134">
        <v>0</v>
      </c>
    </row>
    <row r="135" spans="1:119" x14ac:dyDescent="0.2">
      <c r="A135">
        <f>ROW(Source!A103)</f>
        <v>103</v>
      </c>
      <c r="B135">
        <v>94104265</v>
      </c>
      <c r="C135">
        <v>94188217</v>
      </c>
      <c r="D135">
        <v>87322364</v>
      </c>
      <c r="E135">
        <v>1</v>
      </c>
      <c r="F135">
        <v>1</v>
      </c>
      <c r="G135">
        <v>1</v>
      </c>
      <c r="H135">
        <v>3</v>
      </c>
      <c r="I135" t="s">
        <v>90</v>
      </c>
      <c r="J135" t="s">
        <v>92</v>
      </c>
      <c r="K135" t="s">
        <v>91</v>
      </c>
      <c r="L135">
        <v>1348</v>
      </c>
      <c r="N135">
        <v>1009</v>
      </c>
      <c r="O135" t="s">
        <v>30</v>
      </c>
      <c r="P135" t="s">
        <v>30</v>
      </c>
      <c r="Q135">
        <v>1000</v>
      </c>
      <c r="W135">
        <v>0</v>
      </c>
      <c r="X135">
        <v>1044775536</v>
      </c>
      <c r="Y135">
        <f t="shared" si="51"/>
        <v>1.2</v>
      </c>
      <c r="AA135">
        <v>34338.33</v>
      </c>
      <c r="AB135">
        <v>0</v>
      </c>
      <c r="AC135">
        <v>0</v>
      </c>
      <c r="AD135">
        <v>0</v>
      </c>
      <c r="AE135">
        <v>33998.35</v>
      </c>
      <c r="AF135">
        <v>0</v>
      </c>
      <c r="AG135">
        <v>0</v>
      </c>
      <c r="AH135">
        <v>0</v>
      </c>
      <c r="AI135">
        <v>1.01</v>
      </c>
      <c r="AJ135">
        <v>1</v>
      </c>
      <c r="AK135">
        <v>1</v>
      </c>
      <c r="AL135">
        <v>1</v>
      </c>
      <c r="AM135">
        <v>2</v>
      </c>
      <c r="AN135">
        <v>0</v>
      </c>
      <c r="AO135">
        <v>0</v>
      </c>
      <c r="AP135">
        <v>1</v>
      </c>
      <c r="AQ135">
        <v>0</v>
      </c>
      <c r="AR135">
        <v>0</v>
      </c>
      <c r="AS135" t="s">
        <v>3</v>
      </c>
      <c r="AT135">
        <v>1.2</v>
      </c>
      <c r="AU135" t="s">
        <v>3</v>
      </c>
      <c r="AV135">
        <v>0</v>
      </c>
      <c r="AW135">
        <v>1</v>
      </c>
      <c r="AX135">
        <v>-1</v>
      </c>
      <c r="AY135">
        <v>0</v>
      </c>
      <c r="AZ135">
        <v>0</v>
      </c>
      <c r="BA135" t="s">
        <v>3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CV135">
        <v>0</v>
      </c>
      <c r="CW135">
        <v>0</v>
      </c>
      <c r="CX135">
        <f>ROUND(Y135*Source!I103,7)</f>
        <v>3.9059999999999997E-2</v>
      </c>
      <c r="CY135">
        <f t="shared" si="57"/>
        <v>34338.33</v>
      </c>
      <c r="CZ135">
        <f t="shared" si="58"/>
        <v>33998.35</v>
      </c>
      <c r="DA135">
        <f t="shared" si="59"/>
        <v>1.01</v>
      </c>
      <c r="DB135">
        <f t="shared" si="52"/>
        <v>40798.019999999997</v>
      </c>
      <c r="DC135">
        <f t="shared" si="53"/>
        <v>0</v>
      </c>
      <c r="DD135" t="s">
        <v>3</v>
      </c>
      <c r="DE135" t="s">
        <v>3</v>
      </c>
      <c r="DF135">
        <f>ROUND(ROUND(AE135*AI135,2)*CX135,2)</f>
        <v>1341.26</v>
      </c>
      <c r="DG135">
        <f t="shared" si="54"/>
        <v>0</v>
      </c>
      <c r="DH135">
        <f t="shared" si="55"/>
        <v>0</v>
      </c>
      <c r="DI135">
        <f t="shared" si="56"/>
        <v>0</v>
      </c>
      <c r="DJ135">
        <f t="shared" si="60"/>
        <v>1341.26</v>
      </c>
      <c r="DK135">
        <v>0</v>
      </c>
      <c r="DL135" t="s">
        <v>3</v>
      </c>
      <c r="DM135">
        <v>0</v>
      </c>
      <c r="DN135" t="s">
        <v>3</v>
      </c>
      <c r="DO135">
        <v>0</v>
      </c>
    </row>
    <row r="136" spans="1:119" x14ac:dyDescent="0.2">
      <c r="A136">
        <f>ROW(Source!A103)</f>
        <v>103</v>
      </c>
      <c r="B136">
        <v>94104265</v>
      </c>
      <c r="C136">
        <v>94188217</v>
      </c>
      <c r="D136">
        <v>87322786</v>
      </c>
      <c r="E136">
        <v>1</v>
      </c>
      <c r="F136">
        <v>1</v>
      </c>
      <c r="G136">
        <v>1</v>
      </c>
      <c r="H136">
        <v>3</v>
      </c>
      <c r="I136" t="s">
        <v>94</v>
      </c>
      <c r="J136" t="s">
        <v>97</v>
      </c>
      <c r="K136" t="s">
        <v>95</v>
      </c>
      <c r="L136">
        <v>1346</v>
      </c>
      <c r="N136">
        <v>1009</v>
      </c>
      <c r="O136" t="s">
        <v>96</v>
      </c>
      <c r="P136" t="s">
        <v>96</v>
      </c>
      <c r="Q136">
        <v>1</v>
      </c>
      <c r="W136">
        <v>0</v>
      </c>
      <c r="X136">
        <v>-302696231</v>
      </c>
      <c r="Y136">
        <f t="shared" si="51"/>
        <v>15.6682028</v>
      </c>
      <c r="AA136">
        <v>1605.06</v>
      </c>
      <c r="AB136">
        <v>0</v>
      </c>
      <c r="AC136">
        <v>0</v>
      </c>
      <c r="AD136">
        <v>0</v>
      </c>
      <c r="AE136">
        <v>1284.05</v>
      </c>
      <c r="AF136">
        <v>0</v>
      </c>
      <c r="AG136">
        <v>0</v>
      </c>
      <c r="AH136">
        <v>0</v>
      </c>
      <c r="AI136">
        <v>1.25</v>
      </c>
      <c r="AJ136">
        <v>1</v>
      </c>
      <c r="AK136">
        <v>1</v>
      </c>
      <c r="AL136">
        <v>1</v>
      </c>
      <c r="AM136">
        <v>2</v>
      </c>
      <c r="AN136">
        <v>1</v>
      </c>
      <c r="AO136">
        <v>0</v>
      </c>
      <c r="AP136">
        <v>1</v>
      </c>
      <c r="AQ136">
        <v>0</v>
      </c>
      <c r="AR136">
        <v>0</v>
      </c>
      <c r="AS136" t="s">
        <v>3</v>
      </c>
      <c r="AT136">
        <v>15.6682028</v>
      </c>
      <c r="AU136" t="s">
        <v>3</v>
      </c>
      <c r="AV136">
        <v>0</v>
      </c>
      <c r="AW136">
        <v>1</v>
      </c>
      <c r="AX136">
        <v>-1</v>
      </c>
      <c r="AY136">
        <v>0</v>
      </c>
      <c r="AZ136">
        <v>0</v>
      </c>
      <c r="BA136" t="s">
        <v>3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CV136">
        <v>0</v>
      </c>
      <c r="CW136">
        <v>0</v>
      </c>
      <c r="CX136">
        <f>ROUND(Y136*Source!I103,7)</f>
        <v>0.51</v>
      </c>
      <c r="CY136">
        <f t="shared" si="57"/>
        <v>1605.06</v>
      </c>
      <c r="CZ136">
        <f t="shared" si="58"/>
        <v>1284.05</v>
      </c>
      <c r="DA136">
        <f t="shared" si="59"/>
        <v>1.25</v>
      </c>
      <c r="DB136">
        <f t="shared" si="52"/>
        <v>20118.759999999998</v>
      </c>
      <c r="DC136">
        <f t="shared" si="53"/>
        <v>0</v>
      </c>
      <c r="DD136" t="s">
        <v>3</v>
      </c>
      <c r="DE136" t="s">
        <v>3</v>
      </c>
      <c r="DF136">
        <f>ROUND(ROUND(AE136*AI136,2)*CX136,2)</f>
        <v>818.58</v>
      </c>
      <c r="DG136">
        <f t="shared" si="54"/>
        <v>0</v>
      </c>
      <c r="DH136">
        <f t="shared" si="55"/>
        <v>0</v>
      </c>
      <c r="DI136">
        <f t="shared" si="56"/>
        <v>0</v>
      </c>
      <c r="DJ136">
        <f t="shared" si="60"/>
        <v>818.58</v>
      </c>
      <c r="DK136">
        <v>0</v>
      </c>
      <c r="DL136" t="s">
        <v>3</v>
      </c>
      <c r="DM136">
        <v>0</v>
      </c>
      <c r="DN136" t="s">
        <v>3</v>
      </c>
      <c r="DO136">
        <v>0</v>
      </c>
    </row>
    <row r="137" spans="1:119" x14ac:dyDescent="0.2">
      <c r="A137">
        <f>ROW(Source!A108)</f>
        <v>108</v>
      </c>
      <c r="B137">
        <v>94104265</v>
      </c>
      <c r="C137">
        <v>94188248</v>
      </c>
      <c r="D137">
        <v>37065248</v>
      </c>
      <c r="E137">
        <v>117</v>
      </c>
      <c r="F137">
        <v>1</v>
      </c>
      <c r="G137">
        <v>1</v>
      </c>
      <c r="H137">
        <v>1</v>
      </c>
      <c r="I137" t="s">
        <v>436</v>
      </c>
      <c r="J137" t="s">
        <v>3</v>
      </c>
      <c r="K137" t="s">
        <v>437</v>
      </c>
      <c r="L137">
        <v>1191</v>
      </c>
      <c r="N137">
        <v>1013</v>
      </c>
      <c r="O137" t="s">
        <v>428</v>
      </c>
      <c r="P137" t="s">
        <v>428</v>
      </c>
      <c r="Q137">
        <v>1</v>
      </c>
      <c r="W137">
        <v>0</v>
      </c>
      <c r="X137">
        <v>-1833565283</v>
      </c>
      <c r="Y137">
        <f t="shared" si="51"/>
        <v>16.64</v>
      </c>
      <c r="AA137">
        <v>0</v>
      </c>
      <c r="AB137">
        <v>0</v>
      </c>
      <c r="AC137">
        <v>0</v>
      </c>
      <c r="AD137">
        <v>641.22</v>
      </c>
      <c r="AE137">
        <v>0</v>
      </c>
      <c r="AF137">
        <v>0</v>
      </c>
      <c r="AG137">
        <v>0</v>
      </c>
      <c r="AH137">
        <v>641.22</v>
      </c>
      <c r="AI137">
        <v>1</v>
      </c>
      <c r="AJ137">
        <v>1</v>
      </c>
      <c r="AK137">
        <v>1</v>
      </c>
      <c r="AL137">
        <v>1</v>
      </c>
      <c r="AM137">
        <v>-2</v>
      </c>
      <c r="AN137">
        <v>0</v>
      </c>
      <c r="AO137">
        <v>0</v>
      </c>
      <c r="AP137">
        <v>1</v>
      </c>
      <c r="AQ137">
        <v>1</v>
      </c>
      <c r="AR137">
        <v>0</v>
      </c>
      <c r="AS137" t="s">
        <v>3</v>
      </c>
      <c r="AT137">
        <v>16.64</v>
      </c>
      <c r="AU137" t="s">
        <v>3</v>
      </c>
      <c r="AV137">
        <v>1</v>
      </c>
      <c r="AW137">
        <v>2</v>
      </c>
      <c r="AX137">
        <v>94188253</v>
      </c>
      <c r="AY137">
        <v>1</v>
      </c>
      <c r="AZ137">
        <v>0</v>
      </c>
      <c r="BA137">
        <v>137</v>
      </c>
      <c r="BB137">
        <v>1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10669.900800000001</v>
      </c>
      <c r="BN137">
        <v>16.64</v>
      </c>
      <c r="BO137">
        <v>0</v>
      </c>
      <c r="BP137">
        <v>1</v>
      </c>
      <c r="BQ137">
        <v>0</v>
      </c>
      <c r="BR137">
        <v>0</v>
      </c>
      <c r="BS137">
        <v>0</v>
      </c>
      <c r="BT137">
        <v>10669.900800000001</v>
      </c>
      <c r="BU137">
        <v>16.64</v>
      </c>
      <c r="BV137">
        <v>0</v>
      </c>
      <c r="BW137">
        <v>1</v>
      </c>
      <c r="CU137">
        <f>ROUND(AT137*Source!I108*AH137*AL137,2)</f>
        <v>501.49</v>
      </c>
      <c r="CV137">
        <f>ROUND(Y137*Source!I108,7)</f>
        <v>0.78208</v>
      </c>
      <c r="CW137">
        <v>0</v>
      </c>
      <c r="CX137">
        <f>ROUND(Y137*Source!I108,7)</f>
        <v>0.78208</v>
      </c>
      <c r="CY137">
        <f>AD137</f>
        <v>641.22</v>
      </c>
      <c r="CZ137">
        <f>AH137</f>
        <v>641.22</v>
      </c>
      <c r="DA137">
        <f>AL137</f>
        <v>1</v>
      </c>
      <c r="DB137">
        <f t="shared" si="52"/>
        <v>10669.9</v>
      </c>
      <c r="DC137">
        <f t="shared" si="53"/>
        <v>0</v>
      </c>
      <c r="DD137" t="s">
        <v>3</v>
      </c>
      <c r="DE137" t="s">
        <v>3</v>
      </c>
      <c r="DF137">
        <f>ROUND(ROUND(AE137,2)*CX137,2)</f>
        <v>0</v>
      </c>
      <c r="DG137">
        <f t="shared" si="54"/>
        <v>0</v>
      </c>
      <c r="DH137">
        <f t="shared" si="55"/>
        <v>0</v>
      </c>
      <c r="DI137">
        <f t="shared" si="56"/>
        <v>501.49</v>
      </c>
      <c r="DJ137">
        <f>DI137</f>
        <v>501.49</v>
      </c>
      <c r="DK137">
        <v>0</v>
      </c>
      <c r="DL137" t="s">
        <v>3</v>
      </c>
      <c r="DM137">
        <v>0</v>
      </c>
      <c r="DN137" t="s">
        <v>3</v>
      </c>
      <c r="DO137">
        <v>0</v>
      </c>
    </row>
    <row r="138" spans="1:119" x14ac:dyDescent="0.2">
      <c r="A138">
        <f>ROW(Source!A108)</f>
        <v>108</v>
      </c>
      <c r="B138">
        <v>94104265</v>
      </c>
      <c r="C138">
        <v>94188248</v>
      </c>
      <c r="D138">
        <v>87304103</v>
      </c>
      <c r="E138">
        <v>1</v>
      </c>
      <c r="F138">
        <v>1</v>
      </c>
      <c r="G138">
        <v>1</v>
      </c>
      <c r="H138">
        <v>3</v>
      </c>
      <c r="I138" t="s">
        <v>530</v>
      </c>
      <c r="J138" t="s">
        <v>531</v>
      </c>
      <c r="K138" t="s">
        <v>532</v>
      </c>
      <c r="L138">
        <v>1383</v>
      </c>
      <c r="N138">
        <v>1013</v>
      </c>
      <c r="O138" t="s">
        <v>533</v>
      </c>
      <c r="P138" t="s">
        <v>533</v>
      </c>
      <c r="Q138">
        <v>1</v>
      </c>
      <c r="W138">
        <v>0</v>
      </c>
      <c r="X138">
        <v>1840299850</v>
      </c>
      <c r="Y138">
        <f t="shared" si="51"/>
        <v>6.8760000000000003</v>
      </c>
      <c r="AA138">
        <v>6.92</v>
      </c>
      <c r="AB138">
        <v>0</v>
      </c>
      <c r="AC138">
        <v>0</v>
      </c>
      <c r="AD138">
        <v>0</v>
      </c>
      <c r="AE138">
        <v>6.92</v>
      </c>
      <c r="AF138">
        <v>0</v>
      </c>
      <c r="AG138">
        <v>0</v>
      </c>
      <c r="AH138">
        <v>0</v>
      </c>
      <c r="AI138">
        <v>1</v>
      </c>
      <c r="AJ138">
        <v>1</v>
      </c>
      <c r="AK138">
        <v>1</v>
      </c>
      <c r="AL138">
        <v>1</v>
      </c>
      <c r="AM138">
        <v>-2</v>
      </c>
      <c r="AN138">
        <v>0</v>
      </c>
      <c r="AO138">
        <v>0</v>
      </c>
      <c r="AP138">
        <v>1</v>
      </c>
      <c r="AQ138">
        <v>1</v>
      </c>
      <c r="AR138">
        <v>0</v>
      </c>
      <c r="AS138" t="s">
        <v>3</v>
      </c>
      <c r="AT138">
        <v>6.8760000000000003</v>
      </c>
      <c r="AU138" t="s">
        <v>3</v>
      </c>
      <c r="AV138">
        <v>0</v>
      </c>
      <c r="AW138">
        <v>2</v>
      </c>
      <c r="AX138">
        <v>94188254</v>
      </c>
      <c r="AY138">
        <v>2</v>
      </c>
      <c r="AZ138">
        <v>16384</v>
      </c>
      <c r="BA138">
        <v>138</v>
      </c>
      <c r="BB138">
        <v>1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47.581920000000004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1</v>
      </c>
      <c r="BQ138">
        <v>47.581920000000004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1</v>
      </c>
      <c r="CV138">
        <v>0</v>
      </c>
      <c r="CW138">
        <v>0</v>
      </c>
      <c r="CX138">
        <f>ROUND(Y138*Source!I108,7)</f>
        <v>0.32317200000000001</v>
      </c>
      <c r="CY138">
        <f>AA138</f>
        <v>6.92</v>
      </c>
      <c r="CZ138">
        <f>AE138</f>
        <v>6.92</v>
      </c>
      <c r="DA138">
        <f>AI138</f>
        <v>1</v>
      </c>
      <c r="DB138">
        <f t="shared" si="52"/>
        <v>47.58</v>
      </c>
      <c r="DC138">
        <f t="shared" si="53"/>
        <v>0</v>
      </c>
      <c r="DD138" t="s">
        <v>3</v>
      </c>
      <c r="DE138" t="s">
        <v>3</v>
      </c>
      <c r="DF138">
        <f>ROUND(ROUND(AE138,2)*CX138,2)</f>
        <v>2.2400000000000002</v>
      </c>
      <c r="DG138">
        <f t="shared" si="54"/>
        <v>0</v>
      </c>
      <c r="DH138">
        <f t="shared" si="55"/>
        <v>0</v>
      </c>
      <c r="DI138">
        <f t="shared" si="56"/>
        <v>0</v>
      </c>
      <c r="DJ138">
        <f>DF138</f>
        <v>2.2400000000000002</v>
      </c>
      <c r="DK138">
        <v>1</v>
      </c>
      <c r="DL138" t="s">
        <v>3</v>
      </c>
      <c r="DM138">
        <v>0</v>
      </c>
      <c r="DN138" t="s">
        <v>3</v>
      </c>
      <c r="DO138">
        <v>0</v>
      </c>
    </row>
    <row r="139" spans="1:119" x14ac:dyDescent="0.2">
      <c r="A139">
        <f>ROW(Source!A108)</f>
        <v>108</v>
      </c>
      <c r="B139">
        <v>94104265</v>
      </c>
      <c r="C139">
        <v>94188248</v>
      </c>
      <c r="D139">
        <v>87305971</v>
      </c>
      <c r="E139">
        <v>1</v>
      </c>
      <c r="F139">
        <v>1</v>
      </c>
      <c r="G139">
        <v>1</v>
      </c>
      <c r="H139">
        <v>3</v>
      </c>
      <c r="I139" t="s">
        <v>534</v>
      </c>
      <c r="J139" t="s">
        <v>535</v>
      </c>
      <c r="K139" t="s">
        <v>536</v>
      </c>
      <c r="L139">
        <v>1425</v>
      </c>
      <c r="N139">
        <v>1013</v>
      </c>
      <c r="O139" t="s">
        <v>537</v>
      </c>
      <c r="P139" t="s">
        <v>537</v>
      </c>
      <c r="Q139">
        <v>1</v>
      </c>
      <c r="W139">
        <v>0</v>
      </c>
      <c r="X139">
        <v>-57904496</v>
      </c>
      <c r="Y139">
        <f t="shared" si="51"/>
        <v>6.7</v>
      </c>
      <c r="AA139">
        <v>116.41</v>
      </c>
      <c r="AB139">
        <v>0</v>
      </c>
      <c r="AC139">
        <v>0</v>
      </c>
      <c r="AD139">
        <v>0</v>
      </c>
      <c r="AE139">
        <v>88.86</v>
      </c>
      <c r="AF139">
        <v>0</v>
      </c>
      <c r="AG139">
        <v>0</v>
      </c>
      <c r="AH139">
        <v>0</v>
      </c>
      <c r="AI139">
        <v>1.31</v>
      </c>
      <c r="AJ139">
        <v>1</v>
      </c>
      <c r="AK139">
        <v>1</v>
      </c>
      <c r="AL139">
        <v>1</v>
      </c>
      <c r="AM139">
        <v>2</v>
      </c>
      <c r="AN139">
        <v>0</v>
      </c>
      <c r="AO139">
        <v>0</v>
      </c>
      <c r="AP139">
        <v>1</v>
      </c>
      <c r="AQ139">
        <v>1</v>
      </c>
      <c r="AR139">
        <v>0</v>
      </c>
      <c r="AS139" t="s">
        <v>3</v>
      </c>
      <c r="AT139">
        <v>6.7</v>
      </c>
      <c r="AU139" t="s">
        <v>3</v>
      </c>
      <c r="AV139">
        <v>0</v>
      </c>
      <c r="AW139">
        <v>2</v>
      </c>
      <c r="AX139">
        <v>94188255</v>
      </c>
      <c r="AY139">
        <v>1</v>
      </c>
      <c r="AZ139">
        <v>0</v>
      </c>
      <c r="BA139">
        <v>139</v>
      </c>
      <c r="BB139">
        <v>1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595.36199999999997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1</v>
      </c>
      <c r="BQ139">
        <v>595.36199999999997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1</v>
      </c>
      <c r="CV139">
        <v>0</v>
      </c>
      <c r="CW139">
        <v>0</v>
      </c>
      <c r="CX139">
        <f>ROUND(Y139*Source!I108,7)</f>
        <v>0.31490000000000001</v>
      </c>
      <c r="CY139">
        <f>AA139</f>
        <v>116.41</v>
      </c>
      <c r="CZ139">
        <f>AE139</f>
        <v>88.86</v>
      </c>
      <c r="DA139">
        <f>AI139</f>
        <v>1.31</v>
      </c>
      <c r="DB139">
        <f t="shared" si="52"/>
        <v>595.36</v>
      </c>
      <c r="DC139">
        <f t="shared" si="53"/>
        <v>0</v>
      </c>
      <c r="DD139" t="s">
        <v>3</v>
      </c>
      <c r="DE139" t="s">
        <v>3</v>
      </c>
      <c r="DF139">
        <f>ROUND(ROUND(AE139*AI139,2)*CX139,2)</f>
        <v>36.659999999999997</v>
      </c>
      <c r="DG139">
        <f t="shared" si="54"/>
        <v>0</v>
      </c>
      <c r="DH139">
        <f t="shared" si="55"/>
        <v>0</v>
      </c>
      <c r="DI139">
        <f t="shared" si="56"/>
        <v>0</v>
      </c>
      <c r="DJ139">
        <f>DF139</f>
        <v>36.659999999999997</v>
      </c>
      <c r="DK139">
        <v>0</v>
      </c>
      <c r="DL139" t="s">
        <v>3</v>
      </c>
      <c r="DM139">
        <v>0</v>
      </c>
      <c r="DN139" t="s">
        <v>3</v>
      </c>
      <c r="DO139">
        <v>0</v>
      </c>
    </row>
    <row r="140" spans="1:119" x14ac:dyDescent="0.2">
      <c r="A140">
        <f>ROW(Source!A108)</f>
        <v>108</v>
      </c>
      <c r="B140">
        <v>94104265</v>
      </c>
      <c r="C140">
        <v>94188248</v>
      </c>
      <c r="D140">
        <v>87313524</v>
      </c>
      <c r="E140">
        <v>1</v>
      </c>
      <c r="F140">
        <v>1</v>
      </c>
      <c r="G140">
        <v>1</v>
      </c>
      <c r="H140">
        <v>3</v>
      </c>
      <c r="I140" t="s">
        <v>104</v>
      </c>
      <c r="J140" t="s">
        <v>107</v>
      </c>
      <c r="K140" t="s">
        <v>105</v>
      </c>
      <c r="L140">
        <v>1301</v>
      </c>
      <c r="N140">
        <v>1003</v>
      </c>
      <c r="O140" t="s">
        <v>106</v>
      </c>
      <c r="P140" t="s">
        <v>106</v>
      </c>
      <c r="Q140">
        <v>1</v>
      </c>
      <c r="W140">
        <v>0</v>
      </c>
      <c r="X140">
        <v>1688473548</v>
      </c>
      <c r="Y140">
        <f t="shared" si="51"/>
        <v>105</v>
      </c>
      <c r="AA140">
        <v>471</v>
      </c>
      <c r="AB140">
        <v>0</v>
      </c>
      <c r="AC140">
        <v>0</v>
      </c>
      <c r="AD140">
        <v>0</v>
      </c>
      <c r="AE140">
        <v>290.74</v>
      </c>
      <c r="AF140">
        <v>0</v>
      </c>
      <c r="AG140">
        <v>0</v>
      </c>
      <c r="AH140">
        <v>0</v>
      </c>
      <c r="AI140">
        <v>1.62</v>
      </c>
      <c r="AJ140">
        <v>1</v>
      </c>
      <c r="AK140">
        <v>1</v>
      </c>
      <c r="AL140">
        <v>1</v>
      </c>
      <c r="AM140">
        <v>2</v>
      </c>
      <c r="AN140">
        <v>0</v>
      </c>
      <c r="AO140">
        <v>0</v>
      </c>
      <c r="AP140">
        <v>1</v>
      </c>
      <c r="AQ140">
        <v>0</v>
      </c>
      <c r="AR140">
        <v>0</v>
      </c>
      <c r="AS140" t="s">
        <v>3</v>
      </c>
      <c r="AT140">
        <v>105</v>
      </c>
      <c r="AU140" t="s">
        <v>3</v>
      </c>
      <c r="AV140">
        <v>0</v>
      </c>
      <c r="AW140">
        <v>1</v>
      </c>
      <c r="AX140">
        <v>-1</v>
      </c>
      <c r="AY140">
        <v>0</v>
      </c>
      <c r="AZ140">
        <v>0</v>
      </c>
      <c r="BA140" t="s">
        <v>3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CV140">
        <v>0</v>
      </c>
      <c r="CW140">
        <v>0</v>
      </c>
      <c r="CX140">
        <f>ROUND(Y140*Source!I108,7)</f>
        <v>4.9349999999999996</v>
      </c>
      <c r="CY140">
        <f>AA140</f>
        <v>471</v>
      </c>
      <c r="CZ140">
        <f>AE140</f>
        <v>290.74</v>
      </c>
      <c r="DA140">
        <f>AI140</f>
        <v>1.62</v>
      </c>
      <c r="DB140">
        <f t="shared" si="52"/>
        <v>30527.7</v>
      </c>
      <c r="DC140">
        <f t="shared" si="53"/>
        <v>0</v>
      </c>
      <c r="DD140" t="s">
        <v>3</v>
      </c>
      <c r="DE140" t="s">
        <v>3</v>
      </c>
      <c r="DF140">
        <f>ROUND(ROUND(AE140*AI140,2)*CX140,2)</f>
        <v>2324.39</v>
      </c>
      <c r="DG140">
        <f t="shared" si="54"/>
        <v>0</v>
      </c>
      <c r="DH140">
        <f t="shared" si="55"/>
        <v>0</v>
      </c>
      <c r="DI140">
        <f t="shared" si="56"/>
        <v>0</v>
      </c>
      <c r="DJ140">
        <f>DF140</f>
        <v>2324.39</v>
      </c>
      <c r="DK140">
        <v>0</v>
      </c>
      <c r="DL140" t="s">
        <v>3</v>
      </c>
      <c r="DM140">
        <v>0</v>
      </c>
      <c r="DN140" t="s">
        <v>3</v>
      </c>
      <c r="DO140">
        <v>0</v>
      </c>
    </row>
    <row r="141" spans="1:119" x14ac:dyDescent="0.2">
      <c r="A141">
        <f>ROW(Source!A145)</f>
        <v>145</v>
      </c>
      <c r="B141">
        <v>94104265</v>
      </c>
      <c r="C141">
        <v>94189557</v>
      </c>
      <c r="D141">
        <v>87229757</v>
      </c>
      <c r="E141">
        <v>117</v>
      </c>
      <c r="F141">
        <v>1</v>
      </c>
      <c r="G141">
        <v>1</v>
      </c>
      <c r="H141">
        <v>1</v>
      </c>
      <c r="I141" t="s">
        <v>547</v>
      </c>
      <c r="J141" t="s">
        <v>3</v>
      </c>
      <c r="K141" t="s">
        <v>548</v>
      </c>
      <c r="L141">
        <v>1191</v>
      </c>
      <c r="N141">
        <v>1013</v>
      </c>
      <c r="O141" t="s">
        <v>428</v>
      </c>
      <c r="P141" t="s">
        <v>428</v>
      </c>
      <c r="Q141">
        <v>1</v>
      </c>
      <c r="W141">
        <v>0</v>
      </c>
      <c r="X141">
        <v>1426738182</v>
      </c>
      <c r="Y141">
        <f t="shared" si="51"/>
        <v>26.3</v>
      </c>
      <c r="AA141">
        <v>0</v>
      </c>
      <c r="AB141">
        <v>0</v>
      </c>
      <c r="AC141">
        <v>0</v>
      </c>
      <c r="AD141">
        <v>657.42</v>
      </c>
      <c r="AE141">
        <v>0</v>
      </c>
      <c r="AF141">
        <v>0</v>
      </c>
      <c r="AG141">
        <v>0</v>
      </c>
      <c r="AH141">
        <v>657.42</v>
      </c>
      <c r="AI141">
        <v>1</v>
      </c>
      <c r="AJ141">
        <v>1</v>
      </c>
      <c r="AK141">
        <v>1</v>
      </c>
      <c r="AL141">
        <v>1</v>
      </c>
      <c r="AM141">
        <v>-2</v>
      </c>
      <c r="AN141">
        <v>0</v>
      </c>
      <c r="AO141">
        <v>0</v>
      </c>
      <c r="AP141">
        <v>0</v>
      </c>
      <c r="AQ141">
        <v>1</v>
      </c>
      <c r="AR141">
        <v>0</v>
      </c>
      <c r="AS141" t="s">
        <v>3</v>
      </c>
      <c r="AT141">
        <v>26.3</v>
      </c>
      <c r="AU141" t="s">
        <v>3</v>
      </c>
      <c r="AV141">
        <v>1</v>
      </c>
      <c r="AW141">
        <v>2</v>
      </c>
      <c r="AX141">
        <v>94189558</v>
      </c>
      <c r="AY141">
        <v>1</v>
      </c>
      <c r="AZ141">
        <v>0</v>
      </c>
      <c r="BA141">
        <v>141</v>
      </c>
      <c r="BB141">
        <v>1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17290.146000000001</v>
      </c>
      <c r="BN141">
        <v>26.3</v>
      </c>
      <c r="BO141">
        <v>0</v>
      </c>
      <c r="BP141">
        <v>1</v>
      </c>
      <c r="BQ141">
        <v>0</v>
      </c>
      <c r="BR141">
        <v>0</v>
      </c>
      <c r="BS141">
        <v>0</v>
      </c>
      <c r="BT141">
        <v>17290.146000000001</v>
      </c>
      <c r="BU141">
        <v>26.3</v>
      </c>
      <c r="BV141">
        <v>0</v>
      </c>
      <c r="BW141">
        <v>1</v>
      </c>
      <c r="CU141">
        <f>ROUND(AT141*Source!I145*AH141*AL141,2)</f>
        <v>3474.28</v>
      </c>
      <c r="CV141">
        <f>ROUND(Y141*Source!I145,7)</f>
        <v>5.2847220000000004</v>
      </c>
      <c r="CW141">
        <v>0</v>
      </c>
      <c r="CX141">
        <f>ROUND(Y141*Source!I145,7)</f>
        <v>5.2847220000000004</v>
      </c>
      <c r="CY141">
        <f>AD141</f>
        <v>657.42</v>
      </c>
      <c r="CZ141">
        <f>AH141</f>
        <v>657.42</v>
      </c>
      <c r="DA141">
        <f>AL141</f>
        <v>1</v>
      </c>
      <c r="DB141">
        <f t="shared" si="52"/>
        <v>17290.150000000001</v>
      </c>
      <c r="DC141">
        <f t="shared" si="53"/>
        <v>0</v>
      </c>
      <c r="DD141" t="s">
        <v>3</v>
      </c>
      <c r="DE141" t="s">
        <v>3</v>
      </c>
      <c r="DF141">
        <f>ROUND(ROUND(AE141,2)*CX141,2)</f>
        <v>0</v>
      </c>
      <c r="DG141">
        <f t="shared" si="54"/>
        <v>0</v>
      </c>
      <c r="DH141">
        <f t="shared" si="55"/>
        <v>0</v>
      </c>
      <c r="DI141">
        <f t="shared" si="56"/>
        <v>3474.28</v>
      </c>
      <c r="DJ141">
        <f>DI141</f>
        <v>3474.28</v>
      </c>
      <c r="DK141">
        <v>1</v>
      </c>
      <c r="DL141" t="s">
        <v>3</v>
      </c>
      <c r="DM141">
        <v>0</v>
      </c>
      <c r="DN141" t="s">
        <v>3</v>
      </c>
      <c r="DO141">
        <v>0</v>
      </c>
    </row>
    <row r="142" spans="1:119" x14ac:dyDescent="0.2">
      <c r="A142">
        <f>ROW(Source!A145)</f>
        <v>145</v>
      </c>
      <c r="B142">
        <v>94104265</v>
      </c>
      <c r="C142">
        <v>94189557</v>
      </c>
      <c r="D142">
        <v>87229949</v>
      </c>
      <c r="E142">
        <v>117</v>
      </c>
      <c r="F142">
        <v>1</v>
      </c>
      <c r="G142">
        <v>1</v>
      </c>
      <c r="H142">
        <v>1</v>
      </c>
      <c r="I142" t="s">
        <v>429</v>
      </c>
      <c r="J142" t="s">
        <v>3</v>
      </c>
      <c r="K142" t="s">
        <v>430</v>
      </c>
      <c r="L142">
        <v>1191</v>
      </c>
      <c r="N142">
        <v>1013</v>
      </c>
      <c r="O142" t="s">
        <v>428</v>
      </c>
      <c r="P142" t="s">
        <v>428</v>
      </c>
      <c r="Q142">
        <v>1</v>
      </c>
      <c r="W142">
        <v>0</v>
      </c>
      <c r="X142">
        <v>-1417349443</v>
      </c>
      <c r="Y142">
        <f t="shared" si="51"/>
        <v>0.16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1</v>
      </c>
      <c r="AJ142">
        <v>1</v>
      </c>
      <c r="AK142">
        <v>1</v>
      </c>
      <c r="AL142">
        <v>1</v>
      </c>
      <c r="AM142">
        <v>-2</v>
      </c>
      <c r="AN142">
        <v>0</v>
      </c>
      <c r="AO142">
        <v>0</v>
      </c>
      <c r="AP142">
        <v>0</v>
      </c>
      <c r="AQ142">
        <v>1</v>
      </c>
      <c r="AR142">
        <v>0</v>
      </c>
      <c r="AS142" t="s">
        <v>3</v>
      </c>
      <c r="AT142">
        <v>0.16</v>
      </c>
      <c r="AU142" t="s">
        <v>3</v>
      </c>
      <c r="AV142">
        <v>2</v>
      </c>
      <c r="AW142">
        <v>2</v>
      </c>
      <c r="AX142">
        <v>94189559</v>
      </c>
      <c r="AY142">
        <v>1</v>
      </c>
      <c r="AZ142">
        <v>0</v>
      </c>
      <c r="BA142">
        <v>142</v>
      </c>
      <c r="BB142">
        <v>1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CV142">
        <v>0</v>
      </c>
      <c r="CW142">
        <v>0</v>
      </c>
      <c r="CX142">
        <f>ROUND(Y142*Source!I145,7)</f>
        <v>3.2150400000000003E-2</v>
      </c>
      <c r="CY142">
        <f>AD142</f>
        <v>0</v>
      </c>
      <c r="CZ142">
        <f>AH142</f>
        <v>0</v>
      </c>
      <c r="DA142">
        <f>AL142</f>
        <v>1</v>
      </c>
      <c r="DB142">
        <f t="shared" si="52"/>
        <v>0</v>
      </c>
      <c r="DC142">
        <f t="shared" si="53"/>
        <v>0</v>
      </c>
      <c r="DD142" t="s">
        <v>3</v>
      </c>
      <c r="DE142" t="s">
        <v>3</v>
      </c>
      <c r="DF142">
        <f>ROUND(ROUND(AE142,2)*CX142,2)</f>
        <v>0</v>
      </c>
      <c r="DG142">
        <f t="shared" si="54"/>
        <v>0</v>
      </c>
      <c r="DH142">
        <f t="shared" si="55"/>
        <v>0</v>
      </c>
      <c r="DI142">
        <f t="shared" si="56"/>
        <v>0</v>
      </c>
      <c r="DJ142">
        <f>DI142</f>
        <v>0</v>
      </c>
      <c r="DK142">
        <v>0</v>
      </c>
      <c r="DL142" t="s">
        <v>3</v>
      </c>
      <c r="DM142">
        <v>0</v>
      </c>
      <c r="DN142" t="s">
        <v>3</v>
      </c>
      <c r="DO142">
        <v>0</v>
      </c>
    </row>
    <row r="143" spans="1:119" x14ac:dyDescent="0.2">
      <c r="A143">
        <f>ROW(Source!A145)</f>
        <v>145</v>
      </c>
      <c r="B143">
        <v>94104265</v>
      </c>
      <c r="C143">
        <v>94189557</v>
      </c>
      <c r="D143">
        <v>87236625</v>
      </c>
      <c r="E143">
        <v>1</v>
      </c>
      <c r="F143">
        <v>1</v>
      </c>
      <c r="G143">
        <v>1</v>
      </c>
      <c r="H143">
        <v>2</v>
      </c>
      <c r="I143" t="s">
        <v>431</v>
      </c>
      <c r="J143" t="s">
        <v>432</v>
      </c>
      <c r="K143" t="s">
        <v>433</v>
      </c>
      <c r="L143">
        <v>1368</v>
      </c>
      <c r="N143">
        <v>1011</v>
      </c>
      <c r="O143" t="s">
        <v>434</v>
      </c>
      <c r="P143" t="s">
        <v>434</v>
      </c>
      <c r="Q143">
        <v>1</v>
      </c>
      <c r="W143">
        <v>0</v>
      </c>
      <c r="X143">
        <v>945201097</v>
      </c>
      <c r="Y143">
        <f t="shared" si="51"/>
        <v>0.1</v>
      </c>
      <c r="AA143">
        <v>0</v>
      </c>
      <c r="AB143">
        <v>58.59</v>
      </c>
      <c r="AC143">
        <v>649.24</v>
      </c>
      <c r="AD143">
        <v>0</v>
      </c>
      <c r="AE143">
        <v>0</v>
      </c>
      <c r="AF143">
        <v>37.32</v>
      </c>
      <c r="AG143">
        <v>649.24</v>
      </c>
      <c r="AH143">
        <v>0</v>
      </c>
      <c r="AI143">
        <v>1</v>
      </c>
      <c r="AJ143">
        <v>1.57</v>
      </c>
      <c r="AK143">
        <v>1</v>
      </c>
      <c r="AL143">
        <v>1</v>
      </c>
      <c r="AM143">
        <v>2</v>
      </c>
      <c r="AN143">
        <v>0</v>
      </c>
      <c r="AO143">
        <v>0</v>
      </c>
      <c r="AP143">
        <v>0</v>
      </c>
      <c r="AQ143">
        <v>1</v>
      </c>
      <c r="AR143">
        <v>0</v>
      </c>
      <c r="AS143" t="s">
        <v>3</v>
      </c>
      <c r="AT143">
        <v>0.1</v>
      </c>
      <c r="AU143" t="s">
        <v>3</v>
      </c>
      <c r="AV143">
        <v>1</v>
      </c>
      <c r="AW143">
        <v>2</v>
      </c>
      <c r="AX143">
        <v>94189560</v>
      </c>
      <c r="AY143">
        <v>1</v>
      </c>
      <c r="AZ143">
        <v>0</v>
      </c>
      <c r="BA143">
        <v>143</v>
      </c>
      <c r="BB143">
        <v>1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3.7320000000000002</v>
      </c>
      <c r="BL143">
        <v>64.924000000000007</v>
      </c>
      <c r="BM143">
        <v>0</v>
      </c>
      <c r="BN143">
        <v>0</v>
      </c>
      <c r="BO143">
        <v>0.1</v>
      </c>
      <c r="BP143">
        <v>1</v>
      </c>
      <c r="BQ143">
        <v>0</v>
      </c>
      <c r="BR143">
        <v>3.7320000000000002</v>
      </c>
      <c r="BS143">
        <v>64.924000000000007</v>
      </c>
      <c r="BT143">
        <v>0</v>
      </c>
      <c r="BU143">
        <v>0</v>
      </c>
      <c r="BV143">
        <v>0.1</v>
      </c>
      <c r="BW143">
        <v>1</v>
      </c>
      <c r="CV143">
        <v>0</v>
      </c>
      <c r="CW143">
        <f>ROUND(Y143*Source!I145*DO143,7)</f>
        <v>2.0094000000000001E-2</v>
      </c>
      <c r="CX143">
        <f>ROUND(Y143*Source!I145,7)</f>
        <v>2.0094000000000001E-2</v>
      </c>
      <c r="CY143">
        <f>AB143</f>
        <v>58.59</v>
      </c>
      <c r="CZ143">
        <f>AF143</f>
        <v>37.32</v>
      </c>
      <c r="DA143">
        <f>AJ143</f>
        <v>1.57</v>
      </c>
      <c r="DB143">
        <f t="shared" si="52"/>
        <v>3.73</v>
      </c>
      <c r="DC143">
        <f t="shared" si="53"/>
        <v>64.92</v>
      </c>
      <c r="DD143" t="s">
        <v>3</v>
      </c>
      <c r="DE143" t="s">
        <v>3</v>
      </c>
      <c r="DF143">
        <f>ROUND(ROUND(AE143,2)*CX143,2)</f>
        <v>0</v>
      </c>
      <c r="DG143">
        <f>ROUND(ROUND(AF143*AJ143,2)*CX143,2)</f>
        <v>1.18</v>
      </c>
      <c r="DH143">
        <f t="shared" si="55"/>
        <v>13.05</v>
      </c>
      <c r="DI143">
        <f t="shared" si="56"/>
        <v>0</v>
      </c>
      <c r="DJ143">
        <f>DG143+DH143</f>
        <v>14.23</v>
      </c>
      <c r="DK143">
        <v>0</v>
      </c>
      <c r="DL143" t="s">
        <v>435</v>
      </c>
      <c r="DM143">
        <v>3</v>
      </c>
      <c r="DN143" t="s">
        <v>428</v>
      </c>
      <c r="DO143">
        <v>1</v>
      </c>
    </row>
    <row r="144" spans="1:119" x14ac:dyDescent="0.2">
      <c r="A144">
        <f>ROW(Source!A145)</f>
        <v>145</v>
      </c>
      <c r="B144">
        <v>94104265</v>
      </c>
      <c r="C144">
        <v>94189557</v>
      </c>
      <c r="D144">
        <v>87237333</v>
      </c>
      <c r="E144">
        <v>1</v>
      </c>
      <c r="F144">
        <v>1</v>
      </c>
      <c r="G144">
        <v>1</v>
      </c>
      <c r="H144">
        <v>2</v>
      </c>
      <c r="I144" t="s">
        <v>463</v>
      </c>
      <c r="J144" t="s">
        <v>464</v>
      </c>
      <c r="K144" t="s">
        <v>465</v>
      </c>
      <c r="L144">
        <v>1368</v>
      </c>
      <c r="N144">
        <v>1011</v>
      </c>
      <c r="O144" t="s">
        <v>434</v>
      </c>
      <c r="P144" t="s">
        <v>434</v>
      </c>
      <c r="Q144">
        <v>1</v>
      </c>
      <c r="W144">
        <v>0</v>
      </c>
      <c r="X144">
        <v>-849950259</v>
      </c>
      <c r="Y144">
        <f t="shared" si="51"/>
        <v>0.06</v>
      </c>
      <c r="AA144">
        <v>0</v>
      </c>
      <c r="AB144">
        <v>544.91999999999996</v>
      </c>
      <c r="AC144">
        <v>731.08</v>
      </c>
      <c r="AD144">
        <v>0</v>
      </c>
      <c r="AE144">
        <v>0</v>
      </c>
      <c r="AF144">
        <v>544.91999999999996</v>
      </c>
      <c r="AG144">
        <v>731.08</v>
      </c>
      <c r="AH144">
        <v>0</v>
      </c>
      <c r="AI144">
        <v>1</v>
      </c>
      <c r="AJ144">
        <v>1</v>
      </c>
      <c r="AK144">
        <v>1</v>
      </c>
      <c r="AL144">
        <v>1</v>
      </c>
      <c r="AM144">
        <v>-2</v>
      </c>
      <c r="AN144">
        <v>0</v>
      </c>
      <c r="AO144">
        <v>0</v>
      </c>
      <c r="AP144">
        <v>0</v>
      </c>
      <c r="AQ144">
        <v>1</v>
      </c>
      <c r="AR144">
        <v>0</v>
      </c>
      <c r="AS144" t="s">
        <v>3</v>
      </c>
      <c r="AT144">
        <v>0.06</v>
      </c>
      <c r="AU144" t="s">
        <v>3</v>
      </c>
      <c r="AV144">
        <v>1</v>
      </c>
      <c r="AW144">
        <v>2</v>
      </c>
      <c r="AX144">
        <v>94189561</v>
      </c>
      <c r="AY144">
        <v>1</v>
      </c>
      <c r="AZ144">
        <v>0</v>
      </c>
      <c r="BA144">
        <v>144</v>
      </c>
      <c r="BB144">
        <v>1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32.6952</v>
      </c>
      <c r="BL144">
        <v>43.864800000000002</v>
      </c>
      <c r="BM144">
        <v>0</v>
      </c>
      <c r="BN144">
        <v>0</v>
      </c>
      <c r="BO144">
        <v>0.06</v>
      </c>
      <c r="BP144">
        <v>1</v>
      </c>
      <c r="BQ144">
        <v>0</v>
      </c>
      <c r="BR144">
        <v>32.6952</v>
      </c>
      <c r="BS144">
        <v>43.864800000000002</v>
      </c>
      <c r="BT144">
        <v>0</v>
      </c>
      <c r="BU144">
        <v>0</v>
      </c>
      <c r="BV144">
        <v>0.06</v>
      </c>
      <c r="BW144">
        <v>1</v>
      </c>
      <c r="CV144">
        <v>0</v>
      </c>
      <c r="CW144">
        <f>ROUND(Y144*Source!I145*DO144,7)</f>
        <v>1.20564E-2</v>
      </c>
      <c r="CX144">
        <f>ROUND(Y144*Source!I145,7)</f>
        <v>1.20564E-2</v>
      </c>
      <c r="CY144">
        <f>AB144</f>
        <v>544.91999999999996</v>
      </c>
      <c r="CZ144">
        <f>AF144</f>
        <v>544.91999999999996</v>
      </c>
      <c r="DA144">
        <f>AJ144</f>
        <v>1</v>
      </c>
      <c r="DB144">
        <f t="shared" si="52"/>
        <v>32.700000000000003</v>
      </c>
      <c r="DC144">
        <f t="shared" si="53"/>
        <v>43.86</v>
      </c>
      <c r="DD144" t="s">
        <v>3</v>
      </c>
      <c r="DE144" t="s">
        <v>3</v>
      </c>
      <c r="DF144">
        <f>ROUND(ROUND(AE144,2)*CX144,2)</f>
        <v>0</v>
      </c>
      <c r="DG144">
        <f t="shared" ref="DG144:DG154" si="61">ROUND(ROUND(AF144,2)*CX144,2)</f>
        <v>6.57</v>
      </c>
      <c r="DH144">
        <f t="shared" si="55"/>
        <v>8.81</v>
      </c>
      <c r="DI144">
        <f t="shared" si="56"/>
        <v>0</v>
      </c>
      <c r="DJ144">
        <f>DG144+DH144</f>
        <v>15.38</v>
      </c>
      <c r="DK144">
        <v>1</v>
      </c>
      <c r="DL144" t="s">
        <v>466</v>
      </c>
      <c r="DM144">
        <v>4</v>
      </c>
      <c r="DN144" t="s">
        <v>428</v>
      </c>
      <c r="DO144">
        <v>1</v>
      </c>
    </row>
    <row r="145" spans="1:119" x14ac:dyDescent="0.2">
      <c r="A145">
        <f>ROW(Source!A145)</f>
        <v>145</v>
      </c>
      <c r="B145">
        <v>94104265</v>
      </c>
      <c r="C145">
        <v>94189557</v>
      </c>
      <c r="D145">
        <v>87304091</v>
      </c>
      <c r="E145">
        <v>1</v>
      </c>
      <c r="F145">
        <v>1</v>
      </c>
      <c r="G145">
        <v>1</v>
      </c>
      <c r="H145">
        <v>3</v>
      </c>
      <c r="I145" t="s">
        <v>467</v>
      </c>
      <c r="J145" t="s">
        <v>468</v>
      </c>
      <c r="K145" t="s">
        <v>469</v>
      </c>
      <c r="L145">
        <v>1339</v>
      </c>
      <c r="N145">
        <v>1007</v>
      </c>
      <c r="O145" t="s">
        <v>34</v>
      </c>
      <c r="P145" t="s">
        <v>34</v>
      </c>
      <c r="Q145">
        <v>1</v>
      </c>
      <c r="W145">
        <v>0</v>
      </c>
      <c r="X145">
        <v>1964556667</v>
      </c>
      <c r="Y145">
        <f t="shared" si="51"/>
        <v>0.4</v>
      </c>
      <c r="AA145">
        <v>54.64</v>
      </c>
      <c r="AB145">
        <v>0</v>
      </c>
      <c r="AC145">
        <v>0</v>
      </c>
      <c r="AD145">
        <v>0</v>
      </c>
      <c r="AE145">
        <v>35.71</v>
      </c>
      <c r="AF145">
        <v>0</v>
      </c>
      <c r="AG145">
        <v>0</v>
      </c>
      <c r="AH145">
        <v>0</v>
      </c>
      <c r="AI145">
        <v>1.53</v>
      </c>
      <c r="AJ145">
        <v>1</v>
      </c>
      <c r="AK145">
        <v>1</v>
      </c>
      <c r="AL145">
        <v>1</v>
      </c>
      <c r="AM145">
        <v>2</v>
      </c>
      <c r="AN145">
        <v>0</v>
      </c>
      <c r="AO145">
        <v>0</v>
      </c>
      <c r="AP145">
        <v>0</v>
      </c>
      <c r="AQ145">
        <v>1</v>
      </c>
      <c r="AR145">
        <v>0</v>
      </c>
      <c r="AS145" t="s">
        <v>3</v>
      </c>
      <c r="AT145">
        <v>0.4</v>
      </c>
      <c r="AU145" t="s">
        <v>3</v>
      </c>
      <c r="AV145">
        <v>0</v>
      </c>
      <c r="AW145">
        <v>2</v>
      </c>
      <c r="AX145">
        <v>94189562</v>
      </c>
      <c r="AY145">
        <v>1</v>
      </c>
      <c r="AZ145">
        <v>0</v>
      </c>
      <c r="BA145">
        <v>145</v>
      </c>
      <c r="BB145">
        <v>1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14.284000000000001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1</v>
      </c>
      <c r="BQ145">
        <v>14.284000000000001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1</v>
      </c>
      <c r="CV145">
        <v>0</v>
      </c>
      <c r="CW145">
        <v>0</v>
      </c>
      <c r="CX145">
        <f>ROUND(Y145*Source!I145,7)</f>
        <v>8.0376000000000003E-2</v>
      </c>
      <c r="CY145">
        <f t="shared" ref="CY145:CY152" si="62">AA145</f>
        <v>54.64</v>
      </c>
      <c r="CZ145">
        <f t="shared" ref="CZ145:CZ152" si="63">AE145</f>
        <v>35.71</v>
      </c>
      <c r="DA145">
        <f t="shared" ref="DA145:DA152" si="64">AI145</f>
        <v>1.53</v>
      </c>
      <c r="DB145">
        <f t="shared" si="52"/>
        <v>14.28</v>
      </c>
      <c r="DC145">
        <f t="shared" si="53"/>
        <v>0</v>
      </c>
      <c r="DD145" t="s">
        <v>3</v>
      </c>
      <c r="DE145" t="s">
        <v>3</v>
      </c>
      <c r="DF145">
        <f t="shared" ref="DF145:DF152" si="65">ROUND(ROUND(AE145*AI145,2)*CX145,2)</f>
        <v>4.3899999999999997</v>
      </c>
      <c r="DG145">
        <f t="shared" si="61"/>
        <v>0</v>
      </c>
      <c r="DH145">
        <f t="shared" si="55"/>
        <v>0</v>
      </c>
      <c r="DI145">
        <f t="shared" si="56"/>
        <v>0</v>
      </c>
      <c r="DJ145">
        <f t="shared" ref="DJ145:DJ152" si="66">DF145</f>
        <v>4.3899999999999997</v>
      </c>
      <c r="DK145">
        <v>0</v>
      </c>
      <c r="DL145" t="s">
        <v>3</v>
      </c>
      <c r="DM145">
        <v>0</v>
      </c>
      <c r="DN145" t="s">
        <v>3</v>
      </c>
      <c r="DO145">
        <v>0</v>
      </c>
    </row>
    <row r="146" spans="1:119" x14ac:dyDescent="0.2">
      <c r="A146">
        <f>ROW(Source!A145)</f>
        <v>145</v>
      </c>
      <c r="B146">
        <v>94104265</v>
      </c>
      <c r="C146">
        <v>94189557</v>
      </c>
      <c r="D146">
        <v>87304388</v>
      </c>
      <c r="E146">
        <v>1</v>
      </c>
      <c r="F146">
        <v>1</v>
      </c>
      <c r="G146">
        <v>1</v>
      </c>
      <c r="H146">
        <v>3</v>
      </c>
      <c r="I146" t="s">
        <v>558</v>
      </c>
      <c r="J146" t="s">
        <v>559</v>
      </c>
      <c r="K146" t="s">
        <v>560</v>
      </c>
      <c r="L146">
        <v>1371</v>
      </c>
      <c r="N146">
        <v>1013</v>
      </c>
      <c r="O146" t="s">
        <v>279</v>
      </c>
      <c r="P146" t="s">
        <v>279</v>
      </c>
      <c r="Q146">
        <v>1</v>
      </c>
      <c r="W146">
        <v>0</v>
      </c>
      <c r="X146">
        <v>1145730244</v>
      </c>
      <c r="Y146">
        <f t="shared" si="51"/>
        <v>3.2</v>
      </c>
      <c r="AA146">
        <v>25.1</v>
      </c>
      <c r="AB146">
        <v>0</v>
      </c>
      <c r="AC146">
        <v>0</v>
      </c>
      <c r="AD146">
        <v>0</v>
      </c>
      <c r="AE146">
        <v>18.59</v>
      </c>
      <c r="AF146">
        <v>0</v>
      </c>
      <c r="AG146">
        <v>0</v>
      </c>
      <c r="AH146">
        <v>0</v>
      </c>
      <c r="AI146">
        <v>1.35</v>
      </c>
      <c r="AJ146">
        <v>1</v>
      </c>
      <c r="AK146">
        <v>1</v>
      </c>
      <c r="AL146">
        <v>1</v>
      </c>
      <c r="AM146">
        <v>2</v>
      </c>
      <c r="AN146">
        <v>0</v>
      </c>
      <c r="AO146">
        <v>0</v>
      </c>
      <c r="AP146">
        <v>0</v>
      </c>
      <c r="AQ146">
        <v>1</v>
      </c>
      <c r="AR146">
        <v>0</v>
      </c>
      <c r="AS146" t="s">
        <v>3</v>
      </c>
      <c r="AT146">
        <v>3.2</v>
      </c>
      <c r="AU146" t="s">
        <v>3</v>
      </c>
      <c r="AV146">
        <v>0</v>
      </c>
      <c r="AW146">
        <v>2</v>
      </c>
      <c r="AX146">
        <v>94189563</v>
      </c>
      <c r="AY146">
        <v>1</v>
      </c>
      <c r="AZ146">
        <v>0</v>
      </c>
      <c r="BA146">
        <v>146</v>
      </c>
      <c r="BB146">
        <v>1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59.488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1</v>
      </c>
      <c r="BQ146">
        <v>59.488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1</v>
      </c>
      <c r="CV146">
        <v>0</v>
      </c>
      <c r="CW146">
        <v>0</v>
      </c>
      <c r="CX146">
        <f>ROUND(Y146*Source!I145,7)</f>
        <v>0.64300800000000002</v>
      </c>
      <c r="CY146">
        <f t="shared" si="62"/>
        <v>25.1</v>
      </c>
      <c r="CZ146">
        <f t="shared" si="63"/>
        <v>18.59</v>
      </c>
      <c r="DA146">
        <f t="shared" si="64"/>
        <v>1.35</v>
      </c>
      <c r="DB146">
        <f t="shared" si="52"/>
        <v>59.49</v>
      </c>
      <c r="DC146">
        <f t="shared" si="53"/>
        <v>0</v>
      </c>
      <c r="DD146" t="s">
        <v>3</v>
      </c>
      <c r="DE146" t="s">
        <v>3</v>
      </c>
      <c r="DF146">
        <f t="shared" si="65"/>
        <v>16.14</v>
      </c>
      <c r="DG146">
        <f t="shared" si="61"/>
        <v>0</v>
      </c>
      <c r="DH146">
        <f t="shared" si="55"/>
        <v>0</v>
      </c>
      <c r="DI146">
        <f t="shared" si="56"/>
        <v>0</v>
      </c>
      <c r="DJ146">
        <f t="shared" si="66"/>
        <v>16.14</v>
      </c>
      <c r="DK146">
        <v>0</v>
      </c>
      <c r="DL146" t="s">
        <v>3</v>
      </c>
      <c r="DM146">
        <v>0</v>
      </c>
      <c r="DN146" t="s">
        <v>3</v>
      </c>
      <c r="DO146">
        <v>0</v>
      </c>
    </row>
    <row r="147" spans="1:119" x14ac:dyDescent="0.2">
      <c r="A147">
        <f>ROW(Source!A145)</f>
        <v>145</v>
      </c>
      <c r="B147">
        <v>94104265</v>
      </c>
      <c r="C147">
        <v>94189557</v>
      </c>
      <c r="D147">
        <v>87304588</v>
      </c>
      <c r="E147">
        <v>1</v>
      </c>
      <c r="F147">
        <v>1</v>
      </c>
      <c r="G147">
        <v>1</v>
      </c>
      <c r="H147">
        <v>3</v>
      </c>
      <c r="I147" t="s">
        <v>561</v>
      </c>
      <c r="J147" t="s">
        <v>562</v>
      </c>
      <c r="K147" t="s">
        <v>563</v>
      </c>
      <c r="L147">
        <v>1348</v>
      </c>
      <c r="N147">
        <v>1009</v>
      </c>
      <c r="O147" t="s">
        <v>30</v>
      </c>
      <c r="P147" t="s">
        <v>30</v>
      </c>
      <c r="Q147">
        <v>1000</v>
      </c>
      <c r="W147">
        <v>0</v>
      </c>
      <c r="X147">
        <v>601473952</v>
      </c>
      <c r="Y147">
        <f t="shared" si="51"/>
        <v>1.2E-2</v>
      </c>
      <c r="AA147">
        <v>4882.84</v>
      </c>
      <c r="AB147">
        <v>0</v>
      </c>
      <c r="AC147">
        <v>0</v>
      </c>
      <c r="AD147">
        <v>0</v>
      </c>
      <c r="AE147">
        <v>3616.92</v>
      </c>
      <c r="AF147">
        <v>0</v>
      </c>
      <c r="AG147">
        <v>0</v>
      </c>
      <c r="AH147">
        <v>0</v>
      </c>
      <c r="AI147">
        <v>1.35</v>
      </c>
      <c r="AJ147">
        <v>1</v>
      </c>
      <c r="AK147">
        <v>1</v>
      </c>
      <c r="AL147">
        <v>1</v>
      </c>
      <c r="AM147">
        <v>2</v>
      </c>
      <c r="AN147">
        <v>0</v>
      </c>
      <c r="AO147">
        <v>0</v>
      </c>
      <c r="AP147">
        <v>0</v>
      </c>
      <c r="AQ147">
        <v>1</v>
      </c>
      <c r="AR147">
        <v>0</v>
      </c>
      <c r="AS147" t="s">
        <v>3</v>
      </c>
      <c r="AT147">
        <v>1.2E-2</v>
      </c>
      <c r="AU147" t="s">
        <v>3</v>
      </c>
      <c r="AV147">
        <v>0</v>
      </c>
      <c r="AW147">
        <v>2</v>
      </c>
      <c r="AX147">
        <v>94189564</v>
      </c>
      <c r="AY147">
        <v>1</v>
      </c>
      <c r="AZ147">
        <v>0</v>
      </c>
      <c r="BA147">
        <v>147</v>
      </c>
      <c r="BB147">
        <v>1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43.403040000000004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1</v>
      </c>
      <c r="BQ147">
        <v>43.403040000000004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1</v>
      </c>
      <c r="CV147">
        <v>0</v>
      </c>
      <c r="CW147">
        <v>0</v>
      </c>
      <c r="CX147">
        <f>ROUND(Y147*Source!I145,7)</f>
        <v>2.4112999999999999E-3</v>
      </c>
      <c r="CY147">
        <f t="shared" si="62"/>
        <v>4882.84</v>
      </c>
      <c r="CZ147">
        <f t="shared" si="63"/>
        <v>3616.92</v>
      </c>
      <c r="DA147">
        <f t="shared" si="64"/>
        <v>1.35</v>
      </c>
      <c r="DB147">
        <f t="shared" si="52"/>
        <v>43.4</v>
      </c>
      <c r="DC147">
        <f t="shared" si="53"/>
        <v>0</v>
      </c>
      <c r="DD147" t="s">
        <v>3</v>
      </c>
      <c r="DE147" t="s">
        <v>3</v>
      </c>
      <c r="DF147">
        <f t="shared" si="65"/>
        <v>11.77</v>
      </c>
      <c r="DG147">
        <f t="shared" si="61"/>
        <v>0</v>
      </c>
      <c r="DH147">
        <f t="shared" si="55"/>
        <v>0</v>
      </c>
      <c r="DI147">
        <f t="shared" si="56"/>
        <v>0</v>
      </c>
      <c r="DJ147">
        <f t="shared" si="66"/>
        <v>11.77</v>
      </c>
      <c r="DK147">
        <v>0</v>
      </c>
      <c r="DL147" t="s">
        <v>3</v>
      </c>
      <c r="DM147">
        <v>0</v>
      </c>
      <c r="DN147" t="s">
        <v>3</v>
      </c>
      <c r="DO147">
        <v>0</v>
      </c>
    </row>
    <row r="148" spans="1:119" x14ac:dyDescent="0.2">
      <c r="A148">
        <f>ROW(Source!A145)</f>
        <v>145</v>
      </c>
      <c r="B148">
        <v>94104265</v>
      </c>
      <c r="C148">
        <v>94189557</v>
      </c>
      <c r="D148">
        <v>87304694</v>
      </c>
      <c r="E148">
        <v>1</v>
      </c>
      <c r="F148">
        <v>1</v>
      </c>
      <c r="G148">
        <v>1</v>
      </c>
      <c r="H148">
        <v>3</v>
      </c>
      <c r="I148" t="s">
        <v>564</v>
      </c>
      <c r="J148" t="s">
        <v>565</v>
      </c>
      <c r="K148" t="s">
        <v>566</v>
      </c>
      <c r="L148">
        <v>1346</v>
      </c>
      <c r="N148">
        <v>1009</v>
      </c>
      <c r="O148" t="s">
        <v>96</v>
      </c>
      <c r="P148" t="s">
        <v>96</v>
      </c>
      <c r="Q148">
        <v>1</v>
      </c>
      <c r="W148">
        <v>0</v>
      </c>
      <c r="X148">
        <v>-2122839911</v>
      </c>
      <c r="Y148">
        <f t="shared" si="51"/>
        <v>2.64</v>
      </c>
      <c r="AA148">
        <v>3385.29</v>
      </c>
      <c r="AB148">
        <v>0</v>
      </c>
      <c r="AC148">
        <v>0</v>
      </c>
      <c r="AD148">
        <v>0</v>
      </c>
      <c r="AE148">
        <v>2507.62</v>
      </c>
      <c r="AF148">
        <v>0</v>
      </c>
      <c r="AG148">
        <v>0</v>
      </c>
      <c r="AH148">
        <v>0</v>
      </c>
      <c r="AI148">
        <v>1.35</v>
      </c>
      <c r="AJ148">
        <v>1</v>
      </c>
      <c r="AK148">
        <v>1</v>
      </c>
      <c r="AL148">
        <v>1</v>
      </c>
      <c r="AM148">
        <v>2</v>
      </c>
      <c r="AN148">
        <v>0</v>
      </c>
      <c r="AO148">
        <v>0</v>
      </c>
      <c r="AP148">
        <v>0</v>
      </c>
      <c r="AQ148">
        <v>1</v>
      </c>
      <c r="AR148">
        <v>0</v>
      </c>
      <c r="AS148" t="s">
        <v>3</v>
      </c>
      <c r="AT148">
        <v>2.64</v>
      </c>
      <c r="AU148" t="s">
        <v>3</v>
      </c>
      <c r="AV148">
        <v>0</v>
      </c>
      <c r="AW148">
        <v>2</v>
      </c>
      <c r="AX148">
        <v>94189565</v>
      </c>
      <c r="AY148">
        <v>1</v>
      </c>
      <c r="AZ148">
        <v>0</v>
      </c>
      <c r="BA148">
        <v>148</v>
      </c>
      <c r="BB148">
        <v>1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6620.1167999999998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1</v>
      </c>
      <c r="BQ148">
        <v>6620.1167999999998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1</v>
      </c>
      <c r="CV148">
        <v>0</v>
      </c>
      <c r="CW148">
        <v>0</v>
      </c>
      <c r="CX148">
        <f>ROUND(Y148*Source!I145,7)</f>
        <v>0.5304816</v>
      </c>
      <c r="CY148">
        <f t="shared" si="62"/>
        <v>3385.29</v>
      </c>
      <c r="CZ148">
        <f t="shared" si="63"/>
        <v>2507.62</v>
      </c>
      <c r="DA148">
        <f t="shared" si="64"/>
        <v>1.35</v>
      </c>
      <c r="DB148">
        <f t="shared" si="52"/>
        <v>6620.12</v>
      </c>
      <c r="DC148">
        <f t="shared" si="53"/>
        <v>0</v>
      </c>
      <c r="DD148" t="s">
        <v>3</v>
      </c>
      <c r="DE148" t="s">
        <v>3</v>
      </c>
      <c r="DF148">
        <f t="shared" si="65"/>
        <v>1795.83</v>
      </c>
      <c r="DG148">
        <f t="shared" si="61"/>
        <v>0</v>
      </c>
      <c r="DH148">
        <f t="shared" si="55"/>
        <v>0</v>
      </c>
      <c r="DI148">
        <f t="shared" si="56"/>
        <v>0</v>
      </c>
      <c r="DJ148">
        <f t="shared" si="66"/>
        <v>1795.83</v>
      </c>
      <c r="DK148">
        <v>0</v>
      </c>
      <c r="DL148" t="s">
        <v>3</v>
      </c>
      <c r="DM148">
        <v>0</v>
      </c>
      <c r="DN148" t="s">
        <v>3</v>
      </c>
      <c r="DO148">
        <v>0</v>
      </c>
    </row>
    <row r="149" spans="1:119" x14ac:dyDescent="0.2">
      <c r="A149">
        <f>ROW(Source!A145)</f>
        <v>145</v>
      </c>
      <c r="B149">
        <v>94104265</v>
      </c>
      <c r="C149">
        <v>94189557</v>
      </c>
      <c r="D149">
        <v>87306387</v>
      </c>
      <c r="E149">
        <v>1</v>
      </c>
      <c r="F149">
        <v>1</v>
      </c>
      <c r="G149">
        <v>1</v>
      </c>
      <c r="H149">
        <v>3</v>
      </c>
      <c r="I149" t="s">
        <v>567</v>
      </c>
      <c r="J149" t="s">
        <v>568</v>
      </c>
      <c r="K149" t="s">
        <v>569</v>
      </c>
      <c r="L149">
        <v>1327</v>
      </c>
      <c r="N149">
        <v>1005</v>
      </c>
      <c r="O149" t="s">
        <v>60</v>
      </c>
      <c r="P149" t="s">
        <v>60</v>
      </c>
      <c r="Q149">
        <v>1</v>
      </c>
      <c r="W149">
        <v>0</v>
      </c>
      <c r="X149">
        <v>10451617</v>
      </c>
      <c r="Y149">
        <f t="shared" si="51"/>
        <v>0.8</v>
      </c>
      <c r="AA149">
        <v>717.44</v>
      </c>
      <c r="AB149">
        <v>0</v>
      </c>
      <c r="AC149">
        <v>0</v>
      </c>
      <c r="AD149">
        <v>0</v>
      </c>
      <c r="AE149">
        <v>531.44000000000005</v>
      </c>
      <c r="AF149">
        <v>0</v>
      </c>
      <c r="AG149">
        <v>0</v>
      </c>
      <c r="AH149">
        <v>0</v>
      </c>
      <c r="AI149">
        <v>1.35</v>
      </c>
      <c r="AJ149">
        <v>1</v>
      </c>
      <c r="AK149">
        <v>1</v>
      </c>
      <c r="AL149">
        <v>1</v>
      </c>
      <c r="AM149">
        <v>2</v>
      </c>
      <c r="AN149">
        <v>0</v>
      </c>
      <c r="AO149">
        <v>0</v>
      </c>
      <c r="AP149">
        <v>0</v>
      </c>
      <c r="AQ149">
        <v>1</v>
      </c>
      <c r="AR149">
        <v>0</v>
      </c>
      <c r="AS149" t="s">
        <v>3</v>
      </c>
      <c r="AT149">
        <v>0.8</v>
      </c>
      <c r="AU149" t="s">
        <v>3</v>
      </c>
      <c r="AV149">
        <v>0</v>
      </c>
      <c r="AW149">
        <v>2</v>
      </c>
      <c r="AX149">
        <v>94189566</v>
      </c>
      <c r="AY149">
        <v>1</v>
      </c>
      <c r="AZ149">
        <v>0</v>
      </c>
      <c r="BA149">
        <v>149</v>
      </c>
      <c r="BB149">
        <v>1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425.15200000000004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1</v>
      </c>
      <c r="BQ149">
        <v>425.15200000000004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1</v>
      </c>
      <c r="CV149">
        <v>0</v>
      </c>
      <c r="CW149">
        <v>0</v>
      </c>
      <c r="CX149">
        <f>ROUND(Y149*Source!I145,7)</f>
        <v>0.16075200000000001</v>
      </c>
      <c r="CY149">
        <f t="shared" si="62"/>
        <v>717.44</v>
      </c>
      <c r="CZ149">
        <f t="shared" si="63"/>
        <v>531.44000000000005</v>
      </c>
      <c r="DA149">
        <f t="shared" si="64"/>
        <v>1.35</v>
      </c>
      <c r="DB149">
        <f t="shared" si="52"/>
        <v>425.15</v>
      </c>
      <c r="DC149">
        <f t="shared" si="53"/>
        <v>0</v>
      </c>
      <c r="DD149" t="s">
        <v>3</v>
      </c>
      <c r="DE149" t="s">
        <v>3</v>
      </c>
      <c r="DF149">
        <f t="shared" si="65"/>
        <v>115.33</v>
      </c>
      <c r="DG149">
        <f t="shared" si="61"/>
        <v>0</v>
      </c>
      <c r="DH149">
        <f t="shared" si="55"/>
        <v>0</v>
      </c>
      <c r="DI149">
        <f t="shared" si="56"/>
        <v>0</v>
      </c>
      <c r="DJ149">
        <f t="shared" si="66"/>
        <v>115.33</v>
      </c>
      <c r="DK149">
        <v>0</v>
      </c>
      <c r="DL149" t="s">
        <v>3</v>
      </c>
      <c r="DM149">
        <v>0</v>
      </c>
      <c r="DN149" t="s">
        <v>3</v>
      </c>
      <c r="DO149">
        <v>0</v>
      </c>
    </row>
    <row r="150" spans="1:119" x14ac:dyDescent="0.2">
      <c r="A150">
        <f>ROW(Source!A145)</f>
        <v>145</v>
      </c>
      <c r="B150">
        <v>94104265</v>
      </c>
      <c r="C150">
        <v>94189557</v>
      </c>
      <c r="D150">
        <v>87322323</v>
      </c>
      <c r="E150">
        <v>1</v>
      </c>
      <c r="F150">
        <v>1</v>
      </c>
      <c r="G150">
        <v>1</v>
      </c>
      <c r="H150">
        <v>3</v>
      </c>
      <c r="I150" t="s">
        <v>570</v>
      </c>
      <c r="J150" t="s">
        <v>571</v>
      </c>
      <c r="K150" t="s">
        <v>572</v>
      </c>
      <c r="L150">
        <v>1346</v>
      </c>
      <c r="N150">
        <v>1009</v>
      </c>
      <c r="O150" t="s">
        <v>96</v>
      </c>
      <c r="P150" t="s">
        <v>96</v>
      </c>
      <c r="Q150">
        <v>1</v>
      </c>
      <c r="W150">
        <v>0</v>
      </c>
      <c r="X150">
        <v>-2105053205</v>
      </c>
      <c r="Y150">
        <f t="shared" si="51"/>
        <v>2.4300000000000002</v>
      </c>
      <c r="AA150">
        <v>100.45</v>
      </c>
      <c r="AB150">
        <v>0</v>
      </c>
      <c r="AC150">
        <v>0</v>
      </c>
      <c r="AD150">
        <v>0</v>
      </c>
      <c r="AE150">
        <v>93.01</v>
      </c>
      <c r="AF150">
        <v>0</v>
      </c>
      <c r="AG150">
        <v>0</v>
      </c>
      <c r="AH150">
        <v>0</v>
      </c>
      <c r="AI150">
        <v>1.08</v>
      </c>
      <c r="AJ150">
        <v>1</v>
      </c>
      <c r="AK150">
        <v>1</v>
      </c>
      <c r="AL150">
        <v>1</v>
      </c>
      <c r="AM150">
        <v>2</v>
      </c>
      <c r="AN150">
        <v>0</v>
      </c>
      <c r="AO150">
        <v>0</v>
      </c>
      <c r="AP150">
        <v>0</v>
      </c>
      <c r="AQ150">
        <v>1</v>
      </c>
      <c r="AR150">
        <v>0</v>
      </c>
      <c r="AS150" t="s">
        <v>3</v>
      </c>
      <c r="AT150">
        <v>2.4300000000000002</v>
      </c>
      <c r="AU150" t="s">
        <v>3</v>
      </c>
      <c r="AV150">
        <v>0</v>
      </c>
      <c r="AW150">
        <v>2</v>
      </c>
      <c r="AX150">
        <v>94189567</v>
      </c>
      <c r="AY150">
        <v>1</v>
      </c>
      <c r="AZ150">
        <v>0</v>
      </c>
      <c r="BA150">
        <v>150</v>
      </c>
      <c r="BB150">
        <v>1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226.01430000000002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1</v>
      </c>
      <c r="BQ150">
        <v>226.01430000000002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1</v>
      </c>
      <c r="CV150">
        <v>0</v>
      </c>
      <c r="CW150">
        <v>0</v>
      </c>
      <c r="CX150">
        <f>ROUND(Y150*Source!I145,7)</f>
        <v>0.4882842</v>
      </c>
      <c r="CY150">
        <f t="shared" si="62"/>
        <v>100.45</v>
      </c>
      <c r="CZ150">
        <f t="shared" si="63"/>
        <v>93.01</v>
      </c>
      <c r="DA150">
        <f t="shared" si="64"/>
        <v>1.08</v>
      </c>
      <c r="DB150">
        <f t="shared" si="52"/>
        <v>226.01</v>
      </c>
      <c r="DC150">
        <f t="shared" si="53"/>
        <v>0</v>
      </c>
      <c r="DD150" t="s">
        <v>3</v>
      </c>
      <c r="DE150" t="s">
        <v>3</v>
      </c>
      <c r="DF150">
        <f t="shared" si="65"/>
        <v>49.05</v>
      </c>
      <c r="DG150">
        <f t="shared" si="61"/>
        <v>0</v>
      </c>
      <c r="DH150">
        <f t="shared" si="55"/>
        <v>0</v>
      </c>
      <c r="DI150">
        <f t="shared" si="56"/>
        <v>0</v>
      </c>
      <c r="DJ150">
        <f t="shared" si="66"/>
        <v>49.05</v>
      </c>
      <c r="DK150">
        <v>0</v>
      </c>
      <c r="DL150" t="s">
        <v>3</v>
      </c>
      <c r="DM150">
        <v>0</v>
      </c>
      <c r="DN150" t="s">
        <v>3</v>
      </c>
      <c r="DO150">
        <v>0</v>
      </c>
    </row>
    <row r="151" spans="1:119" x14ac:dyDescent="0.2">
      <c r="A151">
        <f>ROW(Source!A145)</f>
        <v>145</v>
      </c>
      <c r="B151">
        <v>94104265</v>
      </c>
      <c r="C151">
        <v>94189557</v>
      </c>
      <c r="D151">
        <v>90250719</v>
      </c>
      <c r="E151">
        <v>1</v>
      </c>
      <c r="F151">
        <v>1</v>
      </c>
      <c r="G151">
        <v>1</v>
      </c>
      <c r="H151">
        <v>3</v>
      </c>
      <c r="I151" t="s">
        <v>231</v>
      </c>
      <c r="J151" t="s">
        <v>233</v>
      </c>
      <c r="K151" t="s">
        <v>232</v>
      </c>
      <c r="L151">
        <v>1348</v>
      </c>
      <c r="N151">
        <v>1009</v>
      </c>
      <c r="O151" t="s">
        <v>30</v>
      </c>
      <c r="P151" t="s">
        <v>30</v>
      </c>
      <c r="Q151">
        <v>1000</v>
      </c>
      <c r="W151">
        <v>0</v>
      </c>
      <c r="X151">
        <v>88817008</v>
      </c>
      <c r="Y151">
        <f t="shared" si="51"/>
        <v>6.7000000000000004E-2</v>
      </c>
      <c r="AA151">
        <v>153414.73000000001</v>
      </c>
      <c r="AB151">
        <v>0</v>
      </c>
      <c r="AC151">
        <v>0</v>
      </c>
      <c r="AD151">
        <v>0</v>
      </c>
      <c r="AE151">
        <v>87665.56</v>
      </c>
      <c r="AF151">
        <v>0</v>
      </c>
      <c r="AG151">
        <v>0</v>
      </c>
      <c r="AH151">
        <v>0</v>
      </c>
      <c r="AI151">
        <v>1.75</v>
      </c>
      <c r="AJ151">
        <v>1</v>
      </c>
      <c r="AK151">
        <v>1</v>
      </c>
      <c r="AL151">
        <v>1</v>
      </c>
      <c r="AM151">
        <v>0</v>
      </c>
      <c r="AN151">
        <v>0</v>
      </c>
      <c r="AO151">
        <v>0</v>
      </c>
      <c r="AP151">
        <v>1</v>
      </c>
      <c r="AQ151">
        <v>0</v>
      </c>
      <c r="AR151">
        <v>0</v>
      </c>
      <c r="AS151" t="s">
        <v>3</v>
      </c>
      <c r="AT151">
        <v>6.7000000000000004E-2</v>
      </c>
      <c r="AU151" t="s">
        <v>3</v>
      </c>
      <c r="AV151">
        <v>0</v>
      </c>
      <c r="AW151">
        <v>1</v>
      </c>
      <c r="AX151">
        <v>-1</v>
      </c>
      <c r="AY151">
        <v>0</v>
      </c>
      <c r="AZ151">
        <v>0</v>
      </c>
      <c r="BA151" t="s">
        <v>3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CV151">
        <v>0</v>
      </c>
      <c r="CW151">
        <v>0</v>
      </c>
      <c r="CX151">
        <f>ROUND(Y151*Source!I145,7)</f>
        <v>1.3462999999999999E-2</v>
      </c>
      <c r="CY151">
        <f t="shared" si="62"/>
        <v>153414.73000000001</v>
      </c>
      <c r="CZ151">
        <f t="shared" si="63"/>
        <v>87665.56</v>
      </c>
      <c r="DA151">
        <f t="shared" si="64"/>
        <v>1.75</v>
      </c>
      <c r="DB151">
        <f t="shared" si="52"/>
        <v>5873.59</v>
      </c>
      <c r="DC151">
        <f t="shared" si="53"/>
        <v>0</v>
      </c>
      <c r="DD151" t="s">
        <v>3</v>
      </c>
      <c r="DE151" t="s">
        <v>3</v>
      </c>
      <c r="DF151">
        <f t="shared" si="65"/>
        <v>2065.42</v>
      </c>
      <c r="DG151">
        <f t="shared" si="61"/>
        <v>0</v>
      </c>
      <c r="DH151">
        <f t="shared" si="55"/>
        <v>0</v>
      </c>
      <c r="DI151">
        <f t="shared" si="56"/>
        <v>0</v>
      </c>
      <c r="DJ151">
        <f t="shared" si="66"/>
        <v>2065.42</v>
      </c>
      <c r="DK151">
        <v>0</v>
      </c>
      <c r="DL151" t="s">
        <v>3</v>
      </c>
      <c r="DM151">
        <v>0</v>
      </c>
      <c r="DN151" t="s">
        <v>3</v>
      </c>
      <c r="DO151">
        <v>0</v>
      </c>
    </row>
    <row r="152" spans="1:119" x14ac:dyDescent="0.2">
      <c r="A152">
        <f>ROW(Source!A145)</f>
        <v>145</v>
      </c>
      <c r="B152">
        <v>94104265</v>
      </c>
      <c r="C152">
        <v>94189557</v>
      </c>
      <c r="D152">
        <v>87323233</v>
      </c>
      <c r="E152">
        <v>1</v>
      </c>
      <c r="F152">
        <v>1</v>
      </c>
      <c r="G152">
        <v>1</v>
      </c>
      <c r="H152">
        <v>3</v>
      </c>
      <c r="I152" t="s">
        <v>573</v>
      </c>
      <c r="J152" t="s">
        <v>574</v>
      </c>
      <c r="K152" t="s">
        <v>575</v>
      </c>
      <c r="L152">
        <v>1348</v>
      </c>
      <c r="N152">
        <v>1009</v>
      </c>
      <c r="O152" t="s">
        <v>30</v>
      </c>
      <c r="P152" t="s">
        <v>30</v>
      </c>
      <c r="Q152">
        <v>1000</v>
      </c>
      <c r="W152">
        <v>0</v>
      </c>
      <c r="X152">
        <v>-1798942978</v>
      </c>
      <c r="Y152">
        <f t="shared" si="51"/>
        <v>6.4000000000000003E-3</v>
      </c>
      <c r="AA152">
        <v>36342.629999999997</v>
      </c>
      <c r="AB152">
        <v>0</v>
      </c>
      <c r="AC152">
        <v>0</v>
      </c>
      <c r="AD152">
        <v>0</v>
      </c>
      <c r="AE152">
        <v>25237.94</v>
      </c>
      <c r="AF152">
        <v>0</v>
      </c>
      <c r="AG152">
        <v>0</v>
      </c>
      <c r="AH152">
        <v>0</v>
      </c>
      <c r="AI152">
        <v>1.44</v>
      </c>
      <c r="AJ152">
        <v>1</v>
      </c>
      <c r="AK152">
        <v>1</v>
      </c>
      <c r="AL152">
        <v>1</v>
      </c>
      <c r="AM152">
        <v>2</v>
      </c>
      <c r="AN152">
        <v>0</v>
      </c>
      <c r="AO152">
        <v>0</v>
      </c>
      <c r="AP152">
        <v>0</v>
      </c>
      <c r="AQ152">
        <v>1</v>
      </c>
      <c r="AR152">
        <v>0</v>
      </c>
      <c r="AS152" t="s">
        <v>3</v>
      </c>
      <c r="AT152">
        <v>6.4000000000000003E-3</v>
      </c>
      <c r="AU152" t="s">
        <v>3</v>
      </c>
      <c r="AV152">
        <v>0</v>
      </c>
      <c r="AW152">
        <v>2</v>
      </c>
      <c r="AX152">
        <v>94189569</v>
      </c>
      <c r="AY152">
        <v>1</v>
      </c>
      <c r="AZ152">
        <v>0</v>
      </c>
      <c r="BA152">
        <v>152</v>
      </c>
      <c r="BB152">
        <v>1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161.52281600000001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1</v>
      </c>
      <c r="BQ152">
        <v>161.52281600000001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1</v>
      </c>
      <c r="CV152">
        <v>0</v>
      </c>
      <c r="CW152">
        <v>0</v>
      </c>
      <c r="CX152">
        <f>ROUND(Y152*Source!I145,7)</f>
        <v>1.286E-3</v>
      </c>
      <c r="CY152">
        <f t="shared" si="62"/>
        <v>36342.629999999997</v>
      </c>
      <c r="CZ152">
        <f t="shared" si="63"/>
        <v>25237.94</v>
      </c>
      <c r="DA152">
        <f t="shared" si="64"/>
        <v>1.44</v>
      </c>
      <c r="DB152">
        <f t="shared" si="52"/>
        <v>161.52000000000001</v>
      </c>
      <c r="DC152">
        <f t="shared" si="53"/>
        <v>0</v>
      </c>
      <c r="DD152" t="s">
        <v>3</v>
      </c>
      <c r="DE152" t="s">
        <v>3</v>
      </c>
      <c r="DF152">
        <f t="shared" si="65"/>
        <v>46.74</v>
      </c>
      <c r="DG152">
        <f t="shared" si="61"/>
        <v>0</v>
      </c>
      <c r="DH152">
        <f t="shared" si="55"/>
        <v>0</v>
      </c>
      <c r="DI152">
        <f t="shared" si="56"/>
        <v>0</v>
      </c>
      <c r="DJ152">
        <f t="shared" si="66"/>
        <v>46.74</v>
      </c>
      <c r="DK152">
        <v>0</v>
      </c>
      <c r="DL152" t="s">
        <v>3</v>
      </c>
      <c r="DM152">
        <v>0</v>
      </c>
      <c r="DN152" t="s">
        <v>3</v>
      </c>
      <c r="DO152">
        <v>0</v>
      </c>
    </row>
    <row r="153" spans="1:119" x14ac:dyDescent="0.2">
      <c r="A153">
        <f>ROW(Source!A147)</f>
        <v>147</v>
      </c>
      <c r="B153">
        <v>94104265</v>
      </c>
      <c r="C153">
        <v>94189579</v>
      </c>
      <c r="D153">
        <v>90155048</v>
      </c>
      <c r="E153">
        <v>118</v>
      </c>
      <c r="F153">
        <v>1</v>
      </c>
      <c r="G153">
        <v>1</v>
      </c>
      <c r="H153">
        <v>1</v>
      </c>
      <c r="I153" t="s">
        <v>426</v>
      </c>
      <c r="J153" t="s">
        <v>3</v>
      </c>
      <c r="K153" t="s">
        <v>427</v>
      </c>
      <c r="L153">
        <v>1191</v>
      </c>
      <c r="N153">
        <v>1013</v>
      </c>
      <c r="O153" t="s">
        <v>428</v>
      </c>
      <c r="P153" t="s">
        <v>428</v>
      </c>
      <c r="Q153">
        <v>1</v>
      </c>
      <c r="W153">
        <v>0</v>
      </c>
      <c r="X153">
        <v>-907905829</v>
      </c>
      <c r="Y153">
        <f t="shared" si="51"/>
        <v>78.739999999999995</v>
      </c>
      <c r="AA153">
        <v>0</v>
      </c>
      <c r="AB153">
        <v>0</v>
      </c>
      <c r="AC153">
        <v>0</v>
      </c>
      <c r="AD153">
        <v>638.33000000000004</v>
      </c>
      <c r="AE153">
        <v>0</v>
      </c>
      <c r="AF153">
        <v>0</v>
      </c>
      <c r="AG153">
        <v>0</v>
      </c>
      <c r="AH153">
        <v>638.33000000000004</v>
      </c>
      <c r="AI153">
        <v>1</v>
      </c>
      <c r="AJ153">
        <v>1</v>
      </c>
      <c r="AK153">
        <v>1</v>
      </c>
      <c r="AL153">
        <v>1</v>
      </c>
      <c r="AM153">
        <v>-2</v>
      </c>
      <c r="AN153">
        <v>0</v>
      </c>
      <c r="AO153">
        <v>0</v>
      </c>
      <c r="AP153">
        <v>0</v>
      </c>
      <c r="AQ153">
        <v>1</v>
      </c>
      <c r="AR153">
        <v>0</v>
      </c>
      <c r="AS153" t="s">
        <v>3</v>
      </c>
      <c r="AT153">
        <v>78.739999999999995</v>
      </c>
      <c r="AU153" t="s">
        <v>3</v>
      </c>
      <c r="AV153">
        <v>1</v>
      </c>
      <c r="AW153">
        <v>2</v>
      </c>
      <c r="AX153">
        <v>94189580</v>
      </c>
      <c r="AY153">
        <v>1</v>
      </c>
      <c r="AZ153">
        <v>0</v>
      </c>
      <c r="BA153">
        <v>153</v>
      </c>
      <c r="BB153">
        <v>1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50262.104200000002</v>
      </c>
      <c r="BN153">
        <v>78.739999999999995</v>
      </c>
      <c r="BO153">
        <v>0</v>
      </c>
      <c r="BP153">
        <v>1</v>
      </c>
      <c r="BQ153">
        <v>0</v>
      </c>
      <c r="BR153">
        <v>0</v>
      </c>
      <c r="BS153">
        <v>0</v>
      </c>
      <c r="BT153">
        <v>50262.104200000002</v>
      </c>
      <c r="BU153">
        <v>78.739999999999995</v>
      </c>
      <c r="BV153">
        <v>0</v>
      </c>
      <c r="BW153">
        <v>1</v>
      </c>
      <c r="CU153">
        <f>ROUND(AT153*Source!I147*AH153*AL153,2)</f>
        <v>1592.3</v>
      </c>
      <c r="CV153">
        <f>ROUND(Y153*Source!I147,7)</f>
        <v>2.4944831999999999</v>
      </c>
      <c r="CW153">
        <v>0</v>
      </c>
      <c r="CX153">
        <f>ROUND(Y153*Source!I147,7)</f>
        <v>2.4944831999999999</v>
      </c>
      <c r="CY153">
        <f>AD153</f>
        <v>638.33000000000004</v>
      </c>
      <c r="CZ153">
        <f>AH153</f>
        <v>638.33000000000004</v>
      </c>
      <c r="DA153">
        <f>AL153</f>
        <v>1</v>
      </c>
      <c r="DB153">
        <f t="shared" si="52"/>
        <v>50262.1</v>
      </c>
      <c r="DC153">
        <f t="shared" si="53"/>
        <v>0</v>
      </c>
      <c r="DD153" t="s">
        <v>3</v>
      </c>
      <c r="DE153" t="s">
        <v>3</v>
      </c>
      <c r="DF153">
        <f t="shared" ref="DF153:DF166" si="67">ROUND(ROUND(AE153,2)*CX153,2)</f>
        <v>0</v>
      </c>
      <c r="DG153">
        <f t="shared" si="61"/>
        <v>0</v>
      </c>
      <c r="DH153">
        <f t="shared" si="55"/>
        <v>0</v>
      </c>
      <c r="DI153">
        <f t="shared" si="56"/>
        <v>1592.3</v>
      </c>
      <c r="DJ153">
        <f>DI153</f>
        <v>1592.3</v>
      </c>
      <c r="DK153">
        <v>1</v>
      </c>
      <c r="DL153" t="s">
        <v>3</v>
      </c>
      <c r="DM153">
        <v>0</v>
      </c>
      <c r="DN153" t="s">
        <v>3</v>
      </c>
      <c r="DO153">
        <v>0</v>
      </c>
    </row>
    <row r="154" spans="1:119" x14ac:dyDescent="0.2">
      <c r="A154">
        <f>ROW(Source!A147)</f>
        <v>147</v>
      </c>
      <c r="B154">
        <v>94104265</v>
      </c>
      <c r="C154">
        <v>94189579</v>
      </c>
      <c r="D154">
        <v>90155259</v>
      </c>
      <c r="E154">
        <v>118</v>
      </c>
      <c r="F154">
        <v>1</v>
      </c>
      <c r="G154">
        <v>1</v>
      </c>
      <c r="H154">
        <v>1</v>
      </c>
      <c r="I154" t="s">
        <v>429</v>
      </c>
      <c r="J154" t="s">
        <v>3</v>
      </c>
      <c r="K154" t="s">
        <v>430</v>
      </c>
      <c r="L154">
        <v>1191</v>
      </c>
      <c r="N154">
        <v>1013</v>
      </c>
      <c r="O154" t="s">
        <v>428</v>
      </c>
      <c r="P154" t="s">
        <v>428</v>
      </c>
      <c r="Q154">
        <v>1</v>
      </c>
      <c r="W154">
        <v>0</v>
      </c>
      <c r="X154">
        <v>-1417349443</v>
      </c>
      <c r="Y154">
        <f t="shared" si="51"/>
        <v>0.79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1</v>
      </c>
      <c r="AJ154">
        <v>1</v>
      </c>
      <c r="AK154">
        <v>1</v>
      </c>
      <c r="AL154">
        <v>1</v>
      </c>
      <c r="AM154">
        <v>-2</v>
      </c>
      <c r="AN154">
        <v>0</v>
      </c>
      <c r="AO154">
        <v>0</v>
      </c>
      <c r="AP154">
        <v>0</v>
      </c>
      <c r="AQ154">
        <v>1</v>
      </c>
      <c r="AR154">
        <v>0</v>
      </c>
      <c r="AS154" t="s">
        <v>3</v>
      </c>
      <c r="AT154">
        <v>0.79</v>
      </c>
      <c r="AU154" t="s">
        <v>3</v>
      </c>
      <c r="AV154">
        <v>2</v>
      </c>
      <c r="AW154">
        <v>2</v>
      </c>
      <c r="AX154">
        <v>94189581</v>
      </c>
      <c r="AY154">
        <v>1</v>
      </c>
      <c r="AZ154">
        <v>0</v>
      </c>
      <c r="BA154">
        <v>154</v>
      </c>
      <c r="BB154">
        <v>1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CV154">
        <v>0</v>
      </c>
      <c r="CW154">
        <v>0</v>
      </c>
      <c r="CX154">
        <f>ROUND(Y154*Source!I147,7)</f>
        <v>2.5027199999999999E-2</v>
      </c>
      <c r="CY154">
        <f>AD154</f>
        <v>0</v>
      </c>
      <c r="CZ154">
        <f>AH154</f>
        <v>0</v>
      </c>
      <c r="DA154">
        <f>AL154</f>
        <v>1</v>
      </c>
      <c r="DB154">
        <f t="shared" si="52"/>
        <v>0</v>
      </c>
      <c r="DC154">
        <f t="shared" si="53"/>
        <v>0</v>
      </c>
      <c r="DD154" t="s">
        <v>3</v>
      </c>
      <c r="DE154" t="s">
        <v>3</v>
      </c>
      <c r="DF154">
        <f t="shared" si="67"/>
        <v>0</v>
      </c>
      <c r="DG154">
        <f t="shared" si="61"/>
        <v>0</v>
      </c>
      <c r="DH154">
        <f t="shared" si="55"/>
        <v>0</v>
      </c>
      <c r="DI154">
        <f t="shared" si="56"/>
        <v>0</v>
      </c>
      <c r="DJ154">
        <f>DI154</f>
        <v>0</v>
      </c>
      <c r="DK154">
        <v>0</v>
      </c>
      <c r="DL154" t="s">
        <v>3</v>
      </c>
      <c r="DM154">
        <v>0</v>
      </c>
      <c r="DN154" t="s">
        <v>3</v>
      </c>
      <c r="DO154">
        <v>0</v>
      </c>
    </row>
    <row r="155" spans="1:119" x14ac:dyDescent="0.2">
      <c r="A155">
        <f>ROW(Source!A147)</f>
        <v>147</v>
      </c>
      <c r="B155">
        <v>94104265</v>
      </c>
      <c r="C155">
        <v>94189579</v>
      </c>
      <c r="D155">
        <v>90281903</v>
      </c>
      <c r="E155">
        <v>1</v>
      </c>
      <c r="F155">
        <v>1</v>
      </c>
      <c r="G155">
        <v>1</v>
      </c>
      <c r="H155">
        <v>2</v>
      </c>
      <c r="I155" t="s">
        <v>431</v>
      </c>
      <c r="J155" t="s">
        <v>432</v>
      </c>
      <c r="K155" t="s">
        <v>433</v>
      </c>
      <c r="L155">
        <v>1368</v>
      </c>
      <c r="N155">
        <v>1011</v>
      </c>
      <c r="O155" t="s">
        <v>434</v>
      </c>
      <c r="P155" t="s">
        <v>434</v>
      </c>
      <c r="Q155">
        <v>1</v>
      </c>
      <c r="W155">
        <v>0</v>
      </c>
      <c r="X155">
        <v>-566469117</v>
      </c>
      <c r="Y155">
        <f t="shared" si="51"/>
        <v>0.79</v>
      </c>
      <c r="AA155">
        <v>0</v>
      </c>
      <c r="AB155">
        <v>58.59</v>
      </c>
      <c r="AC155">
        <v>649.24</v>
      </c>
      <c r="AD155">
        <v>0</v>
      </c>
      <c r="AE155">
        <v>0</v>
      </c>
      <c r="AF155">
        <v>37.32</v>
      </c>
      <c r="AG155">
        <v>649.24</v>
      </c>
      <c r="AH155">
        <v>0</v>
      </c>
      <c r="AI155">
        <v>1</v>
      </c>
      <c r="AJ155">
        <v>1.57</v>
      </c>
      <c r="AK155">
        <v>1</v>
      </c>
      <c r="AL155">
        <v>1</v>
      </c>
      <c r="AM155">
        <v>2</v>
      </c>
      <c r="AN155">
        <v>0</v>
      </c>
      <c r="AO155">
        <v>0</v>
      </c>
      <c r="AP155">
        <v>0</v>
      </c>
      <c r="AQ155">
        <v>1</v>
      </c>
      <c r="AR155">
        <v>0</v>
      </c>
      <c r="AS155" t="s">
        <v>3</v>
      </c>
      <c r="AT155">
        <v>0.79</v>
      </c>
      <c r="AU155" t="s">
        <v>3</v>
      </c>
      <c r="AV155">
        <v>1</v>
      </c>
      <c r="AW155">
        <v>2</v>
      </c>
      <c r="AX155">
        <v>94189582</v>
      </c>
      <c r="AY155">
        <v>1</v>
      </c>
      <c r="AZ155">
        <v>0</v>
      </c>
      <c r="BA155">
        <v>155</v>
      </c>
      <c r="BB155">
        <v>1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29.482800000000001</v>
      </c>
      <c r="BL155">
        <v>512.89960000000008</v>
      </c>
      <c r="BM155">
        <v>0</v>
      </c>
      <c r="BN155">
        <v>0</v>
      </c>
      <c r="BO155">
        <v>0.79</v>
      </c>
      <c r="BP155">
        <v>1</v>
      </c>
      <c r="BQ155">
        <v>0</v>
      </c>
      <c r="BR155">
        <v>29.482800000000001</v>
      </c>
      <c r="BS155">
        <v>512.89960000000008</v>
      </c>
      <c r="BT155">
        <v>0</v>
      </c>
      <c r="BU155">
        <v>0</v>
      </c>
      <c r="BV155">
        <v>0.79</v>
      </c>
      <c r="BW155">
        <v>1</v>
      </c>
      <c r="CV155">
        <v>0</v>
      </c>
      <c r="CW155">
        <f>ROUND(Y155*Source!I147*DO155,7)</f>
        <v>2.5027199999999999E-2</v>
      </c>
      <c r="CX155">
        <f>ROUND(Y155*Source!I147,7)</f>
        <v>2.5027199999999999E-2</v>
      </c>
      <c r="CY155">
        <f>AB155</f>
        <v>58.59</v>
      </c>
      <c r="CZ155">
        <f>AF155</f>
        <v>37.32</v>
      </c>
      <c r="DA155">
        <f>AJ155</f>
        <v>1.57</v>
      </c>
      <c r="DB155">
        <f t="shared" si="52"/>
        <v>29.48</v>
      </c>
      <c r="DC155">
        <f t="shared" si="53"/>
        <v>512.9</v>
      </c>
      <c r="DD155" t="s">
        <v>3</v>
      </c>
      <c r="DE155" t="s">
        <v>3</v>
      </c>
      <c r="DF155">
        <f t="shared" si="67"/>
        <v>0</v>
      </c>
      <c r="DG155">
        <f>ROUND(ROUND(AF155*AJ155,2)*CX155,2)</f>
        <v>1.47</v>
      </c>
      <c r="DH155">
        <f t="shared" si="55"/>
        <v>16.25</v>
      </c>
      <c r="DI155">
        <f t="shared" si="56"/>
        <v>0</v>
      </c>
      <c r="DJ155">
        <f>DG155+DH155</f>
        <v>17.72</v>
      </c>
      <c r="DK155">
        <v>0</v>
      </c>
      <c r="DL155" t="s">
        <v>435</v>
      </c>
      <c r="DM155">
        <v>3</v>
      </c>
      <c r="DN155" t="s">
        <v>428</v>
      </c>
      <c r="DO155">
        <v>1</v>
      </c>
    </row>
    <row r="156" spans="1:119" x14ac:dyDescent="0.2">
      <c r="A156">
        <f>ROW(Source!A147)</f>
        <v>147</v>
      </c>
      <c r="B156">
        <v>94104265</v>
      </c>
      <c r="C156">
        <v>94189579</v>
      </c>
      <c r="D156">
        <v>90161318</v>
      </c>
      <c r="E156">
        <v>118</v>
      </c>
      <c r="F156">
        <v>1</v>
      </c>
      <c r="G156">
        <v>1</v>
      </c>
      <c r="H156">
        <v>3</v>
      </c>
      <c r="I156" t="s">
        <v>28</v>
      </c>
      <c r="J156" t="s">
        <v>3</v>
      </c>
      <c r="K156" t="s">
        <v>29</v>
      </c>
      <c r="L156">
        <v>1348</v>
      </c>
      <c r="N156">
        <v>1009</v>
      </c>
      <c r="O156" t="s">
        <v>30</v>
      </c>
      <c r="P156" t="s">
        <v>30</v>
      </c>
      <c r="Q156">
        <v>1000</v>
      </c>
      <c r="W156">
        <v>0</v>
      </c>
      <c r="X156">
        <v>2102561428</v>
      </c>
      <c r="Y156">
        <f t="shared" si="51"/>
        <v>4.3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1</v>
      </c>
      <c r="AJ156">
        <v>1</v>
      </c>
      <c r="AK156">
        <v>1</v>
      </c>
      <c r="AL156">
        <v>1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 t="s">
        <v>3</v>
      </c>
      <c r="AT156">
        <v>4.3</v>
      </c>
      <c r="AU156" t="s">
        <v>3</v>
      </c>
      <c r="AV156">
        <v>0</v>
      </c>
      <c r="AW156">
        <v>2</v>
      </c>
      <c r="AX156">
        <v>94189583</v>
      </c>
      <c r="AY156">
        <v>1</v>
      </c>
      <c r="AZ156">
        <v>0</v>
      </c>
      <c r="BA156">
        <v>156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CV156">
        <v>0</v>
      </c>
      <c r="CW156">
        <v>0</v>
      </c>
      <c r="CX156">
        <f>ROUND(Y156*Source!I147,7)</f>
        <v>0.13622400000000001</v>
      </c>
      <c r="CY156">
        <f>AA156</f>
        <v>0</v>
      </c>
      <c r="CZ156">
        <f>AE156</f>
        <v>0</v>
      </c>
      <c r="DA156">
        <f>AI156</f>
        <v>1</v>
      </c>
      <c r="DB156">
        <f t="shared" si="52"/>
        <v>0</v>
      </c>
      <c r="DC156">
        <f t="shared" si="53"/>
        <v>0</v>
      </c>
      <c r="DD156" t="s">
        <v>3</v>
      </c>
      <c r="DE156" t="s">
        <v>3</v>
      </c>
      <c r="DF156">
        <f t="shared" si="67"/>
        <v>0</v>
      </c>
      <c r="DG156">
        <f>ROUND(ROUND(AF156,2)*CX156,2)</f>
        <v>0</v>
      </c>
      <c r="DH156">
        <f t="shared" si="55"/>
        <v>0</v>
      </c>
      <c r="DI156">
        <f t="shared" si="56"/>
        <v>0</v>
      </c>
      <c r="DJ156">
        <f>DF156</f>
        <v>0</v>
      </c>
      <c r="DK156">
        <v>0</v>
      </c>
      <c r="DL156" t="s">
        <v>3</v>
      </c>
      <c r="DM156">
        <v>0</v>
      </c>
      <c r="DN156" t="s">
        <v>3</v>
      </c>
      <c r="DO156">
        <v>0</v>
      </c>
    </row>
    <row r="157" spans="1:119" x14ac:dyDescent="0.2">
      <c r="A157">
        <f>ROW(Source!A149)</f>
        <v>149</v>
      </c>
      <c r="B157">
        <v>94104265</v>
      </c>
      <c r="C157">
        <v>94189784</v>
      </c>
      <c r="D157">
        <v>90155018</v>
      </c>
      <c r="E157">
        <v>118</v>
      </c>
      <c r="F157">
        <v>1</v>
      </c>
      <c r="G157">
        <v>1</v>
      </c>
      <c r="H157">
        <v>1</v>
      </c>
      <c r="I157" t="s">
        <v>576</v>
      </c>
      <c r="J157" t="s">
        <v>3</v>
      </c>
      <c r="K157" t="s">
        <v>577</v>
      </c>
      <c r="L157">
        <v>1191</v>
      </c>
      <c r="N157">
        <v>1013</v>
      </c>
      <c r="O157" t="s">
        <v>428</v>
      </c>
      <c r="P157" t="s">
        <v>428</v>
      </c>
      <c r="Q157">
        <v>1</v>
      </c>
      <c r="W157">
        <v>0</v>
      </c>
      <c r="X157">
        <v>370475345</v>
      </c>
      <c r="Y157">
        <f t="shared" si="51"/>
        <v>16.079999999999998</v>
      </c>
      <c r="AA157">
        <v>0</v>
      </c>
      <c r="AB157">
        <v>0</v>
      </c>
      <c r="AC157">
        <v>0</v>
      </c>
      <c r="AD157">
        <v>594.67999999999995</v>
      </c>
      <c r="AE157">
        <v>0</v>
      </c>
      <c r="AF157">
        <v>0</v>
      </c>
      <c r="AG157">
        <v>0</v>
      </c>
      <c r="AH157">
        <v>594.67999999999995</v>
      </c>
      <c r="AI157">
        <v>1</v>
      </c>
      <c r="AJ157">
        <v>1</v>
      </c>
      <c r="AK157">
        <v>1</v>
      </c>
      <c r="AL157">
        <v>1</v>
      </c>
      <c r="AM157">
        <v>-2</v>
      </c>
      <c r="AN157">
        <v>0</v>
      </c>
      <c r="AO157">
        <v>0</v>
      </c>
      <c r="AP157">
        <v>0</v>
      </c>
      <c r="AQ157">
        <v>1</v>
      </c>
      <c r="AR157">
        <v>0</v>
      </c>
      <c r="AS157" t="s">
        <v>3</v>
      </c>
      <c r="AT157">
        <v>16.079999999999998</v>
      </c>
      <c r="AU157" t="s">
        <v>3</v>
      </c>
      <c r="AV157">
        <v>1</v>
      </c>
      <c r="AW157">
        <v>2</v>
      </c>
      <c r="AX157">
        <v>94189785</v>
      </c>
      <c r="AY157">
        <v>1</v>
      </c>
      <c r="AZ157">
        <v>0</v>
      </c>
      <c r="BA157">
        <v>157</v>
      </c>
      <c r="BB157">
        <v>1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9562.4543999999987</v>
      </c>
      <c r="BN157">
        <v>16.079999999999998</v>
      </c>
      <c r="BO157">
        <v>0</v>
      </c>
      <c r="BP157">
        <v>1</v>
      </c>
      <c r="BQ157">
        <v>0</v>
      </c>
      <c r="BR157">
        <v>0</v>
      </c>
      <c r="BS157">
        <v>0</v>
      </c>
      <c r="BT157">
        <v>9562.4543999999987</v>
      </c>
      <c r="BU157">
        <v>16.079999999999998</v>
      </c>
      <c r="BV157">
        <v>0</v>
      </c>
      <c r="BW157">
        <v>1</v>
      </c>
      <c r="CU157">
        <f>ROUND(AT157*Source!I149*AH157*AL157,2)</f>
        <v>2008.12</v>
      </c>
      <c r="CV157">
        <f>ROUND(Y157*Source!I149,7)</f>
        <v>3.3767999999999998</v>
      </c>
      <c r="CW157">
        <v>0</v>
      </c>
      <c r="CX157">
        <f>ROUND(Y157*Source!I149,7)</f>
        <v>3.3767999999999998</v>
      </c>
      <c r="CY157">
        <f>AD157</f>
        <v>594.67999999999995</v>
      </c>
      <c r="CZ157">
        <f>AH157</f>
        <v>594.67999999999995</v>
      </c>
      <c r="DA157">
        <f>AL157</f>
        <v>1</v>
      </c>
      <c r="DB157">
        <f t="shared" si="52"/>
        <v>9562.4500000000007</v>
      </c>
      <c r="DC157">
        <f t="shared" si="53"/>
        <v>0</v>
      </c>
      <c r="DD157" t="s">
        <v>3</v>
      </c>
      <c r="DE157" t="s">
        <v>3</v>
      </c>
      <c r="DF157">
        <f t="shared" si="67"/>
        <v>0</v>
      </c>
      <c r="DG157">
        <f>ROUND(ROUND(AF157,2)*CX157,2)</f>
        <v>0</v>
      </c>
      <c r="DH157">
        <f t="shared" si="55"/>
        <v>0</v>
      </c>
      <c r="DI157">
        <f t="shared" si="56"/>
        <v>2008.12</v>
      </c>
      <c r="DJ157">
        <f>DI157</f>
        <v>2008.12</v>
      </c>
      <c r="DK157">
        <v>1</v>
      </c>
      <c r="DL157" t="s">
        <v>3</v>
      </c>
      <c r="DM157">
        <v>0</v>
      </c>
      <c r="DN157" t="s">
        <v>3</v>
      </c>
      <c r="DO157">
        <v>0</v>
      </c>
    </row>
    <row r="158" spans="1:119" x14ac:dyDescent="0.2">
      <c r="A158">
        <f>ROW(Source!A149)</f>
        <v>149</v>
      </c>
      <c r="B158">
        <v>94104265</v>
      </c>
      <c r="C158">
        <v>94189784</v>
      </c>
      <c r="D158">
        <v>90155259</v>
      </c>
      <c r="E158">
        <v>118</v>
      </c>
      <c r="F158">
        <v>1</v>
      </c>
      <c r="G158">
        <v>1</v>
      </c>
      <c r="H158">
        <v>1</v>
      </c>
      <c r="I158" t="s">
        <v>429</v>
      </c>
      <c r="J158" t="s">
        <v>3</v>
      </c>
      <c r="K158" t="s">
        <v>430</v>
      </c>
      <c r="L158">
        <v>1191</v>
      </c>
      <c r="N158">
        <v>1013</v>
      </c>
      <c r="O158" t="s">
        <v>428</v>
      </c>
      <c r="P158" t="s">
        <v>428</v>
      </c>
      <c r="Q158">
        <v>1</v>
      </c>
      <c r="W158">
        <v>0</v>
      </c>
      <c r="X158">
        <v>-1417349443</v>
      </c>
      <c r="Y158">
        <f t="shared" si="51"/>
        <v>0.01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1</v>
      </c>
      <c r="AJ158">
        <v>1</v>
      </c>
      <c r="AK158">
        <v>1</v>
      </c>
      <c r="AL158">
        <v>1</v>
      </c>
      <c r="AM158">
        <v>-2</v>
      </c>
      <c r="AN158">
        <v>0</v>
      </c>
      <c r="AO158">
        <v>0</v>
      </c>
      <c r="AP158">
        <v>0</v>
      </c>
      <c r="AQ158">
        <v>1</v>
      </c>
      <c r="AR158">
        <v>0</v>
      </c>
      <c r="AS158" t="s">
        <v>3</v>
      </c>
      <c r="AT158">
        <v>0.01</v>
      </c>
      <c r="AU158" t="s">
        <v>3</v>
      </c>
      <c r="AV158">
        <v>2</v>
      </c>
      <c r="AW158">
        <v>2</v>
      </c>
      <c r="AX158">
        <v>94189786</v>
      </c>
      <c r="AY158">
        <v>1</v>
      </c>
      <c r="AZ158">
        <v>0</v>
      </c>
      <c r="BA158">
        <v>158</v>
      </c>
      <c r="BB158">
        <v>1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CV158">
        <v>0</v>
      </c>
      <c r="CW158">
        <v>0</v>
      </c>
      <c r="CX158">
        <f>ROUND(Y158*Source!I149,7)</f>
        <v>2.0999999999999999E-3</v>
      </c>
      <c r="CY158">
        <f>AD158</f>
        <v>0</v>
      </c>
      <c r="CZ158">
        <f>AH158</f>
        <v>0</v>
      </c>
      <c r="DA158">
        <f>AL158</f>
        <v>1</v>
      </c>
      <c r="DB158">
        <f t="shared" si="52"/>
        <v>0</v>
      </c>
      <c r="DC158">
        <f t="shared" si="53"/>
        <v>0</v>
      </c>
      <c r="DD158" t="s">
        <v>3</v>
      </c>
      <c r="DE158" t="s">
        <v>3</v>
      </c>
      <c r="DF158">
        <f t="shared" si="67"/>
        <v>0</v>
      </c>
      <c r="DG158">
        <f>ROUND(ROUND(AF158,2)*CX158,2)</f>
        <v>0</v>
      </c>
      <c r="DH158">
        <f t="shared" si="55"/>
        <v>0</v>
      </c>
      <c r="DI158">
        <f t="shared" si="56"/>
        <v>0</v>
      </c>
      <c r="DJ158">
        <f>DI158</f>
        <v>0</v>
      </c>
      <c r="DK158">
        <v>0</v>
      </c>
      <c r="DL158" t="s">
        <v>3</v>
      </c>
      <c r="DM158">
        <v>0</v>
      </c>
      <c r="DN158" t="s">
        <v>3</v>
      </c>
      <c r="DO158">
        <v>0</v>
      </c>
    </row>
    <row r="159" spans="1:119" x14ac:dyDescent="0.2">
      <c r="A159">
        <f>ROW(Source!A149)</f>
        <v>149</v>
      </c>
      <c r="B159">
        <v>94104265</v>
      </c>
      <c r="C159">
        <v>94189784</v>
      </c>
      <c r="D159">
        <v>90281903</v>
      </c>
      <c r="E159">
        <v>1</v>
      </c>
      <c r="F159">
        <v>1</v>
      </c>
      <c r="G159">
        <v>1</v>
      </c>
      <c r="H159">
        <v>2</v>
      </c>
      <c r="I159" t="s">
        <v>431</v>
      </c>
      <c r="J159" t="s">
        <v>432</v>
      </c>
      <c r="K159" t="s">
        <v>433</v>
      </c>
      <c r="L159">
        <v>1368</v>
      </c>
      <c r="N159">
        <v>1011</v>
      </c>
      <c r="O159" t="s">
        <v>434</v>
      </c>
      <c r="P159" t="s">
        <v>434</v>
      </c>
      <c r="Q159">
        <v>1</v>
      </c>
      <c r="W159">
        <v>0</v>
      </c>
      <c r="X159">
        <v>-566469117</v>
      </c>
      <c r="Y159">
        <f t="shared" si="51"/>
        <v>1.4E-2</v>
      </c>
      <c r="AA159">
        <v>0</v>
      </c>
      <c r="AB159">
        <v>58.59</v>
      </c>
      <c r="AC159">
        <v>649.24</v>
      </c>
      <c r="AD159">
        <v>0</v>
      </c>
      <c r="AE159">
        <v>0</v>
      </c>
      <c r="AF159">
        <v>37.32</v>
      </c>
      <c r="AG159">
        <v>649.24</v>
      </c>
      <c r="AH159">
        <v>0</v>
      </c>
      <c r="AI159">
        <v>1</v>
      </c>
      <c r="AJ159">
        <v>1.57</v>
      </c>
      <c r="AK159">
        <v>1</v>
      </c>
      <c r="AL159">
        <v>1</v>
      </c>
      <c r="AM159">
        <v>2</v>
      </c>
      <c r="AN159">
        <v>0</v>
      </c>
      <c r="AO159">
        <v>0</v>
      </c>
      <c r="AP159">
        <v>0</v>
      </c>
      <c r="AQ159">
        <v>1</v>
      </c>
      <c r="AR159">
        <v>0</v>
      </c>
      <c r="AS159" t="s">
        <v>3</v>
      </c>
      <c r="AT159">
        <v>1.4E-2</v>
      </c>
      <c r="AU159" t="s">
        <v>3</v>
      </c>
      <c r="AV159">
        <v>1</v>
      </c>
      <c r="AW159">
        <v>2</v>
      </c>
      <c r="AX159">
        <v>94189787</v>
      </c>
      <c r="AY159">
        <v>1</v>
      </c>
      <c r="AZ159">
        <v>0</v>
      </c>
      <c r="BA159">
        <v>159</v>
      </c>
      <c r="BB159">
        <v>1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0.52248000000000006</v>
      </c>
      <c r="BL159">
        <v>9.089360000000001</v>
      </c>
      <c r="BM159">
        <v>0</v>
      </c>
      <c r="BN159">
        <v>0</v>
      </c>
      <c r="BO159">
        <v>1.4E-2</v>
      </c>
      <c r="BP159">
        <v>1</v>
      </c>
      <c r="BQ159">
        <v>0</v>
      </c>
      <c r="BR159">
        <v>0.52248000000000006</v>
      </c>
      <c r="BS159">
        <v>9.089360000000001</v>
      </c>
      <c r="BT159">
        <v>0</v>
      </c>
      <c r="BU159">
        <v>0</v>
      </c>
      <c r="BV159">
        <v>1.4E-2</v>
      </c>
      <c r="BW159">
        <v>1</v>
      </c>
      <c r="CV159">
        <v>0</v>
      </c>
      <c r="CW159">
        <f>ROUND(Y159*Source!I149*DO159,7)</f>
        <v>2.9399999999999999E-3</v>
      </c>
      <c r="CX159">
        <f>ROUND(Y159*Source!I149,7)</f>
        <v>2.9399999999999999E-3</v>
      </c>
      <c r="CY159">
        <f>AB159</f>
        <v>58.59</v>
      </c>
      <c r="CZ159">
        <f>AF159</f>
        <v>37.32</v>
      </c>
      <c r="DA159">
        <f>AJ159</f>
        <v>1.57</v>
      </c>
      <c r="DB159">
        <f t="shared" si="52"/>
        <v>0.52</v>
      </c>
      <c r="DC159">
        <f t="shared" si="53"/>
        <v>9.09</v>
      </c>
      <c r="DD159" t="s">
        <v>3</v>
      </c>
      <c r="DE159" t="s">
        <v>3</v>
      </c>
      <c r="DF159">
        <f t="shared" si="67"/>
        <v>0</v>
      </c>
      <c r="DG159">
        <f>ROUND(ROUND(AF159*AJ159,2)*CX159,2)</f>
        <v>0.17</v>
      </c>
      <c r="DH159">
        <f t="shared" si="55"/>
        <v>1.91</v>
      </c>
      <c r="DI159">
        <f t="shared" si="56"/>
        <v>0</v>
      </c>
      <c r="DJ159">
        <f>DG159+DH159</f>
        <v>2.08</v>
      </c>
      <c r="DK159">
        <v>0</v>
      </c>
      <c r="DL159" t="s">
        <v>435</v>
      </c>
      <c r="DM159">
        <v>3</v>
      </c>
      <c r="DN159" t="s">
        <v>428</v>
      </c>
      <c r="DO159">
        <v>1</v>
      </c>
    </row>
    <row r="160" spans="1:119" x14ac:dyDescent="0.2">
      <c r="A160">
        <f>ROW(Source!A149)</f>
        <v>149</v>
      </c>
      <c r="B160">
        <v>94104265</v>
      </c>
      <c r="C160">
        <v>94189784</v>
      </c>
      <c r="D160">
        <v>90161318</v>
      </c>
      <c r="E160">
        <v>118</v>
      </c>
      <c r="F160">
        <v>1</v>
      </c>
      <c r="G160">
        <v>1</v>
      </c>
      <c r="H160">
        <v>3</v>
      </c>
      <c r="I160" t="s">
        <v>28</v>
      </c>
      <c r="J160" t="s">
        <v>3</v>
      </c>
      <c r="K160" t="s">
        <v>29</v>
      </c>
      <c r="L160">
        <v>1348</v>
      </c>
      <c r="N160">
        <v>1009</v>
      </c>
      <c r="O160" t="s">
        <v>30</v>
      </c>
      <c r="P160" t="s">
        <v>30</v>
      </c>
      <c r="Q160">
        <v>1000</v>
      </c>
      <c r="W160">
        <v>0</v>
      </c>
      <c r="X160">
        <v>2102561428</v>
      </c>
      <c r="Y160">
        <f t="shared" si="51"/>
        <v>0.12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1</v>
      </c>
      <c r="AJ160">
        <v>1</v>
      </c>
      <c r="AK160">
        <v>1</v>
      </c>
      <c r="AL160">
        <v>1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 t="s">
        <v>3</v>
      </c>
      <c r="AT160">
        <v>0.12</v>
      </c>
      <c r="AU160" t="s">
        <v>3</v>
      </c>
      <c r="AV160">
        <v>0</v>
      </c>
      <c r="AW160">
        <v>2</v>
      </c>
      <c r="AX160">
        <v>94189788</v>
      </c>
      <c r="AY160">
        <v>1</v>
      </c>
      <c r="AZ160">
        <v>0</v>
      </c>
      <c r="BA160">
        <v>160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CV160">
        <v>0</v>
      </c>
      <c r="CW160">
        <v>0</v>
      </c>
      <c r="CX160">
        <f>ROUND(Y160*Source!I149,7)</f>
        <v>2.52E-2</v>
      </c>
      <c r="CY160">
        <f>AA160</f>
        <v>0</v>
      </c>
      <c r="CZ160">
        <f>AE160</f>
        <v>0</v>
      </c>
      <c r="DA160">
        <f>AI160</f>
        <v>1</v>
      </c>
      <c r="DB160">
        <f t="shared" si="52"/>
        <v>0</v>
      </c>
      <c r="DC160">
        <f t="shared" si="53"/>
        <v>0</v>
      </c>
      <c r="DD160" t="s">
        <v>3</v>
      </c>
      <c r="DE160" t="s">
        <v>3</v>
      </c>
      <c r="DF160">
        <f t="shared" si="67"/>
        <v>0</v>
      </c>
      <c r="DG160">
        <f>ROUND(ROUND(AF160,2)*CX160,2)</f>
        <v>0</v>
      </c>
      <c r="DH160">
        <f t="shared" si="55"/>
        <v>0</v>
      </c>
      <c r="DI160">
        <f t="shared" si="56"/>
        <v>0</v>
      </c>
      <c r="DJ160">
        <f>DF160</f>
        <v>0</v>
      </c>
      <c r="DK160">
        <v>0</v>
      </c>
      <c r="DL160" t="s">
        <v>3</v>
      </c>
      <c r="DM160">
        <v>0</v>
      </c>
      <c r="DN160" t="s">
        <v>3</v>
      </c>
      <c r="DO160">
        <v>0</v>
      </c>
    </row>
    <row r="161" spans="1:119" x14ac:dyDescent="0.2">
      <c r="A161">
        <f>ROW(Source!A151)</f>
        <v>151</v>
      </c>
      <c r="B161">
        <v>94104265</v>
      </c>
      <c r="C161">
        <v>94189676</v>
      </c>
      <c r="D161">
        <v>87229759</v>
      </c>
      <c r="E161">
        <v>117</v>
      </c>
      <c r="F161">
        <v>1</v>
      </c>
      <c r="G161">
        <v>1</v>
      </c>
      <c r="H161">
        <v>1</v>
      </c>
      <c r="I161" t="s">
        <v>522</v>
      </c>
      <c r="J161" t="s">
        <v>3</v>
      </c>
      <c r="K161" t="s">
        <v>523</v>
      </c>
      <c r="L161">
        <v>1191</v>
      </c>
      <c r="N161">
        <v>1013</v>
      </c>
      <c r="O161" t="s">
        <v>428</v>
      </c>
      <c r="P161" t="s">
        <v>428</v>
      </c>
      <c r="Q161">
        <v>1</v>
      </c>
      <c r="W161">
        <v>0</v>
      </c>
      <c r="X161">
        <v>1958912953</v>
      </c>
      <c r="Y161">
        <f>(AT161*ROUND(1.15,7))</f>
        <v>356.983</v>
      </c>
      <c r="AA161">
        <v>0</v>
      </c>
      <c r="AB161">
        <v>0</v>
      </c>
      <c r="AC161">
        <v>0</v>
      </c>
      <c r="AD161">
        <v>665.61</v>
      </c>
      <c r="AE161">
        <v>0</v>
      </c>
      <c r="AF161">
        <v>0</v>
      </c>
      <c r="AG161">
        <v>0</v>
      </c>
      <c r="AH161">
        <v>665.61</v>
      </c>
      <c r="AI161">
        <v>1</v>
      </c>
      <c r="AJ161">
        <v>1</v>
      </c>
      <c r="AK161">
        <v>1</v>
      </c>
      <c r="AL161">
        <v>1</v>
      </c>
      <c r="AM161">
        <v>-2</v>
      </c>
      <c r="AN161">
        <v>0</v>
      </c>
      <c r="AO161">
        <v>0</v>
      </c>
      <c r="AP161">
        <v>1</v>
      </c>
      <c r="AQ161">
        <v>1</v>
      </c>
      <c r="AR161">
        <v>0</v>
      </c>
      <c r="AS161" t="s">
        <v>3</v>
      </c>
      <c r="AT161">
        <v>310.42</v>
      </c>
      <c r="AU161" t="s">
        <v>243</v>
      </c>
      <c r="AV161">
        <v>1</v>
      </c>
      <c r="AW161">
        <v>2</v>
      </c>
      <c r="AX161">
        <v>94189677</v>
      </c>
      <c r="AY161">
        <v>1</v>
      </c>
      <c r="AZ161">
        <v>0</v>
      </c>
      <c r="BA161">
        <v>161</v>
      </c>
      <c r="BB161">
        <v>1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206618.65620000003</v>
      </c>
      <c r="BN161">
        <v>310.42</v>
      </c>
      <c r="BO161">
        <v>0</v>
      </c>
      <c r="BP161">
        <v>1</v>
      </c>
      <c r="BQ161">
        <v>0</v>
      </c>
      <c r="BR161">
        <v>0</v>
      </c>
      <c r="BS161">
        <v>0</v>
      </c>
      <c r="BT161">
        <v>237611.45463000002</v>
      </c>
      <c r="BU161">
        <v>356.983</v>
      </c>
      <c r="BV161">
        <v>0</v>
      </c>
      <c r="BW161">
        <v>1</v>
      </c>
      <c r="CU161">
        <f>ROUND(AT161*Source!I151*AH161*AL161,2)</f>
        <v>6545.68</v>
      </c>
      <c r="CV161">
        <f>ROUND(Y161*Source!I151,7)</f>
        <v>11.3092214</v>
      </c>
      <c r="CW161">
        <v>0</v>
      </c>
      <c r="CX161">
        <f>ROUND(Y161*Source!I151,7)</f>
        <v>11.3092214</v>
      </c>
      <c r="CY161">
        <f>AD161</f>
        <v>665.61</v>
      </c>
      <c r="CZ161">
        <f>AH161</f>
        <v>665.61</v>
      </c>
      <c r="DA161">
        <f>AL161</f>
        <v>1</v>
      </c>
      <c r="DB161">
        <f>ROUND((ROUND(AT161*CZ161,2)*ROUND(1.15,7)),6)</f>
        <v>237611.459</v>
      </c>
      <c r="DC161">
        <f>ROUND((ROUND(AT161*AG161,2)*ROUND(1.15,7)),6)</f>
        <v>0</v>
      </c>
      <c r="DD161" t="s">
        <v>3</v>
      </c>
      <c r="DE161" t="s">
        <v>3</v>
      </c>
      <c r="DF161">
        <f t="shared" si="67"/>
        <v>0</v>
      </c>
      <c r="DG161">
        <f>ROUND(ROUND(AF161,2)*CX161,2)</f>
        <v>0</v>
      </c>
      <c r="DH161">
        <f t="shared" si="55"/>
        <v>0</v>
      </c>
      <c r="DI161">
        <f t="shared" si="56"/>
        <v>7527.53</v>
      </c>
      <c r="DJ161">
        <f>DI161</f>
        <v>7527.53</v>
      </c>
      <c r="DK161">
        <v>1</v>
      </c>
      <c r="DL161" t="s">
        <v>3</v>
      </c>
      <c r="DM161">
        <v>0</v>
      </c>
      <c r="DN161" t="s">
        <v>3</v>
      </c>
      <c r="DO161">
        <v>0</v>
      </c>
    </row>
    <row r="162" spans="1:119" x14ac:dyDescent="0.2">
      <c r="A162">
        <f>ROW(Source!A151)</f>
        <v>151</v>
      </c>
      <c r="B162">
        <v>94104265</v>
      </c>
      <c r="C162">
        <v>94189676</v>
      </c>
      <c r="D162">
        <v>87229949</v>
      </c>
      <c r="E162">
        <v>117</v>
      </c>
      <c r="F162">
        <v>1</v>
      </c>
      <c r="G162">
        <v>1</v>
      </c>
      <c r="H162">
        <v>1</v>
      </c>
      <c r="I162" t="s">
        <v>429</v>
      </c>
      <c r="J162" t="s">
        <v>3</v>
      </c>
      <c r="K162" t="s">
        <v>430</v>
      </c>
      <c r="L162">
        <v>1191</v>
      </c>
      <c r="N162">
        <v>1013</v>
      </c>
      <c r="O162" t="s">
        <v>428</v>
      </c>
      <c r="P162" t="s">
        <v>428</v>
      </c>
      <c r="Q162">
        <v>1</v>
      </c>
      <c r="W162">
        <v>0</v>
      </c>
      <c r="X162">
        <v>-1417349443</v>
      </c>
      <c r="Y162">
        <f>(AT162*ROUND(1.25,7))</f>
        <v>2.1625000000000001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1</v>
      </c>
      <c r="AJ162">
        <v>1</v>
      </c>
      <c r="AK162">
        <v>1</v>
      </c>
      <c r="AL162">
        <v>1</v>
      </c>
      <c r="AM162">
        <v>-2</v>
      </c>
      <c r="AN162">
        <v>0</v>
      </c>
      <c r="AO162">
        <v>0</v>
      </c>
      <c r="AP162">
        <v>1</v>
      </c>
      <c r="AQ162">
        <v>1</v>
      </c>
      <c r="AR162">
        <v>0</v>
      </c>
      <c r="AS162" t="s">
        <v>3</v>
      </c>
      <c r="AT162">
        <v>1.73</v>
      </c>
      <c r="AU162" t="s">
        <v>242</v>
      </c>
      <c r="AV162">
        <v>2</v>
      </c>
      <c r="AW162">
        <v>2</v>
      </c>
      <c r="AX162">
        <v>94189678</v>
      </c>
      <c r="AY162">
        <v>1</v>
      </c>
      <c r="AZ162">
        <v>0</v>
      </c>
      <c r="BA162">
        <v>162</v>
      </c>
      <c r="BB162">
        <v>1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CV162">
        <v>0</v>
      </c>
      <c r="CW162">
        <v>0</v>
      </c>
      <c r="CX162">
        <f>ROUND(Y162*Source!I151,7)</f>
        <v>6.8507999999999999E-2</v>
      </c>
      <c r="CY162">
        <f>AD162</f>
        <v>0</v>
      </c>
      <c r="CZ162">
        <f>AH162</f>
        <v>0</v>
      </c>
      <c r="DA162">
        <f>AL162</f>
        <v>1</v>
      </c>
      <c r="DB162">
        <f>ROUND((ROUND(AT162*CZ162,2)*ROUND(1.25,7)),6)</f>
        <v>0</v>
      </c>
      <c r="DC162">
        <f>ROUND((ROUND(AT162*AG162,2)*ROUND(1.25,7)),6)</f>
        <v>0</v>
      </c>
      <c r="DD162" t="s">
        <v>3</v>
      </c>
      <c r="DE162" t="s">
        <v>3</v>
      </c>
      <c r="DF162">
        <f t="shared" si="67"/>
        <v>0</v>
      </c>
      <c r="DG162">
        <f>ROUND(ROUND(AF162,2)*CX162,2)</f>
        <v>0</v>
      </c>
      <c r="DH162">
        <f t="shared" si="55"/>
        <v>0</v>
      </c>
      <c r="DI162">
        <f t="shared" si="56"/>
        <v>0</v>
      </c>
      <c r="DJ162">
        <f>DI162</f>
        <v>0</v>
      </c>
      <c r="DK162">
        <v>0</v>
      </c>
      <c r="DL162" t="s">
        <v>3</v>
      </c>
      <c r="DM162">
        <v>0</v>
      </c>
      <c r="DN162" t="s">
        <v>3</v>
      </c>
      <c r="DO162">
        <v>0</v>
      </c>
    </row>
    <row r="163" spans="1:119" x14ac:dyDescent="0.2">
      <c r="A163">
        <f>ROW(Source!A151)</f>
        <v>151</v>
      </c>
      <c r="B163">
        <v>94104265</v>
      </c>
      <c r="C163">
        <v>94189676</v>
      </c>
      <c r="D163">
        <v>87236385</v>
      </c>
      <c r="E163">
        <v>1</v>
      </c>
      <c r="F163">
        <v>1</v>
      </c>
      <c r="G163">
        <v>1</v>
      </c>
      <c r="H163">
        <v>2</v>
      </c>
      <c r="I163" t="s">
        <v>524</v>
      </c>
      <c r="J163" t="s">
        <v>525</v>
      </c>
      <c r="K163" t="s">
        <v>526</v>
      </c>
      <c r="L163">
        <v>1368</v>
      </c>
      <c r="N163">
        <v>1011</v>
      </c>
      <c r="O163" t="s">
        <v>434</v>
      </c>
      <c r="P163" t="s">
        <v>434</v>
      </c>
      <c r="Q163">
        <v>1</v>
      </c>
      <c r="W163">
        <v>0</v>
      </c>
      <c r="X163">
        <v>1158292232</v>
      </c>
      <c r="Y163">
        <f>(AT163*ROUND(1.25,7))</f>
        <v>2.5000000000000001E-2</v>
      </c>
      <c r="AA163">
        <v>0</v>
      </c>
      <c r="AB163">
        <v>372.62</v>
      </c>
      <c r="AC163">
        <v>982.04</v>
      </c>
      <c r="AD163">
        <v>0</v>
      </c>
      <c r="AE163">
        <v>0</v>
      </c>
      <c r="AF163">
        <v>251.77</v>
      </c>
      <c r="AG163">
        <v>982.04</v>
      </c>
      <c r="AH163">
        <v>0</v>
      </c>
      <c r="AI163">
        <v>1</v>
      </c>
      <c r="AJ163">
        <v>1.48</v>
      </c>
      <c r="AK163">
        <v>1</v>
      </c>
      <c r="AL163">
        <v>1</v>
      </c>
      <c r="AM163">
        <v>2</v>
      </c>
      <c r="AN163">
        <v>0</v>
      </c>
      <c r="AO163">
        <v>0</v>
      </c>
      <c r="AP163">
        <v>1</v>
      </c>
      <c r="AQ163">
        <v>1</v>
      </c>
      <c r="AR163">
        <v>0</v>
      </c>
      <c r="AS163" t="s">
        <v>3</v>
      </c>
      <c r="AT163">
        <v>0.02</v>
      </c>
      <c r="AU163" t="s">
        <v>242</v>
      </c>
      <c r="AV163">
        <v>1</v>
      </c>
      <c r="AW163">
        <v>2</v>
      </c>
      <c r="AX163">
        <v>94189679</v>
      </c>
      <c r="AY163">
        <v>1</v>
      </c>
      <c r="AZ163">
        <v>0</v>
      </c>
      <c r="BA163">
        <v>163</v>
      </c>
      <c r="BB163">
        <v>1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5.0354000000000001</v>
      </c>
      <c r="BL163">
        <v>19.640799999999999</v>
      </c>
      <c r="BM163">
        <v>0</v>
      </c>
      <c r="BN163">
        <v>0</v>
      </c>
      <c r="BO163">
        <v>0.02</v>
      </c>
      <c r="BP163">
        <v>1</v>
      </c>
      <c r="BQ163">
        <v>0</v>
      </c>
      <c r="BR163">
        <v>6.2942500000000008</v>
      </c>
      <c r="BS163">
        <v>24.551000000000002</v>
      </c>
      <c r="BT163">
        <v>0</v>
      </c>
      <c r="BU163">
        <v>0</v>
      </c>
      <c r="BV163">
        <v>2.5000000000000001E-2</v>
      </c>
      <c r="BW163">
        <v>1</v>
      </c>
      <c r="CV163">
        <v>0</v>
      </c>
      <c r="CW163">
        <f>ROUND(Y163*Source!I151*DO163,7)</f>
        <v>7.9199999999999995E-4</v>
      </c>
      <c r="CX163">
        <f>ROUND(Y163*Source!I151,7)</f>
        <v>7.9199999999999995E-4</v>
      </c>
      <c r="CY163">
        <f>AB163</f>
        <v>372.62</v>
      </c>
      <c r="CZ163">
        <f>AF163</f>
        <v>251.77</v>
      </c>
      <c r="DA163">
        <f>AJ163</f>
        <v>1.48</v>
      </c>
      <c r="DB163">
        <f>ROUND((ROUND(AT163*CZ163,2)*ROUND(1.25,7)),6)</f>
        <v>6.3</v>
      </c>
      <c r="DC163">
        <f>ROUND((ROUND(AT163*AG163,2)*ROUND(1.25,7)),6)</f>
        <v>24.55</v>
      </c>
      <c r="DD163" t="s">
        <v>3</v>
      </c>
      <c r="DE163" t="s">
        <v>3</v>
      </c>
      <c r="DF163">
        <f t="shared" si="67"/>
        <v>0</v>
      </c>
      <c r="DG163">
        <f>ROUND(ROUND(AF163*AJ163,2)*CX163,2)</f>
        <v>0.3</v>
      </c>
      <c r="DH163">
        <f t="shared" si="55"/>
        <v>0.78</v>
      </c>
      <c r="DI163">
        <f t="shared" si="56"/>
        <v>0</v>
      </c>
      <c r="DJ163">
        <f>DG163+DH163</f>
        <v>1.08</v>
      </c>
      <c r="DK163">
        <v>0</v>
      </c>
      <c r="DL163" t="s">
        <v>456</v>
      </c>
      <c r="DM163">
        <v>6</v>
      </c>
      <c r="DN163" t="s">
        <v>428</v>
      </c>
      <c r="DO163">
        <v>1</v>
      </c>
    </row>
    <row r="164" spans="1:119" x14ac:dyDescent="0.2">
      <c r="A164">
        <f>ROW(Source!A151)</f>
        <v>151</v>
      </c>
      <c r="B164">
        <v>94104265</v>
      </c>
      <c r="C164">
        <v>94189676</v>
      </c>
      <c r="D164">
        <v>87236438</v>
      </c>
      <c r="E164">
        <v>1</v>
      </c>
      <c r="F164">
        <v>1</v>
      </c>
      <c r="G164">
        <v>1</v>
      </c>
      <c r="H164">
        <v>2</v>
      </c>
      <c r="I164" t="s">
        <v>453</v>
      </c>
      <c r="J164" t="s">
        <v>454</v>
      </c>
      <c r="K164" t="s">
        <v>455</v>
      </c>
      <c r="L164">
        <v>1368</v>
      </c>
      <c r="N164">
        <v>1011</v>
      </c>
      <c r="O164" t="s">
        <v>434</v>
      </c>
      <c r="P164" t="s">
        <v>434</v>
      </c>
      <c r="Q164">
        <v>1</v>
      </c>
      <c r="W164">
        <v>0</v>
      </c>
      <c r="X164">
        <v>639918019</v>
      </c>
      <c r="Y164">
        <f>(AT164*ROUND(1.25,7))</f>
        <v>1.2500000000000001E-2</v>
      </c>
      <c r="AA164">
        <v>0</v>
      </c>
      <c r="AB164">
        <v>1585.56</v>
      </c>
      <c r="AC164">
        <v>982.04</v>
      </c>
      <c r="AD164">
        <v>0</v>
      </c>
      <c r="AE164">
        <v>0</v>
      </c>
      <c r="AF164">
        <v>1585.56</v>
      </c>
      <c r="AG164">
        <v>982.04</v>
      </c>
      <c r="AH164">
        <v>0</v>
      </c>
      <c r="AI164">
        <v>1</v>
      </c>
      <c r="AJ164">
        <v>1</v>
      </c>
      <c r="AK164">
        <v>1</v>
      </c>
      <c r="AL164">
        <v>1</v>
      </c>
      <c r="AM164">
        <v>-2</v>
      </c>
      <c r="AN164">
        <v>0</v>
      </c>
      <c r="AO164">
        <v>0</v>
      </c>
      <c r="AP164">
        <v>1</v>
      </c>
      <c r="AQ164">
        <v>1</v>
      </c>
      <c r="AR164">
        <v>0</v>
      </c>
      <c r="AS164" t="s">
        <v>3</v>
      </c>
      <c r="AT164">
        <v>0.01</v>
      </c>
      <c r="AU164" t="s">
        <v>242</v>
      </c>
      <c r="AV164">
        <v>1</v>
      </c>
      <c r="AW164">
        <v>2</v>
      </c>
      <c r="AX164">
        <v>94189680</v>
      </c>
      <c r="AY164">
        <v>1</v>
      </c>
      <c r="AZ164">
        <v>0</v>
      </c>
      <c r="BA164">
        <v>164</v>
      </c>
      <c r="BB164">
        <v>1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15.855599999999999</v>
      </c>
      <c r="BL164">
        <v>9.8203999999999994</v>
      </c>
      <c r="BM164">
        <v>0</v>
      </c>
      <c r="BN164">
        <v>0</v>
      </c>
      <c r="BO164">
        <v>0.01</v>
      </c>
      <c r="BP164">
        <v>1</v>
      </c>
      <c r="BQ164">
        <v>0</v>
      </c>
      <c r="BR164">
        <v>19.819500000000001</v>
      </c>
      <c r="BS164">
        <v>12.275500000000001</v>
      </c>
      <c r="BT164">
        <v>0</v>
      </c>
      <c r="BU164">
        <v>0</v>
      </c>
      <c r="BV164">
        <v>1.2500000000000001E-2</v>
      </c>
      <c r="BW164">
        <v>1</v>
      </c>
      <c r="CV164">
        <v>0</v>
      </c>
      <c r="CW164">
        <f>ROUND(Y164*Source!I151*DO164,7)</f>
        <v>3.9599999999999998E-4</v>
      </c>
      <c r="CX164">
        <f>ROUND(Y164*Source!I151,7)</f>
        <v>3.9599999999999998E-4</v>
      </c>
      <c r="CY164">
        <f>AB164</f>
        <v>1585.56</v>
      </c>
      <c r="CZ164">
        <f>AF164</f>
        <v>1585.56</v>
      </c>
      <c r="DA164">
        <f>AJ164</f>
        <v>1</v>
      </c>
      <c r="DB164">
        <f>ROUND((ROUND(AT164*CZ164,2)*ROUND(1.25,7)),6)</f>
        <v>19.824999999999999</v>
      </c>
      <c r="DC164">
        <f>ROUND((ROUND(AT164*AG164,2)*ROUND(1.25,7)),6)</f>
        <v>12.275</v>
      </c>
      <c r="DD164" t="s">
        <v>3</v>
      </c>
      <c r="DE164" t="s">
        <v>3</v>
      </c>
      <c r="DF164">
        <f t="shared" si="67"/>
        <v>0</v>
      </c>
      <c r="DG164">
        <f>ROUND(ROUND(AF164,2)*CX164,2)</f>
        <v>0.63</v>
      </c>
      <c r="DH164">
        <f t="shared" si="55"/>
        <v>0.39</v>
      </c>
      <c r="DI164">
        <f t="shared" si="56"/>
        <v>0</v>
      </c>
      <c r="DJ164">
        <f>DG164+DH164</f>
        <v>1.02</v>
      </c>
      <c r="DK164">
        <v>1</v>
      </c>
      <c r="DL164" t="s">
        <v>456</v>
      </c>
      <c r="DM164">
        <v>6</v>
      </c>
      <c r="DN164" t="s">
        <v>428</v>
      </c>
      <c r="DO164">
        <v>1</v>
      </c>
    </row>
    <row r="165" spans="1:119" x14ac:dyDescent="0.2">
      <c r="A165">
        <f>ROW(Source!A151)</f>
        <v>151</v>
      </c>
      <c r="B165">
        <v>94104265</v>
      </c>
      <c r="C165">
        <v>94189676</v>
      </c>
      <c r="D165">
        <v>87236730</v>
      </c>
      <c r="E165">
        <v>1</v>
      </c>
      <c r="F165">
        <v>1</v>
      </c>
      <c r="G165">
        <v>1</v>
      </c>
      <c r="H165">
        <v>2</v>
      </c>
      <c r="I165" t="s">
        <v>527</v>
      </c>
      <c r="J165" t="s">
        <v>528</v>
      </c>
      <c r="K165" t="s">
        <v>529</v>
      </c>
      <c r="L165">
        <v>1368</v>
      </c>
      <c r="N165">
        <v>1011</v>
      </c>
      <c r="O165" t="s">
        <v>434</v>
      </c>
      <c r="P165" t="s">
        <v>434</v>
      </c>
      <c r="Q165">
        <v>1</v>
      </c>
      <c r="W165">
        <v>0</v>
      </c>
      <c r="X165">
        <v>-903812129</v>
      </c>
      <c r="Y165">
        <f>(AT165*ROUND(1.25,7))</f>
        <v>2.1124999999999998</v>
      </c>
      <c r="AA165">
        <v>0</v>
      </c>
      <c r="AB165">
        <v>3.81</v>
      </c>
      <c r="AC165">
        <v>649.24</v>
      </c>
      <c r="AD165">
        <v>0</v>
      </c>
      <c r="AE165">
        <v>0</v>
      </c>
      <c r="AF165">
        <v>2.31</v>
      </c>
      <c r="AG165">
        <v>649.24</v>
      </c>
      <c r="AH165">
        <v>0</v>
      </c>
      <c r="AI165">
        <v>1</v>
      </c>
      <c r="AJ165">
        <v>1.65</v>
      </c>
      <c r="AK165">
        <v>1</v>
      </c>
      <c r="AL165">
        <v>1</v>
      </c>
      <c r="AM165">
        <v>2</v>
      </c>
      <c r="AN165">
        <v>0</v>
      </c>
      <c r="AO165">
        <v>0</v>
      </c>
      <c r="AP165">
        <v>1</v>
      </c>
      <c r="AQ165">
        <v>1</v>
      </c>
      <c r="AR165">
        <v>0</v>
      </c>
      <c r="AS165" t="s">
        <v>3</v>
      </c>
      <c r="AT165">
        <v>1.69</v>
      </c>
      <c r="AU165" t="s">
        <v>242</v>
      </c>
      <c r="AV165">
        <v>1</v>
      </c>
      <c r="AW165">
        <v>2</v>
      </c>
      <c r="AX165">
        <v>94189681</v>
      </c>
      <c r="AY165">
        <v>1</v>
      </c>
      <c r="AZ165">
        <v>0</v>
      </c>
      <c r="BA165">
        <v>165</v>
      </c>
      <c r="BB165">
        <v>1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3.9039000000000001</v>
      </c>
      <c r="BL165">
        <v>1097.2156</v>
      </c>
      <c r="BM165">
        <v>0</v>
      </c>
      <c r="BN165">
        <v>0</v>
      </c>
      <c r="BO165">
        <v>1.69</v>
      </c>
      <c r="BP165">
        <v>1</v>
      </c>
      <c r="BQ165">
        <v>0</v>
      </c>
      <c r="BR165">
        <v>4.8798749999999993</v>
      </c>
      <c r="BS165">
        <v>1371.5194999999999</v>
      </c>
      <c r="BT165">
        <v>0</v>
      </c>
      <c r="BU165">
        <v>0</v>
      </c>
      <c r="BV165">
        <v>2.1124999999999998</v>
      </c>
      <c r="BW165">
        <v>1</v>
      </c>
      <c r="CV165">
        <v>0</v>
      </c>
      <c r="CW165">
        <f>ROUND(Y165*Source!I151*DO165,7)</f>
        <v>6.6923999999999997E-2</v>
      </c>
      <c r="CX165">
        <f>ROUND(Y165*Source!I151,7)</f>
        <v>6.6923999999999997E-2</v>
      </c>
      <c r="CY165">
        <f>AB165</f>
        <v>3.81</v>
      </c>
      <c r="CZ165">
        <f>AF165</f>
        <v>2.31</v>
      </c>
      <c r="DA165">
        <f>AJ165</f>
        <v>1.65</v>
      </c>
      <c r="DB165">
        <f>ROUND((ROUND(AT165*CZ165,2)*ROUND(1.25,7)),6)</f>
        <v>4.875</v>
      </c>
      <c r="DC165">
        <f>ROUND((ROUND(AT165*AG165,2)*ROUND(1.25,7)),6)</f>
        <v>1371.5250000000001</v>
      </c>
      <c r="DD165" t="s">
        <v>3</v>
      </c>
      <c r="DE165" t="s">
        <v>3</v>
      </c>
      <c r="DF165">
        <f t="shared" si="67"/>
        <v>0</v>
      </c>
      <c r="DG165">
        <f>ROUND(ROUND(AF165*AJ165,2)*CX165,2)</f>
        <v>0.25</v>
      </c>
      <c r="DH165">
        <f t="shared" si="55"/>
        <v>43.45</v>
      </c>
      <c r="DI165">
        <f t="shared" si="56"/>
        <v>0</v>
      </c>
      <c r="DJ165">
        <f>DG165+DH165</f>
        <v>43.7</v>
      </c>
      <c r="DK165">
        <v>0</v>
      </c>
      <c r="DL165" t="s">
        <v>435</v>
      </c>
      <c r="DM165">
        <v>3</v>
      </c>
      <c r="DN165" t="s">
        <v>428</v>
      </c>
      <c r="DO165">
        <v>1</v>
      </c>
    </row>
    <row r="166" spans="1:119" x14ac:dyDescent="0.2">
      <c r="A166">
        <f>ROW(Source!A151)</f>
        <v>151</v>
      </c>
      <c r="B166">
        <v>94104265</v>
      </c>
      <c r="C166">
        <v>94189676</v>
      </c>
      <c r="D166">
        <v>87237333</v>
      </c>
      <c r="E166">
        <v>1</v>
      </c>
      <c r="F166">
        <v>1</v>
      </c>
      <c r="G166">
        <v>1</v>
      </c>
      <c r="H166">
        <v>2</v>
      </c>
      <c r="I166" t="s">
        <v>463</v>
      </c>
      <c r="J166" t="s">
        <v>464</v>
      </c>
      <c r="K166" t="s">
        <v>465</v>
      </c>
      <c r="L166">
        <v>1368</v>
      </c>
      <c r="N166">
        <v>1011</v>
      </c>
      <c r="O166" t="s">
        <v>434</v>
      </c>
      <c r="P166" t="s">
        <v>434</v>
      </c>
      <c r="Q166">
        <v>1</v>
      </c>
      <c r="W166">
        <v>0</v>
      </c>
      <c r="X166">
        <v>-849950259</v>
      </c>
      <c r="Y166">
        <f>(AT166*ROUND(1.25,7))</f>
        <v>1.2500000000000001E-2</v>
      </c>
      <c r="AA166">
        <v>0</v>
      </c>
      <c r="AB166">
        <v>544.91999999999996</v>
      </c>
      <c r="AC166">
        <v>731.08</v>
      </c>
      <c r="AD166">
        <v>0</v>
      </c>
      <c r="AE166">
        <v>0</v>
      </c>
      <c r="AF166">
        <v>544.91999999999996</v>
      </c>
      <c r="AG166">
        <v>731.08</v>
      </c>
      <c r="AH166">
        <v>0</v>
      </c>
      <c r="AI166">
        <v>1</v>
      </c>
      <c r="AJ166">
        <v>1</v>
      </c>
      <c r="AK166">
        <v>1</v>
      </c>
      <c r="AL166">
        <v>1</v>
      </c>
      <c r="AM166">
        <v>-2</v>
      </c>
      <c r="AN166">
        <v>0</v>
      </c>
      <c r="AO166">
        <v>0</v>
      </c>
      <c r="AP166">
        <v>1</v>
      </c>
      <c r="AQ166">
        <v>1</v>
      </c>
      <c r="AR166">
        <v>0</v>
      </c>
      <c r="AS166" t="s">
        <v>3</v>
      </c>
      <c r="AT166">
        <v>0.01</v>
      </c>
      <c r="AU166" t="s">
        <v>242</v>
      </c>
      <c r="AV166">
        <v>1</v>
      </c>
      <c r="AW166">
        <v>2</v>
      </c>
      <c r="AX166">
        <v>94189682</v>
      </c>
      <c r="AY166">
        <v>1</v>
      </c>
      <c r="AZ166">
        <v>0</v>
      </c>
      <c r="BA166">
        <v>166</v>
      </c>
      <c r="BB166">
        <v>1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5.4491999999999994</v>
      </c>
      <c r="BL166">
        <v>7.3108000000000004</v>
      </c>
      <c r="BM166">
        <v>0</v>
      </c>
      <c r="BN166">
        <v>0</v>
      </c>
      <c r="BO166">
        <v>0.01</v>
      </c>
      <c r="BP166">
        <v>1</v>
      </c>
      <c r="BQ166">
        <v>0</v>
      </c>
      <c r="BR166">
        <v>6.8114999999999997</v>
      </c>
      <c r="BS166">
        <v>9.1385000000000005</v>
      </c>
      <c r="BT166">
        <v>0</v>
      </c>
      <c r="BU166">
        <v>0</v>
      </c>
      <c r="BV166">
        <v>1.2500000000000001E-2</v>
      </c>
      <c r="BW166">
        <v>1</v>
      </c>
      <c r="CV166">
        <v>0</v>
      </c>
      <c r="CW166">
        <f>ROUND(Y166*Source!I151*DO166,7)</f>
        <v>3.9599999999999998E-4</v>
      </c>
      <c r="CX166">
        <f>ROUND(Y166*Source!I151,7)</f>
        <v>3.9599999999999998E-4</v>
      </c>
      <c r="CY166">
        <f>AB166</f>
        <v>544.91999999999996</v>
      </c>
      <c r="CZ166">
        <f>AF166</f>
        <v>544.91999999999996</v>
      </c>
      <c r="DA166">
        <f>AJ166</f>
        <v>1</v>
      </c>
      <c r="DB166">
        <f>ROUND((ROUND(AT166*CZ166,2)*ROUND(1.25,7)),6)</f>
        <v>6.8125</v>
      </c>
      <c r="DC166">
        <f>ROUND((ROUND(AT166*AG166,2)*ROUND(1.25,7)),6)</f>
        <v>9.1374999999999993</v>
      </c>
      <c r="DD166" t="s">
        <v>3</v>
      </c>
      <c r="DE166" t="s">
        <v>3</v>
      </c>
      <c r="DF166">
        <f t="shared" si="67"/>
        <v>0</v>
      </c>
      <c r="DG166">
        <f t="shared" ref="DG166:DG175" si="68">ROUND(ROUND(AF166,2)*CX166,2)</f>
        <v>0.22</v>
      </c>
      <c r="DH166">
        <f t="shared" si="55"/>
        <v>0.28999999999999998</v>
      </c>
      <c r="DI166">
        <f t="shared" si="56"/>
        <v>0</v>
      </c>
      <c r="DJ166">
        <f>DG166+DH166</f>
        <v>0.51</v>
      </c>
      <c r="DK166">
        <v>1</v>
      </c>
      <c r="DL166" t="s">
        <v>466</v>
      </c>
      <c r="DM166">
        <v>4</v>
      </c>
      <c r="DN166" t="s">
        <v>428</v>
      </c>
      <c r="DO166">
        <v>1</v>
      </c>
    </row>
    <row r="167" spans="1:119" x14ac:dyDescent="0.2">
      <c r="A167">
        <f>ROW(Source!A151)</f>
        <v>151</v>
      </c>
      <c r="B167">
        <v>94104265</v>
      </c>
      <c r="C167">
        <v>94189676</v>
      </c>
      <c r="D167">
        <v>87304091</v>
      </c>
      <c r="E167">
        <v>1</v>
      </c>
      <c r="F167">
        <v>1</v>
      </c>
      <c r="G167">
        <v>1</v>
      </c>
      <c r="H167">
        <v>3</v>
      </c>
      <c r="I167" t="s">
        <v>467</v>
      </c>
      <c r="J167" t="s">
        <v>468</v>
      </c>
      <c r="K167" t="s">
        <v>469</v>
      </c>
      <c r="L167">
        <v>1339</v>
      </c>
      <c r="N167">
        <v>1007</v>
      </c>
      <c r="O167" t="s">
        <v>34</v>
      </c>
      <c r="P167" t="s">
        <v>34</v>
      </c>
      <c r="Q167">
        <v>1</v>
      </c>
      <c r="W167">
        <v>0</v>
      </c>
      <c r="X167">
        <v>1964556667</v>
      </c>
      <c r="Y167">
        <f t="shared" ref="Y167:Y173" si="69">AT167</f>
        <v>0.44</v>
      </c>
      <c r="AA167">
        <v>54.64</v>
      </c>
      <c r="AB167">
        <v>0</v>
      </c>
      <c r="AC167">
        <v>0</v>
      </c>
      <c r="AD167">
        <v>0</v>
      </c>
      <c r="AE167">
        <v>35.71</v>
      </c>
      <c r="AF167">
        <v>0</v>
      </c>
      <c r="AG167">
        <v>0</v>
      </c>
      <c r="AH167">
        <v>0</v>
      </c>
      <c r="AI167">
        <v>1.53</v>
      </c>
      <c r="AJ167">
        <v>1</v>
      </c>
      <c r="AK167">
        <v>1</v>
      </c>
      <c r="AL167">
        <v>1</v>
      </c>
      <c r="AM167">
        <v>2</v>
      </c>
      <c r="AN167">
        <v>0</v>
      </c>
      <c r="AO167">
        <v>0</v>
      </c>
      <c r="AP167">
        <v>0</v>
      </c>
      <c r="AQ167">
        <v>1</v>
      </c>
      <c r="AR167">
        <v>0</v>
      </c>
      <c r="AS167" t="s">
        <v>3</v>
      </c>
      <c r="AT167">
        <v>0.44</v>
      </c>
      <c r="AU167" t="s">
        <v>3</v>
      </c>
      <c r="AV167">
        <v>0</v>
      </c>
      <c r="AW167">
        <v>2</v>
      </c>
      <c r="AX167">
        <v>94189683</v>
      </c>
      <c r="AY167">
        <v>1</v>
      </c>
      <c r="AZ167">
        <v>0</v>
      </c>
      <c r="BA167">
        <v>167</v>
      </c>
      <c r="BB167">
        <v>1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15.712400000000001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1</v>
      </c>
      <c r="BQ167">
        <v>15.712400000000001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1</v>
      </c>
      <c r="CV167">
        <v>0</v>
      </c>
      <c r="CW167">
        <v>0</v>
      </c>
      <c r="CX167">
        <f>ROUND(Y167*Source!I151,7)</f>
        <v>1.3939200000000001E-2</v>
      </c>
      <c r="CY167">
        <f t="shared" ref="CY167:CY173" si="70">AA167</f>
        <v>54.64</v>
      </c>
      <c r="CZ167">
        <f t="shared" ref="CZ167:CZ173" si="71">AE167</f>
        <v>35.71</v>
      </c>
      <c r="DA167">
        <f t="shared" ref="DA167:DA173" si="72">AI167</f>
        <v>1.53</v>
      </c>
      <c r="DB167">
        <f t="shared" ref="DB167:DB173" si="73">ROUND(ROUND(AT167*CZ167,2),6)</f>
        <v>15.71</v>
      </c>
      <c r="DC167">
        <f t="shared" ref="DC167:DC173" si="74">ROUND(ROUND(AT167*AG167,2),6)</f>
        <v>0</v>
      </c>
      <c r="DD167" t="s">
        <v>3</v>
      </c>
      <c r="DE167" t="s">
        <v>3</v>
      </c>
      <c r="DF167">
        <f>ROUND(ROUND(AE167*AI167,2)*CX167,2)</f>
        <v>0.76</v>
      </c>
      <c r="DG167">
        <f t="shared" si="68"/>
        <v>0</v>
      </c>
      <c r="DH167">
        <f t="shared" si="55"/>
        <v>0</v>
      </c>
      <c r="DI167">
        <f t="shared" si="56"/>
        <v>0</v>
      </c>
      <c r="DJ167">
        <f t="shared" ref="DJ167:DJ173" si="75">DF167</f>
        <v>0.76</v>
      </c>
      <c r="DK167">
        <v>0</v>
      </c>
      <c r="DL167" t="s">
        <v>3</v>
      </c>
      <c r="DM167">
        <v>0</v>
      </c>
      <c r="DN167" t="s">
        <v>3</v>
      </c>
      <c r="DO167">
        <v>0</v>
      </c>
    </row>
    <row r="168" spans="1:119" x14ac:dyDescent="0.2">
      <c r="A168">
        <f>ROW(Source!A151)</f>
        <v>151</v>
      </c>
      <c r="B168">
        <v>94104265</v>
      </c>
      <c r="C168">
        <v>94189676</v>
      </c>
      <c r="D168">
        <v>87304103</v>
      </c>
      <c r="E168">
        <v>1</v>
      </c>
      <c r="F168">
        <v>1</v>
      </c>
      <c r="G168">
        <v>1</v>
      </c>
      <c r="H168">
        <v>3</v>
      </c>
      <c r="I168" t="s">
        <v>530</v>
      </c>
      <c r="J168" t="s">
        <v>531</v>
      </c>
      <c r="K168" t="s">
        <v>532</v>
      </c>
      <c r="L168">
        <v>1383</v>
      </c>
      <c r="N168">
        <v>1013</v>
      </c>
      <c r="O168" t="s">
        <v>533</v>
      </c>
      <c r="P168" t="s">
        <v>533</v>
      </c>
      <c r="Q168">
        <v>1</v>
      </c>
      <c r="W168">
        <v>0</v>
      </c>
      <c r="X168">
        <v>1840299850</v>
      </c>
      <c r="Y168">
        <f t="shared" si="69"/>
        <v>3.2500000000000001E-2</v>
      </c>
      <c r="AA168">
        <v>6.92</v>
      </c>
      <c r="AB168">
        <v>0</v>
      </c>
      <c r="AC168">
        <v>0</v>
      </c>
      <c r="AD168">
        <v>0</v>
      </c>
      <c r="AE168">
        <v>6.92</v>
      </c>
      <c r="AF168">
        <v>0</v>
      </c>
      <c r="AG168">
        <v>0</v>
      </c>
      <c r="AH168">
        <v>0</v>
      </c>
      <c r="AI168">
        <v>1</v>
      </c>
      <c r="AJ168">
        <v>1</v>
      </c>
      <c r="AK168">
        <v>1</v>
      </c>
      <c r="AL168">
        <v>1</v>
      </c>
      <c r="AM168">
        <v>-2</v>
      </c>
      <c r="AN168">
        <v>0</v>
      </c>
      <c r="AO168">
        <v>0</v>
      </c>
      <c r="AP168">
        <v>0</v>
      </c>
      <c r="AQ168">
        <v>1</v>
      </c>
      <c r="AR168">
        <v>0</v>
      </c>
      <c r="AS168" t="s">
        <v>3</v>
      </c>
      <c r="AT168">
        <v>3.2500000000000001E-2</v>
      </c>
      <c r="AU168" t="s">
        <v>3</v>
      </c>
      <c r="AV168">
        <v>0</v>
      </c>
      <c r="AW168">
        <v>2</v>
      </c>
      <c r="AX168">
        <v>94189684</v>
      </c>
      <c r="AY168">
        <v>1</v>
      </c>
      <c r="AZ168">
        <v>0</v>
      </c>
      <c r="BA168">
        <v>168</v>
      </c>
      <c r="BB168">
        <v>1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0.22490000000000002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1</v>
      </c>
      <c r="BQ168">
        <v>0.22490000000000002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1</v>
      </c>
      <c r="CV168">
        <v>0</v>
      </c>
      <c r="CW168">
        <v>0</v>
      </c>
      <c r="CX168">
        <f>ROUND(Y168*Source!I151,7)</f>
        <v>1.0296000000000001E-3</v>
      </c>
      <c r="CY168">
        <f t="shared" si="70"/>
        <v>6.92</v>
      </c>
      <c r="CZ168">
        <f t="shared" si="71"/>
        <v>6.92</v>
      </c>
      <c r="DA168">
        <f t="shared" si="72"/>
        <v>1</v>
      </c>
      <c r="DB168">
        <f t="shared" si="73"/>
        <v>0.22</v>
      </c>
      <c r="DC168">
        <f t="shared" si="74"/>
        <v>0</v>
      </c>
      <c r="DD168" t="s">
        <v>3</v>
      </c>
      <c r="DE168" t="s">
        <v>3</v>
      </c>
      <c r="DF168">
        <f>ROUND(ROUND(AE168,2)*CX168,2)</f>
        <v>0.01</v>
      </c>
      <c r="DG168">
        <f t="shared" si="68"/>
        <v>0</v>
      </c>
      <c r="DH168">
        <f t="shared" si="55"/>
        <v>0</v>
      </c>
      <c r="DI168">
        <f t="shared" si="56"/>
        <v>0</v>
      </c>
      <c r="DJ168">
        <f t="shared" si="75"/>
        <v>0.01</v>
      </c>
      <c r="DK168">
        <v>1</v>
      </c>
      <c r="DL168" t="s">
        <v>3</v>
      </c>
      <c r="DM168">
        <v>0</v>
      </c>
      <c r="DN168" t="s">
        <v>3</v>
      </c>
      <c r="DO168">
        <v>0</v>
      </c>
    </row>
    <row r="169" spans="1:119" x14ac:dyDescent="0.2">
      <c r="A169">
        <f>ROW(Source!A151)</f>
        <v>151</v>
      </c>
      <c r="B169">
        <v>94104265</v>
      </c>
      <c r="C169">
        <v>94189676</v>
      </c>
      <c r="D169">
        <v>87308126</v>
      </c>
      <c r="E169">
        <v>1</v>
      </c>
      <c r="F169">
        <v>1</v>
      </c>
      <c r="G169">
        <v>1</v>
      </c>
      <c r="H169">
        <v>3</v>
      </c>
      <c r="I169" t="s">
        <v>261</v>
      </c>
      <c r="J169" t="s">
        <v>263</v>
      </c>
      <c r="K169" t="s">
        <v>262</v>
      </c>
      <c r="L169">
        <v>1348</v>
      </c>
      <c r="N169">
        <v>1009</v>
      </c>
      <c r="O169" t="s">
        <v>30</v>
      </c>
      <c r="P169" t="s">
        <v>30</v>
      </c>
      <c r="Q169">
        <v>1000</v>
      </c>
      <c r="W169">
        <v>0</v>
      </c>
      <c r="X169">
        <v>70029355</v>
      </c>
      <c r="Y169">
        <f t="shared" si="69"/>
        <v>1.2999999999999999E-2</v>
      </c>
      <c r="AA169">
        <v>73889</v>
      </c>
      <c r="AB169">
        <v>0</v>
      </c>
      <c r="AC169">
        <v>0</v>
      </c>
      <c r="AD169">
        <v>0</v>
      </c>
      <c r="AE169">
        <v>73889</v>
      </c>
      <c r="AF169">
        <v>0</v>
      </c>
      <c r="AG169">
        <v>0</v>
      </c>
      <c r="AH169">
        <v>0</v>
      </c>
      <c r="AI169">
        <v>1</v>
      </c>
      <c r="AJ169">
        <v>1</v>
      </c>
      <c r="AK169">
        <v>1</v>
      </c>
      <c r="AL169">
        <v>1</v>
      </c>
      <c r="AM169">
        <v>-2</v>
      </c>
      <c r="AN169">
        <v>0</v>
      </c>
      <c r="AO169">
        <v>0</v>
      </c>
      <c r="AP169">
        <v>0</v>
      </c>
      <c r="AQ169">
        <v>1</v>
      </c>
      <c r="AR169">
        <v>0</v>
      </c>
      <c r="AS169" t="s">
        <v>3</v>
      </c>
      <c r="AT169">
        <v>1.2999999999999999E-2</v>
      </c>
      <c r="AU169" t="s">
        <v>3</v>
      </c>
      <c r="AV169">
        <v>0</v>
      </c>
      <c r="AW169">
        <v>2</v>
      </c>
      <c r="AX169">
        <v>94189685</v>
      </c>
      <c r="AY169">
        <v>1</v>
      </c>
      <c r="AZ169">
        <v>0</v>
      </c>
      <c r="BA169">
        <v>169</v>
      </c>
      <c r="BB169">
        <v>1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960.5569999999999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1</v>
      </c>
      <c r="BQ169">
        <v>960.5569999999999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1</v>
      </c>
      <c r="CV169">
        <v>0</v>
      </c>
      <c r="CW169">
        <v>0</v>
      </c>
      <c r="CX169">
        <f>ROUND(Y169*Source!I151,7)</f>
        <v>4.1179999999999998E-4</v>
      </c>
      <c r="CY169">
        <f t="shared" si="70"/>
        <v>73889</v>
      </c>
      <c r="CZ169">
        <f t="shared" si="71"/>
        <v>73889</v>
      </c>
      <c r="DA169">
        <f t="shared" si="72"/>
        <v>1</v>
      </c>
      <c r="DB169">
        <f t="shared" si="73"/>
        <v>960.56</v>
      </c>
      <c r="DC169">
        <f t="shared" si="74"/>
        <v>0</v>
      </c>
      <c r="DD169" t="s">
        <v>3</v>
      </c>
      <c r="DE169" t="s">
        <v>3</v>
      </c>
      <c r="DF169">
        <f>ROUND(ROUND(AE169,2)*CX169,2)</f>
        <v>30.43</v>
      </c>
      <c r="DG169">
        <f t="shared" si="68"/>
        <v>0</v>
      </c>
      <c r="DH169">
        <f t="shared" si="55"/>
        <v>0</v>
      </c>
      <c r="DI169">
        <f t="shared" si="56"/>
        <v>0</v>
      </c>
      <c r="DJ169">
        <f t="shared" si="75"/>
        <v>30.43</v>
      </c>
      <c r="DK169">
        <v>1</v>
      </c>
      <c r="DL169" t="s">
        <v>3</v>
      </c>
      <c r="DM169">
        <v>0</v>
      </c>
      <c r="DN169" t="s">
        <v>3</v>
      </c>
      <c r="DO169">
        <v>0</v>
      </c>
    </row>
    <row r="170" spans="1:119" x14ac:dyDescent="0.2">
      <c r="A170">
        <f>ROW(Source!A151)</f>
        <v>151</v>
      </c>
      <c r="B170">
        <v>94104265</v>
      </c>
      <c r="C170">
        <v>94189676</v>
      </c>
      <c r="D170">
        <v>90237620</v>
      </c>
      <c r="E170">
        <v>1</v>
      </c>
      <c r="F170">
        <v>1</v>
      </c>
      <c r="G170">
        <v>1</v>
      </c>
      <c r="H170">
        <v>3</v>
      </c>
      <c r="I170" t="s">
        <v>82</v>
      </c>
      <c r="J170" t="s">
        <v>84</v>
      </c>
      <c r="K170" t="s">
        <v>83</v>
      </c>
      <c r="L170">
        <v>1327</v>
      </c>
      <c r="N170">
        <v>1005</v>
      </c>
      <c r="O170" t="s">
        <v>60</v>
      </c>
      <c r="P170" t="s">
        <v>60</v>
      </c>
      <c r="Q170">
        <v>1</v>
      </c>
      <c r="W170">
        <v>0</v>
      </c>
      <c r="X170">
        <v>-1611852378</v>
      </c>
      <c r="Y170">
        <f t="shared" si="69"/>
        <v>102</v>
      </c>
      <c r="AA170">
        <v>908.39</v>
      </c>
      <c r="AB170">
        <v>0</v>
      </c>
      <c r="AC170">
        <v>0</v>
      </c>
      <c r="AD170">
        <v>0</v>
      </c>
      <c r="AE170">
        <v>908.39</v>
      </c>
      <c r="AF170">
        <v>0</v>
      </c>
      <c r="AG170">
        <v>0</v>
      </c>
      <c r="AH170">
        <v>0</v>
      </c>
      <c r="AI170">
        <v>1</v>
      </c>
      <c r="AJ170">
        <v>1</v>
      </c>
      <c r="AK170">
        <v>1</v>
      </c>
      <c r="AL170">
        <v>1</v>
      </c>
      <c r="AM170">
        <v>0</v>
      </c>
      <c r="AN170">
        <v>0</v>
      </c>
      <c r="AO170">
        <v>0</v>
      </c>
      <c r="AP170">
        <v>1</v>
      </c>
      <c r="AQ170">
        <v>0</v>
      </c>
      <c r="AR170">
        <v>0</v>
      </c>
      <c r="AS170" t="s">
        <v>3</v>
      </c>
      <c r="AT170">
        <v>102</v>
      </c>
      <c r="AU170" t="s">
        <v>3</v>
      </c>
      <c r="AV170">
        <v>0</v>
      </c>
      <c r="AW170">
        <v>1</v>
      </c>
      <c r="AX170">
        <v>-1</v>
      </c>
      <c r="AY170">
        <v>0</v>
      </c>
      <c r="AZ170">
        <v>0</v>
      </c>
      <c r="BA170" t="s">
        <v>3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CV170">
        <v>0</v>
      </c>
      <c r="CW170">
        <v>0</v>
      </c>
      <c r="CX170">
        <f>ROUND(Y170*Source!I151,7)</f>
        <v>3.23136</v>
      </c>
      <c r="CY170">
        <f t="shared" si="70"/>
        <v>908.39</v>
      </c>
      <c r="CZ170">
        <f t="shared" si="71"/>
        <v>908.39</v>
      </c>
      <c r="DA170">
        <f t="shared" si="72"/>
        <v>1</v>
      </c>
      <c r="DB170">
        <f t="shared" si="73"/>
        <v>92655.78</v>
      </c>
      <c r="DC170">
        <f t="shared" si="74"/>
        <v>0</v>
      </c>
      <c r="DD170" t="s">
        <v>3</v>
      </c>
      <c r="DE170" t="s">
        <v>3</v>
      </c>
      <c r="DF170">
        <f>ROUND(ROUND(AE170,2)*CX170,2)</f>
        <v>2935.34</v>
      </c>
      <c r="DG170">
        <f t="shared" si="68"/>
        <v>0</v>
      </c>
      <c r="DH170">
        <f t="shared" si="55"/>
        <v>0</v>
      </c>
      <c r="DI170">
        <f t="shared" si="56"/>
        <v>0</v>
      </c>
      <c r="DJ170">
        <f t="shared" si="75"/>
        <v>2935.34</v>
      </c>
      <c r="DK170">
        <v>1</v>
      </c>
      <c r="DL170" t="s">
        <v>3</v>
      </c>
      <c r="DM170">
        <v>0</v>
      </c>
      <c r="DN170" t="s">
        <v>3</v>
      </c>
      <c r="DO170">
        <v>0</v>
      </c>
    </row>
    <row r="171" spans="1:119" x14ac:dyDescent="0.2">
      <c r="A171">
        <f>ROW(Source!A151)</f>
        <v>151</v>
      </c>
      <c r="B171">
        <v>94104265</v>
      </c>
      <c r="C171">
        <v>94189676</v>
      </c>
      <c r="D171">
        <v>90242966</v>
      </c>
      <c r="E171">
        <v>1</v>
      </c>
      <c r="F171">
        <v>1</v>
      </c>
      <c r="G171">
        <v>1</v>
      </c>
      <c r="H171">
        <v>3</v>
      </c>
      <c r="I171" t="s">
        <v>86</v>
      </c>
      <c r="J171" t="s">
        <v>88</v>
      </c>
      <c r="K171" t="s">
        <v>87</v>
      </c>
      <c r="L171">
        <v>1339</v>
      </c>
      <c r="N171">
        <v>1007</v>
      </c>
      <c r="O171" t="s">
        <v>34</v>
      </c>
      <c r="P171" t="s">
        <v>34</v>
      </c>
      <c r="Q171">
        <v>1</v>
      </c>
      <c r="W171">
        <v>0</v>
      </c>
      <c r="X171">
        <v>201633308</v>
      </c>
      <c r="Y171">
        <f t="shared" si="69"/>
        <v>0.01</v>
      </c>
      <c r="AA171">
        <v>40030.75</v>
      </c>
      <c r="AB171">
        <v>0</v>
      </c>
      <c r="AC171">
        <v>0</v>
      </c>
      <c r="AD171">
        <v>0</v>
      </c>
      <c r="AE171">
        <v>23139.16</v>
      </c>
      <c r="AF171">
        <v>0</v>
      </c>
      <c r="AG171">
        <v>0</v>
      </c>
      <c r="AH171">
        <v>0</v>
      </c>
      <c r="AI171">
        <v>1.73</v>
      </c>
      <c r="AJ171">
        <v>1</v>
      </c>
      <c r="AK171">
        <v>1</v>
      </c>
      <c r="AL171">
        <v>1</v>
      </c>
      <c r="AM171">
        <v>0</v>
      </c>
      <c r="AN171">
        <v>0</v>
      </c>
      <c r="AO171">
        <v>0</v>
      </c>
      <c r="AP171">
        <v>1</v>
      </c>
      <c r="AQ171">
        <v>0</v>
      </c>
      <c r="AR171">
        <v>0</v>
      </c>
      <c r="AS171" t="s">
        <v>3</v>
      </c>
      <c r="AT171">
        <v>0.01</v>
      </c>
      <c r="AU171" t="s">
        <v>3</v>
      </c>
      <c r="AV171">
        <v>0</v>
      </c>
      <c r="AW171">
        <v>1</v>
      </c>
      <c r="AX171">
        <v>-1</v>
      </c>
      <c r="AY171">
        <v>0</v>
      </c>
      <c r="AZ171">
        <v>0</v>
      </c>
      <c r="BA171" t="s">
        <v>3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CV171">
        <v>0</v>
      </c>
      <c r="CW171">
        <v>0</v>
      </c>
      <c r="CX171">
        <f>ROUND(Y171*Source!I151,7)</f>
        <v>3.168E-4</v>
      </c>
      <c r="CY171">
        <f t="shared" si="70"/>
        <v>40030.75</v>
      </c>
      <c r="CZ171">
        <f t="shared" si="71"/>
        <v>23139.16</v>
      </c>
      <c r="DA171">
        <f t="shared" si="72"/>
        <v>1.73</v>
      </c>
      <c r="DB171">
        <f t="shared" si="73"/>
        <v>231.39</v>
      </c>
      <c r="DC171">
        <f t="shared" si="74"/>
        <v>0</v>
      </c>
      <c r="DD171" t="s">
        <v>3</v>
      </c>
      <c r="DE171" t="s">
        <v>3</v>
      </c>
      <c r="DF171">
        <f>ROUND(ROUND(AE171*AI171,2)*CX171,2)</f>
        <v>12.68</v>
      </c>
      <c r="DG171">
        <f t="shared" si="68"/>
        <v>0</v>
      </c>
      <c r="DH171">
        <f t="shared" si="55"/>
        <v>0</v>
      </c>
      <c r="DI171">
        <f t="shared" si="56"/>
        <v>0</v>
      </c>
      <c r="DJ171">
        <f t="shared" si="75"/>
        <v>12.68</v>
      </c>
      <c r="DK171">
        <v>0</v>
      </c>
      <c r="DL171" t="s">
        <v>3</v>
      </c>
      <c r="DM171">
        <v>0</v>
      </c>
      <c r="DN171" t="s">
        <v>3</v>
      </c>
      <c r="DO171">
        <v>0</v>
      </c>
    </row>
    <row r="172" spans="1:119" x14ac:dyDescent="0.2">
      <c r="A172">
        <f>ROW(Source!A151)</f>
        <v>151</v>
      </c>
      <c r="B172">
        <v>94104265</v>
      </c>
      <c r="C172">
        <v>94189676</v>
      </c>
      <c r="D172">
        <v>90250403</v>
      </c>
      <c r="E172">
        <v>1</v>
      </c>
      <c r="F172">
        <v>1</v>
      </c>
      <c r="G172">
        <v>1</v>
      </c>
      <c r="H172">
        <v>3</v>
      </c>
      <c r="I172" t="s">
        <v>250</v>
      </c>
      <c r="J172" t="s">
        <v>252</v>
      </c>
      <c r="K172" t="s">
        <v>251</v>
      </c>
      <c r="L172">
        <v>1348</v>
      </c>
      <c r="N172">
        <v>1009</v>
      </c>
      <c r="O172" t="s">
        <v>30</v>
      </c>
      <c r="P172" t="s">
        <v>30</v>
      </c>
      <c r="Q172">
        <v>1000</v>
      </c>
      <c r="W172">
        <v>0</v>
      </c>
      <c r="X172">
        <v>1538372289</v>
      </c>
      <c r="Y172">
        <f t="shared" si="69"/>
        <v>1.2</v>
      </c>
      <c r="AA172">
        <v>36398.730000000003</v>
      </c>
      <c r="AB172">
        <v>0</v>
      </c>
      <c r="AC172">
        <v>0</v>
      </c>
      <c r="AD172">
        <v>0</v>
      </c>
      <c r="AE172">
        <v>36038.35</v>
      </c>
      <c r="AF172">
        <v>0</v>
      </c>
      <c r="AG172">
        <v>0</v>
      </c>
      <c r="AH172">
        <v>0</v>
      </c>
      <c r="AI172">
        <v>1.01</v>
      </c>
      <c r="AJ172">
        <v>1</v>
      </c>
      <c r="AK172">
        <v>1</v>
      </c>
      <c r="AL172">
        <v>1</v>
      </c>
      <c r="AM172">
        <v>0</v>
      </c>
      <c r="AN172">
        <v>0</v>
      </c>
      <c r="AO172">
        <v>0</v>
      </c>
      <c r="AP172">
        <v>1</v>
      </c>
      <c r="AQ172">
        <v>0</v>
      </c>
      <c r="AR172">
        <v>0</v>
      </c>
      <c r="AS172" t="s">
        <v>3</v>
      </c>
      <c r="AT172">
        <v>1.2</v>
      </c>
      <c r="AU172" t="s">
        <v>3</v>
      </c>
      <c r="AV172">
        <v>0</v>
      </c>
      <c r="AW172">
        <v>1</v>
      </c>
      <c r="AX172">
        <v>-1</v>
      </c>
      <c r="AY172">
        <v>0</v>
      </c>
      <c r="AZ172">
        <v>0</v>
      </c>
      <c r="BA172" t="s">
        <v>3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CV172">
        <v>0</v>
      </c>
      <c r="CW172">
        <v>0</v>
      </c>
      <c r="CX172">
        <f>ROUND(Y172*Source!I151,7)</f>
        <v>3.8016000000000001E-2</v>
      </c>
      <c r="CY172">
        <f t="shared" si="70"/>
        <v>36398.730000000003</v>
      </c>
      <c r="CZ172">
        <f t="shared" si="71"/>
        <v>36038.35</v>
      </c>
      <c r="DA172">
        <f t="shared" si="72"/>
        <v>1.01</v>
      </c>
      <c r="DB172">
        <f t="shared" si="73"/>
        <v>43246.02</v>
      </c>
      <c r="DC172">
        <f t="shared" si="74"/>
        <v>0</v>
      </c>
      <c r="DD172" t="s">
        <v>3</v>
      </c>
      <c r="DE172" t="s">
        <v>3</v>
      </c>
      <c r="DF172">
        <f>ROUND(ROUND(AE172*AI172,2)*CX172,2)</f>
        <v>1383.73</v>
      </c>
      <c r="DG172">
        <f t="shared" si="68"/>
        <v>0</v>
      </c>
      <c r="DH172">
        <f t="shared" si="55"/>
        <v>0</v>
      </c>
      <c r="DI172">
        <f t="shared" si="56"/>
        <v>0</v>
      </c>
      <c r="DJ172">
        <f t="shared" si="75"/>
        <v>1383.73</v>
      </c>
      <c r="DK172">
        <v>0</v>
      </c>
      <c r="DL172" t="s">
        <v>3</v>
      </c>
      <c r="DM172">
        <v>0</v>
      </c>
      <c r="DN172" t="s">
        <v>3</v>
      </c>
      <c r="DO172">
        <v>0</v>
      </c>
    </row>
    <row r="173" spans="1:119" x14ac:dyDescent="0.2">
      <c r="A173">
        <f>ROW(Source!A151)</f>
        <v>151</v>
      </c>
      <c r="B173">
        <v>94104265</v>
      </c>
      <c r="C173">
        <v>94189676</v>
      </c>
      <c r="D173">
        <v>87233684</v>
      </c>
      <c r="E173">
        <v>117</v>
      </c>
      <c r="F173">
        <v>1</v>
      </c>
      <c r="G173">
        <v>1</v>
      </c>
      <c r="H173">
        <v>3</v>
      </c>
      <c r="I173" t="s">
        <v>254</v>
      </c>
      <c r="J173" t="s">
        <v>3</v>
      </c>
      <c r="K173" t="s">
        <v>255</v>
      </c>
      <c r="L173">
        <v>1348</v>
      </c>
      <c r="N173">
        <v>1009</v>
      </c>
      <c r="O173" t="s">
        <v>30</v>
      </c>
      <c r="P173" t="s">
        <v>30</v>
      </c>
      <c r="Q173">
        <v>1000</v>
      </c>
      <c r="W173">
        <v>0</v>
      </c>
      <c r="X173">
        <v>-1212923053</v>
      </c>
      <c r="Y173">
        <f t="shared" si="69"/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1</v>
      </c>
      <c r="AJ173">
        <v>1</v>
      </c>
      <c r="AK173">
        <v>1</v>
      </c>
      <c r="AL173">
        <v>1</v>
      </c>
      <c r="AM173">
        <v>0</v>
      </c>
      <c r="AN173">
        <v>1</v>
      </c>
      <c r="AO173">
        <v>0</v>
      </c>
      <c r="AP173">
        <v>1</v>
      </c>
      <c r="AQ173">
        <v>0</v>
      </c>
      <c r="AR173">
        <v>0</v>
      </c>
      <c r="AS173" t="s">
        <v>3</v>
      </c>
      <c r="AT173">
        <v>0</v>
      </c>
      <c r="AU173" t="s">
        <v>3</v>
      </c>
      <c r="AV173">
        <v>0</v>
      </c>
      <c r="AW173">
        <v>2</v>
      </c>
      <c r="AX173">
        <v>94189689</v>
      </c>
      <c r="AY173">
        <v>1</v>
      </c>
      <c r="AZ173">
        <v>0</v>
      </c>
      <c r="BA173">
        <v>173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CV173">
        <v>0</v>
      </c>
      <c r="CW173">
        <v>0</v>
      </c>
      <c r="CX173">
        <f>ROUND(Y173*Source!I151,7)</f>
        <v>0</v>
      </c>
      <c r="CY173">
        <f t="shared" si="70"/>
        <v>0</v>
      </c>
      <c r="CZ173">
        <f t="shared" si="71"/>
        <v>0</v>
      </c>
      <c r="DA173">
        <f t="shared" si="72"/>
        <v>1</v>
      </c>
      <c r="DB173">
        <f t="shared" si="73"/>
        <v>0</v>
      </c>
      <c r="DC173">
        <f t="shared" si="74"/>
        <v>0</v>
      </c>
      <c r="DD173" t="s">
        <v>3</v>
      </c>
      <c r="DE173" t="s">
        <v>3</v>
      </c>
      <c r="DF173">
        <f>ROUND(ROUND(AE173,2)*CX173,2)</f>
        <v>0</v>
      </c>
      <c r="DG173">
        <f t="shared" si="68"/>
        <v>0</v>
      </c>
      <c r="DH173">
        <f t="shared" si="55"/>
        <v>0</v>
      </c>
      <c r="DI173">
        <f t="shared" si="56"/>
        <v>0</v>
      </c>
      <c r="DJ173">
        <f t="shared" si="75"/>
        <v>0</v>
      </c>
      <c r="DK173">
        <v>0</v>
      </c>
      <c r="DL173" t="s">
        <v>3</v>
      </c>
      <c r="DM173">
        <v>0</v>
      </c>
      <c r="DN173" t="s">
        <v>3</v>
      </c>
      <c r="DO173">
        <v>0</v>
      </c>
    </row>
    <row r="174" spans="1:119" x14ac:dyDescent="0.2">
      <c r="A174">
        <f>ROW(Source!A156)</f>
        <v>156</v>
      </c>
      <c r="B174">
        <v>94104265</v>
      </c>
      <c r="C174">
        <v>94190003</v>
      </c>
      <c r="D174">
        <v>87229773</v>
      </c>
      <c r="E174">
        <v>117</v>
      </c>
      <c r="F174">
        <v>1</v>
      </c>
      <c r="G174">
        <v>1</v>
      </c>
      <c r="H174">
        <v>1</v>
      </c>
      <c r="I174" t="s">
        <v>578</v>
      </c>
      <c r="J174" t="s">
        <v>3</v>
      </c>
      <c r="K174" t="s">
        <v>579</v>
      </c>
      <c r="L174">
        <v>1191</v>
      </c>
      <c r="N174">
        <v>1013</v>
      </c>
      <c r="O174" t="s">
        <v>428</v>
      </c>
      <c r="P174" t="s">
        <v>428</v>
      </c>
      <c r="Q174">
        <v>1</v>
      </c>
      <c r="W174">
        <v>0</v>
      </c>
      <c r="X174">
        <v>44848675</v>
      </c>
      <c r="Y174">
        <f>(AT174*ROUND(1.15,7))</f>
        <v>33.8215</v>
      </c>
      <c r="AA174">
        <v>0</v>
      </c>
      <c r="AB174">
        <v>0</v>
      </c>
      <c r="AC174">
        <v>0</v>
      </c>
      <c r="AD174">
        <v>714.71</v>
      </c>
      <c r="AE174">
        <v>0</v>
      </c>
      <c r="AF174">
        <v>0</v>
      </c>
      <c r="AG174">
        <v>0</v>
      </c>
      <c r="AH174">
        <v>714.71</v>
      </c>
      <c r="AI174">
        <v>1</v>
      </c>
      <c r="AJ174">
        <v>1</v>
      </c>
      <c r="AK174">
        <v>1</v>
      </c>
      <c r="AL174">
        <v>1</v>
      </c>
      <c r="AM174">
        <v>-2</v>
      </c>
      <c r="AN174">
        <v>0</v>
      </c>
      <c r="AO174">
        <v>0</v>
      </c>
      <c r="AP174">
        <v>1</v>
      </c>
      <c r="AQ174">
        <v>1</v>
      </c>
      <c r="AR174">
        <v>0</v>
      </c>
      <c r="AS174" t="s">
        <v>3</v>
      </c>
      <c r="AT174">
        <v>29.41</v>
      </c>
      <c r="AU174" t="s">
        <v>243</v>
      </c>
      <c r="AV174">
        <v>1</v>
      </c>
      <c r="AW174">
        <v>2</v>
      </c>
      <c r="AX174">
        <v>94190004</v>
      </c>
      <c r="AY174">
        <v>1</v>
      </c>
      <c r="AZ174">
        <v>0</v>
      </c>
      <c r="BA174">
        <v>174</v>
      </c>
      <c r="BB174">
        <v>1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21019.6211</v>
      </c>
      <c r="BN174">
        <v>29.41</v>
      </c>
      <c r="BO174">
        <v>0</v>
      </c>
      <c r="BP174">
        <v>1</v>
      </c>
      <c r="BQ174">
        <v>0</v>
      </c>
      <c r="BR174">
        <v>0</v>
      </c>
      <c r="BS174">
        <v>0</v>
      </c>
      <c r="BT174">
        <v>24172.564265000001</v>
      </c>
      <c r="BU174">
        <v>33.8215</v>
      </c>
      <c r="BV174">
        <v>0</v>
      </c>
      <c r="BW174">
        <v>1</v>
      </c>
      <c r="CU174">
        <f>ROUND(AT174*Source!I156*AH174*AL174,2)</f>
        <v>4414.12</v>
      </c>
      <c r="CV174">
        <f>ROUND(Y174*Source!I156,7)</f>
        <v>7.1025150000000004</v>
      </c>
      <c r="CW174">
        <v>0</v>
      </c>
      <c r="CX174">
        <f>ROUND(Y174*Source!I156,7)</f>
        <v>7.1025150000000004</v>
      </c>
      <c r="CY174">
        <f>AD174</f>
        <v>714.71</v>
      </c>
      <c r="CZ174">
        <f>AH174</f>
        <v>714.71</v>
      </c>
      <c r="DA174">
        <f>AL174</f>
        <v>1</v>
      </c>
      <c r="DB174">
        <f>ROUND((ROUND(AT174*CZ174,2)*ROUND(1.15,7)),6)</f>
        <v>24172.562999999998</v>
      </c>
      <c r="DC174">
        <f>ROUND((ROUND(AT174*AG174,2)*ROUND(1.15,7)),6)</f>
        <v>0</v>
      </c>
      <c r="DD174" t="s">
        <v>3</v>
      </c>
      <c r="DE174" t="s">
        <v>3</v>
      </c>
      <c r="DF174">
        <f>ROUND(ROUND(AE174,2)*CX174,2)</f>
        <v>0</v>
      </c>
      <c r="DG174">
        <f t="shared" si="68"/>
        <v>0</v>
      </c>
      <c r="DH174">
        <f t="shared" si="55"/>
        <v>0</v>
      </c>
      <c r="DI174">
        <f t="shared" si="56"/>
        <v>5076.24</v>
      </c>
      <c r="DJ174">
        <f>DI174</f>
        <v>5076.24</v>
      </c>
      <c r="DK174">
        <v>1</v>
      </c>
      <c r="DL174" t="s">
        <v>3</v>
      </c>
      <c r="DM174">
        <v>0</v>
      </c>
      <c r="DN174" t="s">
        <v>3</v>
      </c>
      <c r="DO174">
        <v>0</v>
      </c>
    </row>
    <row r="175" spans="1:119" x14ac:dyDescent="0.2">
      <c r="A175">
        <f>ROW(Source!A156)</f>
        <v>156</v>
      </c>
      <c r="B175">
        <v>94104265</v>
      </c>
      <c r="C175">
        <v>94190003</v>
      </c>
      <c r="D175">
        <v>87229949</v>
      </c>
      <c r="E175">
        <v>117</v>
      </c>
      <c r="F175">
        <v>1</v>
      </c>
      <c r="G175">
        <v>1</v>
      </c>
      <c r="H175">
        <v>1</v>
      </c>
      <c r="I175" t="s">
        <v>429</v>
      </c>
      <c r="J175" t="s">
        <v>3</v>
      </c>
      <c r="K175" t="s">
        <v>430</v>
      </c>
      <c r="L175">
        <v>1191</v>
      </c>
      <c r="N175">
        <v>1013</v>
      </c>
      <c r="O175" t="s">
        <v>428</v>
      </c>
      <c r="P175" t="s">
        <v>428</v>
      </c>
      <c r="Q175">
        <v>1</v>
      </c>
      <c r="W175">
        <v>0</v>
      </c>
      <c r="X175">
        <v>-1417349443</v>
      </c>
      <c r="Y175">
        <f>(AT175*ROUND(1.25,7))</f>
        <v>0.38750000000000001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1</v>
      </c>
      <c r="AJ175">
        <v>1</v>
      </c>
      <c r="AK175">
        <v>1</v>
      </c>
      <c r="AL175">
        <v>1</v>
      </c>
      <c r="AM175">
        <v>-2</v>
      </c>
      <c r="AN175">
        <v>0</v>
      </c>
      <c r="AO175">
        <v>0</v>
      </c>
      <c r="AP175">
        <v>1</v>
      </c>
      <c r="AQ175">
        <v>1</v>
      </c>
      <c r="AR175">
        <v>0</v>
      </c>
      <c r="AS175" t="s">
        <v>3</v>
      </c>
      <c r="AT175">
        <v>0.31</v>
      </c>
      <c r="AU175" t="s">
        <v>242</v>
      </c>
      <c r="AV175">
        <v>2</v>
      </c>
      <c r="AW175">
        <v>2</v>
      </c>
      <c r="AX175">
        <v>94190005</v>
      </c>
      <c r="AY175">
        <v>1</v>
      </c>
      <c r="AZ175">
        <v>0</v>
      </c>
      <c r="BA175">
        <v>175</v>
      </c>
      <c r="BB175">
        <v>1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CV175">
        <v>0</v>
      </c>
      <c r="CW175">
        <v>0</v>
      </c>
      <c r="CX175">
        <f>ROUND(Y175*Source!I156,7)</f>
        <v>8.1375000000000003E-2</v>
      </c>
      <c r="CY175">
        <f>AD175</f>
        <v>0</v>
      </c>
      <c r="CZ175">
        <f>AH175</f>
        <v>0</v>
      </c>
      <c r="DA175">
        <f>AL175</f>
        <v>1</v>
      </c>
      <c r="DB175">
        <f>ROUND((ROUND(AT175*CZ175,2)*ROUND(1.25,7)),6)</f>
        <v>0</v>
      </c>
      <c r="DC175">
        <f>ROUND((ROUND(AT175*AG175,2)*ROUND(1.25,7)),6)</f>
        <v>0</v>
      </c>
      <c r="DD175" t="s">
        <v>3</v>
      </c>
      <c r="DE175" t="s">
        <v>3</v>
      </c>
      <c r="DF175">
        <f>ROUND(ROUND(AE175,2)*CX175,2)</f>
        <v>0</v>
      </c>
      <c r="DG175">
        <f t="shared" si="68"/>
        <v>0</v>
      </c>
      <c r="DH175">
        <f t="shared" si="55"/>
        <v>0</v>
      </c>
      <c r="DI175">
        <f t="shared" si="56"/>
        <v>0</v>
      </c>
      <c r="DJ175">
        <f>DI175</f>
        <v>0</v>
      </c>
      <c r="DK175">
        <v>0</v>
      </c>
      <c r="DL175" t="s">
        <v>3</v>
      </c>
      <c r="DM175">
        <v>0</v>
      </c>
      <c r="DN175" t="s">
        <v>3</v>
      </c>
      <c r="DO175">
        <v>0</v>
      </c>
    </row>
    <row r="176" spans="1:119" x14ac:dyDescent="0.2">
      <c r="A176">
        <f>ROW(Source!A156)</f>
        <v>156</v>
      </c>
      <c r="B176">
        <v>94104265</v>
      </c>
      <c r="C176">
        <v>94190003</v>
      </c>
      <c r="D176">
        <v>87236625</v>
      </c>
      <c r="E176">
        <v>1</v>
      </c>
      <c r="F176">
        <v>1</v>
      </c>
      <c r="G176">
        <v>1</v>
      </c>
      <c r="H176">
        <v>2</v>
      </c>
      <c r="I176" t="s">
        <v>431</v>
      </c>
      <c r="J176" t="s">
        <v>432</v>
      </c>
      <c r="K176" t="s">
        <v>433</v>
      </c>
      <c r="L176">
        <v>1368</v>
      </c>
      <c r="N176">
        <v>1011</v>
      </c>
      <c r="O176" t="s">
        <v>434</v>
      </c>
      <c r="P176" t="s">
        <v>434</v>
      </c>
      <c r="Q176">
        <v>1</v>
      </c>
      <c r="W176">
        <v>0</v>
      </c>
      <c r="X176">
        <v>945201097</v>
      </c>
      <c r="Y176">
        <f>(AT176*ROUND(1.25,7))</f>
        <v>1.2500000000000001E-2</v>
      </c>
      <c r="AA176">
        <v>0</v>
      </c>
      <c r="AB176">
        <v>58.59</v>
      </c>
      <c r="AC176">
        <v>649.24</v>
      </c>
      <c r="AD176">
        <v>0</v>
      </c>
      <c r="AE176">
        <v>0</v>
      </c>
      <c r="AF176">
        <v>37.32</v>
      </c>
      <c r="AG176">
        <v>649.24</v>
      </c>
      <c r="AH176">
        <v>0</v>
      </c>
      <c r="AI176">
        <v>1</v>
      </c>
      <c r="AJ176">
        <v>1.57</v>
      </c>
      <c r="AK176">
        <v>1</v>
      </c>
      <c r="AL176">
        <v>1</v>
      </c>
      <c r="AM176">
        <v>2</v>
      </c>
      <c r="AN176">
        <v>0</v>
      </c>
      <c r="AO176">
        <v>0</v>
      </c>
      <c r="AP176">
        <v>1</v>
      </c>
      <c r="AQ176">
        <v>1</v>
      </c>
      <c r="AR176">
        <v>0</v>
      </c>
      <c r="AS176" t="s">
        <v>3</v>
      </c>
      <c r="AT176">
        <v>0.01</v>
      </c>
      <c r="AU176" t="s">
        <v>242</v>
      </c>
      <c r="AV176">
        <v>1</v>
      </c>
      <c r="AW176">
        <v>2</v>
      </c>
      <c r="AX176">
        <v>94190006</v>
      </c>
      <c r="AY176">
        <v>1</v>
      </c>
      <c r="AZ176">
        <v>0</v>
      </c>
      <c r="BA176">
        <v>176</v>
      </c>
      <c r="BB176">
        <v>1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0.37320000000000003</v>
      </c>
      <c r="BL176">
        <v>6.4923999999999999</v>
      </c>
      <c r="BM176">
        <v>0</v>
      </c>
      <c r="BN176">
        <v>0</v>
      </c>
      <c r="BO176">
        <v>0.01</v>
      </c>
      <c r="BP176">
        <v>1</v>
      </c>
      <c r="BQ176">
        <v>0</v>
      </c>
      <c r="BR176">
        <v>0.46650000000000003</v>
      </c>
      <c r="BS176">
        <v>8.1155000000000008</v>
      </c>
      <c r="BT176">
        <v>0</v>
      </c>
      <c r="BU176">
        <v>0</v>
      </c>
      <c r="BV176">
        <v>1.2500000000000001E-2</v>
      </c>
      <c r="BW176">
        <v>1</v>
      </c>
      <c r="CV176">
        <v>0</v>
      </c>
      <c r="CW176">
        <f>ROUND(Y176*Source!I156*DO176,7)</f>
        <v>2.6250000000000002E-3</v>
      </c>
      <c r="CX176">
        <f>ROUND(Y176*Source!I156,7)</f>
        <v>2.6250000000000002E-3</v>
      </c>
      <c r="CY176">
        <f>AB176</f>
        <v>58.59</v>
      </c>
      <c r="CZ176">
        <f>AF176</f>
        <v>37.32</v>
      </c>
      <c r="DA176">
        <f>AJ176</f>
        <v>1.57</v>
      </c>
      <c r="DB176">
        <f>ROUND((ROUND(AT176*CZ176,2)*ROUND(1.25,7)),6)</f>
        <v>0.46250000000000002</v>
      </c>
      <c r="DC176">
        <f>ROUND((ROUND(AT176*AG176,2)*ROUND(1.25,7)),6)</f>
        <v>8.1125000000000007</v>
      </c>
      <c r="DD176" t="s">
        <v>3</v>
      </c>
      <c r="DE176" t="s">
        <v>3</v>
      </c>
      <c r="DF176">
        <f>ROUND(ROUND(AE176,2)*CX176,2)</f>
        <v>0</v>
      </c>
      <c r="DG176">
        <f>ROUND(ROUND(AF176*AJ176,2)*CX176,2)</f>
        <v>0.15</v>
      </c>
      <c r="DH176">
        <f t="shared" si="55"/>
        <v>1.7</v>
      </c>
      <c r="DI176">
        <f t="shared" si="56"/>
        <v>0</v>
      </c>
      <c r="DJ176">
        <f>DG176+DH176</f>
        <v>1.8499999999999999</v>
      </c>
      <c r="DK176">
        <v>0</v>
      </c>
      <c r="DL176" t="s">
        <v>435</v>
      </c>
      <c r="DM176">
        <v>3</v>
      </c>
      <c r="DN176" t="s">
        <v>428</v>
      </c>
      <c r="DO176">
        <v>1</v>
      </c>
    </row>
    <row r="177" spans="1:119" x14ac:dyDescent="0.2">
      <c r="A177">
        <f>ROW(Source!A156)</f>
        <v>156</v>
      </c>
      <c r="B177">
        <v>94104265</v>
      </c>
      <c r="C177">
        <v>94190003</v>
      </c>
      <c r="D177">
        <v>87237333</v>
      </c>
      <c r="E177">
        <v>1</v>
      </c>
      <c r="F177">
        <v>1</v>
      </c>
      <c r="G177">
        <v>1</v>
      </c>
      <c r="H177">
        <v>2</v>
      </c>
      <c r="I177" t="s">
        <v>463</v>
      </c>
      <c r="J177" t="s">
        <v>464</v>
      </c>
      <c r="K177" t="s">
        <v>465</v>
      </c>
      <c r="L177">
        <v>1368</v>
      </c>
      <c r="N177">
        <v>1011</v>
      </c>
      <c r="O177" t="s">
        <v>434</v>
      </c>
      <c r="P177" t="s">
        <v>434</v>
      </c>
      <c r="Q177">
        <v>1</v>
      </c>
      <c r="W177">
        <v>0</v>
      </c>
      <c r="X177">
        <v>-849950259</v>
      </c>
      <c r="Y177">
        <f>(AT177*ROUND(1.25,7))</f>
        <v>0.375</v>
      </c>
      <c r="AA177">
        <v>0</v>
      </c>
      <c r="AB177">
        <v>544.91999999999996</v>
      </c>
      <c r="AC177">
        <v>731.08</v>
      </c>
      <c r="AD177">
        <v>0</v>
      </c>
      <c r="AE177">
        <v>0</v>
      </c>
      <c r="AF177">
        <v>544.91999999999996</v>
      </c>
      <c r="AG177">
        <v>731.08</v>
      </c>
      <c r="AH177">
        <v>0</v>
      </c>
      <c r="AI177">
        <v>1</v>
      </c>
      <c r="AJ177">
        <v>1</v>
      </c>
      <c r="AK177">
        <v>1</v>
      </c>
      <c r="AL177">
        <v>1</v>
      </c>
      <c r="AM177">
        <v>-2</v>
      </c>
      <c r="AN177">
        <v>0</v>
      </c>
      <c r="AO177">
        <v>0</v>
      </c>
      <c r="AP177">
        <v>1</v>
      </c>
      <c r="AQ177">
        <v>1</v>
      </c>
      <c r="AR177">
        <v>0</v>
      </c>
      <c r="AS177" t="s">
        <v>3</v>
      </c>
      <c r="AT177">
        <v>0.3</v>
      </c>
      <c r="AU177" t="s">
        <v>242</v>
      </c>
      <c r="AV177">
        <v>1</v>
      </c>
      <c r="AW177">
        <v>2</v>
      </c>
      <c r="AX177">
        <v>94190007</v>
      </c>
      <c r="AY177">
        <v>1</v>
      </c>
      <c r="AZ177">
        <v>0</v>
      </c>
      <c r="BA177">
        <v>177</v>
      </c>
      <c r="BB177">
        <v>1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163.47599999999997</v>
      </c>
      <c r="BL177">
        <v>219.32400000000001</v>
      </c>
      <c r="BM177">
        <v>0</v>
      </c>
      <c r="BN177">
        <v>0</v>
      </c>
      <c r="BO177">
        <v>0.3</v>
      </c>
      <c r="BP177">
        <v>1</v>
      </c>
      <c r="BQ177">
        <v>0</v>
      </c>
      <c r="BR177">
        <v>204.34499999999997</v>
      </c>
      <c r="BS177">
        <v>274.15500000000003</v>
      </c>
      <c r="BT177">
        <v>0</v>
      </c>
      <c r="BU177">
        <v>0</v>
      </c>
      <c r="BV177">
        <v>0.375</v>
      </c>
      <c r="BW177">
        <v>1</v>
      </c>
      <c r="CV177">
        <v>0</v>
      </c>
      <c r="CW177">
        <f>ROUND(Y177*Source!I156*DO177,7)</f>
        <v>7.8750000000000001E-2</v>
      </c>
      <c r="CX177">
        <f>ROUND(Y177*Source!I156,7)</f>
        <v>7.8750000000000001E-2</v>
      </c>
      <c r="CY177">
        <f>AB177</f>
        <v>544.91999999999996</v>
      </c>
      <c r="CZ177">
        <f>AF177</f>
        <v>544.91999999999996</v>
      </c>
      <c r="DA177">
        <f>AJ177</f>
        <v>1</v>
      </c>
      <c r="DB177">
        <f>ROUND((ROUND(AT177*CZ177,2)*ROUND(1.25,7)),6)</f>
        <v>204.35</v>
      </c>
      <c r="DC177">
        <f>ROUND((ROUND(AT177*AG177,2)*ROUND(1.25,7)),6)</f>
        <v>274.14999999999998</v>
      </c>
      <c r="DD177" t="s">
        <v>3</v>
      </c>
      <c r="DE177" t="s">
        <v>3</v>
      </c>
      <c r="DF177">
        <f>ROUND(ROUND(AE177,2)*CX177,2)</f>
        <v>0</v>
      </c>
      <c r="DG177">
        <f t="shared" ref="DG177:DG184" si="76">ROUND(ROUND(AF177,2)*CX177,2)</f>
        <v>42.91</v>
      </c>
      <c r="DH177">
        <f t="shared" si="55"/>
        <v>57.57</v>
      </c>
      <c r="DI177">
        <f t="shared" si="56"/>
        <v>0</v>
      </c>
      <c r="DJ177">
        <f>DG177+DH177</f>
        <v>100.47999999999999</v>
      </c>
      <c r="DK177">
        <v>1</v>
      </c>
      <c r="DL177" t="s">
        <v>466</v>
      </c>
      <c r="DM177">
        <v>4</v>
      </c>
      <c r="DN177" t="s">
        <v>428</v>
      </c>
      <c r="DO177">
        <v>1</v>
      </c>
    </row>
    <row r="178" spans="1:119" x14ac:dyDescent="0.2">
      <c r="A178">
        <f>ROW(Source!A156)</f>
        <v>156</v>
      </c>
      <c r="B178">
        <v>94104265</v>
      </c>
      <c r="C178">
        <v>94190003</v>
      </c>
      <c r="D178">
        <v>87304091</v>
      </c>
      <c r="E178">
        <v>1</v>
      </c>
      <c r="F178">
        <v>1</v>
      </c>
      <c r="G178">
        <v>1</v>
      </c>
      <c r="H178">
        <v>3</v>
      </c>
      <c r="I178" t="s">
        <v>467</v>
      </c>
      <c r="J178" t="s">
        <v>468</v>
      </c>
      <c r="K178" t="s">
        <v>469</v>
      </c>
      <c r="L178">
        <v>1339</v>
      </c>
      <c r="N178">
        <v>1007</v>
      </c>
      <c r="O178" t="s">
        <v>34</v>
      </c>
      <c r="P178" t="s">
        <v>34</v>
      </c>
      <c r="Q178">
        <v>1</v>
      </c>
      <c r="W178">
        <v>0</v>
      </c>
      <c r="X178">
        <v>1964556667</v>
      </c>
      <c r="Y178">
        <f t="shared" ref="Y178:Y198" si="77">AT178</f>
        <v>0.01</v>
      </c>
      <c r="AA178">
        <v>54.64</v>
      </c>
      <c r="AB178">
        <v>0</v>
      </c>
      <c r="AC178">
        <v>0</v>
      </c>
      <c r="AD178">
        <v>0</v>
      </c>
      <c r="AE178">
        <v>35.71</v>
      </c>
      <c r="AF178">
        <v>0</v>
      </c>
      <c r="AG178">
        <v>0</v>
      </c>
      <c r="AH178">
        <v>0</v>
      </c>
      <c r="AI178">
        <v>1.53</v>
      </c>
      <c r="AJ178">
        <v>1</v>
      </c>
      <c r="AK178">
        <v>1</v>
      </c>
      <c r="AL178">
        <v>1</v>
      </c>
      <c r="AM178">
        <v>2</v>
      </c>
      <c r="AN178">
        <v>0</v>
      </c>
      <c r="AO178">
        <v>0</v>
      </c>
      <c r="AP178">
        <v>0</v>
      </c>
      <c r="AQ178">
        <v>1</v>
      </c>
      <c r="AR178">
        <v>0</v>
      </c>
      <c r="AS178" t="s">
        <v>3</v>
      </c>
      <c r="AT178">
        <v>0.01</v>
      </c>
      <c r="AU178" t="s">
        <v>3</v>
      </c>
      <c r="AV178">
        <v>0</v>
      </c>
      <c r="AW178">
        <v>2</v>
      </c>
      <c r="AX178">
        <v>94190008</v>
      </c>
      <c r="AY178">
        <v>1</v>
      </c>
      <c r="AZ178">
        <v>0</v>
      </c>
      <c r="BA178">
        <v>178</v>
      </c>
      <c r="BB178">
        <v>1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0.35710000000000003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1</v>
      </c>
      <c r="BQ178">
        <v>0.35710000000000003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1</v>
      </c>
      <c r="CV178">
        <v>0</v>
      </c>
      <c r="CW178">
        <v>0</v>
      </c>
      <c r="CX178">
        <f>ROUND(Y178*Source!I156,7)</f>
        <v>2.0999999999999999E-3</v>
      </c>
      <c r="CY178">
        <f>AA178</f>
        <v>54.64</v>
      </c>
      <c r="CZ178">
        <f>AE178</f>
        <v>35.71</v>
      </c>
      <c r="DA178">
        <f>AI178</f>
        <v>1.53</v>
      </c>
      <c r="DB178">
        <f t="shared" ref="DB178:DB198" si="78">ROUND(ROUND(AT178*CZ178,2),6)</f>
        <v>0.36</v>
      </c>
      <c r="DC178">
        <f t="shared" ref="DC178:DC198" si="79">ROUND(ROUND(AT178*AG178,2),6)</f>
        <v>0</v>
      </c>
      <c r="DD178" t="s">
        <v>3</v>
      </c>
      <c r="DE178" t="s">
        <v>3</v>
      </c>
      <c r="DF178">
        <f>ROUND(ROUND(AE178*AI178,2)*CX178,2)</f>
        <v>0.11</v>
      </c>
      <c r="DG178">
        <f t="shared" si="76"/>
        <v>0</v>
      </c>
      <c r="DH178">
        <f t="shared" si="55"/>
        <v>0</v>
      </c>
      <c r="DI178">
        <f t="shared" si="56"/>
        <v>0</v>
      </c>
      <c r="DJ178">
        <f>DF178</f>
        <v>0.11</v>
      </c>
      <c r="DK178">
        <v>0</v>
      </c>
      <c r="DL178" t="s">
        <v>3</v>
      </c>
      <c r="DM178">
        <v>0</v>
      </c>
      <c r="DN178" t="s">
        <v>3</v>
      </c>
      <c r="DO178">
        <v>0</v>
      </c>
    </row>
    <row r="179" spans="1:119" x14ac:dyDescent="0.2">
      <c r="A179">
        <f>ROW(Source!A156)</f>
        <v>156</v>
      </c>
      <c r="B179">
        <v>94104265</v>
      </c>
      <c r="C179">
        <v>94190003</v>
      </c>
      <c r="D179">
        <v>87304103</v>
      </c>
      <c r="E179">
        <v>1</v>
      </c>
      <c r="F179">
        <v>1</v>
      </c>
      <c r="G179">
        <v>1</v>
      </c>
      <c r="H179">
        <v>3</v>
      </c>
      <c r="I179" t="s">
        <v>530</v>
      </c>
      <c r="J179" t="s">
        <v>531</v>
      </c>
      <c r="K179" t="s">
        <v>532</v>
      </c>
      <c r="L179">
        <v>1383</v>
      </c>
      <c r="N179">
        <v>1013</v>
      </c>
      <c r="O179" t="s">
        <v>533</v>
      </c>
      <c r="P179" t="s">
        <v>533</v>
      </c>
      <c r="Q179">
        <v>1</v>
      </c>
      <c r="W179">
        <v>0</v>
      </c>
      <c r="X179">
        <v>1840299850</v>
      </c>
      <c r="Y179">
        <f t="shared" si="77"/>
        <v>0.09</v>
      </c>
      <c r="AA179">
        <v>6.92</v>
      </c>
      <c r="AB179">
        <v>0</v>
      </c>
      <c r="AC179">
        <v>0</v>
      </c>
      <c r="AD179">
        <v>0</v>
      </c>
      <c r="AE179">
        <v>6.92</v>
      </c>
      <c r="AF179">
        <v>0</v>
      </c>
      <c r="AG179">
        <v>0</v>
      </c>
      <c r="AH179">
        <v>0</v>
      </c>
      <c r="AI179">
        <v>1</v>
      </c>
      <c r="AJ179">
        <v>1</v>
      </c>
      <c r="AK179">
        <v>1</v>
      </c>
      <c r="AL179">
        <v>1</v>
      </c>
      <c r="AM179">
        <v>-2</v>
      </c>
      <c r="AN179">
        <v>0</v>
      </c>
      <c r="AO179">
        <v>0</v>
      </c>
      <c r="AP179">
        <v>0</v>
      </c>
      <c r="AQ179">
        <v>1</v>
      </c>
      <c r="AR179">
        <v>0</v>
      </c>
      <c r="AS179" t="s">
        <v>3</v>
      </c>
      <c r="AT179">
        <v>0.09</v>
      </c>
      <c r="AU179" t="s">
        <v>3</v>
      </c>
      <c r="AV179">
        <v>0</v>
      </c>
      <c r="AW179">
        <v>2</v>
      </c>
      <c r="AX179">
        <v>94190009</v>
      </c>
      <c r="AY179">
        <v>1</v>
      </c>
      <c r="AZ179">
        <v>0</v>
      </c>
      <c r="BA179">
        <v>179</v>
      </c>
      <c r="BB179">
        <v>1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0.62280000000000002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1</v>
      </c>
      <c r="BQ179">
        <v>0.62280000000000002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1</v>
      </c>
      <c r="CV179">
        <v>0</v>
      </c>
      <c r="CW179">
        <v>0</v>
      </c>
      <c r="CX179">
        <f>ROUND(Y179*Source!I156,7)</f>
        <v>1.89E-2</v>
      </c>
      <c r="CY179">
        <f>AA179</f>
        <v>6.92</v>
      </c>
      <c r="CZ179">
        <f>AE179</f>
        <v>6.92</v>
      </c>
      <c r="DA179">
        <f>AI179</f>
        <v>1</v>
      </c>
      <c r="DB179">
        <f t="shared" si="78"/>
        <v>0.62</v>
      </c>
      <c r="DC179">
        <f t="shared" si="79"/>
        <v>0</v>
      </c>
      <c r="DD179" t="s">
        <v>3</v>
      </c>
      <c r="DE179" t="s">
        <v>3</v>
      </c>
      <c r="DF179">
        <f>ROUND(ROUND(AE179,2)*CX179,2)</f>
        <v>0.13</v>
      </c>
      <c r="DG179">
        <f t="shared" si="76"/>
        <v>0</v>
      </c>
      <c r="DH179">
        <f t="shared" si="55"/>
        <v>0</v>
      </c>
      <c r="DI179">
        <f t="shared" si="56"/>
        <v>0</v>
      </c>
      <c r="DJ179">
        <f>DF179</f>
        <v>0.13</v>
      </c>
      <c r="DK179">
        <v>1</v>
      </c>
      <c r="DL179" t="s">
        <v>3</v>
      </c>
      <c r="DM179">
        <v>0</v>
      </c>
      <c r="DN179" t="s">
        <v>3</v>
      </c>
      <c r="DO179">
        <v>0</v>
      </c>
    </row>
    <row r="180" spans="1:119" x14ac:dyDescent="0.2">
      <c r="A180">
        <f>ROW(Source!A156)</f>
        <v>156</v>
      </c>
      <c r="B180">
        <v>94104265</v>
      </c>
      <c r="C180">
        <v>94190003</v>
      </c>
      <c r="D180">
        <v>90235842</v>
      </c>
      <c r="E180">
        <v>1</v>
      </c>
      <c r="F180">
        <v>1</v>
      </c>
      <c r="G180">
        <v>1</v>
      </c>
      <c r="H180">
        <v>3</v>
      </c>
      <c r="I180" t="s">
        <v>261</v>
      </c>
      <c r="J180" t="s">
        <v>263</v>
      </c>
      <c r="K180" t="s">
        <v>262</v>
      </c>
      <c r="L180">
        <v>1348</v>
      </c>
      <c r="N180">
        <v>1009</v>
      </c>
      <c r="O180" t="s">
        <v>30</v>
      </c>
      <c r="P180" t="s">
        <v>30</v>
      </c>
      <c r="Q180">
        <v>1000</v>
      </c>
      <c r="W180">
        <v>0</v>
      </c>
      <c r="X180">
        <v>2083233302</v>
      </c>
      <c r="Y180">
        <f t="shared" si="77"/>
        <v>0.01</v>
      </c>
      <c r="AA180">
        <v>73889</v>
      </c>
      <c r="AB180">
        <v>0</v>
      </c>
      <c r="AC180">
        <v>0</v>
      </c>
      <c r="AD180">
        <v>0</v>
      </c>
      <c r="AE180">
        <v>73889</v>
      </c>
      <c r="AF180">
        <v>0</v>
      </c>
      <c r="AG180">
        <v>0</v>
      </c>
      <c r="AH180">
        <v>0</v>
      </c>
      <c r="AI180">
        <v>1</v>
      </c>
      <c r="AJ180">
        <v>1</v>
      </c>
      <c r="AK180">
        <v>1</v>
      </c>
      <c r="AL180">
        <v>1</v>
      </c>
      <c r="AM180">
        <v>0</v>
      </c>
      <c r="AN180">
        <v>0</v>
      </c>
      <c r="AO180">
        <v>0</v>
      </c>
      <c r="AP180">
        <v>1</v>
      </c>
      <c r="AQ180">
        <v>0</v>
      </c>
      <c r="AR180">
        <v>0</v>
      </c>
      <c r="AS180" t="s">
        <v>3</v>
      </c>
      <c r="AT180">
        <v>0.01</v>
      </c>
      <c r="AU180" t="s">
        <v>3</v>
      </c>
      <c r="AV180">
        <v>0</v>
      </c>
      <c r="AW180">
        <v>1</v>
      </c>
      <c r="AX180">
        <v>-1</v>
      </c>
      <c r="AY180">
        <v>0</v>
      </c>
      <c r="AZ180">
        <v>0</v>
      </c>
      <c r="BA180" t="s">
        <v>3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CV180">
        <v>0</v>
      </c>
      <c r="CW180">
        <v>0</v>
      </c>
      <c r="CX180">
        <f>ROUND(Y180*Source!I156,7)</f>
        <v>2.0999999999999999E-3</v>
      </c>
      <c r="CY180">
        <f>AA180</f>
        <v>73889</v>
      </c>
      <c r="CZ180">
        <f>AE180</f>
        <v>73889</v>
      </c>
      <c r="DA180">
        <f>AI180</f>
        <v>1</v>
      </c>
      <c r="DB180">
        <f t="shared" si="78"/>
        <v>738.89</v>
      </c>
      <c r="DC180">
        <f t="shared" si="79"/>
        <v>0</v>
      </c>
      <c r="DD180" t="s">
        <v>3</v>
      </c>
      <c r="DE180" t="s">
        <v>3</v>
      </c>
      <c r="DF180">
        <f>ROUND(ROUND(AE180,2)*CX180,2)</f>
        <v>155.16999999999999</v>
      </c>
      <c r="DG180">
        <f t="shared" si="76"/>
        <v>0</v>
      </c>
      <c r="DH180">
        <f t="shared" si="55"/>
        <v>0</v>
      </c>
      <c r="DI180">
        <f t="shared" si="56"/>
        <v>0</v>
      </c>
      <c r="DJ180">
        <f>DF180</f>
        <v>155.16999999999999</v>
      </c>
      <c r="DK180">
        <v>1</v>
      </c>
      <c r="DL180" t="s">
        <v>3</v>
      </c>
      <c r="DM180">
        <v>0</v>
      </c>
      <c r="DN180" t="s">
        <v>3</v>
      </c>
      <c r="DO180">
        <v>0</v>
      </c>
    </row>
    <row r="181" spans="1:119" x14ac:dyDescent="0.2">
      <c r="A181">
        <f>ROW(Source!A156)</f>
        <v>156</v>
      </c>
      <c r="B181">
        <v>94104265</v>
      </c>
      <c r="C181">
        <v>94190003</v>
      </c>
      <c r="D181">
        <v>90237620</v>
      </c>
      <c r="E181">
        <v>1</v>
      </c>
      <c r="F181">
        <v>1</v>
      </c>
      <c r="G181">
        <v>1</v>
      </c>
      <c r="H181">
        <v>3</v>
      </c>
      <c r="I181" t="s">
        <v>82</v>
      </c>
      <c r="J181" t="s">
        <v>84</v>
      </c>
      <c r="K181" t="s">
        <v>83</v>
      </c>
      <c r="L181">
        <v>1327</v>
      </c>
      <c r="N181">
        <v>1005</v>
      </c>
      <c r="O181" t="s">
        <v>60</v>
      </c>
      <c r="P181" t="s">
        <v>60</v>
      </c>
      <c r="Q181">
        <v>1</v>
      </c>
      <c r="W181">
        <v>0</v>
      </c>
      <c r="X181">
        <v>-1611852378</v>
      </c>
      <c r="Y181">
        <f t="shared" si="77"/>
        <v>10.199999999999999</v>
      </c>
      <c r="AA181">
        <v>908.39</v>
      </c>
      <c r="AB181">
        <v>0</v>
      </c>
      <c r="AC181">
        <v>0</v>
      </c>
      <c r="AD181">
        <v>0</v>
      </c>
      <c r="AE181">
        <v>908.39</v>
      </c>
      <c r="AF181">
        <v>0</v>
      </c>
      <c r="AG181">
        <v>0</v>
      </c>
      <c r="AH181">
        <v>0</v>
      </c>
      <c r="AI181">
        <v>1</v>
      </c>
      <c r="AJ181">
        <v>1</v>
      </c>
      <c r="AK181">
        <v>1</v>
      </c>
      <c r="AL181">
        <v>1</v>
      </c>
      <c r="AM181">
        <v>0</v>
      </c>
      <c r="AN181">
        <v>0</v>
      </c>
      <c r="AO181">
        <v>0</v>
      </c>
      <c r="AP181">
        <v>1</v>
      </c>
      <c r="AQ181">
        <v>0</v>
      </c>
      <c r="AR181">
        <v>0</v>
      </c>
      <c r="AS181" t="s">
        <v>3</v>
      </c>
      <c r="AT181">
        <v>10.199999999999999</v>
      </c>
      <c r="AU181" t="s">
        <v>3</v>
      </c>
      <c r="AV181">
        <v>0</v>
      </c>
      <c r="AW181">
        <v>1</v>
      </c>
      <c r="AX181">
        <v>-1</v>
      </c>
      <c r="AY181">
        <v>0</v>
      </c>
      <c r="AZ181">
        <v>0</v>
      </c>
      <c r="BA181" t="s">
        <v>3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CV181">
        <v>0</v>
      </c>
      <c r="CW181">
        <v>0</v>
      </c>
      <c r="CX181">
        <f>ROUND(Y181*Source!I156,7)</f>
        <v>2.1419999999999999</v>
      </c>
      <c r="CY181">
        <f>AA181</f>
        <v>908.39</v>
      </c>
      <c r="CZ181">
        <f>AE181</f>
        <v>908.39</v>
      </c>
      <c r="DA181">
        <f>AI181</f>
        <v>1</v>
      </c>
      <c r="DB181">
        <f t="shared" si="78"/>
        <v>9265.58</v>
      </c>
      <c r="DC181">
        <f t="shared" si="79"/>
        <v>0</v>
      </c>
      <c r="DD181" t="s">
        <v>3</v>
      </c>
      <c r="DE181" t="s">
        <v>3</v>
      </c>
      <c r="DF181">
        <f>ROUND(ROUND(AE181,2)*CX181,2)</f>
        <v>1945.77</v>
      </c>
      <c r="DG181">
        <f t="shared" si="76"/>
        <v>0</v>
      </c>
      <c r="DH181">
        <f t="shared" si="55"/>
        <v>0</v>
      </c>
      <c r="DI181">
        <f t="shared" si="56"/>
        <v>0</v>
      </c>
      <c r="DJ181">
        <f>DF181</f>
        <v>1945.77</v>
      </c>
      <c r="DK181">
        <v>1</v>
      </c>
      <c r="DL181" t="s">
        <v>3</v>
      </c>
      <c r="DM181">
        <v>0</v>
      </c>
      <c r="DN181" t="s">
        <v>3</v>
      </c>
      <c r="DO181">
        <v>0</v>
      </c>
    </row>
    <row r="182" spans="1:119" x14ac:dyDescent="0.2">
      <c r="A182">
        <f>ROW(Source!A156)</f>
        <v>156</v>
      </c>
      <c r="B182">
        <v>94104265</v>
      </c>
      <c r="C182">
        <v>94190003</v>
      </c>
      <c r="D182">
        <v>90250403</v>
      </c>
      <c r="E182">
        <v>1</v>
      </c>
      <c r="F182">
        <v>1</v>
      </c>
      <c r="G182">
        <v>1</v>
      </c>
      <c r="H182">
        <v>3</v>
      </c>
      <c r="I182" t="s">
        <v>250</v>
      </c>
      <c r="J182" t="s">
        <v>252</v>
      </c>
      <c r="K182" t="s">
        <v>251</v>
      </c>
      <c r="L182">
        <v>1348</v>
      </c>
      <c r="N182">
        <v>1009</v>
      </c>
      <c r="O182" t="s">
        <v>30</v>
      </c>
      <c r="P182" t="s">
        <v>30</v>
      </c>
      <c r="Q182">
        <v>1000</v>
      </c>
      <c r="W182">
        <v>0</v>
      </c>
      <c r="X182">
        <v>1538372289</v>
      </c>
      <c r="Y182">
        <f t="shared" si="77"/>
        <v>0.04</v>
      </c>
      <c r="AA182">
        <v>36398.730000000003</v>
      </c>
      <c r="AB182">
        <v>0</v>
      </c>
      <c r="AC182">
        <v>0</v>
      </c>
      <c r="AD182">
        <v>0</v>
      </c>
      <c r="AE182">
        <v>36038.35</v>
      </c>
      <c r="AF182">
        <v>0</v>
      </c>
      <c r="AG182">
        <v>0</v>
      </c>
      <c r="AH182">
        <v>0</v>
      </c>
      <c r="AI182">
        <v>1.01</v>
      </c>
      <c r="AJ182">
        <v>1</v>
      </c>
      <c r="AK182">
        <v>1</v>
      </c>
      <c r="AL182">
        <v>1</v>
      </c>
      <c r="AM182">
        <v>0</v>
      </c>
      <c r="AN182">
        <v>0</v>
      </c>
      <c r="AO182">
        <v>0</v>
      </c>
      <c r="AP182">
        <v>1</v>
      </c>
      <c r="AQ182">
        <v>0</v>
      </c>
      <c r="AR182">
        <v>0</v>
      </c>
      <c r="AS182" t="s">
        <v>3</v>
      </c>
      <c r="AT182">
        <v>0.04</v>
      </c>
      <c r="AU182" t="s">
        <v>3</v>
      </c>
      <c r="AV182">
        <v>0</v>
      </c>
      <c r="AW182">
        <v>1</v>
      </c>
      <c r="AX182">
        <v>-1</v>
      </c>
      <c r="AY182">
        <v>0</v>
      </c>
      <c r="AZ182">
        <v>0</v>
      </c>
      <c r="BA182" t="s">
        <v>3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CV182">
        <v>0</v>
      </c>
      <c r="CW182">
        <v>0</v>
      </c>
      <c r="CX182">
        <f>ROUND(Y182*Source!I156,7)</f>
        <v>8.3999999999999995E-3</v>
      </c>
      <c r="CY182">
        <f>AA182</f>
        <v>36398.730000000003</v>
      </c>
      <c r="CZ182">
        <f>AE182</f>
        <v>36038.35</v>
      </c>
      <c r="DA182">
        <f>AI182</f>
        <v>1.01</v>
      </c>
      <c r="DB182">
        <f t="shared" si="78"/>
        <v>1441.53</v>
      </c>
      <c r="DC182">
        <f t="shared" si="79"/>
        <v>0</v>
      </c>
      <c r="DD182" t="s">
        <v>3</v>
      </c>
      <c r="DE182" t="s">
        <v>3</v>
      </c>
      <c r="DF182">
        <f>ROUND(ROUND(AE182*AI182,2)*CX182,2)</f>
        <v>305.75</v>
      </c>
      <c r="DG182">
        <f t="shared" si="76"/>
        <v>0</v>
      </c>
      <c r="DH182">
        <f t="shared" si="55"/>
        <v>0</v>
      </c>
      <c r="DI182">
        <f t="shared" si="56"/>
        <v>0</v>
      </c>
      <c r="DJ182">
        <f>DF182</f>
        <v>305.75</v>
      </c>
      <c r="DK182">
        <v>0</v>
      </c>
      <c r="DL182" t="s">
        <v>3</v>
      </c>
      <c r="DM182">
        <v>0</v>
      </c>
      <c r="DN182" t="s">
        <v>3</v>
      </c>
      <c r="DO182">
        <v>0</v>
      </c>
    </row>
    <row r="183" spans="1:119" x14ac:dyDescent="0.2">
      <c r="A183">
        <f>ROW(Source!A195)</f>
        <v>195</v>
      </c>
      <c r="B183">
        <v>94104265</v>
      </c>
      <c r="C183">
        <v>94189758</v>
      </c>
      <c r="D183">
        <v>37069580</v>
      </c>
      <c r="E183">
        <v>117</v>
      </c>
      <c r="F183">
        <v>1</v>
      </c>
      <c r="G183">
        <v>1</v>
      </c>
      <c r="H183">
        <v>1</v>
      </c>
      <c r="I183" t="s">
        <v>547</v>
      </c>
      <c r="J183" t="s">
        <v>3</v>
      </c>
      <c r="K183" t="s">
        <v>548</v>
      </c>
      <c r="L183">
        <v>1191</v>
      </c>
      <c r="N183">
        <v>1013</v>
      </c>
      <c r="O183" t="s">
        <v>428</v>
      </c>
      <c r="P183" t="s">
        <v>428</v>
      </c>
      <c r="Q183">
        <v>1</v>
      </c>
      <c r="W183">
        <v>0</v>
      </c>
      <c r="X183">
        <v>1426738182</v>
      </c>
      <c r="Y183">
        <f t="shared" si="77"/>
        <v>26.3</v>
      </c>
      <c r="AA183">
        <v>0</v>
      </c>
      <c r="AB183">
        <v>0</v>
      </c>
      <c r="AC183">
        <v>0</v>
      </c>
      <c r="AD183">
        <v>657.42</v>
      </c>
      <c r="AE183">
        <v>0</v>
      </c>
      <c r="AF183">
        <v>0</v>
      </c>
      <c r="AG183">
        <v>0</v>
      </c>
      <c r="AH183">
        <v>657.42</v>
      </c>
      <c r="AI183">
        <v>1</v>
      </c>
      <c r="AJ183">
        <v>1</v>
      </c>
      <c r="AK183">
        <v>1</v>
      </c>
      <c r="AL183">
        <v>1</v>
      </c>
      <c r="AM183">
        <v>-2</v>
      </c>
      <c r="AN183">
        <v>0</v>
      </c>
      <c r="AO183">
        <v>0</v>
      </c>
      <c r="AP183">
        <v>0</v>
      </c>
      <c r="AQ183">
        <v>1</v>
      </c>
      <c r="AR183">
        <v>0</v>
      </c>
      <c r="AS183" t="s">
        <v>3</v>
      </c>
      <c r="AT183">
        <v>26.3</v>
      </c>
      <c r="AU183" t="s">
        <v>3</v>
      </c>
      <c r="AV183">
        <v>1</v>
      </c>
      <c r="AW183">
        <v>2</v>
      </c>
      <c r="AX183">
        <v>94189771</v>
      </c>
      <c r="AY183">
        <v>1</v>
      </c>
      <c r="AZ183">
        <v>0</v>
      </c>
      <c r="BA183">
        <v>183</v>
      </c>
      <c r="BB183">
        <v>1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17290.146000000001</v>
      </c>
      <c r="BN183">
        <v>26.3</v>
      </c>
      <c r="BO183">
        <v>0</v>
      </c>
      <c r="BP183">
        <v>1</v>
      </c>
      <c r="BQ183">
        <v>0</v>
      </c>
      <c r="BR183">
        <v>0</v>
      </c>
      <c r="BS183">
        <v>0</v>
      </c>
      <c r="BT183">
        <v>17290.146000000001</v>
      </c>
      <c r="BU183">
        <v>26.3</v>
      </c>
      <c r="BV183">
        <v>0</v>
      </c>
      <c r="BW183">
        <v>1</v>
      </c>
      <c r="CU183">
        <f>ROUND(AT183*Source!I195*AH183*AL183,2)</f>
        <v>13253.93</v>
      </c>
      <c r="CV183">
        <f>ROUND(Y183*Source!I195,7)</f>
        <v>20.160527999999999</v>
      </c>
      <c r="CW183">
        <v>0</v>
      </c>
      <c r="CX183">
        <f>ROUND(Y183*Source!I195,7)</f>
        <v>20.160527999999999</v>
      </c>
      <c r="CY183">
        <f>AD183</f>
        <v>657.42</v>
      </c>
      <c r="CZ183">
        <f>AH183</f>
        <v>657.42</v>
      </c>
      <c r="DA183">
        <f>AL183</f>
        <v>1</v>
      </c>
      <c r="DB183">
        <f t="shared" si="78"/>
        <v>17290.150000000001</v>
      </c>
      <c r="DC183">
        <f t="shared" si="79"/>
        <v>0</v>
      </c>
      <c r="DD183" t="s">
        <v>3</v>
      </c>
      <c r="DE183" t="s">
        <v>3</v>
      </c>
      <c r="DF183">
        <f>ROUND(ROUND(AE183,2)*CX183,2)</f>
        <v>0</v>
      </c>
      <c r="DG183">
        <f t="shared" si="76"/>
        <v>0</v>
      </c>
      <c r="DH183">
        <f t="shared" si="55"/>
        <v>0</v>
      </c>
      <c r="DI183">
        <f t="shared" si="56"/>
        <v>13253.93</v>
      </c>
      <c r="DJ183">
        <f>DI183</f>
        <v>13253.93</v>
      </c>
      <c r="DK183">
        <v>1</v>
      </c>
      <c r="DL183" t="s">
        <v>3</v>
      </c>
      <c r="DM183">
        <v>0</v>
      </c>
      <c r="DN183" t="s">
        <v>3</v>
      </c>
      <c r="DO183">
        <v>0</v>
      </c>
    </row>
    <row r="184" spans="1:119" x14ac:dyDescent="0.2">
      <c r="A184">
        <f>ROW(Source!A195)</f>
        <v>195</v>
      </c>
      <c r="B184">
        <v>94104265</v>
      </c>
      <c r="C184">
        <v>94189758</v>
      </c>
      <c r="D184">
        <v>37064876</v>
      </c>
      <c r="E184">
        <v>117</v>
      </c>
      <c r="F184">
        <v>1</v>
      </c>
      <c r="G184">
        <v>1</v>
      </c>
      <c r="H184">
        <v>1</v>
      </c>
      <c r="I184" t="s">
        <v>429</v>
      </c>
      <c r="J184" t="s">
        <v>3</v>
      </c>
      <c r="K184" t="s">
        <v>430</v>
      </c>
      <c r="L184">
        <v>1191</v>
      </c>
      <c r="N184">
        <v>1013</v>
      </c>
      <c r="O184" t="s">
        <v>428</v>
      </c>
      <c r="P184" t="s">
        <v>428</v>
      </c>
      <c r="Q184">
        <v>1</v>
      </c>
      <c r="W184">
        <v>0</v>
      </c>
      <c r="X184">
        <v>-1417349443</v>
      </c>
      <c r="Y184">
        <f t="shared" si="77"/>
        <v>0.16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1</v>
      </c>
      <c r="AJ184">
        <v>1</v>
      </c>
      <c r="AK184">
        <v>1</v>
      </c>
      <c r="AL184">
        <v>1</v>
      </c>
      <c r="AM184">
        <v>-2</v>
      </c>
      <c r="AN184">
        <v>0</v>
      </c>
      <c r="AO184">
        <v>0</v>
      </c>
      <c r="AP184">
        <v>0</v>
      </c>
      <c r="AQ184">
        <v>1</v>
      </c>
      <c r="AR184">
        <v>0</v>
      </c>
      <c r="AS184" t="s">
        <v>3</v>
      </c>
      <c r="AT184">
        <v>0.16</v>
      </c>
      <c r="AU184" t="s">
        <v>3</v>
      </c>
      <c r="AV184">
        <v>2</v>
      </c>
      <c r="AW184">
        <v>2</v>
      </c>
      <c r="AX184">
        <v>94189772</v>
      </c>
      <c r="AY184">
        <v>1</v>
      </c>
      <c r="AZ184">
        <v>0</v>
      </c>
      <c r="BA184">
        <v>184</v>
      </c>
      <c r="BB184">
        <v>1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CV184">
        <v>0</v>
      </c>
      <c r="CW184">
        <v>0</v>
      </c>
      <c r="CX184">
        <f>ROUND(Y184*Source!I195,7)</f>
        <v>0.1226496</v>
      </c>
      <c r="CY184">
        <f>AD184</f>
        <v>0</v>
      </c>
      <c r="CZ184">
        <f>AH184</f>
        <v>0</v>
      </c>
      <c r="DA184">
        <f>AL184</f>
        <v>1</v>
      </c>
      <c r="DB184">
        <f t="shared" si="78"/>
        <v>0</v>
      </c>
      <c r="DC184">
        <f t="shared" si="79"/>
        <v>0</v>
      </c>
      <c r="DD184" t="s">
        <v>3</v>
      </c>
      <c r="DE184" t="s">
        <v>3</v>
      </c>
      <c r="DF184">
        <f>ROUND(ROUND(AE184,2)*CX184,2)</f>
        <v>0</v>
      </c>
      <c r="DG184">
        <f t="shared" si="76"/>
        <v>0</v>
      </c>
      <c r="DH184">
        <f t="shared" si="55"/>
        <v>0</v>
      </c>
      <c r="DI184">
        <f t="shared" si="56"/>
        <v>0</v>
      </c>
      <c r="DJ184">
        <f>DI184</f>
        <v>0</v>
      </c>
      <c r="DK184">
        <v>0</v>
      </c>
      <c r="DL184" t="s">
        <v>3</v>
      </c>
      <c r="DM184">
        <v>0</v>
      </c>
      <c r="DN184" t="s">
        <v>3</v>
      </c>
      <c r="DO184">
        <v>0</v>
      </c>
    </row>
    <row r="185" spans="1:119" x14ac:dyDescent="0.2">
      <c r="A185">
        <f>ROW(Source!A195)</f>
        <v>195</v>
      </c>
      <c r="B185">
        <v>94104265</v>
      </c>
      <c r="C185">
        <v>94189758</v>
      </c>
      <c r="D185">
        <v>87236625</v>
      </c>
      <c r="E185">
        <v>1</v>
      </c>
      <c r="F185">
        <v>1</v>
      </c>
      <c r="G185">
        <v>1</v>
      </c>
      <c r="H185">
        <v>2</v>
      </c>
      <c r="I185" t="s">
        <v>431</v>
      </c>
      <c r="J185" t="s">
        <v>432</v>
      </c>
      <c r="K185" t="s">
        <v>433</v>
      </c>
      <c r="L185">
        <v>1368</v>
      </c>
      <c r="N185">
        <v>1011</v>
      </c>
      <c r="O185" t="s">
        <v>434</v>
      </c>
      <c r="P185" t="s">
        <v>434</v>
      </c>
      <c r="Q185">
        <v>1</v>
      </c>
      <c r="W185">
        <v>0</v>
      </c>
      <c r="X185">
        <v>945201097</v>
      </c>
      <c r="Y185">
        <f t="shared" si="77"/>
        <v>0.1</v>
      </c>
      <c r="AA185">
        <v>0</v>
      </c>
      <c r="AB185">
        <v>58.59</v>
      </c>
      <c r="AC185">
        <v>649.24</v>
      </c>
      <c r="AD185">
        <v>0</v>
      </c>
      <c r="AE185">
        <v>0</v>
      </c>
      <c r="AF185">
        <v>37.32</v>
      </c>
      <c r="AG185">
        <v>649.24</v>
      </c>
      <c r="AH185">
        <v>0</v>
      </c>
      <c r="AI185">
        <v>1</v>
      </c>
      <c r="AJ185">
        <v>1.57</v>
      </c>
      <c r="AK185">
        <v>1</v>
      </c>
      <c r="AL185">
        <v>1</v>
      </c>
      <c r="AM185">
        <v>2</v>
      </c>
      <c r="AN185">
        <v>0</v>
      </c>
      <c r="AO185">
        <v>0</v>
      </c>
      <c r="AP185">
        <v>0</v>
      </c>
      <c r="AQ185">
        <v>1</v>
      </c>
      <c r="AR185">
        <v>0</v>
      </c>
      <c r="AS185" t="s">
        <v>3</v>
      </c>
      <c r="AT185">
        <v>0.1</v>
      </c>
      <c r="AU185" t="s">
        <v>3</v>
      </c>
      <c r="AV185">
        <v>1</v>
      </c>
      <c r="AW185">
        <v>2</v>
      </c>
      <c r="AX185">
        <v>94189773</v>
      </c>
      <c r="AY185">
        <v>1</v>
      </c>
      <c r="AZ185">
        <v>0</v>
      </c>
      <c r="BA185">
        <v>185</v>
      </c>
      <c r="BB185">
        <v>1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3.7320000000000002</v>
      </c>
      <c r="BL185">
        <v>64.924000000000007</v>
      </c>
      <c r="BM185">
        <v>0</v>
      </c>
      <c r="BN185">
        <v>0</v>
      </c>
      <c r="BO185">
        <v>0.1</v>
      </c>
      <c r="BP185">
        <v>1</v>
      </c>
      <c r="BQ185">
        <v>0</v>
      </c>
      <c r="BR185">
        <v>3.7320000000000002</v>
      </c>
      <c r="BS185">
        <v>64.924000000000007</v>
      </c>
      <c r="BT185">
        <v>0</v>
      </c>
      <c r="BU185">
        <v>0</v>
      </c>
      <c r="BV185">
        <v>0.1</v>
      </c>
      <c r="BW185">
        <v>1</v>
      </c>
      <c r="CV185">
        <v>0</v>
      </c>
      <c r="CW185">
        <f>ROUND(Y185*Source!I195*DO185,7)</f>
        <v>7.6656000000000002E-2</v>
      </c>
      <c r="CX185">
        <f>ROUND(Y185*Source!I195,7)</f>
        <v>7.6656000000000002E-2</v>
      </c>
      <c r="CY185">
        <f>AB185</f>
        <v>58.59</v>
      </c>
      <c r="CZ185">
        <f>AF185</f>
        <v>37.32</v>
      </c>
      <c r="DA185">
        <f>AJ185</f>
        <v>1.57</v>
      </c>
      <c r="DB185">
        <f t="shared" si="78"/>
        <v>3.73</v>
      </c>
      <c r="DC185">
        <f t="shared" si="79"/>
        <v>64.92</v>
      </c>
      <c r="DD185" t="s">
        <v>3</v>
      </c>
      <c r="DE185" t="s">
        <v>3</v>
      </c>
      <c r="DF185">
        <f>ROUND(ROUND(AE185,2)*CX185,2)</f>
        <v>0</v>
      </c>
      <c r="DG185">
        <f>ROUND(ROUND(AF185*AJ185,2)*CX185,2)</f>
        <v>4.49</v>
      </c>
      <c r="DH185">
        <f t="shared" si="55"/>
        <v>49.77</v>
      </c>
      <c r="DI185">
        <f t="shared" si="56"/>
        <v>0</v>
      </c>
      <c r="DJ185">
        <f>DG185+DH185</f>
        <v>54.260000000000005</v>
      </c>
      <c r="DK185">
        <v>0</v>
      </c>
      <c r="DL185" t="s">
        <v>435</v>
      </c>
      <c r="DM185">
        <v>3</v>
      </c>
      <c r="DN185" t="s">
        <v>428</v>
      </c>
      <c r="DO185">
        <v>1</v>
      </c>
    </row>
    <row r="186" spans="1:119" x14ac:dyDescent="0.2">
      <c r="A186">
        <f>ROW(Source!A195)</f>
        <v>195</v>
      </c>
      <c r="B186">
        <v>94104265</v>
      </c>
      <c r="C186">
        <v>94189758</v>
      </c>
      <c r="D186">
        <v>87237333</v>
      </c>
      <c r="E186">
        <v>1</v>
      </c>
      <c r="F186">
        <v>1</v>
      </c>
      <c r="G186">
        <v>1</v>
      </c>
      <c r="H186">
        <v>2</v>
      </c>
      <c r="I186" t="s">
        <v>463</v>
      </c>
      <c r="J186" t="s">
        <v>464</v>
      </c>
      <c r="K186" t="s">
        <v>465</v>
      </c>
      <c r="L186">
        <v>1368</v>
      </c>
      <c r="N186">
        <v>1011</v>
      </c>
      <c r="O186" t="s">
        <v>434</v>
      </c>
      <c r="P186" t="s">
        <v>434</v>
      </c>
      <c r="Q186">
        <v>1</v>
      </c>
      <c r="W186">
        <v>0</v>
      </c>
      <c r="X186">
        <v>-849950259</v>
      </c>
      <c r="Y186">
        <f t="shared" si="77"/>
        <v>0.06</v>
      </c>
      <c r="AA186">
        <v>0</v>
      </c>
      <c r="AB186">
        <v>544.91999999999996</v>
      </c>
      <c r="AC186">
        <v>731.08</v>
      </c>
      <c r="AD186">
        <v>0</v>
      </c>
      <c r="AE186">
        <v>0</v>
      </c>
      <c r="AF186">
        <v>544.91999999999996</v>
      </c>
      <c r="AG186">
        <v>731.08</v>
      </c>
      <c r="AH186">
        <v>0</v>
      </c>
      <c r="AI186">
        <v>1</v>
      </c>
      <c r="AJ186">
        <v>1</v>
      </c>
      <c r="AK186">
        <v>1</v>
      </c>
      <c r="AL186">
        <v>1</v>
      </c>
      <c r="AM186">
        <v>-2</v>
      </c>
      <c r="AN186">
        <v>0</v>
      </c>
      <c r="AO186">
        <v>0</v>
      </c>
      <c r="AP186">
        <v>0</v>
      </c>
      <c r="AQ186">
        <v>1</v>
      </c>
      <c r="AR186">
        <v>0</v>
      </c>
      <c r="AS186" t="s">
        <v>3</v>
      </c>
      <c r="AT186">
        <v>0.06</v>
      </c>
      <c r="AU186" t="s">
        <v>3</v>
      </c>
      <c r="AV186">
        <v>1</v>
      </c>
      <c r="AW186">
        <v>2</v>
      </c>
      <c r="AX186">
        <v>94189774</v>
      </c>
      <c r="AY186">
        <v>1</v>
      </c>
      <c r="AZ186">
        <v>0</v>
      </c>
      <c r="BA186">
        <v>186</v>
      </c>
      <c r="BB186">
        <v>1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32.6952</v>
      </c>
      <c r="BL186">
        <v>43.864800000000002</v>
      </c>
      <c r="BM186">
        <v>0</v>
      </c>
      <c r="BN186">
        <v>0</v>
      </c>
      <c r="BO186">
        <v>0.06</v>
      </c>
      <c r="BP186">
        <v>1</v>
      </c>
      <c r="BQ186">
        <v>0</v>
      </c>
      <c r="BR186">
        <v>32.6952</v>
      </c>
      <c r="BS186">
        <v>43.864800000000002</v>
      </c>
      <c r="BT186">
        <v>0</v>
      </c>
      <c r="BU186">
        <v>0</v>
      </c>
      <c r="BV186">
        <v>0.06</v>
      </c>
      <c r="BW186">
        <v>1</v>
      </c>
      <c r="CV186">
        <v>0</v>
      </c>
      <c r="CW186">
        <f>ROUND(Y186*Source!I195*DO186,7)</f>
        <v>4.5993600000000003E-2</v>
      </c>
      <c r="CX186">
        <f>ROUND(Y186*Source!I195,7)</f>
        <v>4.5993600000000003E-2</v>
      </c>
      <c r="CY186">
        <f>AB186</f>
        <v>544.91999999999996</v>
      </c>
      <c r="CZ186">
        <f>AF186</f>
        <v>544.91999999999996</v>
      </c>
      <c r="DA186">
        <f>AJ186</f>
        <v>1</v>
      </c>
      <c r="DB186">
        <f t="shared" si="78"/>
        <v>32.700000000000003</v>
      </c>
      <c r="DC186">
        <f t="shared" si="79"/>
        <v>43.86</v>
      </c>
      <c r="DD186" t="s">
        <v>3</v>
      </c>
      <c r="DE186" t="s">
        <v>3</v>
      </c>
      <c r="DF186">
        <f>ROUND(ROUND(AE186,2)*CX186,2)</f>
        <v>0</v>
      </c>
      <c r="DG186">
        <f t="shared" ref="DG186:DG196" si="80">ROUND(ROUND(AF186,2)*CX186,2)</f>
        <v>25.06</v>
      </c>
      <c r="DH186">
        <f t="shared" si="55"/>
        <v>33.630000000000003</v>
      </c>
      <c r="DI186">
        <f t="shared" si="56"/>
        <v>0</v>
      </c>
      <c r="DJ186">
        <f>DG186+DH186</f>
        <v>58.69</v>
      </c>
      <c r="DK186">
        <v>1</v>
      </c>
      <c r="DL186" t="s">
        <v>466</v>
      </c>
      <c r="DM186">
        <v>4</v>
      </c>
      <c r="DN186" t="s">
        <v>428</v>
      </c>
      <c r="DO186">
        <v>1</v>
      </c>
    </row>
    <row r="187" spans="1:119" x14ac:dyDescent="0.2">
      <c r="A187">
        <f>ROW(Source!A195)</f>
        <v>195</v>
      </c>
      <c r="B187">
        <v>94104265</v>
      </c>
      <c r="C187">
        <v>94189758</v>
      </c>
      <c r="D187">
        <v>87304091</v>
      </c>
      <c r="E187">
        <v>1</v>
      </c>
      <c r="F187">
        <v>1</v>
      </c>
      <c r="G187">
        <v>1</v>
      </c>
      <c r="H187">
        <v>3</v>
      </c>
      <c r="I187" t="s">
        <v>467</v>
      </c>
      <c r="J187" t="s">
        <v>468</v>
      </c>
      <c r="K187" t="s">
        <v>469</v>
      </c>
      <c r="L187">
        <v>1339</v>
      </c>
      <c r="N187">
        <v>1007</v>
      </c>
      <c r="O187" t="s">
        <v>34</v>
      </c>
      <c r="P187" t="s">
        <v>34</v>
      </c>
      <c r="Q187">
        <v>1</v>
      </c>
      <c r="W187">
        <v>0</v>
      </c>
      <c r="X187">
        <v>1964556667</v>
      </c>
      <c r="Y187">
        <f t="shared" si="77"/>
        <v>0.4</v>
      </c>
      <c r="AA187">
        <v>54.64</v>
      </c>
      <c r="AB187">
        <v>0</v>
      </c>
      <c r="AC187">
        <v>0</v>
      </c>
      <c r="AD187">
        <v>0</v>
      </c>
      <c r="AE187">
        <v>35.71</v>
      </c>
      <c r="AF187">
        <v>0</v>
      </c>
      <c r="AG187">
        <v>0</v>
      </c>
      <c r="AH187">
        <v>0</v>
      </c>
      <c r="AI187">
        <v>1.53</v>
      </c>
      <c r="AJ187">
        <v>1</v>
      </c>
      <c r="AK187">
        <v>1</v>
      </c>
      <c r="AL187">
        <v>1</v>
      </c>
      <c r="AM187">
        <v>2</v>
      </c>
      <c r="AN187">
        <v>0</v>
      </c>
      <c r="AO187">
        <v>0</v>
      </c>
      <c r="AP187">
        <v>0</v>
      </c>
      <c r="AQ187">
        <v>1</v>
      </c>
      <c r="AR187">
        <v>0</v>
      </c>
      <c r="AS187" t="s">
        <v>3</v>
      </c>
      <c r="AT187">
        <v>0.4</v>
      </c>
      <c r="AU187" t="s">
        <v>3</v>
      </c>
      <c r="AV187">
        <v>0</v>
      </c>
      <c r="AW187">
        <v>2</v>
      </c>
      <c r="AX187">
        <v>94189775</v>
      </c>
      <c r="AY187">
        <v>1</v>
      </c>
      <c r="AZ187">
        <v>0</v>
      </c>
      <c r="BA187">
        <v>187</v>
      </c>
      <c r="BB187">
        <v>1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14.284000000000001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1</v>
      </c>
      <c r="BQ187">
        <v>14.284000000000001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1</v>
      </c>
      <c r="CV187">
        <v>0</v>
      </c>
      <c r="CW187">
        <v>0</v>
      </c>
      <c r="CX187">
        <f>ROUND(Y187*Source!I195,7)</f>
        <v>0.30662400000000001</v>
      </c>
      <c r="CY187">
        <f t="shared" ref="CY187:CY194" si="81">AA187</f>
        <v>54.64</v>
      </c>
      <c r="CZ187">
        <f t="shared" ref="CZ187:CZ194" si="82">AE187</f>
        <v>35.71</v>
      </c>
      <c r="DA187">
        <f t="shared" ref="DA187:DA194" si="83">AI187</f>
        <v>1.53</v>
      </c>
      <c r="DB187">
        <f t="shared" si="78"/>
        <v>14.28</v>
      </c>
      <c r="DC187">
        <f t="shared" si="79"/>
        <v>0</v>
      </c>
      <c r="DD187" t="s">
        <v>3</v>
      </c>
      <c r="DE187" t="s">
        <v>3</v>
      </c>
      <c r="DF187">
        <f t="shared" ref="DF187:DF194" si="84">ROUND(ROUND(AE187*AI187,2)*CX187,2)</f>
        <v>16.75</v>
      </c>
      <c r="DG187">
        <f t="shared" si="80"/>
        <v>0</v>
      </c>
      <c r="DH187">
        <f t="shared" si="55"/>
        <v>0</v>
      </c>
      <c r="DI187">
        <f t="shared" si="56"/>
        <v>0</v>
      </c>
      <c r="DJ187">
        <f t="shared" ref="DJ187:DJ194" si="85">DF187</f>
        <v>16.75</v>
      </c>
      <c r="DK187">
        <v>0</v>
      </c>
      <c r="DL187" t="s">
        <v>3</v>
      </c>
      <c r="DM187">
        <v>0</v>
      </c>
      <c r="DN187" t="s">
        <v>3</v>
      </c>
      <c r="DO187">
        <v>0</v>
      </c>
    </row>
    <row r="188" spans="1:119" x14ac:dyDescent="0.2">
      <c r="A188">
        <f>ROW(Source!A195)</f>
        <v>195</v>
      </c>
      <c r="B188">
        <v>94104265</v>
      </c>
      <c r="C188">
        <v>94189758</v>
      </c>
      <c r="D188">
        <v>87304388</v>
      </c>
      <c r="E188">
        <v>1</v>
      </c>
      <c r="F188">
        <v>1</v>
      </c>
      <c r="G188">
        <v>1</v>
      </c>
      <c r="H188">
        <v>3</v>
      </c>
      <c r="I188" t="s">
        <v>558</v>
      </c>
      <c r="J188" t="s">
        <v>559</v>
      </c>
      <c r="K188" t="s">
        <v>560</v>
      </c>
      <c r="L188">
        <v>1371</v>
      </c>
      <c r="N188">
        <v>1013</v>
      </c>
      <c r="O188" t="s">
        <v>279</v>
      </c>
      <c r="P188" t="s">
        <v>279</v>
      </c>
      <c r="Q188">
        <v>1</v>
      </c>
      <c r="W188">
        <v>0</v>
      </c>
      <c r="X188">
        <v>1145730244</v>
      </c>
      <c r="Y188">
        <f t="shared" si="77"/>
        <v>3.2</v>
      </c>
      <c r="AA188">
        <v>25.1</v>
      </c>
      <c r="AB188">
        <v>0</v>
      </c>
      <c r="AC188">
        <v>0</v>
      </c>
      <c r="AD188">
        <v>0</v>
      </c>
      <c r="AE188">
        <v>18.59</v>
      </c>
      <c r="AF188">
        <v>0</v>
      </c>
      <c r="AG188">
        <v>0</v>
      </c>
      <c r="AH188">
        <v>0</v>
      </c>
      <c r="AI188">
        <v>1.35</v>
      </c>
      <c r="AJ188">
        <v>1</v>
      </c>
      <c r="AK188">
        <v>1</v>
      </c>
      <c r="AL188">
        <v>1</v>
      </c>
      <c r="AM188">
        <v>2</v>
      </c>
      <c r="AN188">
        <v>0</v>
      </c>
      <c r="AO188">
        <v>0</v>
      </c>
      <c r="AP188">
        <v>0</v>
      </c>
      <c r="AQ188">
        <v>1</v>
      </c>
      <c r="AR188">
        <v>0</v>
      </c>
      <c r="AS188" t="s">
        <v>3</v>
      </c>
      <c r="AT188">
        <v>3.2</v>
      </c>
      <c r="AU188" t="s">
        <v>3</v>
      </c>
      <c r="AV188">
        <v>0</v>
      </c>
      <c r="AW188">
        <v>2</v>
      </c>
      <c r="AX188">
        <v>94189776</v>
      </c>
      <c r="AY188">
        <v>1</v>
      </c>
      <c r="AZ188">
        <v>0</v>
      </c>
      <c r="BA188">
        <v>188</v>
      </c>
      <c r="BB188">
        <v>1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59.488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1</v>
      </c>
      <c r="BQ188">
        <v>59.488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1</v>
      </c>
      <c r="CV188">
        <v>0</v>
      </c>
      <c r="CW188">
        <v>0</v>
      </c>
      <c r="CX188">
        <f>ROUND(Y188*Source!I195,7)</f>
        <v>2.4529920000000001</v>
      </c>
      <c r="CY188">
        <f t="shared" si="81"/>
        <v>25.1</v>
      </c>
      <c r="CZ188">
        <f t="shared" si="82"/>
        <v>18.59</v>
      </c>
      <c r="DA188">
        <f t="shared" si="83"/>
        <v>1.35</v>
      </c>
      <c r="DB188">
        <f t="shared" si="78"/>
        <v>59.49</v>
      </c>
      <c r="DC188">
        <f t="shared" si="79"/>
        <v>0</v>
      </c>
      <c r="DD188" t="s">
        <v>3</v>
      </c>
      <c r="DE188" t="s">
        <v>3</v>
      </c>
      <c r="DF188">
        <f t="shared" si="84"/>
        <v>61.57</v>
      </c>
      <c r="DG188">
        <f t="shared" si="80"/>
        <v>0</v>
      </c>
      <c r="DH188">
        <f t="shared" si="55"/>
        <v>0</v>
      </c>
      <c r="DI188">
        <f t="shared" si="56"/>
        <v>0</v>
      </c>
      <c r="DJ188">
        <f t="shared" si="85"/>
        <v>61.57</v>
      </c>
      <c r="DK188">
        <v>0</v>
      </c>
      <c r="DL188" t="s">
        <v>3</v>
      </c>
      <c r="DM188">
        <v>0</v>
      </c>
      <c r="DN188" t="s">
        <v>3</v>
      </c>
      <c r="DO188">
        <v>0</v>
      </c>
    </row>
    <row r="189" spans="1:119" x14ac:dyDescent="0.2">
      <c r="A189">
        <f>ROW(Source!A195)</f>
        <v>195</v>
      </c>
      <c r="B189">
        <v>94104265</v>
      </c>
      <c r="C189">
        <v>94189758</v>
      </c>
      <c r="D189">
        <v>87304588</v>
      </c>
      <c r="E189">
        <v>1</v>
      </c>
      <c r="F189">
        <v>1</v>
      </c>
      <c r="G189">
        <v>1</v>
      </c>
      <c r="H189">
        <v>3</v>
      </c>
      <c r="I189" t="s">
        <v>561</v>
      </c>
      <c r="J189" t="s">
        <v>562</v>
      </c>
      <c r="K189" t="s">
        <v>563</v>
      </c>
      <c r="L189">
        <v>1348</v>
      </c>
      <c r="N189">
        <v>1009</v>
      </c>
      <c r="O189" t="s">
        <v>30</v>
      </c>
      <c r="P189" t="s">
        <v>30</v>
      </c>
      <c r="Q189">
        <v>1000</v>
      </c>
      <c r="W189">
        <v>0</v>
      </c>
      <c r="X189">
        <v>601473952</v>
      </c>
      <c r="Y189">
        <f t="shared" si="77"/>
        <v>1.2E-2</v>
      </c>
      <c r="AA189">
        <v>4882.84</v>
      </c>
      <c r="AB189">
        <v>0</v>
      </c>
      <c r="AC189">
        <v>0</v>
      </c>
      <c r="AD189">
        <v>0</v>
      </c>
      <c r="AE189">
        <v>3616.92</v>
      </c>
      <c r="AF189">
        <v>0</v>
      </c>
      <c r="AG189">
        <v>0</v>
      </c>
      <c r="AH189">
        <v>0</v>
      </c>
      <c r="AI189">
        <v>1.35</v>
      </c>
      <c r="AJ189">
        <v>1</v>
      </c>
      <c r="AK189">
        <v>1</v>
      </c>
      <c r="AL189">
        <v>1</v>
      </c>
      <c r="AM189">
        <v>2</v>
      </c>
      <c r="AN189">
        <v>0</v>
      </c>
      <c r="AO189">
        <v>0</v>
      </c>
      <c r="AP189">
        <v>0</v>
      </c>
      <c r="AQ189">
        <v>1</v>
      </c>
      <c r="AR189">
        <v>0</v>
      </c>
      <c r="AS189" t="s">
        <v>3</v>
      </c>
      <c r="AT189">
        <v>1.2E-2</v>
      </c>
      <c r="AU189" t="s">
        <v>3</v>
      </c>
      <c r="AV189">
        <v>0</v>
      </c>
      <c r="AW189">
        <v>2</v>
      </c>
      <c r="AX189">
        <v>94189777</v>
      </c>
      <c r="AY189">
        <v>1</v>
      </c>
      <c r="AZ189">
        <v>0</v>
      </c>
      <c r="BA189">
        <v>189</v>
      </c>
      <c r="BB189">
        <v>1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43.403040000000004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1</v>
      </c>
      <c r="BQ189">
        <v>43.403040000000004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1</v>
      </c>
      <c r="CV189">
        <v>0</v>
      </c>
      <c r="CW189">
        <v>0</v>
      </c>
      <c r="CX189">
        <f>ROUND(Y189*Source!I195,7)</f>
        <v>9.1987000000000006E-3</v>
      </c>
      <c r="CY189">
        <f t="shared" si="81"/>
        <v>4882.84</v>
      </c>
      <c r="CZ189">
        <f t="shared" si="82"/>
        <v>3616.92</v>
      </c>
      <c r="DA189">
        <f t="shared" si="83"/>
        <v>1.35</v>
      </c>
      <c r="DB189">
        <f t="shared" si="78"/>
        <v>43.4</v>
      </c>
      <c r="DC189">
        <f t="shared" si="79"/>
        <v>0</v>
      </c>
      <c r="DD189" t="s">
        <v>3</v>
      </c>
      <c r="DE189" t="s">
        <v>3</v>
      </c>
      <c r="DF189">
        <f t="shared" si="84"/>
        <v>44.92</v>
      </c>
      <c r="DG189">
        <f t="shared" si="80"/>
        <v>0</v>
      </c>
      <c r="DH189">
        <f t="shared" si="55"/>
        <v>0</v>
      </c>
      <c r="DI189">
        <f t="shared" si="56"/>
        <v>0</v>
      </c>
      <c r="DJ189">
        <f t="shared" si="85"/>
        <v>44.92</v>
      </c>
      <c r="DK189">
        <v>0</v>
      </c>
      <c r="DL189" t="s">
        <v>3</v>
      </c>
      <c r="DM189">
        <v>0</v>
      </c>
      <c r="DN189" t="s">
        <v>3</v>
      </c>
      <c r="DO189">
        <v>0</v>
      </c>
    </row>
    <row r="190" spans="1:119" x14ac:dyDescent="0.2">
      <c r="A190">
        <f>ROW(Source!A195)</f>
        <v>195</v>
      </c>
      <c r="B190">
        <v>94104265</v>
      </c>
      <c r="C190">
        <v>94189758</v>
      </c>
      <c r="D190">
        <v>87304694</v>
      </c>
      <c r="E190">
        <v>1</v>
      </c>
      <c r="F190">
        <v>1</v>
      </c>
      <c r="G190">
        <v>1</v>
      </c>
      <c r="H190">
        <v>3</v>
      </c>
      <c r="I190" t="s">
        <v>564</v>
      </c>
      <c r="J190" t="s">
        <v>565</v>
      </c>
      <c r="K190" t="s">
        <v>566</v>
      </c>
      <c r="L190">
        <v>1346</v>
      </c>
      <c r="N190">
        <v>1009</v>
      </c>
      <c r="O190" t="s">
        <v>96</v>
      </c>
      <c r="P190" t="s">
        <v>96</v>
      </c>
      <c r="Q190">
        <v>1</v>
      </c>
      <c r="W190">
        <v>0</v>
      </c>
      <c r="X190">
        <v>-2122839911</v>
      </c>
      <c r="Y190">
        <f t="shared" si="77"/>
        <v>2.64</v>
      </c>
      <c r="AA190">
        <v>3385.29</v>
      </c>
      <c r="AB190">
        <v>0</v>
      </c>
      <c r="AC190">
        <v>0</v>
      </c>
      <c r="AD190">
        <v>0</v>
      </c>
      <c r="AE190">
        <v>2507.62</v>
      </c>
      <c r="AF190">
        <v>0</v>
      </c>
      <c r="AG190">
        <v>0</v>
      </c>
      <c r="AH190">
        <v>0</v>
      </c>
      <c r="AI190">
        <v>1.35</v>
      </c>
      <c r="AJ190">
        <v>1</v>
      </c>
      <c r="AK190">
        <v>1</v>
      </c>
      <c r="AL190">
        <v>1</v>
      </c>
      <c r="AM190">
        <v>2</v>
      </c>
      <c r="AN190">
        <v>0</v>
      </c>
      <c r="AO190">
        <v>0</v>
      </c>
      <c r="AP190">
        <v>0</v>
      </c>
      <c r="AQ190">
        <v>1</v>
      </c>
      <c r="AR190">
        <v>0</v>
      </c>
      <c r="AS190" t="s">
        <v>3</v>
      </c>
      <c r="AT190">
        <v>2.64</v>
      </c>
      <c r="AU190" t="s">
        <v>3</v>
      </c>
      <c r="AV190">
        <v>0</v>
      </c>
      <c r="AW190">
        <v>2</v>
      </c>
      <c r="AX190">
        <v>94189778</v>
      </c>
      <c r="AY190">
        <v>1</v>
      </c>
      <c r="AZ190">
        <v>0</v>
      </c>
      <c r="BA190">
        <v>190</v>
      </c>
      <c r="BB190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6620.1167999999998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1</v>
      </c>
      <c r="BQ190">
        <v>6620.1167999999998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1</v>
      </c>
      <c r="CV190">
        <v>0</v>
      </c>
      <c r="CW190">
        <v>0</v>
      </c>
      <c r="CX190">
        <f>ROUND(Y190*Source!I195,7)</f>
        <v>2.0237183999999999</v>
      </c>
      <c r="CY190">
        <f t="shared" si="81"/>
        <v>3385.29</v>
      </c>
      <c r="CZ190">
        <f t="shared" si="82"/>
        <v>2507.62</v>
      </c>
      <c r="DA190">
        <f t="shared" si="83"/>
        <v>1.35</v>
      </c>
      <c r="DB190">
        <f t="shared" si="78"/>
        <v>6620.12</v>
      </c>
      <c r="DC190">
        <f t="shared" si="79"/>
        <v>0</v>
      </c>
      <c r="DD190" t="s">
        <v>3</v>
      </c>
      <c r="DE190" t="s">
        <v>3</v>
      </c>
      <c r="DF190">
        <f t="shared" si="84"/>
        <v>6850.87</v>
      </c>
      <c r="DG190">
        <f t="shared" si="80"/>
        <v>0</v>
      </c>
      <c r="DH190">
        <f t="shared" si="55"/>
        <v>0</v>
      </c>
      <c r="DI190">
        <f t="shared" si="56"/>
        <v>0</v>
      </c>
      <c r="DJ190">
        <f t="shared" si="85"/>
        <v>6850.87</v>
      </c>
      <c r="DK190">
        <v>0</v>
      </c>
      <c r="DL190" t="s">
        <v>3</v>
      </c>
      <c r="DM190">
        <v>0</v>
      </c>
      <c r="DN190" t="s">
        <v>3</v>
      </c>
      <c r="DO190">
        <v>0</v>
      </c>
    </row>
    <row r="191" spans="1:119" x14ac:dyDescent="0.2">
      <c r="A191">
        <f>ROW(Source!A195)</f>
        <v>195</v>
      </c>
      <c r="B191">
        <v>94104265</v>
      </c>
      <c r="C191">
        <v>94189758</v>
      </c>
      <c r="D191">
        <v>87306387</v>
      </c>
      <c r="E191">
        <v>1</v>
      </c>
      <c r="F191">
        <v>1</v>
      </c>
      <c r="G191">
        <v>1</v>
      </c>
      <c r="H191">
        <v>3</v>
      </c>
      <c r="I191" t="s">
        <v>567</v>
      </c>
      <c r="J191" t="s">
        <v>568</v>
      </c>
      <c r="K191" t="s">
        <v>569</v>
      </c>
      <c r="L191">
        <v>1327</v>
      </c>
      <c r="N191">
        <v>1005</v>
      </c>
      <c r="O191" t="s">
        <v>60</v>
      </c>
      <c r="P191" t="s">
        <v>60</v>
      </c>
      <c r="Q191">
        <v>1</v>
      </c>
      <c r="W191">
        <v>0</v>
      </c>
      <c r="X191">
        <v>10451617</v>
      </c>
      <c r="Y191">
        <f t="shared" si="77"/>
        <v>0.8</v>
      </c>
      <c r="AA191">
        <v>717.44</v>
      </c>
      <c r="AB191">
        <v>0</v>
      </c>
      <c r="AC191">
        <v>0</v>
      </c>
      <c r="AD191">
        <v>0</v>
      </c>
      <c r="AE191">
        <v>531.44000000000005</v>
      </c>
      <c r="AF191">
        <v>0</v>
      </c>
      <c r="AG191">
        <v>0</v>
      </c>
      <c r="AH191">
        <v>0</v>
      </c>
      <c r="AI191">
        <v>1.35</v>
      </c>
      <c r="AJ191">
        <v>1</v>
      </c>
      <c r="AK191">
        <v>1</v>
      </c>
      <c r="AL191">
        <v>1</v>
      </c>
      <c r="AM191">
        <v>2</v>
      </c>
      <c r="AN191">
        <v>0</v>
      </c>
      <c r="AO191">
        <v>0</v>
      </c>
      <c r="AP191">
        <v>0</v>
      </c>
      <c r="AQ191">
        <v>1</v>
      </c>
      <c r="AR191">
        <v>0</v>
      </c>
      <c r="AS191" t="s">
        <v>3</v>
      </c>
      <c r="AT191">
        <v>0.8</v>
      </c>
      <c r="AU191" t="s">
        <v>3</v>
      </c>
      <c r="AV191">
        <v>0</v>
      </c>
      <c r="AW191">
        <v>2</v>
      </c>
      <c r="AX191">
        <v>94189779</v>
      </c>
      <c r="AY191">
        <v>1</v>
      </c>
      <c r="AZ191">
        <v>0</v>
      </c>
      <c r="BA191">
        <v>191</v>
      </c>
      <c r="BB191">
        <v>1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425.15200000000004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1</v>
      </c>
      <c r="BQ191">
        <v>425.15200000000004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1</v>
      </c>
      <c r="CV191">
        <v>0</v>
      </c>
      <c r="CW191">
        <v>0</v>
      </c>
      <c r="CX191">
        <f>ROUND(Y191*Source!I195,7)</f>
        <v>0.61324800000000002</v>
      </c>
      <c r="CY191">
        <f t="shared" si="81"/>
        <v>717.44</v>
      </c>
      <c r="CZ191">
        <f t="shared" si="82"/>
        <v>531.44000000000005</v>
      </c>
      <c r="DA191">
        <f t="shared" si="83"/>
        <v>1.35</v>
      </c>
      <c r="DB191">
        <f t="shared" si="78"/>
        <v>425.15</v>
      </c>
      <c r="DC191">
        <f t="shared" si="79"/>
        <v>0</v>
      </c>
      <c r="DD191" t="s">
        <v>3</v>
      </c>
      <c r="DE191" t="s">
        <v>3</v>
      </c>
      <c r="DF191">
        <f t="shared" si="84"/>
        <v>439.97</v>
      </c>
      <c r="DG191">
        <f t="shared" si="80"/>
        <v>0</v>
      </c>
      <c r="DH191">
        <f t="shared" si="55"/>
        <v>0</v>
      </c>
      <c r="DI191">
        <f t="shared" si="56"/>
        <v>0</v>
      </c>
      <c r="DJ191">
        <f t="shared" si="85"/>
        <v>439.97</v>
      </c>
      <c r="DK191">
        <v>0</v>
      </c>
      <c r="DL191" t="s">
        <v>3</v>
      </c>
      <c r="DM191">
        <v>0</v>
      </c>
      <c r="DN191" t="s">
        <v>3</v>
      </c>
      <c r="DO191">
        <v>0</v>
      </c>
    </row>
    <row r="192" spans="1:119" x14ac:dyDescent="0.2">
      <c r="A192">
        <f>ROW(Source!A195)</f>
        <v>195</v>
      </c>
      <c r="B192">
        <v>94104265</v>
      </c>
      <c r="C192">
        <v>94189758</v>
      </c>
      <c r="D192">
        <v>87322323</v>
      </c>
      <c r="E192">
        <v>1</v>
      </c>
      <c r="F192">
        <v>1</v>
      </c>
      <c r="G192">
        <v>1</v>
      </c>
      <c r="H192">
        <v>3</v>
      </c>
      <c r="I192" t="s">
        <v>570</v>
      </c>
      <c r="J192" t="s">
        <v>571</v>
      </c>
      <c r="K192" t="s">
        <v>572</v>
      </c>
      <c r="L192">
        <v>1346</v>
      </c>
      <c r="N192">
        <v>1009</v>
      </c>
      <c r="O192" t="s">
        <v>96</v>
      </c>
      <c r="P192" t="s">
        <v>96</v>
      </c>
      <c r="Q192">
        <v>1</v>
      </c>
      <c r="W192">
        <v>0</v>
      </c>
      <c r="X192">
        <v>-2105053205</v>
      </c>
      <c r="Y192">
        <f t="shared" si="77"/>
        <v>2.4300000000000002</v>
      </c>
      <c r="AA192">
        <v>100.45</v>
      </c>
      <c r="AB192">
        <v>0</v>
      </c>
      <c r="AC192">
        <v>0</v>
      </c>
      <c r="AD192">
        <v>0</v>
      </c>
      <c r="AE192">
        <v>93.01</v>
      </c>
      <c r="AF192">
        <v>0</v>
      </c>
      <c r="AG192">
        <v>0</v>
      </c>
      <c r="AH192">
        <v>0</v>
      </c>
      <c r="AI192">
        <v>1.08</v>
      </c>
      <c r="AJ192">
        <v>1</v>
      </c>
      <c r="AK192">
        <v>1</v>
      </c>
      <c r="AL192">
        <v>1</v>
      </c>
      <c r="AM192">
        <v>2</v>
      </c>
      <c r="AN192">
        <v>0</v>
      </c>
      <c r="AO192">
        <v>0</v>
      </c>
      <c r="AP192">
        <v>0</v>
      </c>
      <c r="AQ192">
        <v>1</v>
      </c>
      <c r="AR192">
        <v>0</v>
      </c>
      <c r="AS192" t="s">
        <v>3</v>
      </c>
      <c r="AT192">
        <v>2.4300000000000002</v>
      </c>
      <c r="AU192" t="s">
        <v>3</v>
      </c>
      <c r="AV192">
        <v>0</v>
      </c>
      <c r="AW192">
        <v>2</v>
      </c>
      <c r="AX192">
        <v>94189780</v>
      </c>
      <c r="AY192">
        <v>1</v>
      </c>
      <c r="AZ192">
        <v>0</v>
      </c>
      <c r="BA192">
        <v>192</v>
      </c>
      <c r="BB192">
        <v>1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226.01430000000002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1</v>
      </c>
      <c r="BQ192">
        <v>226.01430000000002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1</v>
      </c>
      <c r="CV192">
        <v>0</v>
      </c>
      <c r="CW192">
        <v>0</v>
      </c>
      <c r="CX192">
        <f>ROUND(Y192*Source!I195,7)</f>
        <v>1.8627408000000001</v>
      </c>
      <c r="CY192">
        <f t="shared" si="81"/>
        <v>100.45</v>
      </c>
      <c r="CZ192">
        <f t="shared" si="82"/>
        <v>93.01</v>
      </c>
      <c r="DA192">
        <f t="shared" si="83"/>
        <v>1.08</v>
      </c>
      <c r="DB192">
        <f t="shared" si="78"/>
        <v>226.01</v>
      </c>
      <c r="DC192">
        <f t="shared" si="79"/>
        <v>0</v>
      </c>
      <c r="DD192" t="s">
        <v>3</v>
      </c>
      <c r="DE192" t="s">
        <v>3</v>
      </c>
      <c r="DF192">
        <f t="shared" si="84"/>
        <v>187.11</v>
      </c>
      <c r="DG192">
        <f t="shared" si="80"/>
        <v>0</v>
      </c>
      <c r="DH192">
        <f t="shared" si="55"/>
        <v>0</v>
      </c>
      <c r="DI192">
        <f t="shared" si="56"/>
        <v>0</v>
      </c>
      <c r="DJ192">
        <f t="shared" si="85"/>
        <v>187.11</v>
      </c>
      <c r="DK192">
        <v>0</v>
      </c>
      <c r="DL192" t="s">
        <v>3</v>
      </c>
      <c r="DM192">
        <v>0</v>
      </c>
      <c r="DN192" t="s">
        <v>3</v>
      </c>
      <c r="DO192">
        <v>0</v>
      </c>
    </row>
    <row r="193" spans="1:119" x14ac:dyDescent="0.2">
      <c r="A193">
        <f>ROW(Source!A195)</f>
        <v>195</v>
      </c>
      <c r="B193">
        <v>94104265</v>
      </c>
      <c r="C193">
        <v>94189758</v>
      </c>
      <c r="D193">
        <v>90250719</v>
      </c>
      <c r="E193">
        <v>1</v>
      </c>
      <c r="F193">
        <v>1</v>
      </c>
      <c r="G193">
        <v>1</v>
      </c>
      <c r="H193">
        <v>3</v>
      </c>
      <c r="I193" t="s">
        <v>231</v>
      </c>
      <c r="J193" t="s">
        <v>233</v>
      </c>
      <c r="K193" t="s">
        <v>232</v>
      </c>
      <c r="L193">
        <v>1348</v>
      </c>
      <c r="N193">
        <v>1009</v>
      </c>
      <c r="O193" t="s">
        <v>30</v>
      </c>
      <c r="P193" t="s">
        <v>30</v>
      </c>
      <c r="Q193">
        <v>1000</v>
      </c>
      <c r="W193">
        <v>0</v>
      </c>
      <c r="X193">
        <v>88817008</v>
      </c>
      <c r="Y193">
        <f t="shared" si="77"/>
        <v>6.7000000000000004E-2</v>
      </c>
      <c r="AA193">
        <v>153414.73000000001</v>
      </c>
      <c r="AB193">
        <v>0</v>
      </c>
      <c r="AC193">
        <v>0</v>
      </c>
      <c r="AD193">
        <v>0</v>
      </c>
      <c r="AE193">
        <v>87665.56</v>
      </c>
      <c r="AF193">
        <v>0</v>
      </c>
      <c r="AG193">
        <v>0</v>
      </c>
      <c r="AH193">
        <v>0</v>
      </c>
      <c r="AI193">
        <v>1.75</v>
      </c>
      <c r="AJ193">
        <v>1</v>
      </c>
      <c r="AK193">
        <v>1</v>
      </c>
      <c r="AL193">
        <v>1</v>
      </c>
      <c r="AM193">
        <v>0</v>
      </c>
      <c r="AN193">
        <v>0</v>
      </c>
      <c r="AO193">
        <v>0</v>
      </c>
      <c r="AP193">
        <v>1</v>
      </c>
      <c r="AQ193">
        <v>0</v>
      </c>
      <c r="AR193">
        <v>0</v>
      </c>
      <c r="AS193" t="s">
        <v>3</v>
      </c>
      <c r="AT193">
        <v>6.7000000000000004E-2</v>
      </c>
      <c r="AU193" t="s">
        <v>3</v>
      </c>
      <c r="AV193">
        <v>0</v>
      </c>
      <c r="AW193">
        <v>1</v>
      </c>
      <c r="AX193">
        <v>-1</v>
      </c>
      <c r="AY193">
        <v>0</v>
      </c>
      <c r="AZ193">
        <v>0</v>
      </c>
      <c r="BA193" t="s">
        <v>3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CV193">
        <v>0</v>
      </c>
      <c r="CW193">
        <v>0</v>
      </c>
      <c r="CX193">
        <f>ROUND(Y193*Source!I195,7)</f>
        <v>5.1359500000000002E-2</v>
      </c>
      <c r="CY193">
        <f t="shared" si="81"/>
        <v>153414.73000000001</v>
      </c>
      <c r="CZ193">
        <f t="shared" si="82"/>
        <v>87665.56</v>
      </c>
      <c r="DA193">
        <f t="shared" si="83"/>
        <v>1.75</v>
      </c>
      <c r="DB193">
        <f t="shared" si="78"/>
        <v>5873.59</v>
      </c>
      <c r="DC193">
        <f t="shared" si="79"/>
        <v>0</v>
      </c>
      <c r="DD193" t="s">
        <v>3</v>
      </c>
      <c r="DE193" t="s">
        <v>3</v>
      </c>
      <c r="DF193">
        <f t="shared" si="84"/>
        <v>7879.3</v>
      </c>
      <c r="DG193">
        <f t="shared" si="80"/>
        <v>0</v>
      </c>
      <c r="DH193">
        <f t="shared" ref="DH193:DH256" si="86">ROUND(ROUND(AG193,2)*CX193,2)</f>
        <v>0</v>
      </c>
      <c r="DI193">
        <f t="shared" ref="DI193:DI256" si="87">ROUND(ROUND(AH193,2)*CX193,2)</f>
        <v>0</v>
      </c>
      <c r="DJ193">
        <f t="shared" si="85"/>
        <v>7879.3</v>
      </c>
      <c r="DK193">
        <v>0</v>
      </c>
      <c r="DL193" t="s">
        <v>3</v>
      </c>
      <c r="DM193">
        <v>0</v>
      </c>
      <c r="DN193" t="s">
        <v>3</v>
      </c>
      <c r="DO193">
        <v>0</v>
      </c>
    </row>
    <row r="194" spans="1:119" x14ac:dyDescent="0.2">
      <c r="A194">
        <f>ROW(Source!A195)</f>
        <v>195</v>
      </c>
      <c r="B194">
        <v>94104265</v>
      </c>
      <c r="C194">
        <v>94189758</v>
      </c>
      <c r="D194">
        <v>87323233</v>
      </c>
      <c r="E194">
        <v>1</v>
      </c>
      <c r="F194">
        <v>1</v>
      </c>
      <c r="G194">
        <v>1</v>
      </c>
      <c r="H194">
        <v>3</v>
      </c>
      <c r="I194" t="s">
        <v>573</v>
      </c>
      <c r="J194" t="s">
        <v>574</v>
      </c>
      <c r="K194" t="s">
        <v>575</v>
      </c>
      <c r="L194">
        <v>1348</v>
      </c>
      <c r="N194">
        <v>1009</v>
      </c>
      <c r="O194" t="s">
        <v>30</v>
      </c>
      <c r="P194" t="s">
        <v>30</v>
      </c>
      <c r="Q194">
        <v>1000</v>
      </c>
      <c r="W194">
        <v>0</v>
      </c>
      <c r="X194">
        <v>-1798942978</v>
      </c>
      <c r="Y194">
        <f t="shared" si="77"/>
        <v>6.4000000000000003E-3</v>
      </c>
      <c r="AA194">
        <v>36342.629999999997</v>
      </c>
      <c r="AB194">
        <v>0</v>
      </c>
      <c r="AC194">
        <v>0</v>
      </c>
      <c r="AD194">
        <v>0</v>
      </c>
      <c r="AE194">
        <v>25237.94</v>
      </c>
      <c r="AF194">
        <v>0</v>
      </c>
      <c r="AG194">
        <v>0</v>
      </c>
      <c r="AH194">
        <v>0</v>
      </c>
      <c r="AI194">
        <v>1.44</v>
      </c>
      <c r="AJ194">
        <v>1</v>
      </c>
      <c r="AK194">
        <v>1</v>
      </c>
      <c r="AL194">
        <v>1</v>
      </c>
      <c r="AM194">
        <v>2</v>
      </c>
      <c r="AN194">
        <v>0</v>
      </c>
      <c r="AO194">
        <v>0</v>
      </c>
      <c r="AP194">
        <v>0</v>
      </c>
      <c r="AQ194">
        <v>1</v>
      </c>
      <c r="AR194">
        <v>0</v>
      </c>
      <c r="AS194" t="s">
        <v>3</v>
      </c>
      <c r="AT194">
        <v>6.4000000000000003E-3</v>
      </c>
      <c r="AU194" t="s">
        <v>3</v>
      </c>
      <c r="AV194">
        <v>0</v>
      </c>
      <c r="AW194">
        <v>2</v>
      </c>
      <c r="AX194">
        <v>94189782</v>
      </c>
      <c r="AY194">
        <v>1</v>
      </c>
      <c r="AZ194">
        <v>0</v>
      </c>
      <c r="BA194">
        <v>194</v>
      </c>
      <c r="BB194">
        <v>1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161.52281600000001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1</v>
      </c>
      <c r="BQ194">
        <v>161.52281600000001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1</v>
      </c>
      <c r="CV194">
        <v>0</v>
      </c>
      <c r="CW194">
        <v>0</v>
      </c>
      <c r="CX194">
        <f>ROUND(Y194*Source!I195,7)</f>
        <v>4.9059999999999998E-3</v>
      </c>
      <c r="CY194">
        <f t="shared" si="81"/>
        <v>36342.629999999997</v>
      </c>
      <c r="CZ194">
        <f t="shared" si="82"/>
        <v>25237.94</v>
      </c>
      <c r="DA194">
        <f t="shared" si="83"/>
        <v>1.44</v>
      </c>
      <c r="DB194">
        <f t="shared" si="78"/>
        <v>161.52000000000001</v>
      </c>
      <c r="DC194">
        <f t="shared" si="79"/>
        <v>0</v>
      </c>
      <c r="DD194" t="s">
        <v>3</v>
      </c>
      <c r="DE194" t="s">
        <v>3</v>
      </c>
      <c r="DF194">
        <f t="shared" si="84"/>
        <v>178.3</v>
      </c>
      <c r="DG194">
        <f t="shared" si="80"/>
        <v>0</v>
      </c>
      <c r="DH194">
        <f t="shared" si="86"/>
        <v>0</v>
      </c>
      <c r="DI194">
        <f t="shared" si="87"/>
        <v>0</v>
      </c>
      <c r="DJ194">
        <f t="shared" si="85"/>
        <v>178.3</v>
      </c>
      <c r="DK194">
        <v>0</v>
      </c>
      <c r="DL194" t="s">
        <v>3</v>
      </c>
      <c r="DM194">
        <v>0</v>
      </c>
      <c r="DN194" t="s">
        <v>3</v>
      </c>
      <c r="DO194">
        <v>0</v>
      </c>
    </row>
    <row r="195" spans="1:119" x14ac:dyDescent="0.2">
      <c r="A195">
        <f>ROW(Source!A197)</f>
        <v>197</v>
      </c>
      <c r="B195">
        <v>94104265</v>
      </c>
      <c r="C195">
        <v>94190022</v>
      </c>
      <c r="D195">
        <v>37064998</v>
      </c>
      <c r="E195">
        <v>118</v>
      </c>
      <c r="F195">
        <v>1</v>
      </c>
      <c r="G195">
        <v>1</v>
      </c>
      <c r="H195">
        <v>1</v>
      </c>
      <c r="I195" t="s">
        <v>576</v>
      </c>
      <c r="J195" t="s">
        <v>3</v>
      </c>
      <c r="K195" t="s">
        <v>577</v>
      </c>
      <c r="L195">
        <v>1191</v>
      </c>
      <c r="N195">
        <v>1013</v>
      </c>
      <c r="O195" t="s">
        <v>428</v>
      </c>
      <c r="P195" t="s">
        <v>428</v>
      </c>
      <c r="Q195">
        <v>1</v>
      </c>
      <c r="W195">
        <v>0</v>
      </c>
      <c r="X195">
        <v>370475345</v>
      </c>
      <c r="Y195">
        <f t="shared" si="77"/>
        <v>16.079999999999998</v>
      </c>
      <c r="AA195">
        <v>0</v>
      </c>
      <c r="AB195">
        <v>0</v>
      </c>
      <c r="AC195">
        <v>0</v>
      </c>
      <c r="AD195">
        <v>594.67999999999995</v>
      </c>
      <c r="AE195">
        <v>0</v>
      </c>
      <c r="AF195">
        <v>0</v>
      </c>
      <c r="AG195">
        <v>0</v>
      </c>
      <c r="AH195">
        <v>594.67999999999995</v>
      </c>
      <c r="AI195">
        <v>1</v>
      </c>
      <c r="AJ195">
        <v>1</v>
      </c>
      <c r="AK195">
        <v>1</v>
      </c>
      <c r="AL195">
        <v>1</v>
      </c>
      <c r="AM195">
        <v>-2</v>
      </c>
      <c r="AN195">
        <v>0</v>
      </c>
      <c r="AO195">
        <v>0</v>
      </c>
      <c r="AP195">
        <v>0</v>
      </c>
      <c r="AQ195">
        <v>1</v>
      </c>
      <c r="AR195">
        <v>0</v>
      </c>
      <c r="AS195" t="s">
        <v>3</v>
      </c>
      <c r="AT195">
        <v>16.079999999999998</v>
      </c>
      <c r="AU195" t="s">
        <v>3</v>
      </c>
      <c r="AV195">
        <v>1</v>
      </c>
      <c r="AW195">
        <v>2</v>
      </c>
      <c r="AX195">
        <v>94190027</v>
      </c>
      <c r="AY195">
        <v>1</v>
      </c>
      <c r="AZ195">
        <v>0</v>
      </c>
      <c r="BA195">
        <v>195</v>
      </c>
      <c r="BB195">
        <v>1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9562.4543999999987</v>
      </c>
      <c r="BN195">
        <v>16.079999999999998</v>
      </c>
      <c r="BO195">
        <v>0</v>
      </c>
      <c r="BP195">
        <v>1</v>
      </c>
      <c r="BQ195">
        <v>0</v>
      </c>
      <c r="BR195">
        <v>0</v>
      </c>
      <c r="BS195">
        <v>0</v>
      </c>
      <c r="BT195">
        <v>9562.4543999999987</v>
      </c>
      <c r="BU195">
        <v>16.079999999999998</v>
      </c>
      <c r="BV195">
        <v>0</v>
      </c>
      <c r="BW195">
        <v>1</v>
      </c>
      <c r="CU195">
        <f>ROUND(AT195*Source!I197*AH195*AL195,2)</f>
        <v>956.25</v>
      </c>
      <c r="CV195">
        <f>ROUND(Y195*Source!I197,7)</f>
        <v>1.6080000000000001</v>
      </c>
      <c r="CW195">
        <v>0</v>
      </c>
      <c r="CX195">
        <f>ROUND(Y195*Source!I197,7)</f>
        <v>1.6080000000000001</v>
      </c>
      <c r="CY195">
        <f>AD195</f>
        <v>594.67999999999995</v>
      </c>
      <c r="CZ195">
        <f>AH195</f>
        <v>594.67999999999995</v>
      </c>
      <c r="DA195">
        <f>AL195</f>
        <v>1</v>
      </c>
      <c r="DB195">
        <f t="shared" si="78"/>
        <v>9562.4500000000007</v>
      </c>
      <c r="DC195">
        <f t="shared" si="79"/>
        <v>0</v>
      </c>
      <c r="DD195" t="s">
        <v>3</v>
      </c>
      <c r="DE195" t="s">
        <v>3</v>
      </c>
      <c r="DF195">
        <f t="shared" ref="DF195:DF202" si="88">ROUND(ROUND(AE195,2)*CX195,2)</f>
        <v>0</v>
      </c>
      <c r="DG195">
        <f t="shared" si="80"/>
        <v>0</v>
      </c>
      <c r="DH195">
        <f t="shared" si="86"/>
        <v>0</v>
      </c>
      <c r="DI195">
        <f t="shared" si="87"/>
        <v>956.25</v>
      </c>
      <c r="DJ195">
        <f>DI195</f>
        <v>956.25</v>
      </c>
      <c r="DK195">
        <v>1</v>
      </c>
      <c r="DL195" t="s">
        <v>3</v>
      </c>
      <c r="DM195">
        <v>0</v>
      </c>
      <c r="DN195" t="s">
        <v>3</v>
      </c>
      <c r="DO195">
        <v>0</v>
      </c>
    </row>
    <row r="196" spans="1:119" x14ac:dyDescent="0.2">
      <c r="A196">
        <f>ROW(Source!A197)</f>
        <v>197</v>
      </c>
      <c r="B196">
        <v>94104265</v>
      </c>
      <c r="C196">
        <v>94190022</v>
      </c>
      <c r="D196">
        <v>37064876</v>
      </c>
      <c r="E196">
        <v>118</v>
      </c>
      <c r="F196">
        <v>1</v>
      </c>
      <c r="G196">
        <v>1</v>
      </c>
      <c r="H196">
        <v>1</v>
      </c>
      <c r="I196" t="s">
        <v>429</v>
      </c>
      <c r="J196" t="s">
        <v>3</v>
      </c>
      <c r="K196" t="s">
        <v>430</v>
      </c>
      <c r="L196">
        <v>1191</v>
      </c>
      <c r="N196">
        <v>1013</v>
      </c>
      <c r="O196" t="s">
        <v>428</v>
      </c>
      <c r="P196" t="s">
        <v>428</v>
      </c>
      <c r="Q196">
        <v>1</v>
      </c>
      <c r="W196">
        <v>0</v>
      </c>
      <c r="X196">
        <v>-1417349443</v>
      </c>
      <c r="Y196">
        <f t="shared" si="77"/>
        <v>0.01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1</v>
      </c>
      <c r="AJ196">
        <v>1</v>
      </c>
      <c r="AK196">
        <v>1</v>
      </c>
      <c r="AL196">
        <v>1</v>
      </c>
      <c r="AM196">
        <v>-2</v>
      </c>
      <c r="AN196">
        <v>0</v>
      </c>
      <c r="AO196">
        <v>0</v>
      </c>
      <c r="AP196">
        <v>0</v>
      </c>
      <c r="AQ196">
        <v>1</v>
      </c>
      <c r="AR196">
        <v>0</v>
      </c>
      <c r="AS196" t="s">
        <v>3</v>
      </c>
      <c r="AT196">
        <v>0.01</v>
      </c>
      <c r="AU196" t="s">
        <v>3</v>
      </c>
      <c r="AV196">
        <v>2</v>
      </c>
      <c r="AW196">
        <v>2</v>
      </c>
      <c r="AX196">
        <v>94190028</v>
      </c>
      <c r="AY196">
        <v>1</v>
      </c>
      <c r="AZ196">
        <v>0</v>
      </c>
      <c r="BA196">
        <v>196</v>
      </c>
      <c r="BB196">
        <v>1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CV196">
        <v>0</v>
      </c>
      <c r="CW196">
        <v>0</v>
      </c>
      <c r="CX196">
        <f>ROUND(Y196*Source!I197,7)</f>
        <v>1E-3</v>
      </c>
      <c r="CY196">
        <f>AD196</f>
        <v>0</v>
      </c>
      <c r="CZ196">
        <f>AH196</f>
        <v>0</v>
      </c>
      <c r="DA196">
        <f>AL196</f>
        <v>1</v>
      </c>
      <c r="DB196">
        <f t="shared" si="78"/>
        <v>0</v>
      </c>
      <c r="DC196">
        <f t="shared" si="79"/>
        <v>0</v>
      </c>
      <c r="DD196" t="s">
        <v>3</v>
      </c>
      <c r="DE196" t="s">
        <v>3</v>
      </c>
      <c r="DF196">
        <f t="shared" si="88"/>
        <v>0</v>
      </c>
      <c r="DG196">
        <f t="shared" si="80"/>
        <v>0</v>
      </c>
      <c r="DH196">
        <f t="shared" si="86"/>
        <v>0</v>
      </c>
      <c r="DI196">
        <f t="shared" si="87"/>
        <v>0</v>
      </c>
      <c r="DJ196">
        <f>DI196</f>
        <v>0</v>
      </c>
      <c r="DK196">
        <v>0</v>
      </c>
      <c r="DL196" t="s">
        <v>3</v>
      </c>
      <c r="DM196">
        <v>0</v>
      </c>
      <c r="DN196" t="s">
        <v>3</v>
      </c>
      <c r="DO196">
        <v>0</v>
      </c>
    </row>
    <row r="197" spans="1:119" x14ac:dyDescent="0.2">
      <c r="A197">
        <f>ROW(Source!A197)</f>
        <v>197</v>
      </c>
      <c r="B197">
        <v>94104265</v>
      </c>
      <c r="C197">
        <v>94190022</v>
      </c>
      <c r="D197">
        <v>90281903</v>
      </c>
      <c r="E197">
        <v>1</v>
      </c>
      <c r="F197">
        <v>1</v>
      </c>
      <c r="G197">
        <v>1</v>
      </c>
      <c r="H197">
        <v>2</v>
      </c>
      <c r="I197" t="s">
        <v>431</v>
      </c>
      <c r="J197" t="s">
        <v>432</v>
      </c>
      <c r="K197" t="s">
        <v>433</v>
      </c>
      <c r="L197">
        <v>1368</v>
      </c>
      <c r="N197">
        <v>1011</v>
      </c>
      <c r="O197" t="s">
        <v>434</v>
      </c>
      <c r="P197" t="s">
        <v>434</v>
      </c>
      <c r="Q197">
        <v>1</v>
      </c>
      <c r="W197">
        <v>0</v>
      </c>
      <c r="X197">
        <v>-566469117</v>
      </c>
      <c r="Y197">
        <f t="shared" si="77"/>
        <v>1.4E-2</v>
      </c>
      <c r="AA197">
        <v>0</v>
      </c>
      <c r="AB197">
        <v>58.59</v>
      </c>
      <c r="AC197">
        <v>649.24</v>
      </c>
      <c r="AD197">
        <v>0</v>
      </c>
      <c r="AE197">
        <v>0</v>
      </c>
      <c r="AF197">
        <v>37.32</v>
      </c>
      <c r="AG197">
        <v>649.24</v>
      </c>
      <c r="AH197">
        <v>0</v>
      </c>
      <c r="AI197">
        <v>1</v>
      </c>
      <c r="AJ197">
        <v>1.57</v>
      </c>
      <c r="AK197">
        <v>1</v>
      </c>
      <c r="AL197">
        <v>1</v>
      </c>
      <c r="AM197">
        <v>2</v>
      </c>
      <c r="AN197">
        <v>0</v>
      </c>
      <c r="AO197">
        <v>0</v>
      </c>
      <c r="AP197">
        <v>0</v>
      </c>
      <c r="AQ197">
        <v>1</v>
      </c>
      <c r="AR197">
        <v>0</v>
      </c>
      <c r="AS197" t="s">
        <v>3</v>
      </c>
      <c r="AT197">
        <v>1.4E-2</v>
      </c>
      <c r="AU197" t="s">
        <v>3</v>
      </c>
      <c r="AV197">
        <v>1</v>
      </c>
      <c r="AW197">
        <v>2</v>
      </c>
      <c r="AX197">
        <v>94190029</v>
      </c>
      <c r="AY197">
        <v>1</v>
      </c>
      <c r="AZ197">
        <v>0</v>
      </c>
      <c r="BA197">
        <v>197</v>
      </c>
      <c r="BB197">
        <v>1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0.52248000000000006</v>
      </c>
      <c r="BL197">
        <v>9.089360000000001</v>
      </c>
      <c r="BM197">
        <v>0</v>
      </c>
      <c r="BN197">
        <v>0</v>
      </c>
      <c r="BO197">
        <v>1.4E-2</v>
      </c>
      <c r="BP197">
        <v>1</v>
      </c>
      <c r="BQ197">
        <v>0</v>
      </c>
      <c r="BR197">
        <v>0.52248000000000006</v>
      </c>
      <c r="BS197">
        <v>9.089360000000001</v>
      </c>
      <c r="BT197">
        <v>0</v>
      </c>
      <c r="BU197">
        <v>0</v>
      </c>
      <c r="BV197">
        <v>1.4E-2</v>
      </c>
      <c r="BW197">
        <v>1</v>
      </c>
      <c r="CV197">
        <v>0</v>
      </c>
      <c r="CW197">
        <f>ROUND(Y197*Source!I197*DO197,7)</f>
        <v>1.4E-3</v>
      </c>
      <c r="CX197">
        <f>ROUND(Y197*Source!I197,7)</f>
        <v>1.4E-3</v>
      </c>
      <c r="CY197">
        <f>AB197</f>
        <v>58.59</v>
      </c>
      <c r="CZ197">
        <f>AF197</f>
        <v>37.32</v>
      </c>
      <c r="DA197">
        <f>AJ197</f>
        <v>1.57</v>
      </c>
      <c r="DB197">
        <f t="shared" si="78"/>
        <v>0.52</v>
      </c>
      <c r="DC197">
        <f t="shared" si="79"/>
        <v>9.09</v>
      </c>
      <c r="DD197" t="s">
        <v>3</v>
      </c>
      <c r="DE197" t="s">
        <v>3</v>
      </c>
      <c r="DF197">
        <f t="shared" si="88"/>
        <v>0</v>
      </c>
      <c r="DG197">
        <f>ROUND(ROUND(AF197*AJ197,2)*CX197,2)</f>
        <v>0.08</v>
      </c>
      <c r="DH197">
        <f t="shared" si="86"/>
        <v>0.91</v>
      </c>
      <c r="DI197">
        <f t="shared" si="87"/>
        <v>0</v>
      </c>
      <c r="DJ197">
        <f>DG197+DH197</f>
        <v>0.99</v>
      </c>
      <c r="DK197">
        <v>0</v>
      </c>
      <c r="DL197" t="s">
        <v>435</v>
      </c>
      <c r="DM197">
        <v>3</v>
      </c>
      <c r="DN197" t="s">
        <v>428</v>
      </c>
      <c r="DO197">
        <v>1</v>
      </c>
    </row>
    <row r="198" spans="1:119" x14ac:dyDescent="0.2">
      <c r="A198">
        <f>ROW(Source!A197)</f>
        <v>197</v>
      </c>
      <c r="B198">
        <v>94104265</v>
      </c>
      <c r="C198">
        <v>94190022</v>
      </c>
      <c r="D198">
        <v>90161318</v>
      </c>
      <c r="E198">
        <v>118</v>
      </c>
      <c r="F198">
        <v>1</v>
      </c>
      <c r="G198">
        <v>1</v>
      </c>
      <c r="H198">
        <v>3</v>
      </c>
      <c r="I198" t="s">
        <v>28</v>
      </c>
      <c r="J198" t="s">
        <v>3</v>
      </c>
      <c r="K198" t="s">
        <v>29</v>
      </c>
      <c r="L198">
        <v>1348</v>
      </c>
      <c r="N198">
        <v>1009</v>
      </c>
      <c r="O198" t="s">
        <v>30</v>
      </c>
      <c r="P198" t="s">
        <v>30</v>
      </c>
      <c r="Q198">
        <v>1000</v>
      </c>
      <c r="W198">
        <v>0</v>
      </c>
      <c r="X198">
        <v>2102561428</v>
      </c>
      <c r="Y198">
        <f t="shared" si="77"/>
        <v>0.12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1</v>
      </c>
      <c r="AJ198">
        <v>1</v>
      </c>
      <c r="AK198">
        <v>1</v>
      </c>
      <c r="AL198">
        <v>1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 t="s">
        <v>3</v>
      </c>
      <c r="AT198">
        <v>0.12</v>
      </c>
      <c r="AU198" t="s">
        <v>3</v>
      </c>
      <c r="AV198">
        <v>0</v>
      </c>
      <c r="AW198">
        <v>2</v>
      </c>
      <c r="AX198">
        <v>94190030</v>
      </c>
      <c r="AY198">
        <v>1</v>
      </c>
      <c r="AZ198">
        <v>0</v>
      </c>
      <c r="BA198">
        <v>198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CV198">
        <v>0</v>
      </c>
      <c r="CW198">
        <v>0</v>
      </c>
      <c r="CX198">
        <f>ROUND(Y198*Source!I197,7)</f>
        <v>1.2E-2</v>
      </c>
      <c r="CY198">
        <f>AA198</f>
        <v>0</v>
      </c>
      <c r="CZ198">
        <f>AE198</f>
        <v>0</v>
      </c>
      <c r="DA198">
        <f>AI198</f>
        <v>1</v>
      </c>
      <c r="DB198">
        <f t="shared" si="78"/>
        <v>0</v>
      </c>
      <c r="DC198">
        <f t="shared" si="79"/>
        <v>0</v>
      </c>
      <c r="DD198" t="s">
        <v>3</v>
      </c>
      <c r="DE198" t="s">
        <v>3</v>
      </c>
      <c r="DF198">
        <f t="shared" si="88"/>
        <v>0</v>
      </c>
      <c r="DG198">
        <f>ROUND(ROUND(AF198,2)*CX198,2)</f>
        <v>0</v>
      </c>
      <c r="DH198">
        <f t="shared" si="86"/>
        <v>0</v>
      </c>
      <c r="DI198">
        <f t="shared" si="87"/>
        <v>0</v>
      </c>
      <c r="DJ198">
        <f>DF198</f>
        <v>0</v>
      </c>
      <c r="DK198">
        <v>0</v>
      </c>
      <c r="DL198" t="s">
        <v>3</v>
      </c>
      <c r="DM198">
        <v>0</v>
      </c>
      <c r="DN198" t="s">
        <v>3</v>
      </c>
      <c r="DO198">
        <v>0</v>
      </c>
    </row>
    <row r="199" spans="1:119" x14ac:dyDescent="0.2">
      <c r="A199">
        <f>ROW(Source!A199)</f>
        <v>199</v>
      </c>
      <c r="B199">
        <v>94104265</v>
      </c>
      <c r="C199">
        <v>94190032</v>
      </c>
      <c r="D199">
        <v>37064878</v>
      </c>
      <c r="E199">
        <v>117</v>
      </c>
      <c r="F199">
        <v>1</v>
      </c>
      <c r="G199">
        <v>1</v>
      </c>
      <c r="H199">
        <v>1</v>
      </c>
      <c r="I199" t="s">
        <v>578</v>
      </c>
      <c r="J199" t="s">
        <v>3</v>
      </c>
      <c r="K199" t="s">
        <v>579</v>
      </c>
      <c r="L199">
        <v>1191</v>
      </c>
      <c r="N199">
        <v>1013</v>
      </c>
      <c r="O199" t="s">
        <v>428</v>
      </c>
      <c r="P199" t="s">
        <v>428</v>
      </c>
      <c r="Q199">
        <v>1</v>
      </c>
      <c r="W199">
        <v>0</v>
      </c>
      <c r="X199">
        <v>44848675</v>
      </c>
      <c r="Y199">
        <f>(AT199*ROUND(1.15,7))</f>
        <v>33.8215</v>
      </c>
      <c r="AA199">
        <v>0</v>
      </c>
      <c r="AB199">
        <v>0</v>
      </c>
      <c r="AC199">
        <v>0</v>
      </c>
      <c r="AD199">
        <v>714.71</v>
      </c>
      <c r="AE199">
        <v>0</v>
      </c>
      <c r="AF199">
        <v>0</v>
      </c>
      <c r="AG199">
        <v>0</v>
      </c>
      <c r="AH199">
        <v>714.71</v>
      </c>
      <c r="AI199">
        <v>1</v>
      </c>
      <c r="AJ199">
        <v>1</v>
      </c>
      <c r="AK199">
        <v>1</v>
      </c>
      <c r="AL199">
        <v>1</v>
      </c>
      <c r="AM199">
        <v>-2</v>
      </c>
      <c r="AN199">
        <v>0</v>
      </c>
      <c r="AO199">
        <v>0</v>
      </c>
      <c r="AP199">
        <v>1</v>
      </c>
      <c r="AQ199">
        <v>1</v>
      </c>
      <c r="AR199">
        <v>0</v>
      </c>
      <c r="AS199" t="s">
        <v>3</v>
      </c>
      <c r="AT199">
        <v>29.41</v>
      </c>
      <c r="AU199" t="s">
        <v>243</v>
      </c>
      <c r="AV199">
        <v>1</v>
      </c>
      <c r="AW199">
        <v>2</v>
      </c>
      <c r="AX199">
        <v>94190042</v>
      </c>
      <c r="AY199">
        <v>1</v>
      </c>
      <c r="AZ199">
        <v>0</v>
      </c>
      <c r="BA199">
        <v>199</v>
      </c>
      <c r="BB199">
        <v>1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21019.6211</v>
      </c>
      <c r="BN199">
        <v>29.41</v>
      </c>
      <c r="BO199">
        <v>0</v>
      </c>
      <c r="BP199">
        <v>1</v>
      </c>
      <c r="BQ199">
        <v>0</v>
      </c>
      <c r="BR199">
        <v>0</v>
      </c>
      <c r="BS199">
        <v>0</v>
      </c>
      <c r="BT199">
        <v>24172.564265000001</v>
      </c>
      <c r="BU199">
        <v>33.8215</v>
      </c>
      <c r="BV199">
        <v>0</v>
      </c>
      <c r="BW199">
        <v>1</v>
      </c>
      <c r="CU199">
        <f>ROUND(AT199*Source!I199*AH199*AL199,2)</f>
        <v>2101.96</v>
      </c>
      <c r="CV199">
        <f>ROUND(Y199*Source!I199,7)</f>
        <v>3.3821500000000002</v>
      </c>
      <c r="CW199">
        <v>0</v>
      </c>
      <c r="CX199">
        <f>ROUND(Y199*Source!I199,7)</f>
        <v>3.3821500000000002</v>
      </c>
      <c r="CY199">
        <f>AD199</f>
        <v>714.71</v>
      </c>
      <c r="CZ199">
        <f>AH199</f>
        <v>714.71</v>
      </c>
      <c r="DA199">
        <f>AL199</f>
        <v>1</v>
      </c>
      <c r="DB199">
        <f>ROUND((ROUND(AT199*CZ199,2)*ROUND(1.15,7)),6)</f>
        <v>24172.562999999998</v>
      </c>
      <c r="DC199">
        <f>ROUND((ROUND(AT199*AG199,2)*ROUND(1.15,7)),6)</f>
        <v>0</v>
      </c>
      <c r="DD199" t="s">
        <v>3</v>
      </c>
      <c r="DE199" t="s">
        <v>3</v>
      </c>
      <c r="DF199">
        <f t="shared" si="88"/>
        <v>0</v>
      </c>
      <c r="DG199">
        <f>ROUND(ROUND(AF199,2)*CX199,2)</f>
        <v>0</v>
      </c>
      <c r="DH199">
        <f t="shared" si="86"/>
        <v>0</v>
      </c>
      <c r="DI199">
        <f t="shared" si="87"/>
        <v>2417.2600000000002</v>
      </c>
      <c r="DJ199">
        <f>DI199</f>
        <v>2417.2600000000002</v>
      </c>
      <c r="DK199">
        <v>1</v>
      </c>
      <c r="DL199" t="s">
        <v>3</v>
      </c>
      <c r="DM199">
        <v>0</v>
      </c>
      <c r="DN199" t="s">
        <v>3</v>
      </c>
      <c r="DO199">
        <v>0</v>
      </c>
    </row>
    <row r="200" spans="1:119" x14ac:dyDescent="0.2">
      <c r="A200">
        <f>ROW(Source!A199)</f>
        <v>199</v>
      </c>
      <c r="B200">
        <v>94104265</v>
      </c>
      <c r="C200">
        <v>94190032</v>
      </c>
      <c r="D200">
        <v>37064876</v>
      </c>
      <c r="E200">
        <v>117</v>
      </c>
      <c r="F200">
        <v>1</v>
      </c>
      <c r="G200">
        <v>1</v>
      </c>
      <c r="H200">
        <v>1</v>
      </c>
      <c r="I200" t="s">
        <v>429</v>
      </c>
      <c r="J200" t="s">
        <v>3</v>
      </c>
      <c r="K200" t="s">
        <v>430</v>
      </c>
      <c r="L200">
        <v>1191</v>
      </c>
      <c r="N200">
        <v>1013</v>
      </c>
      <c r="O200" t="s">
        <v>428</v>
      </c>
      <c r="P200" t="s">
        <v>428</v>
      </c>
      <c r="Q200">
        <v>1</v>
      </c>
      <c r="W200">
        <v>0</v>
      </c>
      <c r="X200">
        <v>-1417349443</v>
      </c>
      <c r="Y200">
        <f>(AT200*ROUND(1.25,7))</f>
        <v>0.38750000000000001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1</v>
      </c>
      <c r="AJ200">
        <v>1</v>
      </c>
      <c r="AK200">
        <v>1</v>
      </c>
      <c r="AL200">
        <v>1</v>
      </c>
      <c r="AM200">
        <v>-2</v>
      </c>
      <c r="AN200">
        <v>0</v>
      </c>
      <c r="AO200">
        <v>0</v>
      </c>
      <c r="AP200">
        <v>1</v>
      </c>
      <c r="AQ200">
        <v>1</v>
      </c>
      <c r="AR200">
        <v>0</v>
      </c>
      <c r="AS200" t="s">
        <v>3</v>
      </c>
      <c r="AT200">
        <v>0.31</v>
      </c>
      <c r="AU200" t="s">
        <v>242</v>
      </c>
      <c r="AV200">
        <v>2</v>
      </c>
      <c r="AW200">
        <v>2</v>
      </c>
      <c r="AX200">
        <v>94190043</v>
      </c>
      <c r="AY200">
        <v>1</v>
      </c>
      <c r="AZ200">
        <v>0</v>
      </c>
      <c r="BA200">
        <v>200</v>
      </c>
      <c r="BB200">
        <v>1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CV200">
        <v>0</v>
      </c>
      <c r="CW200">
        <v>0</v>
      </c>
      <c r="CX200">
        <f>ROUND(Y200*Source!I199,7)</f>
        <v>3.875E-2</v>
      </c>
      <c r="CY200">
        <f>AD200</f>
        <v>0</v>
      </c>
      <c r="CZ200">
        <f>AH200</f>
        <v>0</v>
      </c>
      <c r="DA200">
        <f>AL200</f>
        <v>1</v>
      </c>
      <c r="DB200">
        <f>ROUND((ROUND(AT200*CZ200,2)*ROUND(1.25,7)),6)</f>
        <v>0</v>
      </c>
      <c r="DC200">
        <f>ROUND((ROUND(AT200*AG200,2)*ROUND(1.25,7)),6)</f>
        <v>0</v>
      </c>
      <c r="DD200" t="s">
        <v>3</v>
      </c>
      <c r="DE200" t="s">
        <v>3</v>
      </c>
      <c r="DF200">
        <f t="shared" si="88"/>
        <v>0</v>
      </c>
      <c r="DG200">
        <f>ROUND(ROUND(AF200,2)*CX200,2)</f>
        <v>0</v>
      </c>
      <c r="DH200">
        <f t="shared" si="86"/>
        <v>0</v>
      </c>
      <c r="DI200">
        <f t="shared" si="87"/>
        <v>0</v>
      </c>
      <c r="DJ200">
        <f>DI200</f>
        <v>0</v>
      </c>
      <c r="DK200">
        <v>0</v>
      </c>
      <c r="DL200" t="s">
        <v>3</v>
      </c>
      <c r="DM200">
        <v>0</v>
      </c>
      <c r="DN200" t="s">
        <v>3</v>
      </c>
      <c r="DO200">
        <v>0</v>
      </c>
    </row>
    <row r="201" spans="1:119" x14ac:dyDescent="0.2">
      <c r="A201">
        <f>ROW(Source!A199)</f>
        <v>199</v>
      </c>
      <c r="B201">
        <v>94104265</v>
      </c>
      <c r="C201">
        <v>94190032</v>
      </c>
      <c r="D201">
        <v>87236625</v>
      </c>
      <c r="E201">
        <v>1</v>
      </c>
      <c r="F201">
        <v>1</v>
      </c>
      <c r="G201">
        <v>1</v>
      </c>
      <c r="H201">
        <v>2</v>
      </c>
      <c r="I201" t="s">
        <v>431</v>
      </c>
      <c r="J201" t="s">
        <v>432</v>
      </c>
      <c r="K201" t="s">
        <v>433</v>
      </c>
      <c r="L201">
        <v>1368</v>
      </c>
      <c r="N201">
        <v>1011</v>
      </c>
      <c r="O201" t="s">
        <v>434</v>
      </c>
      <c r="P201" t="s">
        <v>434</v>
      </c>
      <c r="Q201">
        <v>1</v>
      </c>
      <c r="W201">
        <v>0</v>
      </c>
      <c r="X201">
        <v>945201097</v>
      </c>
      <c r="Y201">
        <f>(AT201*ROUND(1.25,7))</f>
        <v>1.2500000000000001E-2</v>
      </c>
      <c r="AA201">
        <v>0</v>
      </c>
      <c r="AB201">
        <v>58.59</v>
      </c>
      <c r="AC201">
        <v>649.24</v>
      </c>
      <c r="AD201">
        <v>0</v>
      </c>
      <c r="AE201">
        <v>0</v>
      </c>
      <c r="AF201">
        <v>37.32</v>
      </c>
      <c r="AG201">
        <v>649.24</v>
      </c>
      <c r="AH201">
        <v>0</v>
      </c>
      <c r="AI201">
        <v>1</v>
      </c>
      <c r="AJ201">
        <v>1.57</v>
      </c>
      <c r="AK201">
        <v>1</v>
      </c>
      <c r="AL201">
        <v>1</v>
      </c>
      <c r="AM201">
        <v>2</v>
      </c>
      <c r="AN201">
        <v>0</v>
      </c>
      <c r="AO201">
        <v>0</v>
      </c>
      <c r="AP201">
        <v>1</v>
      </c>
      <c r="AQ201">
        <v>1</v>
      </c>
      <c r="AR201">
        <v>0</v>
      </c>
      <c r="AS201" t="s">
        <v>3</v>
      </c>
      <c r="AT201">
        <v>0.01</v>
      </c>
      <c r="AU201" t="s">
        <v>242</v>
      </c>
      <c r="AV201">
        <v>1</v>
      </c>
      <c r="AW201">
        <v>2</v>
      </c>
      <c r="AX201">
        <v>94190044</v>
      </c>
      <c r="AY201">
        <v>1</v>
      </c>
      <c r="AZ201">
        <v>0</v>
      </c>
      <c r="BA201">
        <v>201</v>
      </c>
      <c r="BB201">
        <v>1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0.37320000000000003</v>
      </c>
      <c r="BL201">
        <v>6.4923999999999999</v>
      </c>
      <c r="BM201">
        <v>0</v>
      </c>
      <c r="BN201">
        <v>0</v>
      </c>
      <c r="BO201">
        <v>0.01</v>
      </c>
      <c r="BP201">
        <v>1</v>
      </c>
      <c r="BQ201">
        <v>0</v>
      </c>
      <c r="BR201">
        <v>0.46650000000000003</v>
      </c>
      <c r="BS201">
        <v>8.1155000000000008</v>
      </c>
      <c r="BT201">
        <v>0</v>
      </c>
      <c r="BU201">
        <v>0</v>
      </c>
      <c r="BV201">
        <v>1.2500000000000001E-2</v>
      </c>
      <c r="BW201">
        <v>1</v>
      </c>
      <c r="CV201">
        <v>0</v>
      </c>
      <c r="CW201">
        <f>ROUND(Y201*Source!I199*DO201,7)</f>
        <v>1.25E-3</v>
      </c>
      <c r="CX201">
        <f>ROUND(Y201*Source!I199,7)</f>
        <v>1.25E-3</v>
      </c>
      <c r="CY201">
        <f>AB201</f>
        <v>58.59</v>
      </c>
      <c r="CZ201">
        <f>AF201</f>
        <v>37.32</v>
      </c>
      <c r="DA201">
        <f>AJ201</f>
        <v>1.57</v>
      </c>
      <c r="DB201">
        <f>ROUND((ROUND(AT201*CZ201,2)*ROUND(1.25,7)),6)</f>
        <v>0.46250000000000002</v>
      </c>
      <c r="DC201">
        <f>ROUND((ROUND(AT201*AG201,2)*ROUND(1.25,7)),6)</f>
        <v>8.1125000000000007</v>
      </c>
      <c r="DD201" t="s">
        <v>3</v>
      </c>
      <c r="DE201" t="s">
        <v>3</v>
      </c>
      <c r="DF201">
        <f t="shared" si="88"/>
        <v>0</v>
      </c>
      <c r="DG201">
        <f>ROUND(ROUND(AF201*AJ201,2)*CX201,2)</f>
        <v>7.0000000000000007E-2</v>
      </c>
      <c r="DH201">
        <f t="shared" si="86"/>
        <v>0.81</v>
      </c>
      <c r="DI201">
        <f t="shared" si="87"/>
        <v>0</v>
      </c>
      <c r="DJ201">
        <f>DG201+DH201</f>
        <v>0.88000000000000012</v>
      </c>
      <c r="DK201">
        <v>0</v>
      </c>
      <c r="DL201" t="s">
        <v>435</v>
      </c>
      <c r="DM201">
        <v>3</v>
      </c>
      <c r="DN201" t="s">
        <v>428</v>
      </c>
      <c r="DO201">
        <v>1</v>
      </c>
    </row>
    <row r="202" spans="1:119" x14ac:dyDescent="0.2">
      <c r="A202">
        <f>ROW(Source!A199)</f>
        <v>199</v>
      </c>
      <c r="B202">
        <v>94104265</v>
      </c>
      <c r="C202">
        <v>94190032</v>
      </c>
      <c r="D202">
        <v>87237333</v>
      </c>
      <c r="E202">
        <v>1</v>
      </c>
      <c r="F202">
        <v>1</v>
      </c>
      <c r="G202">
        <v>1</v>
      </c>
      <c r="H202">
        <v>2</v>
      </c>
      <c r="I202" t="s">
        <v>463</v>
      </c>
      <c r="J202" t="s">
        <v>464</v>
      </c>
      <c r="K202" t="s">
        <v>465</v>
      </c>
      <c r="L202">
        <v>1368</v>
      </c>
      <c r="N202">
        <v>1011</v>
      </c>
      <c r="O202" t="s">
        <v>434</v>
      </c>
      <c r="P202" t="s">
        <v>434</v>
      </c>
      <c r="Q202">
        <v>1</v>
      </c>
      <c r="W202">
        <v>0</v>
      </c>
      <c r="X202">
        <v>-849950259</v>
      </c>
      <c r="Y202">
        <f>(AT202*ROUND(1.25,7))</f>
        <v>0.375</v>
      </c>
      <c r="AA202">
        <v>0</v>
      </c>
      <c r="AB202">
        <v>544.91999999999996</v>
      </c>
      <c r="AC202">
        <v>731.08</v>
      </c>
      <c r="AD202">
        <v>0</v>
      </c>
      <c r="AE202">
        <v>0</v>
      </c>
      <c r="AF202">
        <v>544.91999999999996</v>
      </c>
      <c r="AG202">
        <v>731.08</v>
      </c>
      <c r="AH202">
        <v>0</v>
      </c>
      <c r="AI202">
        <v>1</v>
      </c>
      <c r="AJ202">
        <v>1</v>
      </c>
      <c r="AK202">
        <v>1</v>
      </c>
      <c r="AL202">
        <v>1</v>
      </c>
      <c r="AM202">
        <v>-2</v>
      </c>
      <c r="AN202">
        <v>0</v>
      </c>
      <c r="AO202">
        <v>0</v>
      </c>
      <c r="AP202">
        <v>1</v>
      </c>
      <c r="AQ202">
        <v>1</v>
      </c>
      <c r="AR202">
        <v>0</v>
      </c>
      <c r="AS202" t="s">
        <v>3</v>
      </c>
      <c r="AT202">
        <v>0.3</v>
      </c>
      <c r="AU202" t="s">
        <v>242</v>
      </c>
      <c r="AV202">
        <v>1</v>
      </c>
      <c r="AW202">
        <v>2</v>
      </c>
      <c r="AX202">
        <v>94190045</v>
      </c>
      <c r="AY202">
        <v>1</v>
      </c>
      <c r="AZ202">
        <v>0</v>
      </c>
      <c r="BA202">
        <v>202</v>
      </c>
      <c r="BB202">
        <v>1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163.47599999999997</v>
      </c>
      <c r="BL202">
        <v>219.32400000000001</v>
      </c>
      <c r="BM202">
        <v>0</v>
      </c>
      <c r="BN202">
        <v>0</v>
      </c>
      <c r="BO202">
        <v>0.3</v>
      </c>
      <c r="BP202">
        <v>1</v>
      </c>
      <c r="BQ202">
        <v>0</v>
      </c>
      <c r="BR202">
        <v>204.34499999999997</v>
      </c>
      <c r="BS202">
        <v>274.15500000000003</v>
      </c>
      <c r="BT202">
        <v>0</v>
      </c>
      <c r="BU202">
        <v>0</v>
      </c>
      <c r="BV202">
        <v>0.375</v>
      </c>
      <c r="BW202">
        <v>1</v>
      </c>
      <c r="CV202">
        <v>0</v>
      </c>
      <c r="CW202">
        <f>ROUND(Y202*Source!I199*DO202,7)</f>
        <v>3.7499999999999999E-2</v>
      </c>
      <c r="CX202">
        <f>ROUND(Y202*Source!I199,7)</f>
        <v>3.7499999999999999E-2</v>
      </c>
      <c r="CY202">
        <f>AB202</f>
        <v>544.91999999999996</v>
      </c>
      <c r="CZ202">
        <f>AF202</f>
        <v>544.91999999999996</v>
      </c>
      <c r="DA202">
        <f>AJ202</f>
        <v>1</v>
      </c>
      <c r="DB202">
        <f>ROUND((ROUND(AT202*CZ202,2)*ROUND(1.25,7)),6)</f>
        <v>204.35</v>
      </c>
      <c r="DC202">
        <f>ROUND((ROUND(AT202*AG202,2)*ROUND(1.25,7)),6)</f>
        <v>274.14999999999998</v>
      </c>
      <c r="DD202" t="s">
        <v>3</v>
      </c>
      <c r="DE202" t="s">
        <v>3</v>
      </c>
      <c r="DF202">
        <f t="shared" si="88"/>
        <v>0</v>
      </c>
      <c r="DG202">
        <f t="shared" ref="DG202:DG217" si="89">ROUND(ROUND(AF202,2)*CX202,2)</f>
        <v>20.43</v>
      </c>
      <c r="DH202">
        <f t="shared" si="86"/>
        <v>27.42</v>
      </c>
      <c r="DI202">
        <f t="shared" si="87"/>
        <v>0</v>
      </c>
      <c r="DJ202">
        <f>DG202+DH202</f>
        <v>47.85</v>
      </c>
      <c r="DK202">
        <v>1</v>
      </c>
      <c r="DL202" t="s">
        <v>466</v>
      </c>
      <c r="DM202">
        <v>4</v>
      </c>
      <c r="DN202" t="s">
        <v>428</v>
      </c>
      <c r="DO202">
        <v>1</v>
      </c>
    </row>
    <row r="203" spans="1:119" x14ac:dyDescent="0.2">
      <c r="A203">
        <f>ROW(Source!A199)</f>
        <v>199</v>
      </c>
      <c r="B203">
        <v>94104265</v>
      </c>
      <c r="C203">
        <v>94190032</v>
      </c>
      <c r="D203">
        <v>87304091</v>
      </c>
      <c r="E203">
        <v>1</v>
      </c>
      <c r="F203">
        <v>1</v>
      </c>
      <c r="G203">
        <v>1</v>
      </c>
      <c r="H203">
        <v>3</v>
      </c>
      <c r="I203" t="s">
        <v>467</v>
      </c>
      <c r="J203" t="s">
        <v>468</v>
      </c>
      <c r="K203" t="s">
        <v>469</v>
      </c>
      <c r="L203">
        <v>1339</v>
      </c>
      <c r="N203">
        <v>1007</v>
      </c>
      <c r="O203" t="s">
        <v>34</v>
      </c>
      <c r="P203" t="s">
        <v>34</v>
      </c>
      <c r="Q203">
        <v>1</v>
      </c>
      <c r="W203">
        <v>0</v>
      </c>
      <c r="X203">
        <v>1964556667</v>
      </c>
      <c r="Y203">
        <f>AT203</f>
        <v>0.01</v>
      </c>
      <c r="AA203">
        <v>54.64</v>
      </c>
      <c r="AB203">
        <v>0</v>
      </c>
      <c r="AC203">
        <v>0</v>
      </c>
      <c r="AD203">
        <v>0</v>
      </c>
      <c r="AE203">
        <v>35.71</v>
      </c>
      <c r="AF203">
        <v>0</v>
      </c>
      <c r="AG203">
        <v>0</v>
      </c>
      <c r="AH203">
        <v>0</v>
      </c>
      <c r="AI203">
        <v>1.53</v>
      </c>
      <c r="AJ203">
        <v>1</v>
      </c>
      <c r="AK203">
        <v>1</v>
      </c>
      <c r="AL203">
        <v>1</v>
      </c>
      <c r="AM203">
        <v>2</v>
      </c>
      <c r="AN203">
        <v>0</v>
      </c>
      <c r="AO203">
        <v>0</v>
      </c>
      <c r="AP203">
        <v>0</v>
      </c>
      <c r="AQ203">
        <v>1</v>
      </c>
      <c r="AR203">
        <v>0</v>
      </c>
      <c r="AS203" t="s">
        <v>3</v>
      </c>
      <c r="AT203">
        <v>0.01</v>
      </c>
      <c r="AU203" t="s">
        <v>3</v>
      </c>
      <c r="AV203">
        <v>0</v>
      </c>
      <c r="AW203">
        <v>2</v>
      </c>
      <c r="AX203">
        <v>94190046</v>
      </c>
      <c r="AY203">
        <v>1</v>
      </c>
      <c r="AZ203">
        <v>0</v>
      </c>
      <c r="BA203">
        <v>203</v>
      </c>
      <c r="BB203">
        <v>1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0.35710000000000003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1</v>
      </c>
      <c r="BQ203">
        <v>0.35710000000000003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1</v>
      </c>
      <c r="CV203">
        <v>0</v>
      </c>
      <c r="CW203">
        <v>0</v>
      </c>
      <c r="CX203">
        <f>ROUND(Y203*Source!I199,7)</f>
        <v>1E-3</v>
      </c>
      <c r="CY203">
        <f>AA203</f>
        <v>54.64</v>
      </c>
      <c r="CZ203">
        <f>AE203</f>
        <v>35.71</v>
      </c>
      <c r="DA203">
        <f>AI203</f>
        <v>1.53</v>
      </c>
      <c r="DB203">
        <f>ROUND(ROUND(AT203*CZ203,2),6)</f>
        <v>0.36</v>
      </c>
      <c r="DC203">
        <f>ROUND(ROUND(AT203*AG203,2),6)</f>
        <v>0</v>
      </c>
      <c r="DD203" t="s">
        <v>3</v>
      </c>
      <c r="DE203" t="s">
        <v>3</v>
      </c>
      <c r="DF203">
        <f>ROUND(ROUND(AE203*AI203,2)*CX203,2)</f>
        <v>0.05</v>
      </c>
      <c r="DG203">
        <f t="shared" si="89"/>
        <v>0</v>
      </c>
      <c r="DH203">
        <f t="shared" si="86"/>
        <v>0</v>
      </c>
      <c r="DI203">
        <f t="shared" si="87"/>
        <v>0</v>
      </c>
      <c r="DJ203">
        <f>DF203</f>
        <v>0.05</v>
      </c>
      <c r="DK203">
        <v>0</v>
      </c>
      <c r="DL203" t="s">
        <v>3</v>
      </c>
      <c r="DM203">
        <v>0</v>
      </c>
      <c r="DN203" t="s">
        <v>3</v>
      </c>
      <c r="DO203">
        <v>0</v>
      </c>
    </row>
    <row r="204" spans="1:119" x14ac:dyDescent="0.2">
      <c r="A204">
        <f>ROW(Source!A199)</f>
        <v>199</v>
      </c>
      <c r="B204">
        <v>94104265</v>
      </c>
      <c r="C204">
        <v>94190032</v>
      </c>
      <c r="D204">
        <v>87304103</v>
      </c>
      <c r="E204">
        <v>1</v>
      </c>
      <c r="F204">
        <v>1</v>
      </c>
      <c r="G204">
        <v>1</v>
      </c>
      <c r="H204">
        <v>3</v>
      </c>
      <c r="I204" t="s">
        <v>530</v>
      </c>
      <c r="J204" t="s">
        <v>531</v>
      </c>
      <c r="K204" t="s">
        <v>532</v>
      </c>
      <c r="L204">
        <v>1383</v>
      </c>
      <c r="N204">
        <v>1013</v>
      </c>
      <c r="O204" t="s">
        <v>533</v>
      </c>
      <c r="P204" t="s">
        <v>533</v>
      </c>
      <c r="Q204">
        <v>1</v>
      </c>
      <c r="W204">
        <v>0</v>
      </c>
      <c r="X204">
        <v>1840299850</v>
      </c>
      <c r="Y204">
        <f>AT204</f>
        <v>0.09</v>
      </c>
      <c r="AA204">
        <v>6.92</v>
      </c>
      <c r="AB204">
        <v>0</v>
      </c>
      <c r="AC204">
        <v>0</v>
      </c>
      <c r="AD204">
        <v>0</v>
      </c>
      <c r="AE204">
        <v>6.92</v>
      </c>
      <c r="AF204">
        <v>0</v>
      </c>
      <c r="AG204">
        <v>0</v>
      </c>
      <c r="AH204">
        <v>0</v>
      </c>
      <c r="AI204">
        <v>1</v>
      </c>
      <c r="AJ204">
        <v>1</v>
      </c>
      <c r="AK204">
        <v>1</v>
      </c>
      <c r="AL204">
        <v>1</v>
      </c>
      <c r="AM204">
        <v>-2</v>
      </c>
      <c r="AN204">
        <v>0</v>
      </c>
      <c r="AO204">
        <v>0</v>
      </c>
      <c r="AP204">
        <v>0</v>
      </c>
      <c r="AQ204">
        <v>1</v>
      </c>
      <c r="AR204">
        <v>0</v>
      </c>
      <c r="AS204" t="s">
        <v>3</v>
      </c>
      <c r="AT204">
        <v>0.09</v>
      </c>
      <c r="AU204" t="s">
        <v>3</v>
      </c>
      <c r="AV204">
        <v>0</v>
      </c>
      <c r="AW204">
        <v>2</v>
      </c>
      <c r="AX204">
        <v>94190047</v>
      </c>
      <c r="AY204">
        <v>1</v>
      </c>
      <c r="AZ204">
        <v>0</v>
      </c>
      <c r="BA204">
        <v>204</v>
      </c>
      <c r="BB204">
        <v>1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0.62280000000000002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1</v>
      </c>
      <c r="BQ204">
        <v>0.62280000000000002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1</v>
      </c>
      <c r="CV204">
        <v>0</v>
      </c>
      <c r="CW204">
        <v>0</v>
      </c>
      <c r="CX204">
        <f>ROUND(Y204*Source!I199,7)</f>
        <v>8.9999999999999993E-3</v>
      </c>
      <c r="CY204">
        <f>AA204</f>
        <v>6.92</v>
      </c>
      <c r="CZ204">
        <f>AE204</f>
        <v>6.92</v>
      </c>
      <c r="DA204">
        <f>AI204</f>
        <v>1</v>
      </c>
      <c r="DB204">
        <f>ROUND(ROUND(AT204*CZ204,2),6)</f>
        <v>0.62</v>
      </c>
      <c r="DC204">
        <f>ROUND(ROUND(AT204*AG204,2),6)</f>
        <v>0</v>
      </c>
      <c r="DD204" t="s">
        <v>3</v>
      </c>
      <c r="DE204" t="s">
        <v>3</v>
      </c>
      <c r="DF204">
        <f>ROUND(ROUND(AE204,2)*CX204,2)</f>
        <v>0.06</v>
      </c>
      <c r="DG204">
        <f t="shared" si="89"/>
        <v>0</v>
      </c>
      <c r="DH204">
        <f t="shared" si="86"/>
        <v>0</v>
      </c>
      <c r="DI204">
        <f t="shared" si="87"/>
        <v>0</v>
      </c>
      <c r="DJ204">
        <f>DF204</f>
        <v>0.06</v>
      </c>
      <c r="DK204">
        <v>1</v>
      </c>
      <c r="DL204" t="s">
        <v>3</v>
      </c>
      <c r="DM204">
        <v>0</v>
      </c>
      <c r="DN204" t="s">
        <v>3</v>
      </c>
      <c r="DO204">
        <v>0</v>
      </c>
    </row>
    <row r="205" spans="1:119" x14ac:dyDescent="0.2">
      <c r="A205">
        <f>ROW(Source!A199)</f>
        <v>199</v>
      </c>
      <c r="B205">
        <v>94104265</v>
      </c>
      <c r="C205">
        <v>94190032</v>
      </c>
      <c r="D205">
        <v>90235842</v>
      </c>
      <c r="E205">
        <v>1</v>
      </c>
      <c r="F205">
        <v>1</v>
      </c>
      <c r="G205">
        <v>1</v>
      </c>
      <c r="H205">
        <v>3</v>
      </c>
      <c r="I205" t="s">
        <v>261</v>
      </c>
      <c r="J205" t="s">
        <v>263</v>
      </c>
      <c r="K205" t="s">
        <v>262</v>
      </c>
      <c r="L205">
        <v>1348</v>
      </c>
      <c r="N205">
        <v>1009</v>
      </c>
      <c r="O205" t="s">
        <v>30</v>
      </c>
      <c r="P205" t="s">
        <v>30</v>
      </c>
      <c r="Q205">
        <v>1000</v>
      </c>
      <c r="W205">
        <v>0</v>
      </c>
      <c r="X205">
        <v>2083233302</v>
      </c>
      <c r="Y205">
        <f>AT205</f>
        <v>0.01</v>
      </c>
      <c r="AA205">
        <v>73889</v>
      </c>
      <c r="AB205">
        <v>0</v>
      </c>
      <c r="AC205">
        <v>0</v>
      </c>
      <c r="AD205">
        <v>0</v>
      </c>
      <c r="AE205">
        <v>73889</v>
      </c>
      <c r="AF205">
        <v>0</v>
      </c>
      <c r="AG205">
        <v>0</v>
      </c>
      <c r="AH205">
        <v>0</v>
      </c>
      <c r="AI205">
        <v>1</v>
      </c>
      <c r="AJ205">
        <v>1</v>
      </c>
      <c r="AK205">
        <v>1</v>
      </c>
      <c r="AL205">
        <v>1</v>
      </c>
      <c r="AM205">
        <v>0</v>
      </c>
      <c r="AN205">
        <v>0</v>
      </c>
      <c r="AO205">
        <v>0</v>
      </c>
      <c r="AP205">
        <v>1</v>
      </c>
      <c r="AQ205">
        <v>0</v>
      </c>
      <c r="AR205">
        <v>0</v>
      </c>
      <c r="AS205" t="s">
        <v>3</v>
      </c>
      <c r="AT205">
        <v>0.01</v>
      </c>
      <c r="AU205" t="s">
        <v>3</v>
      </c>
      <c r="AV205">
        <v>0</v>
      </c>
      <c r="AW205">
        <v>1</v>
      </c>
      <c r="AX205">
        <v>-1</v>
      </c>
      <c r="AY205">
        <v>0</v>
      </c>
      <c r="AZ205">
        <v>0</v>
      </c>
      <c r="BA205" t="s">
        <v>3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CV205">
        <v>0</v>
      </c>
      <c r="CW205">
        <v>0</v>
      </c>
      <c r="CX205">
        <f>ROUND(Y205*Source!I199,7)</f>
        <v>1E-3</v>
      </c>
      <c r="CY205">
        <f>AA205</f>
        <v>73889</v>
      </c>
      <c r="CZ205">
        <f>AE205</f>
        <v>73889</v>
      </c>
      <c r="DA205">
        <f>AI205</f>
        <v>1</v>
      </c>
      <c r="DB205">
        <f>ROUND(ROUND(AT205*CZ205,2),6)</f>
        <v>738.89</v>
      </c>
      <c r="DC205">
        <f>ROUND(ROUND(AT205*AG205,2),6)</f>
        <v>0</v>
      </c>
      <c r="DD205" t="s">
        <v>3</v>
      </c>
      <c r="DE205" t="s">
        <v>3</v>
      </c>
      <c r="DF205">
        <f>ROUND(ROUND(AE205,2)*CX205,2)</f>
        <v>73.89</v>
      </c>
      <c r="DG205">
        <f t="shared" si="89"/>
        <v>0</v>
      </c>
      <c r="DH205">
        <f t="shared" si="86"/>
        <v>0</v>
      </c>
      <c r="DI205">
        <f t="shared" si="87"/>
        <v>0</v>
      </c>
      <c r="DJ205">
        <f>DF205</f>
        <v>73.89</v>
      </c>
      <c r="DK205">
        <v>1</v>
      </c>
      <c r="DL205" t="s">
        <v>3</v>
      </c>
      <c r="DM205">
        <v>0</v>
      </c>
      <c r="DN205" t="s">
        <v>3</v>
      </c>
      <c r="DO205">
        <v>0</v>
      </c>
    </row>
    <row r="206" spans="1:119" x14ac:dyDescent="0.2">
      <c r="A206">
        <f>ROW(Source!A199)</f>
        <v>199</v>
      </c>
      <c r="B206">
        <v>94104265</v>
      </c>
      <c r="C206">
        <v>94190032</v>
      </c>
      <c r="D206">
        <v>90237620</v>
      </c>
      <c r="E206">
        <v>1</v>
      </c>
      <c r="F206">
        <v>1</v>
      </c>
      <c r="G206">
        <v>1</v>
      </c>
      <c r="H206">
        <v>3</v>
      </c>
      <c r="I206" t="s">
        <v>82</v>
      </c>
      <c r="J206" t="s">
        <v>84</v>
      </c>
      <c r="K206" t="s">
        <v>83</v>
      </c>
      <c r="L206">
        <v>1327</v>
      </c>
      <c r="N206">
        <v>1005</v>
      </c>
      <c r="O206" t="s">
        <v>60</v>
      </c>
      <c r="P206" t="s">
        <v>60</v>
      </c>
      <c r="Q206">
        <v>1</v>
      </c>
      <c r="W206">
        <v>0</v>
      </c>
      <c r="X206">
        <v>-1611852378</v>
      </c>
      <c r="Y206">
        <f>AT206</f>
        <v>10.199999999999999</v>
      </c>
      <c r="AA206">
        <v>908.39</v>
      </c>
      <c r="AB206">
        <v>0</v>
      </c>
      <c r="AC206">
        <v>0</v>
      </c>
      <c r="AD206">
        <v>0</v>
      </c>
      <c r="AE206">
        <v>908.39</v>
      </c>
      <c r="AF206">
        <v>0</v>
      </c>
      <c r="AG206">
        <v>0</v>
      </c>
      <c r="AH206">
        <v>0</v>
      </c>
      <c r="AI206">
        <v>1</v>
      </c>
      <c r="AJ206">
        <v>1</v>
      </c>
      <c r="AK206">
        <v>1</v>
      </c>
      <c r="AL206">
        <v>1</v>
      </c>
      <c r="AM206">
        <v>0</v>
      </c>
      <c r="AN206">
        <v>0</v>
      </c>
      <c r="AO206">
        <v>0</v>
      </c>
      <c r="AP206">
        <v>1</v>
      </c>
      <c r="AQ206">
        <v>0</v>
      </c>
      <c r="AR206">
        <v>0</v>
      </c>
      <c r="AS206" t="s">
        <v>3</v>
      </c>
      <c r="AT206">
        <v>10.199999999999999</v>
      </c>
      <c r="AU206" t="s">
        <v>3</v>
      </c>
      <c r="AV206">
        <v>0</v>
      </c>
      <c r="AW206">
        <v>1</v>
      </c>
      <c r="AX206">
        <v>-1</v>
      </c>
      <c r="AY206">
        <v>0</v>
      </c>
      <c r="AZ206">
        <v>0</v>
      </c>
      <c r="BA206" t="s">
        <v>3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CV206">
        <v>0</v>
      </c>
      <c r="CW206">
        <v>0</v>
      </c>
      <c r="CX206">
        <f>ROUND(Y206*Source!I199,7)</f>
        <v>1.02</v>
      </c>
      <c r="CY206">
        <f>AA206</f>
        <v>908.39</v>
      </c>
      <c r="CZ206">
        <f>AE206</f>
        <v>908.39</v>
      </c>
      <c r="DA206">
        <f>AI206</f>
        <v>1</v>
      </c>
      <c r="DB206">
        <f>ROUND(ROUND(AT206*CZ206,2),6)</f>
        <v>9265.58</v>
      </c>
      <c r="DC206">
        <f>ROUND(ROUND(AT206*AG206,2),6)</f>
        <v>0</v>
      </c>
      <c r="DD206" t="s">
        <v>3</v>
      </c>
      <c r="DE206" t="s">
        <v>3</v>
      </c>
      <c r="DF206">
        <f>ROUND(ROUND(AE206,2)*CX206,2)</f>
        <v>926.56</v>
      </c>
      <c r="DG206">
        <f t="shared" si="89"/>
        <v>0</v>
      </c>
      <c r="DH206">
        <f t="shared" si="86"/>
        <v>0</v>
      </c>
      <c r="DI206">
        <f t="shared" si="87"/>
        <v>0</v>
      </c>
      <c r="DJ206">
        <f>DF206</f>
        <v>926.56</v>
      </c>
      <c r="DK206">
        <v>1</v>
      </c>
      <c r="DL206" t="s">
        <v>3</v>
      </c>
      <c r="DM206">
        <v>0</v>
      </c>
      <c r="DN206" t="s">
        <v>3</v>
      </c>
      <c r="DO206">
        <v>0</v>
      </c>
    </row>
    <row r="207" spans="1:119" x14ac:dyDescent="0.2">
      <c r="A207">
        <f>ROW(Source!A199)</f>
        <v>199</v>
      </c>
      <c r="B207">
        <v>94104265</v>
      </c>
      <c r="C207">
        <v>94190032</v>
      </c>
      <c r="D207">
        <v>90250403</v>
      </c>
      <c r="E207">
        <v>1</v>
      </c>
      <c r="F207">
        <v>1</v>
      </c>
      <c r="G207">
        <v>1</v>
      </c>
      <c r="H207">
        <v>3</v>
      </c>
      <c r="I207" t="s">
        <v>250</v>
      </c>
      <c r="J207" t="s">
        <v>252</v>
      </c>
      <c r="K207" t="s">
        <v>251</v>
      </c>
      <c r="L207">
        <v>1348</v>
      </c>
      <c r="N207">
        <v>1009</v>
      </c>
      <c r="O207" t="s">
        <v>30</v>
      </c>
      <c r="P207" t="s">
        <v>30</v>
      </c>
      <c r="Q207">
        <v>1000</v>
      </c>
      <c r="W207">
        <v>0</v>
      </c>
      <c r="X207">
        <v>1538372289</v>
      </c>
      <c r="Y207">
        <f>AT207</f>
        <v>0.04</v>
      </c>
      <c r="AA207">
        <v>36398.730000000003</v>
      </c>
      <c r="AB207">
        <v>0</v>
      </c>
      <c r="AC207">
        <v>0</v>
      </c>
      <c r="AD207">
        <v>0</v>
      </c>
      <c r="AE207">
        <v>36038.35</v>
      </c>
      <c r="AF207">
        <v>0</v>
      </c>
      <c r="AG207">
        <v>0</v>
      </c>
      <c r="AH207">
        <v>0</v>
      </c>
      <c r="AI207">
        <v>1.01</v>
      </c>
      <c r="AJ207">
        <v>1</v>
      </c>
      <c r="AK207">
        <v>1</v>
      </c>
      <c r="AL207">
        <v>1</v>
      </c>
      <c r="AM207">
        <v>0</v>
      </c>
      <c r="AN207">
        <v>0</v>
      </c>
      <c r="AO207">
        <v>0</v>
      </c>
      <c r="AP207">
        <v>1</v>
      </c>
      <c r="AQ207">
        <v>0</v>
      </c>
      <c r="AR207">
        <v>0</v>
      </c>
      <c r="AS207" t="s">
        <v>3</v>
      </c>
      <c r="AT207">
        <v>0.04</v>
      </c>
      <c r="AU207" t="s">
        <v>3</v>
      </c>
      <c r="AV207">
        <v>0</v>
      </c>
      <c r="AW207">
        <v>1</v>
      </c>
      <c r="AX207">
        <v>-1</v>
      </c>
      <c r="AY207">
        <v>0</v>
      </c>
      <c r="AZ207">
        <v>0</v>
      </c>
      <c r="BA207" t="s">
        <v>3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CV207">
        <v>0</v>
      </c>
      <c r="CW207">
        <v>0</v>
      </c>
      <c r="CX207">
        <f>ROUND(Y207*Source!I199,7)</f>
        <v>4.0000000000000001E-3</v>
      </c>
      <c r="CY207">
        <f>AA207</f>
        <v>36398.730000000003</v>
      </c>
      <c r="CZ207">
        <f>AE207</f>
        <v>36038.35</v>
      </c>
      <c r="DA207">
        <f>AI207</f>
        <v>1.01</v>
      </c>
      <c r="DB207">
        <f>ROUND(ROUND(AT207*CZ207,2),6)</f>
        <v>1441.53</v>
      </c>
      <c r="DC207">
        <f>ROUND(ROUND(AT207*AG207,2),6)</f>
        <v>0</v>
      </c>
      <c r="DD207" t="s">
        <v>3</v>
      </c>
      <c r="DE207" t="s">
        <v>3</v>
      </c>
      <c r="DF207">
        <f>ROUND(ROUND(AE207*AI207,2)*CX207,2)</f>
        <v>145.59</v>
      </c>
      <c r="DG207">
        <f t="shared" si="89"/>
        <v>0</v>
      </c>
      <c r="DH207">
        <f t="shared" si="86"/>
        <v>0</v>
      </c>
      <c r="DI207">
        <f t="shared" si="87"/>
        <v>0</v>
      </c>
      <c r="DJ207">
        <f>DF207</f>
        <v>145.59</v>
      </c>
      <c r="DK207">
        <v>0</v>
      </c>
      <c r="DL207" t="s">
        <v>3</v>
      </c>
      <c r="DM207">
        <v>0</v>
      </c>
      <c r="DN207" t="s">
        <v>3</v>
      </c>
      <c r="DO207">
        <v>0</v>
      </c>
    </row>
    <row r="208" spans="1:119" x14ac:dyDescent="0.2">
      <c r="A208">
        <f>ROW(Source!A203)</f>
        <v>203</v>
      </c>
      <c r="B208">
        <v>94104265</v>
      </c>
      <c r="C208">
        <v>94190061</v>
      </c>
      <c r="D208">
        <v>87229755</v>
      </c>
      <c r="E208">
        <v>117</v>
      </c>
      <c r="F208">
        <v>1</v>
      </c>
      <c r="G208">
        <v>1</v>
      </c>
      <c r="H208">
        <v>1</v>
      </c>
      <c r="I208" t="s">
        <v>436</v>
      </c>
      <c r="J208" t="s">
        <v>3</v>
      </c>
      <c r="K208" t="s">
        <v>437</v>
      </c>
      <c r="L208">
        <v>1191</v>
      </c>
      <c r="N208">
        <v>1013</v>
      </c>
      <c r="O208" t="s">
        <v>428</v>
      </c>
      <c r="P208" t="s">
        <v>428</v>
      </c>
      <c r="Q208">
        <v>1</v>
      </c>
      <c r="W208">
        <v>0</v>
      </c>
      <c r="X208">
        <v>-1833565283</v>
      </c>
      <c r="Y208">
        <f>(AT208*ROUND(1.15,7))</f>
        <v>19.135999999999999</v>
      </c>
      <c r="AA208">
        <v>0</v>
      </c>
      <c r="AB208">
        <v>0</v>
      </c>
      <c r="AC208">
        <v>0</v>
      </c>
      <c r="AD208">
        <v>649.24</v>
      </c>
      <c r="AE208">
        <v>0</v>
      </c>
      <c r="AF208">
        <v>0</v>
      </c>
      <c r="AG208">
        <v>0</v>
      </c>
      <c r="AH208">
        <v>649.24</v>
      </c>
      <c r="AI208">
        <v>1</v>
      </c>
      <c r="AJ208">
        <v>1</v>
      </c>
      <c r="AK208">
        <v>1</v>
      </c>
      <c r="AL208">
        <v>1</v>
      </c>
      <c r="AM208">
        <v>-2</v>
      </c>
      <c r="AN208">
        <v>0</v>
      </c>
      <c r="AO208">
        <v>0</v>
      </c>
      <c r="AP208">
        <v>1</v>
      </c>
      <c r="AQ208">
        <v>1</v>
      </c>
      <c r="AR208">
        <v>0</v>
      </c>
      <c r="AS208" t="s">
        <v>3</v>
      </c>
      <c r="AT208">
        <v>16.64</v>
      </c>
      <c r="AU208" t="s">
        <v>243</v>
      </c>
      <c r="AV208">
        <v>1</v>
      </c>
      <c r="AW208">
        <v>2</v>
      </c>
      <c r="AX208">
        <v>94190062</v>
      </c>
      <c r="AY208">
        <v>1</v>
      </c>
      <c r="AZ208">
        <v>0</v>
      </c>
      <c r="BA208">
        <v>208</v>
      </c>
      <c r="BB208">
        <v>1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10803.3536</v>
      </c>
      <c r="BN208">
        <v>16.64</v>
      </c>
      <c r="BO208">
        <v>0</v>
      </c>
      <c r="BP208">
        <v>1</v>
      </c>
      <c r="BQ208">
        <v>0</v>
      </c>
      <c r="BR208">
        <v>0</v>
      </c>
      <c r="BS208">
        <v>0</v>
      </c>
      <c r="BT208">
        <v>12423.85664</v>
      </c>
      <c r="BU208">
        <v>19.135999999999999</v>
      </c>
      <c r="BV208">
        <v>0</v>
      </c>
      <c r="BW208">
        <v>1</v>
      </c>
      <c r="CU208">
        <f>ROUND(AT208*Source!I203*AH208*AL208,2)</f>
        <v>540.16999999999996</v>
      </c>
      <c r="CV208">
        <f>ROUND(Y208*Source!I203,7)</f>
        <v>0.95679999999999998</v>
      </c>
      <c r="CW208">
        <v>0</v>
      </c>
      <c r="CX208">
        <f>ROUND(Y208*Source!I203,7)</f>
        <v>0.95679999999999998</v>
      </c>
      <c r="CY208">
        <f>AD208</f>
        <v>649.24</v>
      </c>
      <c r="CZ208">
        <f>AH208</f>
        <v>649.24</v>
      </c>
      <c r="DA208">
        <f>AL208</f>
        <v>1</v>
      </c>
      <c r="DB208">
        <f>ROUND((ROUND(AT208*CZ208,2)*ROUND(1.15,7)),6)</f>
        <v>12423.852500000001</v>
      </c>
      <c r="DC208">
        <f>ROUND((ROUND(AT208*AG208,2)*ROUND(1.15,7)),6)</f>
        <v>0</v>
      </c>
      <c r="DD208" t="s">
        <v>3</v>
      </c>
      <c r="DE208" t="s">
        <v>3</v>
      </c>
      <c r="DF208">
        <f>ROUND(ROUND(AE208,2)*CX208,2)</f>
        <v>0</v>
      </c>
      <c r="DG208">
        <f t="shared" si="89"/>
        <v>0</v>
      </c>
      <c r="DH208">
        <f t="shared" si="86"/>
        <v>0</v>
      </c>
      <c r="DI208">
        <f t="shared" si="87"/>
        <v>621.19000000000005</v>
      </c>
      <c r="DJ208">
        <f>DI208</f>
        <v>621.19000000000005</v>
      </c>
      <c r="DK208">
        <v>1</v>
      </c>
      <c r="DL208" t="s">
        <v>3</v>
      </c>
      <c r="DM208">
        <v>0</v>
      </c>
      <c r="DN208" t="s">
        <v>3</v>
      </c>
      <c r="DO208">
        <v>0</v>
      </c>
    </row>
    <row r="209" spans="1:119" x14ac:dyDescent="0.2">
      <c r="A209">
        <f>ROW(Source!A203)</f>
        <v>203</v>
      </c>
      <c r="B209">
        <v>94104265</v>
      </c>
      <c r="C209">
        <v>94190061</v>
      </c>
      <c r="D209">
        <v>87304103</v>
      </c>
      <c r="E209">
        <v>1</v>
      </c>
      <c r="F209">
        <v>1</v>
      </c>
      <c r="G209">
        <v>1</v>
      </c>
      <c r="H209">
        <v>3</v>
      </c>
      <c r="I209" t="s">
        <v>530</v>
      </c>
      <c r="J209" t="s">
        <v>531</v>
      </c>
      <c r="K209" t="s">
        <v>532</v>
      </c>
      <c r="L209">
        <v>1383</v>
      </c>
      <c r="N209">
        <v>1013</v>
      </c>
      <c r="O209" t="s">
        <v>533</v>
      </c>
      <c r="P209" t="s">
        <v>533</v>
      </c>
      <c r="Q209">
        <v>1</v>
      </c>
      <c r="W209">
        <v>0</v>
      </c>
      <c r="X209">
        <v>1840299850</v>
      </c>
      <c r="Y209">
        <f t="shared" ref="Y209:Y215" si="90">AT209</f>
        <v>6.8760000000000003</v>
      </c>
      <c r="AA209">
        <v>6.92</v>
      </c>
      <c r="AB209">
        <v>0</v>
      </c>
      <c r="AC209">
        <v>0</v>
      </c>
      <c r="AD209">
        <v>0</v>
      </c>
      <c r="AE209">
        <v>6.92</v>
      </c>
      <c r="AF209">
        <v>0</v>
      </c>
      <c r="AG209">
        <v>0</v>
      </c>
      <c r="AH209">
        <v>0</v>
      </c>
      <c r="AI209">
        <v>1</v>
      </c>
      <c r="AJ209">
        <v>1</v>
      </c>
      <c r="AK209">
        <v>1</v>
      </c>
      <c r="AL209">
        <v>1</v>
      </c>
      <c r="AM209">
        <v>-2</v>
      </c>
      <c r="AN209">
        <v>0</v>
      </c>
      <c r="AO209">
        <v>0</v>
      </c>
      <c r="AP209">
        <v>0</v>
      </c>
      <c r="AQ209">
        <v>1</v>
      </c>
      <c r="AR209">
        <v>0</v>
      </c>
      <c r="AS209" t="s">
        <v>3</v>
      </c>
      <c r="AT209">
        <v>6.8760000000000003</v>
      </c>
      <c r="AU209" t="s">
        <v>3</v>
      </c>
      <c r="AV209">
        <v>0</v>
      </c>
      <c r="AW209">
        <v>2</v>
      </c>
      <c r="AX209">
        <v>94190063</v>
      </c>
      <c r="AY209">
        <v>1</v>
      </c>
      <c r="AZ209">
        <v>0</v>
      </c>
      <c r="BA209">
        <v>209</v>
      </c>
      <c r="BB209">
        <v>1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47.581920000000004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1</v>
      </c>
      <c r="BQ209">
        <v>47.581920000000004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1</v>
      </c>
      <c r="CV209">
        <v>0</v>
      </c>
      <c r="CW209">
        <v>0</v>
      </c>
      <c r="CX209">
        <f>ROUND(Y209*Source!I203,7)</f>
        <v>0.34379999999999999</v>
      </c>
      <c r="CY209">
        <f>AA209</f>
        <v>6.92</v>
      </c>
      <c r="CZ209">
        <f>AE209</f>
        <v>6.92</v>
      </c>
      <c r="DA209">
        <f>AI209</f>
        <v>1</v>
      </c>
      <c r="DB209">
        <f t="shared" ref="DB209:DB215" si="91">ROUND(ROUND(AT209*CZ209,2),6)</f>
        <v>47.58</v>
      </c>
      <c r="DC209">
        <f t="shared" ref="DC209:DC215" si="92">ROUND(ROUND(AT209*AG209,2),6)</f>
        <v>0</v>
      </c>
      <c r="DD209" t="s">
        <v>3</v>
      </c>
      <c r="DE209" t="s">
        <v>3</v>
      </c>
      <c r="DF209">
        <f>ROUND(ROUND(AE209,2)*CX209,2)</f>
        <v>2.38</v>
      </c>
      <c r="DG209">
        <f t="shared" si="89"/>
        <v>0</v>
      </c>
      <c r="DH209">
        <f t="shared" si="86"/>
        <v>0</v>
      </c>
      <c r="DI209">
        <f t="shared" si="87"/>
        <v>0</v>
      </c>
      <c r="DJ209">
        <f>DF209</f>
        <v>2.38</v>
      </c>
      <c r="DK209">
        <v>1</v>
      </c>
      <c r="DL209" t="s">
        <v>3</v>
      </c>
      <c r="DM209">
        <v>0</v>
      </c>
      <c r="DN209" t="s">
        <v>3</v>
      </c>
      <c r="DO209">
        <v>0</v>
      </c>
    </row>
    <row r="210" spans="1:119" x14ac:dyDescent="0.2">
      <c r="A210">
        <f>ROW(Source!A203)</f>
        <v>203</v>
      </c>
      <c r="B210">
        <v>94104265</v>
      </c>
      <c r="C210">
        <v>94190061</v>
      </c>
      <c r="D210">
        <v>87305971</v>
      </c>
      <c r="E210">
        <v>1</v>
      </c>
      <c r="F210">
        <v>1</v>
      </c>
      <c r="G210">
        <v>1</v>
      </c>
      <c r="H210">
        <v>3</v>
      </c>
      <c r="I210" t="s">
        <v>534</v>
      </c>
      <c r="J210" t="s">
        <v>535</v>
      </c>
      <c r="K210" t="s">
        <v>536</v>
      </c>
      <c r="L210">
        <v>1425</v>
      </c>
      <c r="N210">
        <v>1013</v>
      </c>
      <c r="O210" t="s">
        <v>537</v>
      </c>
      <c r="P210" t="s">
        <v>537</v>
      </c>
      <c r="Q210">
        <v>1</v>
      </c>
      <c r="W210">
        <v>0</v>
      </c>
      <c r="X210">
        <v>-57904496</v>
      </c>
      <c r="Y210">
        <f t="shared" si="90"/>
        <v>6.7</v>
      </c>
      <c r="AA210">
        <v>116.41</v>
      </c>
      <c r="AB210">
        <v>0</v>
      </c>
      <c r="AC210">
        <v>0</v>
      </c>
      <c r="AD210">
        <v>0</v>
      </c>
      <c r="AE210">
        <v>88.86</v>
      </c>
      <c r="AF210">
        <v>0</v>
      </c>
      <c r="AG210">
        <v>0</v>
      </c>
      <c r="AH210">
        <v>0</v>
      </c>
      <c r="AI210">
        <v>1.31</v>
      </c>
      <c r="AJ210">
        <v>1</v>
      </c>
      <c r="AK210">
        <v>1</v>
      </c>
      <c r="AL210">
        <v>1</v>
      </c>
      <c r="AM210">
        <v>2</v>
      </c>
      <c r="AN210">
        <v>0</v>
      </c>
      <c r="AO210">
        <v>0</v>
      </c>
      <c r="AP210">
        <v>0</v>
      </c>
      <c r="AQ210">
        <v>1</v>
      </c>
      <c r="AR210">
        <v>0</v>
      </c>
      <c r="AS210" t="s">
        <v>3</v>
      </c>
      <c r="AT210">
        <v>6.7</v>
      </c>
      <c r="AU210" t="s">
        <v>3</v>
      </c>
      <c r="AV210">
        <v>0</v>
      </c>
      <c r="AW210">
        <v>2</v>
      </c>
      <c r="AX210">
        <v>94190064</v>
      </c>
      <c r="AY210">
        <v>1</v>
      </c>
      <c r="AZ210">
        <v>0</v>
      </c>
      <c r="BA210">
        <v>210</v>
      </c>
      <c r="BB210">
        <v>1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595.36199999999997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1</v>
      </c>
      <c r="BQ210">
        <v>595.36199999999997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1</v>
      </c>
      <c r="CV210">
        <v>0</v>
      </c>
      <c r="CW210">
        <v>0</v>
      </c>
      <c r="CX210">
        <f>ROUND(Y210*Source!I203,7)</f>
        <v>0.33500000000000002</v>
      </c>
      <c r="CY210">
        <f>AA210</f>
        <v>116.41</v>
      </c>
      <c r="CZ210">
        <f>AE210</f>
        <v>88.86</v>
      </c>
      <c r="DA210">
        <f>AI210</f>
        <v>1.31</v>
      </c>
      <c r="DB210">
        <f t="shared" si="91"/>
        <v>595.36</v>
      </c>
      <c r="DC210">
        <f t="shared" si="92"/>
        <v>0</v>
      </c>
      <c r="DD210" t="s">
        <v>3</v>
      </c>
      <c r="DE210" t="s">
        <v>3</v>
      </c>
      <c r="DF210">
        <f>ROUND(ROUND(AE210*AI210,2)*CX210,2)</f>
        <v>39</v>
      </c>
      <c r="DG210">
        <f t="shared" si="89"/>
        <v>0</v>
      </c>
      <c r="DH210">
        <f t="shared" si="86"/>
        <v>0</v>
      </c>
      <c r="DI210">
        <f t="shared" si="87"/>
        <v>0</v>
      </c>
      <c r="DJ210">
        <f>DF210</f>
        <v>39</v>
      </c>
      <c r="DK210">
        <v>0</v>
      </c>
      <c r="DL210" t="s">
        <v>3</v>
      </c>
      <c r="DM210">
        <v>0</v>
      </c>
      <c r="DN210" t="s">
        <v>3</v>
      </c>
      <c r="DO210">
        <v>0</v>
      </c>
    </row>
    <row r="211" spans="1:119" x14ac:dyDescent="0.2">
      <c r="A211">
        <f>ROW(Source!A203)</f>
        <v>203</v>
      </c>
      <c r="B211">
        <v>94104265</v>
      </c>
      <c r="C211">
        <v>94190061</v>
      </c>
      <c r="D211">
        <v>90241780</v>
      </c>
      <c r="E211">
        <v>1</v>
      </c>
      <c r="F211">
        <v>1</v>
      </c>
      <c r="G211">
        <v>1</v>
      </c>
      <c r="H211">
        <v>3</v>
      </c>
      <c r="I211" t="s">
        <v>277</v>
      </c>
      <c r="J211" t="s">
        <v>280</v>
      </c>
      <c r="K211" t="s">
        <v>278</v>
      </c>
      <c r="L211">
        <v>1371</v>
      </c>
      <c r="N211">
        <v>1013</v>
      </c>
      <c r="O211" t="s">
        <v>279</v>
      </c>
      <c r="P211" t="s">
        <v>279</v>
      </c>
      <c r="Q211">
        <v>1</v>
      </c>
      <c r="W211">
        <v>0</v>
      </c>
      <c r="X211">
        <v>168275142</v>
      </c>
      <c r="Y211">
        <f t="shared" si="90"/>
        <v>100</v>
      </c>
      <c r="AA211">
        <v>219.99</v>
      </c>
      <c r="AB211">
        <v>0</v>
      </c>
      <c r="AC211">
        <v>0</v>
      </c>
      <c r="AD211">
        <v>0</v>
      </c>
      <c r="AE211">
        <v>198.19</v>
      </c>
      <c r="AF211">
        <v>0</v>
      </c>
      <c r="AG211">
        <v>0</v>
      </c>
      <c r="AH211">
        <v>0</v>
      </c>
      <c r="AI211">
        <v>1.1100000000000001</v>
      </c>
      <c r="AJ211">
        <v>1</v>
      </c>
      <c r="AK211">
        <v>1</v>
      </c>
      <c r="AL211">
        <v>1</v>
      </c>
      <c r="AM211">
        <v>0</v>
      </c>
      <c r="AN211">
        <v>0</v>
      </c>
      <c r="AO211">
        <v>0</v>
      </c>
      <c r="AP211">
        <v>1</v>
      </c>
      <c r="AQ211">
        <v>0</v>
      </c>
      <c r="AR211">
        <v>0</v>
      </c>
      <c r="AS211" t="s">
        <v>3</v>
      </c>
      <c r="AT211">
        <v>100</v>
      </c>
      <c r="AU211" t="s">
        <v>3</v>
      </c>
      <c r="AV211">
        <v>0</v>
      </c>
      <c r="AW211">
        <v>1</v>
      </c>
      <c r="AX211">
        <v>-1</v>
      </c>
      <c r="AY211">
        <v>0</v>
      </c>
      <c r="AZ211">
        <v>0</v>
      </c>
      <c r="BA211" t="s">
        <v>3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CV211">
        <v>0</v>
      </c>
      <c r="CW211">
        <v>0</v>
      </c>
      <c r="CX211">
        <f>ROUND(Y211*Source!I203,7)</f>
        <v>5</v>
      </c>
      <c r="CY211">
        <f>AA211</f>
        <v>219.99</v>
      </c>
      <c r="CZ211">
        <f>AE211</f>
        <v>198.19</v>
      </c>
      <c r="DA211">
        <f>AI211</f>
        <v>1.1100000000000001</v>
      </c>
      <c r="DB211">
        <f t="shared" si="91"/>
        <v>19819</v>
      </c>
      <c r="DC211">
        <f t="shared" si="92"/>
        <v>0</v>
      </c>
      <c r="DD211" t="s">
        <v>3</v>
      </c>
      <c r="DE211" t="s">
        <v>3</v>
      </c>
      <c r="DF211">
        <f>ROUND(ROUND(AE211*AI211,2)*CX211,2)</f>
        <v>1099.95</v>
      </c>
      <c r="DG211">
        <f t="shared" si="89"/>
        <v>0</v>
      </c>
      <c r="DH211">
        <f t="shared" si="86"/>
        <v>0</v>
      </c>
      <c r="DI211">
        <f t="shared" si="87"/>
        <v>0</v>
      </c>
      <c r="DJ211">
        <f>DF211</f>
        <v>1099.95</v>
      </c>
      <c r="DK211">
        <v>0</v>
      </c>
      <c r="DL211" t="s">
        <v>3</v>
      </c>
      <c r="DM211">
        <v>0</v>
      </c>
      <c r="DN211" t="s">
        <v>3</v>
      </c>
      <c r="DO211">
        <v>0</v>
      </c>
    </row>
    <row r="212" spans="1:119" x14ac:dyDescent="0.2">
      <c r="A212">
        <f>ROW(Source!A307)</f>
        <v>307</v>
      </c>
      <c r="B212">
        <v>94104265</v>
      </c>
      <c r="C212">
        <v>94191231</v>
      </c>
      <c r="D212">
        <v>37064998</v>
      </c>
      <c r="E212">
        <v>118</v>
      </c>
      <c r="F212">
        <v>1</v>
      </c>
      <c r="G212">
        <v>1</v>
      </c>
      <c r="H212">
        <v>1</v>
      </c>
      <c r="I212" t="s">
        <v>576</v>
      </c>
      <c r="J212" t="s">
        <v>3</v>
      </c>
      <c r="K212" t="s">
        <v>577</v>
      </c>
      <c r="L212">
        <v>1191</v>
      </c>
      <c r="N212">
        <v>1013</v>
      </c>
      <c r="O212" t="s">
        <v>428</v>
      </c>
      <c r="P212" t="s">
        <v>428</v>
      </c>
      <c r="Q212">
        <v>1</v>
      </c>
      <c r="W212">
        <v>0</v>
      </c>
      <c r="X212">
        <v>370475345</v>
      </c>
      <c r="Y212">
        <f t="shared" si="90"/>
        <v>3.77</v>
      </c>
      <c r="AA212">
        <v>0</v>
      </c>
      <c r="AB212">
        <v>0</v>
      </c>
      <c r="AC212">
        <v>0</v>
      </c>
      <c r="AD212">
        <v>594.67999999999995</v>
      </c>
      <c r="AE212">
        <v>0</v>
      </c>
      <c r="AF212">
        <v>0</v>
      </c>
      <c r="AG212">
        <v>0</v>
      </c>
      <c r="AH212">
        <v>594.67999999999995</v>
      </c>
      <c r="AI212">
        <v>1</v>
      </c>
      <c r="AJ212">
        <v>1</v>
      </c>
      <c r="AK212">
        <v>1</v>
      </c>
      <c r="AL212">
        <v>1</v>
      </c>
      <c r="AM212">
        <v>-2</v>
      </c>
      <c r="AN212">
        <v>0</v>
      </c>
      <c r="AO212">
        <v>0</v>
      </c>
      <c r="AP212">
        <v>0</v>
      </c>
      <c r="AQ212">
        <v>1</v>
      </c>
      <c r="AR212">
        <v>0</v>
      </c>
      <c r="AS212" t="s">
        <v>3</v>
      </c>
      <c r="AT212">
        <v>3.77</v>
      </c>
      <c r="AU212" t="s">
        <v>3</v>
      </c>
      <c r="AV212">
        <v>1</v>
      </c>
      <c r="AW212">
        <v>2</v>
      </c>
      <c r="AX212">
        <v>94191234</v>
      </c>
      <c r="AY212">
        <v>1</v>
      </c>
      <c r="AZ212">
        <v>0</v>
      </c>
      <c r="BA212">
        <v>212</v>
      </c>
      <c r="BB212">
        <v>1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2241.9435999999996</v>
      </c>
      <c r="BN212">
        <v>3.77</v>
      </c>
      <c r="BO212">
        <v>0</v>
      </c>
      <c r="BP212">
        <v>1</v>
      </c>
      <c r="BQ212">
        <v>0</v>
      </c>
      <c r="BR212">
        <v>0</v>
      </c>
      <c r="BS212">
        <v>0</v>
      </c>
      <c r="BT212">
        <v>2241.9435999999996</v>
      </c>
      <c r="BU212">
        <v>3.77</v>
      </c>
      <c r="BV212">
        <v>0</v>
      </c>
      <c r="BW212">
        <v>1</v>
      </c>
      <c r="CU212">
        <f>ROUND(AT212*Source!I307*AH212*AL212,2)</f>
        <v>470.81</v>
      </c>
      <c r="CV212">
        <f>ROUND(Y212*Source!I307,7)</f>
        <v>0.79169999999999996</v>
      </c>
      <c r="CW212">
        <v>0</v>
      </c>
      <c r="CX212">
        <f>ROUND(Y212*Source!I307,7)</f>
        <v>0.79169999999999996</v>
      </c>
      <c r="CY212">
        <f>AD212</f>
        <v>594.67999999999995</v>
      </c>
      <c r="CZ212">
        <f>AH212</f>
        <v>594.67999999999995</v>
      </c>
      <c r="DA212">
        <f>AL212</f>
        <v>1</v>
      </c>
      <c r="DB212">
        <f t="shared" si="91"/>
        <v>2241.94</v>
      </c>
      <c r="DC212">
        <f t="shared" si="92"/>
        <v>0</v>
      </c>
      <c r="DD212" t="s">
        <v>3</v>
      </c>
      <c r="DE212" t="s">
        <v>3</v>
      </c>
      <c r="DF212">
        <f t="shared" ref="DF212:DF221" si="93">ROUND(ROUND(AE212,2)*CX212,2)</f>
        <v>0</v>
      </c>
      <c r="DG212">
        <f t="shared" si="89"/>
        <v>0</v>
      </c>
      <c r="DH212">
        <f t="shared" si="86"/>
        <v>0</v>
      </c>
      <c r="DI212">
        <f t="shared" si="87"/>
        <v>470.81</v>
      </c>
      <c r="DJ212">
        <f>DI212</f>
        <v>470.81</v>
      </c>
      <c r="DK212">
        <v>1</v>
      </c>
      <c r="DL212" t="s">
        <v>3</v>
      </c>
      <c r="DM212">
        <v>0</v>
      </c>
      <c r="DN212" t="s">
        <v>3</v>
      </c>
      <c r="DO212">
        <v>0</v>
      </c>
    </row>
    <row r="213" spans="1:119" x14ac:dyDescent="0.2">
      <c r="A213">
        <f>ROW(Source!A307)</f>
        <v>307</v>
      </c>
      <c r="B213">
        <v>94104265</v>
      </c>
      <c r="C213">
        <v>94191231</v>
      </c>
      <c r="D213">
        <v>90161318</v>
      </c>
      <c r="E213">
        <v>118</v>
      </c>
      <c r="F213">
        <v>1</v>
      </c>
      <c r="G213">
        <v>1</v>
      </c>
      <c r="H213">
        <v>3</v>
      </c>
      <c r="I213" t="s">
        <v>28</v>
      </c>
      <c r="J213" t="s">
        <v>3</v>
      </c>
      <c r="K213" t="s">
        <v>29</v>
      </c>
      <c r="L213">
        <v>1348</v>
      </c>
      <c r="N213">
        <v>1009</v>
      </c>
      <c r="O213" t="s">
        <v>30</v>
      </c>
      <c r="P213" t="s">
        <v>30</v>
      </c>
      <c r="Q213">
        <v>1000</v>
      </c>
      <c r="W213">
        <v>0</v>
      </c>
      <c r="X213">
        <v>2102561428</v>
      </c>
      <c r="Y213">
        <f t="shared" si="90"/>
        <v>0.11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1</v>
      </c>
      <c r="AJ213">
        <v>1</v>
      </c>
      <c r="AK213">
        <v>1</v>
      </c>
      <c r="AL213">
        <v>1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 t="s">
        <v>3</v>
      </c>
      <c r="AT213">
        <v>0.11</v>
      </c>
      <c r="AU213" t="s">
        <v>3</v>
      </c>
      <c r="AV213">
        <v>0</v>
      </c>
      <c r="AW213">
        <v>2</v>
      </c>
      <c r="AX213">
        <v>94191235</v>
      </c>
      <c r="AY213">
        <v>1</v>
      </c>
      <c r="AZ213">
        <v>0</v>
      </c>
      <c r="BA213">
        <v>213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CV213">
        <v>0</v>
      </c>
      <c r="CW213">
        <v>0</v>
      </c>
      <c r="CX213">
        <f>ROUND(Y213*Source!I307,7)</f>
        <v>2.3099999999999999E-2</v>
      </c>
      <c r="CY213">
        <f>AA213</f>
        <v>0</v>
      </c>
      <c r="CZ213">
        <f>AE213</f>
        <v>0</v>
      </c>
      <c r="DA213">
        <f>AI213</f>
        <v>1</v>
      </c>
      <c r="DB213">
        <f t="shared" si="91"/>
        <v>0</v>
      </c>
      <c r="DC213">
        <f t="shared" si="92"/>
        <v>0</v>
      </c>
      <c r="DD213" t="s">
        <v>3</v>
      </c>
      <c r="DE213" t="s">
        <v>3</v>
      </c>
      <c r="DF213">
        <f t="shared" si="93"/>
        <v>0</v>
      </c>
      <c r="DG213">
        <f t="shared" si="89"/>
        <v>0</v>
      </c>
      <c r="DH213">
        <f t="shared" si="86"/>
        <v>0</v>
      </c>
      <c r="DI213">
        <f t="shared" si="87"/>
        <v>0</v>
      </c>
      <c r="DJ213">
        <f>DF213</f>
        <v>0</v>
      </c>
      <c r="DK213">
        <v>0</v>
      </c>
      <c r="DL213" t="s">
        <v>3</v>
      </c>
      <c r="DM213">
        <v>0</v>
      </c>
      <c r="DN213" t="s">
        <v>3</v>
      </c>
      <c r="DO213">
        <v>0</v>
      </c>
    </row>
    <row r="214" spans="1:119" x14ac:dyDescent="0.2">
      <c r="A214">
        <f>ROW(Source!A309)</f>
        <v>309</v>
      </c>
      <c r="B214">
        <v>94104265</v>
      </c>
      <c r="C214">
        <v>94190314</v>
      </c>
      <c r="D214">
        <v>87229715</v>
      </c>
      <c r="E214">
        <v>117</v>
      </c>
      <c r="F214">
        <v>1</v>
      </c>
      <c r="G214">
        <v>1</v>
      </c>
      <c r="H214">
        <v>1</v>
      </c>
      <c r="I214" t="s">
        <v>576</v>
      </c>
      <c r="J214" t="s">
        <v>3</v>
      </c>
      <c r="K214" t="s">
        <v>577</v>
      </c>
      <c r="L214">
        <v>1191</v>
      </c>
      <c r="N214">
        <v>1013</v>
      </c>
      <c r="O214" t="s">
        <v>428</v>
      </c>
      <c r="P214" t="s">
        <v>428</v>
      </c>
      <c r="Q214">
        <v>1</v>
      </c>
      <c r="W214">
        <v>0</v>
      </c>
      <c r="X214">
        <v>370475345</v>
      </c>
      <c r="Y214">
        <f t="shared" si="90"/>
        <v>14.9</v>
      </c>
      <c r="AA214">
        <v>0</v>
      </c>
      <c r="AB214">
        <v>0</v>
      </c>
      <c r="AC214">
        <v>0</v>
      </c>
      <c r="AD214">
        <v>594.67999999999995</v>
      </c>
      <c r="AE214">
        <v>0</v>
      </c>
      <c r="AF214">
        <v>0</v>
      </c>
      <c r="AG214">
        <v>0</v>
      </c>
      <c r="AH214">
        <v>594.67999999999995</v>
      </c>
      <c r="AI214">
        <v>1</v>
      </c>
      <c r="AJ214">
        <v>1</v>
      </c>
      <c r="AK214">
        <v>1</v>
      </c>
      <c r="AL214">
        <v>1</v>
      </c>
      <c r="AM214">
        <v>-2</v>
      </c>
      <c r="AN214">
        <v>0</v>
      </c>
      <c r="AO214">
        <v>0</v>
      </c>
      <c r="AP214">
        <v>0</v>
      </c>
      <c r="AQ214">
        <v>1</v>
      </c>
      <c r="AR214">
        <v>0</v>
      </c>
      <c r="AS214" t="s">
        <v>3</v>
      </c>
      <c r="AT214">
        <v>14.9</v>
      </c>
      <c r="AU214" t="s">
        <v>3</v>
      </c>
      <c r="AV214">
        <v>1</v>
      </c>
      <c r="AW214">
        <v>2</v>
      </c>
      <c r="AX214">
        <v>94190315</v>
      </c>
      <c r="AY214">
        <v>1</v>
      </c>
      <c r="AZ214">
        <v>0</v>
      </c>
      <c r="BA214">
        <v>214</v>
      </c>
      <c r="BB214">
        <v>1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8860.732</v>
      </c>
      <c r="BN214">
        <v>14.9</v>
      </c>
      <c r="BO214">
        <v>0</v>
      </c>
      <c r="BP214">
        <v>1</v>
      </c>
      <c r="BQ214">
        <v>0</v>
      </c>
      <c r="BR214">
        <v>0</v>
      </c>
      <c r="BS214">
        <v>0</v>
      </c>
      <c r="BT214">
        <v>8860.732</v>
      </c>
      <c r="BU214">
        <v>14.9</v>
      </c>
      <c r="BV214">
        <v>0</v>
      </c>
      <c r="BW214">
        <v>1</v>
      </c>
      <c r="CU214">
        <f>ROUND(AT214*Source!I309*AH214*AL214,2)</f>
        <v>2658.22</v>
      </c>
      <c r="CV214">
        <f>ROUND(Y214*Source!I309,7)</f>
        <v>4.47</v>
      </c>
      <c r="CW214">
        <v>0</v>
      </c>
      <c r="CX214">
        <f>ROUND(Y214*Source!I309,7)</f>
        <v>4.47</v>
      </c>
      <c r="CY214">
        <f>AD214</f>
        <v>594.67999999999995</v>
      </c>
      <c r="CZ214">
        <f>AH214</f>
        <v>594.67999999999995</v>
      </c>
      <c r="DA214">
        <f>AL214</f>
        <v>1</v>
      </c>
      <c r="DB214">
        <f t="shared" si="91"/>
        <v>8860.73</v>
      </c>
      <c r="DC214">
        <f t="shared" si="92"/>
        <v>0</v>
      </c>
      <c r="DD214" t="s">
        <v>3</v>
      </c>
      <c r="DE214" t="s">
        <v>3</v>
      </c>
      <c r="DF214">
        <f t="shared" si="93"/>
        <v>0</v>
      </c>
      <c r="DG214">
        <f t="shared" si="89"/>
        <v>0</v>
      </c>
      <c r="DH214">
        <f t="shared" si="86"/>
        <v>0</v>
      </c>
      <c r="DI214">
        <f t="shared" si="87"/>
        <v>2658.22</v>
      </c>
      <c r="DJ214">
        <f>DI214</f>
        <v>2658.22</v>
      </c>
      <c r="DK214">
        <v>1</v>
      </c>
      <c r="DL214" t="s">
        <v>3</v>
      </c>
      <c r="DM214">
        <v>0</v>
      </c>
      <c r="DN214" t="s">
        <v>3</v>
      </c>
      <c r="DO214">
        <v>0</v>
      </c>
    </row>
    <row r="215" spans="1:119" x14ac:dyDescent="0.2">
      <c r="A215">
        <f>ROW(Source!A309)</f>
        <v>309</v>
      </c>
      <c r="B215">
        <v>94104265</v>
      </c>
      <c r="C215">
        <v>94190314</v>
      </c>
      <c r="D215">
        <v>87235788</v>
      </c>
      <c r="E215">
        <v>117</v>
      </c>
      <c r="F215">
        <v>1</v>
      </c>
      <c r="G215">
        <v>1</v>
      </c>
      <c r="H215">
        <v>3</v>
      </c>
      <c r="I215" t="s">
        <v>28</v>
      </c>
      <c r="J215" t="s">
        <v>3</v>
      </c>
      <c r="K215" t="s">
        <v>29</v>
      </c>
      <c r="L215">
        <v>1348</v>
      </c>
      <c r="N215">
        <v>1009</v>
      </c>
      <c r="O215" t="s">
        <v>30</v>
      </c>
      <c r="P215" t="s">
        <v>30</v>
      </c>
      <c r="Q215">
        <v>1000</v>
      </c>
      <c r="W215">
        <v>0</v>
      </c>
      <c r="X215">
        <v>2102561428</v>
      </c>
      <c r="Y215">
        <f t="shared" si="90"/>
        <v>1.92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1</v>
      </c>
      <c r="AJ215">
        <v>1</v>
      </c>
      <c r="AK215">
        <v>1</v>
      </c>
      <c r="AL215">
        <v>1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 t="s">
        <v>3</v>
      </c>
      <c r="AT215">
        <v>1.92</v>
      </c>
      <c r="AU215" t="s">
        <v>3</v>
      </c>
      <c r="AV215">
        <v>0</v>
      </c>
      <c r="AW215">
        <v>2</v>
      </c>
      <c r="AX215">
        <v>94190316</v>
      </c>
      <c r="AY215">
        <v>1</v>
      </c>
      <c r="AZ215">
        <v>0</v>
      </c>
      <c r="BA215">
        <v>215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CV215">
        <v>0</v>
      </c>
      <c r="CW215">
        <v>0</v>
      </c>
      <c r="CX215">
        <f>ROUND(Y215*Source!I309,7)</f>
        <v>0.57599999999999996</v>
      </c>
      <c r="CY215">
        <f>AA215</f>
        <v>0</v>
      </c>
      <c r="CZ215">
        <f>AE215</f>
        <v>0</v>
      </c>
      <c r="DA215">
        <f>AI215</f>
        <v>1</v>
      </c>
      <c r="DB215">
        <f t="shared" si="91"/>
        <v>0</v>
      </c>
      <c r="DC215">
        <f t="shared" si="92"/>
        <v>0</v>
      </c>
      <c r="DD215" t="s">
        <v>3</v>
      </c>
      <c r="DE215" t="s">
        <v>3</v>
      </c>
      <c r="DF215">
        <f t="shared" si="93"/>
        <v>0</v>
      </c>
      <c r="DG215">
        <f t="shared" si="89"/>
        <v>0</v>
      </c>
      <c r="DH215">
        <f t="shared" si="86"/>
        <v>0</v>
      </c>
      <c r="DI215">
        <f t="shared" si="87"/>
        <v>0</v>
      </c>
      <c r="DJ215">
        <f>DF215</f>
        <v>0</v>
      </c>
      <c r="DK215">
        <v>0</v>
      </c>
      <c r="DL215" t="s">
        <v>3</v>
      </c>
      <c r="DM215">
        <v>0</v>
      </c>
      <c r="DN215" t="s">
        <v>3</v>
      </c>
      <c r="DO215">
        <v>0</v>
      </c>
    </row>
    <row r="216" spans="1:119" x14ac:dyDescent="0.2">
      <c r="A216">
        <f>ROW(Source!A311)</f>
        <v>311</v>
      </c>
      <c r="B216">
        <v>94104265</v>
      </c>
      <c r="C216">
        <v>94191218</v>
      </c>
      <c r="D216">
        <v>87229737</v>
      </c>
      <c r="E216">
        <v>117</v>
      </c>
      <c r="F216">
        <v>1</v>
      </c>
      <c r="G216">
        <v>1</v>
      </c>
      <c r="H216">
        <v>1</v>
      </c>
      <c r="I216" t="s">
        <v>580</v>
      </c>
      <c r="J216" t="s">
        <v>3</v>
      </c>
      <c r="K216" t="s">
        <v>581</v>
      </c>
      <c r="L216">
        <v>1191</v>
      </c>
      <c r="N216">
        <v>1013</v>
      </c>
      <c r="O216" t="s">
        <v>428</v>
      </c>
      <c r="P216" t="s">
        <v>428</v>
      </c>
      <c r="Q216">
        <v>1</v>
      </c>
      <c r="W216">
        <v>0</v>
      </c>
      <c r="X216">
        <v>-1991603921</v>
      </c>
      <c r="Y216">
        <f>(AT216*ROUND(1.15,7))</f>
        <v>36.558499999999995</v>
      </c>
      <c r="AA216">
        <v>0</v>
      </c>
      <c r="AB216">
        <v>0</v>
      </c>
      <c r="AC216">
        <v>0</v>
      </c>
      <c r="AD216">
        <v>621.96</v>
      </c>
      <c r="AE216">
        <v>0</v>
      </c>
      <c r="AF216">
        <v>0</v>
      </c>
      <c r="AG216">
        <v>0</v>
      </c>
      <c r="AH216">
        <v>621.96</v>
      </c>
      <c r="AI216">
        <v>1</v>
      </c>
      <c r="AJ216">
        <v>1</v>
      </c>
      <c r="AK216">
        <v>1</v>
      </c>
      <c r="AL216">
        <v>1</v>
      </c>
      <c r="AM216">
        <v>-2</v>
      </c>
      <c r="AN216">
        <v>0</v>
      </c>
      <c r="AO216">
        <v>0</v>
      </c>
      <c r="AP216">
        <v>1</v>
      </c>
      <c r="AQ216">
        <v>1</v>
      </c>
      <c r="AR216">
        <v>0</v>
      </c>
      <c r="AS216" t="s">
        <v>3</v>
      </c>
      <c r="AT216">
        <v>31.79</v>
      </c>
      <c r="AU216" t="s">
        <v>243</v>
      </c>
      <c r="AV216">
        <v>1</v>
      </c>
      <c r="AW216">
        <v>2</v>
      </c>
      <c r="AX216">
        <v>94191219</v>
      </c>
      <c r="AY216">
        <v>1</v>
      </c>
      <c r="AZ216">
        <v>0</v>
      </c>
      <c r="BA216">
        <v>216</v>
      </c>
      <c r="BB216">
        <v>1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19772.108400000001</v>
      </c>
      <c r="BN216">
        <v>31.79</v>
      </c>
      <c r="BO216">
        <v>0</v>
      </c>
      <c r="BP216">
        <v>1</v>
      </c>
      <c r="BQ216">
        <v>0</v>
      </c>
      <c r="BR216">
        <v>0</v>
      </c>
      <c r="BS216">
        <v>0</v>
      </c>
      <c r="BT216">
        <v>22737.924659999997</v>
      </c>
      <c r="BU216">
        <v>36.558499999999995</v>
      </c>
      <c r="BV216">
        <v>0</v>
      </c>
      <c r="BW216">
        <v>1</v>
      </c>
      <c r="CU216">
        <f>ROUND(AT216*Source!I311*AH216*AL216,2)</f>
        <v>5931.63</v>
      </c>
      <c r="CV216">
        <f>ROUND(Y216*Source!I311,7)</f>
        <v>10.967549999999999</v>
      </c>
      <c r="CW216">
        <v>0</v>
      </c>
      <c r="CX216">
        <f>ROUND(Y216*Source!I311,7)</f>
        <v>10.967549999999999</v>
      </c>
      <c r="CY216">
        <f>AD216</f>
        <v>621.96</v>
      </c>
      <c r="CZ216">
        <f>AH216</f>
        <v>621.96</v>
      </c>
      <c r="DA216">
        <f>AL216</f>
        <v>1</v>
      </c>
      <c r="DB216">
        <f>ROUND((ROUND(AT216*CZ216,2)*ROUND(1.15,7)),6)</f>
        <v>22737.926500000001</v>
      </c>
      <c r="DC216">
        <f>ROUND((ROUND(AT216*AG216,2)*ROUND(1.15,7)),6)</f>
        <v>0</v>
      </c>
      <c r="DD216" t="s">
        <v>3</v>
      </c>
      <c r="DE216" t="s">
        <v>3</v>
      </c>
      <c r="DF216">
        <f t="shared" si="93"/>
        <v>0</v>
      </c>
      <c r="DG216">
        <f t="shared" si="89"/>
        <v>0</v>
      </c>
      <c r="DH216">
        <f t="shared" si="86"/>
        <v>0</v>
      </c>
      <c r="DI216">
        <f t="shared" si="87"/>
        <v>6821.38</v>
      </c>
      <c r="DJ216">
        <f>DI216</f>
        <v>6821.38</v>
      </c>
      <c r="DK216">
        <v>1</v>
      </c>
      <c r="DL216" t="s">
        <v>3</v>
      </c>
      <c r="DM216">
        <v>0</v>
      </c>
      <c r="DN216" t="s">
        <v>3</v>
      </c>
      <c r="DO216">
        <v>0</v>
      </c>
    </row>
    <row r="217" spans="1:119" x14ac:dyDescent="0.2">
      <c r="A217">
        <f>ROW(Source!A311)</f>
        <v>311</v>
      </c>
      <c r="B217">
        <v>94104265</v>
      </c>
      <c r="C217">
        <v>94191218</v>
      </c>
      <c r="D217">
        <v>87229949</v>
      </c>
      <c r="E217">
        <v>117</v>
      </c>
      <c r="F217">
        <v>1</v>
      </c>
      <c r="G217">
        <v>1</v>
      </c>
      <c r="H217">
        <v>1</v>
      </c>
      <c r="I217" t="s">
        <v>429</v>
      </c>
      <c r="J217" t="s">
        <v>3</v>
      </c>
      <c r="K217" t="s">
        <v>430</v>
      </c>
      <c r="L217">
        <v>1191</v>
      </c>
      <c r="N217">
        <v>1013</v>
      </c>
      <c r="O217" t="s">
        <v>428</v>
      </c>
      <c r="P217" t="s">
        <v>428</v>
      </c>
      <c r="Q217">
        <v>1</v>
      </c>
      <c r="W217">
        <v>0</v>
      </c>
      <c r="X217">
        <v>-1417349443</v>
      </c>
      <c r="Y217">
        <f>(AT217*ROUND(1.25,7))</f>
        <v>8.9749999999999996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1</v>
      </c>
      <c r="AJ217">
        <v>1</v>
      </c>
      <c r="AK217">
        <v>1</v>
      </c>
      <c r="AL217">
        <v>1</v>
      </c>
      <c r="AM217">
        <v>-2</v>
      </c>
      <c r="AN217">
        <v>0</v>
      </c>
      <c r="AO217">
        <v>0</v>
      </c>
      <c r="AP217">
        <v>1</v>
      </c>
      <c r="AQ217">
        <v>1</v>
      </c>
      <c r="AR217">
        <v>0</v>
      </c>
      <c r="AS217" t="s">
        <v>3</v>
      </c>
      <c r="AT217">
        <v>7.18</v>
      </c>
      <c r="AU217" t="s">
        <v>242</v>
      </c>
      <c r="AV217">
        <v>2</v>
      </c>
      <c r="AW217">
        <v>2</v>
      </c>
      <c r="AX217">
        <v>94191220</v>
      </c>
      <c r="AY217">
        <v>1</v>
      </c>
      <c r="AZ217">
        <v>0</v>
      </c>
      <c r="BA217">
        <v>217</v>
      </c>
      <c r="BB217">
        <v>1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CV217">
        <v>0</v>
      </c>
      <c r="CW217">
        <v>0</v>
      </c>
      <c r="CX217">
        <f>ROUND(Y217*Source!I311,7)</f>
        <v>2.6924999999999999</v>
      </c>
      <c r="CY217">
        <f>AD217</f>
        <v>0</v>
      </c>
      <c r="CZ217">
        <f>AH217</f>
        <v>0</v>
      </c>
      <c r="DA217">
        <f>AL217</f>
        <v>1</v>
      </c>
      <c r="DB217">
        <f>ROUND((ROUND(AT217*CZ217,2)*ROUND(1.25,7)),6)</f>
        <v>0</v>
      </c>
      <c r="DC217">
        <f>ROUND((ROUND(AT217*AG217,2)*ROUND(1.25,7)),6)</f>
        <v>0</v>
      </c>
      <c r="DD217" t="s">
        <v>3</v>
      </c>
      <c r="DE217" t="s">
        <v>3</v>
      </c>
      <c r="DF217">
        <f t="shared" si="93"/>
        <v>0</v>
      </c>
      <c r="DG217">
        <f t="shared" si="89"/>
        <v>0</v>
      </c>
      <c r="DH217">
        <f t="shared" si="86"/>
        <v>0</v>
      </c>
      <c r="DI217">
        <f t="shared" si="87"/>
        <v>0</v>
      </c>
      <c r="DJ217">
        <f>DI217</f>
        <v>0</v>
      </c>
      <c r="DK217">
        <v>0</v>
      </c>
      <c r="DL217" t="s">
        <v>3</v>
      </c>
      <c r="DM217">
        <v>0</v>
      </c>
      <c r="DN217" t="s">
        <v>3</v>
      </c>
      <c r="DO217">
        <v>0</v>
      </c>
    </row>
    <row r="218" spans="1:119" x14ac:dyDescent="0.2">
      <c r="A218">
        <f>ROW(Source!A311)</f>
        <v>311</v>
      </c>
      <c r="B218">
        <v>94104265</v>
      </c>
      <c r="C218">
        <v>94191218</v>
      </c>
      <c r="D218">
        <v>87236625</v>
      </c>
      <c r="E218">
        <v>1</v>
      </c>
      <c r="F218">
        <v>1</v>
      </c>
      <c r="G218">
        <v>1</v>
      </c>
      <c r="H218">
        <v>2</v>
      </c>
      <c r="I218" t="s">
        <v>431</v>
      </c>
      <c r="J218" t="s">
        <v>432</v>
      </c>
      <c r="K218" t="s">
        <v>433</v>
      </c>
      <c r="L218">
        <v>1368</v>
      </c>
      <c r="N218">
        <v>1011</v>
      </c>
      <c r="O218" t="s">
        <v>434</v>
      </c>
      <c r="P218" t="s">
        <v>434</v>
      </c>
      <c r="Q218">
        <v>1</v>
      </c>
      <c r="W218">
        <v>0</v>
      </c>
      <c r="X218">
        <v>945201097</v>
      </c>
      <c r="Y218">
        <f>(AT218*ROUND(1.25,7))</f>
        <v>0.16250000000000001</v>
      </c>
      <c r="AA218">
        <v>0</v>
      </c>
      <c r="AB218">
        <v>58.59</v>
      </c>
      <c r="AC218">
        <v>649.24</v>
      </c>
      <c r="AD218">
        <v>0</v>
      </c>
      <c r="AE218">
        <v>0</v>
      </c>
      <c r="AF218">
        <v>37.32</v>
      </c>
      <c r="AG218">
        <v>649.24</v>
      </c>
      <c r="AH218">
        <v>0</v>
      </c>
      <c r="AI218">
        <v>1</v>
      </c>
      <c r="AJ218">
        <v>1.57</v>
      </c>
      <c r="AK218">
        <v>1</v>
      </c>
      <c r="AL218">
        <v>1</v>
      </c>
      <c r="AM218">
        <v>2</v>
      </c>
      <c r="AN218">
        <v>0</v>
      </c>
      <c r="AO218">
        <v>0</v>
      </c>
      <c r="AP218">
        <v>1</v>
      </c>
      <c r="AQ218">
        <v>1</v>
      </c>
      <c r="AR218">
        <v>0</v>
      </c>
      <c r="AS218" t="s">
        <v>3</v>
      </c>
      <c r="AT218">
        <v>0.13</v>
      </c>
      <c r="AU218" t="s">
        <v>242</v>
      </c>
      <c r="AV218">
        <v>1</v>
      </c>
      <c r="AW218">
        <v>2</v>
      </c>
      <c r="AX218">
        <v>94191221</v>
      </c>
      <c r="AY218">
        <v>1</v>
      </c>
      <c r="AZ218">
        <v>0</v>
      </c>
      <c r="BA218">
        <v>218</v>
      </c>
      <c r="BB218">
        <v>1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4.8516000000000004</v>
      </c>
      <c r="BL218">
        <v>84.401200000000003</v>
      </c>
      <c r="BM218">
        <v>0</v>
      </c>
      <c r="BN218">
        <v>0</v>
      </c>
      <c r="BO218">
        <v>0.13</v>
      </c>
      <c r="BP218">
        <v>1</v>
      </c>
      <c r="BQ218">
        <v>0</v>
      </c>
      <c r="BR218">
        <v>6.0645000000000007</v>
      </c>
      <c r="BS218">
        <v>105.50150000000001</v>
      </c>
      <c r="BT218">
        <v>0</v>
      </c>
      <c r="BU218">
        <v>0</v>
      </c>
      <c r="BV218">
        <v>0.16250000000000001</v>
      </c>
      <c r="BW218">
        <v>1</v>
      </c>
      <c r="CV218">
        <v>0</v>
      </c>
      <c r="CW218">
        <f>ROUND(Y218*Source!I311*DO218,7)</f>
        <v>4.8750000000000002E-2</v>
      </c>
      <c r="CX218">
        <f>ROUND(Y218*Source!I311,7)</f>
        <v>4.8750000000000002E-2</v>
      </c>
      <c r="CY218">
        <f>AB218</f>
        <v>58.59</v>
      </c>
      <c r="CZ218">
        <f>AF218</f>
        <v>37.32</v>
      </c>
      <c r="DA218">
        <f>AJ218</f>
        <v>1.57</v>
      </c>
      <c r="DB218">
        <f>ROUND((ROUND(AT218*CZ218,2)*ROUND(1.25,7)),6)</f>
        <v>6.0625</v>
      </c>
      <c r="DC218">
        <f>ROUND((ROUND(AT218*AG218,2)*ROUND(1.25,7)),6)</f>
        <v>105.5</v>
      </c>
      <c r="DD218" t="s">
        <v>3</v>
      </c>
      <c r="DE218" t="s">
        <v>3</v>
      </c>
      <c r="DF218">
        <f t="shared" si="93"/>
        <v>0</v>
      </c>
      <c r="DG218">
        <f>ROUND(ROUND(AF218*AJ218,2)*CX218,2)</f>
        <v>2.86</v>
      </c>
      <c r="DH218">
        <f t="shared" si="86"/>
        <v>31.65</v>
      </c>
      <c r="DI218">
        <f t="shared" si="87"/>
        <v>0</v>
      </c>
      <c r="DJ218">
        <f>DG218+DH218</f>
        <v>34.51</v>
      </c>
      <c r="DK218">
        <v>0</v>
      </c>
      <c r="DL218" t="s">
        <v>435</v>
      </c>
      <c r="DM218">
        <v>3</v>
      </c>
      <c r="DN218" t="s">
        <v>428</v>
      </c>
      <c r="DO218">
        <v>1</v>
      </c>
    </row>
    <row r="219" spans="1:119" x14ac:dyDescent="0.2">
      <c r="A219">
        <f>ROW(Source!A311)</f>
        <v>311</v>
      </c>
      <c r="B219">
        <v>94104265</v>
      </c>
      <c r="C219">
        <v>94191218</v>
      </c>
      <c r="D219">
        <v>87237333</v>
      </c>
      <c r="E219">
        <v>1</v>
      </c>
      <c r="F219">
        <v>1</v>
      </c>
      <c r="G219">
        <v>1</v>
      </c>
      <c r="H219">
        <v>2</v>
      </c>
      <c r="I219" t="s">
        <v>463</v>
      </c>
      <c r="J219" t="s">
        <v>464</v>
      </c>
      <c r="K219" t="s">
        <v>465</v>
      </c>
      <c r="L219">
        <v>1368</v>
      </c>
      <c r="N219">
        <v>1011</v>
      </c>
      <c r="O219" t="s">
        <v>434</v>
      </c>
      <c r="P219" t="s">
        <v>434</v>
      </c>
      <c r="Q219">
        <v>1</v>
      </c>
      <c r="W219">
        <v>0</v>
      </c>
      <c r="X219">
        <v>-849950259</v>
      </c>
      <c r="Y219">
        <f>(AT219*ROUND(1.25,7))</f>
        <v>0.4375</v>
      </c>
      <c r="AA219">
        <v>0</v>
      </c>
      <c r="AB219">
        <v>544.91999999999996</v>
      </c>
      <c r="AC219">
        <v>731.08</v>
      </c>
      <c r="AD219">
        <v>0</v>
      </c>
      <c r="AE219">
        <v>0</v>
      </c>
      <c r="AF219">
        <v>544.91999999999996</v>
      </c>
      <c r="AG219">
        <v>731.08</v>
      </c>
      <c r="AH219">
        <v>0</v>
      </c>
      <c r="AI219">
        <v>1</v>
      </c>
      <c r="AJ219">
        <v>1</v>
      </c>
      <c r="AK219">
        <v>1</v>
      </c>
      <c r="AL219">
        <v>1</v>
      </c>
      <c r="AM219">
        <v>-2</v>
      </c>
      <c r="AN219">
        <v>0</v>
      </c>
      <c r="AO219">
        <v>0</v>
      </c>
      <c r="AP219">
        <v>1</v>
      </c>
      <c r="AQ219">
        <v>1</v>
      </c>
      <c r="AR219">
        <v>0</v>
      </c>
      <c r="AS219" t="s">
        <v>3</v>
      </c>
      <c r="AT219">
        <v>0.35</v>
      </c>
      <c r="AU219" t="s">
        <v>242</v>
      </c>
      <c r="AV219">
        <v>1</v>
      </c>
      <c r="AW219">
        <v>2</v>
      </c>
      <c r="AX219">
        <v>94191222</v>
      </c>
      <c r="AY219">
        <v>1</v>
      </c>
      <c r="AZ219">
        <v>0</v>
      </c>
      <c r="BA219">
        <v>219</v>
      </c>
      <c r="BB219">
        <v>1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190.72199999999998</v>
      </c>
      <c r="BL219">
        <v>255.87799999999999</v>
      </c>
      <c r="BM219">
        <v>0</v>
      </c>
      <c r="BN219">
        <v>0</v>
      </c>
      <c r="BO219">
        <v>0.35</v>
      </c>
      <c r="BP219">
        <v>1</v>
      </c>
      <c r="BQ219">
        <v>0</v>
      </c>
      <c r="BR219">
        <v>238.40249999999997</v>
      </c>
      <c r="BS219">
        <v>319.84750000000003</v>
      </c>
      <c r="BT219">
        <v>0</v>
      </c>
      <c r="BU219">
        <v>0</v>
      </c>
      <c r="BV219">
        <v>0.4375</v>
      </c>
      <c r="BW219">
        <v>1</v>
      </c>
      <c r="CV219">
        <v>0</v>
      </c>
      <c r="CW219">
        <f>ROUND(Y219*Source!I311*DO219,7)</f>
        <v>0.13125000000000001</v>
      </c>
      <c r="CX219">
        <f>ROUND(Y219*Source!I311,7)</f>
        <v>0.13125000000000001</v>
      </c>
      <c r="CY219">
        <f>AB219</f>
        <v>544.91999999999996</v>
      </c>
      <c r="CZ219">
        <f>AF219</f>
        <v>544.91999999999996</v>
      </c>
      <c r="DA219">
        <f>AJ219</f>
        <v>1</v>
      </c>
      <c r="DB219">
        <f>ROUND((ROUND(AT219*CZ219,2)*ROUND(1.25,7)),6)</f>
        <v>238.4</v>
      </c>
      <c r="DC219">
        <f>ROUND((ROUND(AT219*AG219,2)*ROUND(1.25,7)),6)</f>
        <v>319.85000000000002</v>
      </c>
      <c r="DD219" t="s">
        <v>3</v>
      </c>
      <c r="DE219" t="s">
        <v>3</v>
      </c>
      <c r="DF219">
        <f t="shared" si="93"/>
        <v>0</v>
      </c>
      <c r="DG219">
        <f t="shared" ref="DG219:DG232" si="94">ROUND(ROUND(AF219,2)*CX219,2)</f>
        <v>71.52</v>
      </c>
      <c r="DH219">
        <f t="shared" si="86"/>
        <v>95.95</v>
      </c>
      <c r="DI219">
        <f t="shared" si="87"/>
        <v>0</v>
      </c>
      <c r="DJ219">
        <f>DG219+DH219</f>
        <v>167.47</v>
      </c>
      <c r="DK219">
        <v>1</v>
      </c>
      <c r="DL219" t="s">
        <v>466</v>
      </c>
      <c r="DM219">
        <v>4</v>
      </c>
      <c r="DN219" t="s">
        <v>428</v>
      </c>
      <c r="DO219">
        <v>1</v>
      </c>
    </row>
    <row r="220" spans="1:119" x14ac:dyDescent="0.2">
      <c r="A220">
        <f>ROW(Source!A311)</f>
        <v>311</v>
      </c>
      <c r="B220">
        <v>94104265</v>
      </c>
      <c r="C220">
        <v>94191218</v>
      </c>
      <c r="D220">
        <v>87237541</v>
      </c>
      <c r="E220">
        <v>1</v>
      </c>
      <c r="F220">
        <v>1</v>
      </c>
      <c r="G220">
        <v>1</v>
      </c>
      <c r="H220">
        <v>2</v>
      </c>
      <c r="I220" t="s">
        <v>582</v>
      </c>
      <c r="J220" t="s">
        <v>583</v>
      </c>
      <c r="K220" t="s">
        <v>584</v>
      </c>
      <c r="L220">
        <v>1368</v>
      </c>
      <c r="N220">
        <v>1011</v>
      </c>
      <c r="O220" t="s">
        <v>434</v>
      </c>
      <c r="P220" t="s">
        <v>434</v>
      </c>
      <c r="Q220">
        <v>1</v>
      </c>
      <c r="W220">
        <v>0</v>
      </c>
      <c r="X220">
        <v>1282244495</v>
      </c>
      <c r="Y220">
        <f>(AT220*ROUND(1.25,7))</f>
        <v>8.375</v>
      </c>
      <c r="AA220">
        <v>0</v>
      </c>
      <c r="AB220">
        <v>378.6</v>
      </c>
      <c r="AC220">
        <v>731.08</v>
      </c>
      <c r="AD220">
        <v>0</v>
      </c>
      <c r="AE220">
        <v>0</v>
      </c>
      <c r="AF220">
        <v>378.6</v>
      </c>
      <c r="AG220">
        <v>731.08</v>
      </c>
      <c r="AH220">
        <v>0</v>
      </c>
      <c r="AI220">
        <v>1</v>
      </c>
      <c r="AJ220">
        <v>1</v>
      </c>
      <c r="AK220">
        <v>1</v>
      </c>
      <c r="AL220">
        <v>1</v>
      </c>
      <c r="AM220">
        <v>-2</v>
      </c>
      <c r="AN220">
        <v>0</v>
      </c>
      <c r="AO220">
        <v>0</v>
      </c>
      <c r="AP220">
        <v>1</v>
      </c>
      <c r="AQ220">
        <v>1</v>
      </c>
      <c r="AR220">
        <v>0</v>
      </c>
      <c r="AS220" t="s">
        <v>3</v>
      </c>
      <c r="AT220">
        <v>6.7</v>
      </c>
      <c r="AU220" t="s">
        <v>242</v>
      </c>
      <c r="AV220">
        <v>1</v>
      </c>
      <c r="AW220">
        <v>2</v>
      </c>
      <c r="AX220">
        <v>94191223</v>
      </c>
      <c r="AY220">
        <v>1</v>
      </c>
      <c r="AZ220">
        <v>0</v>
      </c>
      <c r="BA220">
        <v>220</v>
      </c>
      <c r="BB220">
        <v>1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2536.6200000000003</v>
      </c>
      <c r="BL220">
        <v>4898.2360000000008</v>
      </c>
      <c r="BM220">
        <v>0</v>
      </c>
      <c r="BN220">
        <v>0</v>
      </c>
      <c r="BO220">
        <v>6.7</v>
      </c>
      <c r="BP220">
        <v>1</v>
      </c>
      <c r="BQ220">
        <v>0</v>
      </c>
      <c r="BR220">
        <v>3170.7750000000001</v>
      </c>
      <c r="BS220">
        <v>6122.7950000000001</v>
      </c>
      <c r="BT220">
        <v>0</v>
      </c>
      <c r="BU220">
        <v>0</v>
      </c>
      <c r="BV220">
        <v>8.375</v>
      </c>
      <c r="BW220">
        <v>1</v>
      </c>
      <c r="CV220">
        <v>0</v>
      </c>
      <c r="CW220">
        <f>ROUND(Y220*Source!I311*DO220,7)</f>
        <v>2.5125000000000002</v>
      </c>
      <c r="CX220">
        <f>ROUND(Y220*Source!I311,7)</f>
        <v>2.5125000000000002</v>
      </c>
      <c r="CY220">
        <f>AB220</f>
        <v>378.6</v>
      </c>
      <c r="CZ220">
        <f>AF220</f>
        <v>378.6</v>
      </c>
      <c r="DA220">
        <f>AJ220</f>
        <v>1</v>
      </c>
      <c r="DB220">
        <f>ROUND((ROUND(AT220*CZ220,2)*ROUND(1.25,7)),6)</f>
        <v>3170.7750000000001</v>
      </c>
      <c r="DC220">
        <f>ROUND((ROUND(AT220*AG220,2)*ROUND(1.25,7)),6)</f>
        <v>6122.8</v>
      </c>
      <c r="DD220" t="s">
        <v>3</v>
      </c>
      <c r="DE220" t="s">
        <v>3</v>
      </c>
      <c r="DF220">
        <f t="shared" si="93"/>
        <v>0</v>
      </c>
      <c r="DG220">
        <f t="shared" si="94"/>
        <v>951.23</v>
      </c>
      <c r="DH220">
        <f t="shared" si="86"/>
        <v>1836.84</v>
      </c>
      <c r="DI220">
        <f t="shared" si="87"/>
        <v>0</v>
      </c>
      <c r="DJ220">
        <f>DG220+DH220</f>
        <v>2788.0699999999997</v>
      </c>
      <c r="DK220">
        <v>1</v>
      </c>
      <c r="DL220" t="s">
        <v>466</v>
      </c>
      <c r="DM220">
        <v>4</v>
      </c>
      <c r="DN220" t="s">
        <v>428</v>
      </c>
      <c r="DO220">
        <v>1</v>
      </c>
    </row>
    <row r="221" spans="1:119" x14ac:dyDescent="0.2">
      <c r="A221">
        <f>ROW(Source!A311)</f>
        <v>311</v>
      </c>
      <c r="B221">
        <v>94104265</v>
      </c>
      <c r="C221">
        <v>94191218</v>
      </c>
      <c r="D221">
        <v>87304103</v>
      </c>
      <c r="E221">
        <v>1</v>
      </c>
      <c r="F221">
        <v>1</v>
      </c>
      <c r="G221">
        <v>1</v>
      </c>
      <c r="H221">
        <v>3</v>
      </c>
      <c r="I221" t="s">
        <v>530</v>
      </c>
      <c r="J221" t="s">
        <v>531</v>
      </c>
      <c r="K221" t="s">
        <v>532</v>
      </c>
      <c r="L221">
        <v>1383</v>
      </c>
      <c r="N221">
        <v>1013</v>
      </c>
      <c r="O221" t="s">
        <v>533</v>
      </c>
      <c r="P221" t="s">
        <v>533</v>
      </c>
      <c r="Q221">
        <v>1</v>
      </c>
      <c r="W221">
        <v>0</v>
      </c>
      <c r="X221">
        <v>1840299850</v>
      </c>
      <c r="Y221">
        <f>AT221</f>
        <v>10.119999999999999</v>
      </c>
      <c r="AA221">
        <v>6.92</v>
      </c>
      <c r="AB221">
        <v>0</v>
      </c>
      <c r="AC221">
        <v>0</v>
      </c>
      <c r="AD221">
        <v>0</v>
      </c>
      <c r="AE221">
        <v>6.92</v>
      </c>
      <c r="AF221">
        <v>0</v>
      </c>
      <c r="AG221">
        <v>0</v>
      </c>
      <c r="AH221">
        <v>0</v>
      </c>
      <c r="AI221">
        <v>1</v>
      </c>
      <c r="AJ221">
        <v>1</v>
      </c>
      <c r="AK221">
        <v>1</v>
      </c>
      <c r="AL221">
        <v>1</v>
      </c>
      <c r="AM221">
        <v>-2</v>
      </c>
      <c r="AN221">
        <v>0</v>
      </c>
      <c r="AO221">
        <v>0</v>
      </c>
      <c r="AP221">
        <v>0</v>
      </c>
      <c r="AQ221">
        <v>1</v>
      </c>
      <c r="AR221">
        <v>0</v>
      </c>
      <c r="AS221" t="s">
        <v>3</v>
      </c>
      <c r="AT221">
        <v>10.119999999999999</v>
      </c>
      <c r="AU221" t="s">
        <v>3</v>
      </c>
      <c r="AV221">
        <v>0</v>
      </c>
      <c r="AW221">
        <v>2</v>
      </c>
      <c r="AX221">
        <v>94191224</v>
      </c>
      <c r="AY221">
        <v>1</v>
      </c>
      <c r="AZ221">
        <v>0</v>
      </c>
      <c r="BA221">
        <v>221</v>
      </c>
      <c r="BB221">
        <v>1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70.0304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1</v>
      </c>
      <c r="BQ221">
        <v>70.0304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1</v>
      </c>
      <c r="CV221">
        <v>0</v>
      </c>
      <c r="CW221">
        <v>0</v>
      </c>
      <c r="CX221">
        <f>ROUND(Y221*Source!I311,7)</f>
        <v>3.036</v>
      </c>
      <c r="CY221">
        <f>AA221</f>
        <v>6.92</v>
      </c>
      <c r="CZ221">
        <f>AE221</f>
        <v>6.92</v>
      </c>
      <c r="DA221">
        <f>AI221</f>
        <v>1</v>
      </c>
      <c r="DB221">
        <f>ROUND(ROUND(AT221*CZ221,2),6)</f>
        <v>70.03</v>
      </c>
      <c r="DC221">
        <f>ROUND(ROUND(AT221*AG221,2),6)</f>
        <v>0</v>
      </c>
      <c r="DD221" t="s">
        <v>3</v>
      </c>
      <c r="DE221" t="s">
        <v>3</v>
      </c>
      <c r="DF221">
        <f t="shared" si="93"/>
        <v>21.01</v>
      </c>
      <c r="DG221">
        <f t="shared" si="94"/>
        <v>0</v>
      </c>
      <c r="DH221">
        <f t="shared" si="86"/>
        <v>0</v>
      </c>
      <c r="DI221">
        <f t="shared" si="87"/>
        <v>0</v>
      </c>
      <c r="DJ221">
        <f>DF221</f>
        <v>21.01</v>
      </c>
      <c r="DK221">
        <v>1</v>
      </c>
      <c r="DL221" t="s">
        <v>3</v>
      </c>
      <c r="DM221">
        <v>0</v>
      </c>
      <c r="DN221" t="s">
        <v>3</v>
      </c>
      <c r="DO221">
        <v>0</v>
      </c>
    </row>
    <row r="222" spans="1:119" x14ac:dyDescent="0.2">
      <c r="A222">
        <f>ROW(Source!A311)</f>
        <v>311</v>
      </c>
      <c r="B222">
        <v>94104265</v>
      </c>
      <c r="C222">
        <v>94191218</v>
      </c>
      <c r="D222">
        <v>87305949</v>
      </c>
      <c r="E222">
        <v>1</v>
      </c>
      <c r="F222">
        <v>1</v>
      </c>
      <c r="G222">
        <v>1</v>
      </c>
      <c r="H222">
        <v>3</v>
      </c>
      <c r="I222" t="s">
        <v>585</v>
      </c>
      <c r="J222" t="s">
        <v>586</v>
      </c>
      <c r="K222" t="s">
        <v>587</v>
      </c>
      <c r="L222">
        <v>1346</v>
      </c>
      <c r="N222">
        <v>1009</v>
      </c>
      <c r="O222" t="s">
        <v>96</v>
      </c>
      <c r="P222" t="s">
        <v>96</v>
      </c>
      <c r="Q222">
        <v>1</v>
      </c>
      <c r="W222">
        <v>0</v>
      </c>
      <c r="X222">
        <v>1199624369</v>
      </c>
      <c r="Y222">
        <f>AT222</f>
        <v>1.8</v>
      </c>
      <c r="AA222">
        <v>150.52000000000001</v>
      </c>
      <c r="AB222">
        <v>0</v>
      </c>
      <c r="AC222">
        <v>0</v>
      </c>
      <c r="AD222">
        <v>0</v>
      </c>
      <c r="AE222">
        <v>114.9</v>
      </c>
      <c r="AF222">
        <v>0</v>
      </c>
      <c r="AG222">
        <v>0</v>
      </c>
      <c r="AH222">
        <v>0</v>
      </c>
      <c r="AI222">
        <v>1.31</v>
      </c>
      <c r="AJ222">
        <v>1</v>
      </c>
      <c r="AK222">
        <v>1</v>
      </c>
      <c r="AL222">
        <v>1</v>
      </c>
      <c r="AM222">
        <v>2</v>
      </c>
      <c r="AN222">
        <v>0</v>
      </c>
      <c r="AO222">
        <v>0</v>
      </c>
      <c r="AP222">
        <v>0</v>
      </c>
      <c r="AQ222">
        <v>1</v>
      </c>
      <c r="AR222">
        <v>0</v>
      </c>
      <c r="AS222" t="s">
        <v>3</v>
      </c>
      <c r="AT222">
        <v>1.8</v>
      </c>
      <c r="AU222" t="s">
        <v>3</v>
      </c>
      <c r="AV222">
        <v>0</v>
      </c>
      <c r="AW222">
        <v>2</v>
      </c>
      <c r="AX222">
        <v>94191225</v>
      </c>
      <c r="AY222">
        <v>1</v>
      </c>
      <c r="AZ222">
        <v>0</v>
      </c>
      <c r="BA222">
        <v>222</v>
      </c>
      <c r="BB222">
        <v>1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206.82000000000002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1</v>
      </c>
      <c r="BQ222">
        <v>206.82000000000002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1</v>
      </c>
      <c r="CV222">
        <v>0</v>
      </c>
      <c r="CW222">
        <v>0</v>
      </c>
      <c r="CX222">
        <f>ROUND(Y222*Source!I311,7)</f>
        <v>0.54</v>
      </c>
      <c r="CY222">
        <f>AA222</f>
        <v>150.52000000000001</v>
      </c>
      <c r="CZ222">
        <f>AE222</f>
        <v>114.9</v>
      </c>
      <c r="DA222">
        <f>AI222</f>
        <v>1.31</v>
      </c>
      <c r="DB222">
        <f>ROUND(ROUND(AT222*CZ222,2),6)</f>
        <v>206.82</v>
      </c>
      <c r="DC222">
        <f>ROUND(ROUND(AT222*AG222,2),6)</f>
        <v>0</v>
      </c>
      <c r="DD222" t="s">
        <v>3</v>
      </c>
      <c r="DE222" t="s">
        <v>3</v>
      </c>
      <c r="DF222">
        <f>ROUND(ROUND(AE222*AI222,2)*CX222,2)</f>
        <v>81.28</v>
      </c>
      <c r="DG222">
        <f t="shared" si="94"/>
        <v>0</v>
      </c>
      <c r="DH222">
        <f t="shared" si="86"/>
        <v>0</v>
      </c>
      <c r="DI222">
        <f t="shared" si="87"/>
        <v>0</v>
      </c>
      <c r="DJ222">
        <f>DF222</f>
        <v>81.28</v>
      </c>
      <c r="DK222">
        <v>0</v>
      </c>
      <c r="DL222" t="s">
        <v>3</v>
      </c>
      <c r="DM222">
        <v>0</v>
      </c>
      <c r="DN222" t="s">
        <v>3</v>
      </c>
      <c r="DO222">
        <v>0</v>
      </c>
    </row>
    <row r="223" spans="1:119" x14ac:dyDescent="0.2">
      <c r="A223">
        <f>ROW(Source!A311)</f>
        <v>311</v>
      </c>
      <c r="B223">
        <v>94104265</v>
      </c>
      <c r="C223">
        <v>94191218</v>
      </c>
      <c r="D223">
        <v>90243156</v>
      </c>
      <c r="E223">
        <v>1</v>
      </c>
      <c r="F223">
        <v>1</v>
      </c>
      <c r="G223">
        <v>1</v>
      </c>
      <c r="H223">
        <v>3</v>
      </c>
      <c r="I223" t="s">
        <v>299</v>
      </c>
      <c r="J223" t="s">
        <v>301</v>
      </c>
      <c r="K223" t="s">
        <v>300</v>
      </c>
      <c r="L223">
        <v>1339</v>
      </c>
      <c r="N223">
        <v>1007</v>
      </c>
      <c r="O223" t="s">
        <v>34</v>
      </c>
      <c r="P223" t="s">
        <v>34</v>
      </c>
      <c r="Q223">
        <v>1</v>
      </c>
      <c r="W223">
        <v>0</v>
      </c>
      <c r="X223">
        <v>1778385901</v>
      </c>
      <c r="Y223">
        <f>AT223</f>
        <v>1.1160000000000001</v>
      </c>
      <c r="AA223">
        <v>32815.35</v>
      </c>
      <c r="AB223">
        <v>0</v>
      </c>
      <c r="AC223">
        <v>0</v>
      </c>
      <c r="AD223">
        <v>0</v>
      </c>
      <c r="AE223">
        <v>32815.35</v>
      </c>
      <c r="AF223">
        <v>0</v>
      </c>
      <c r="AG223">
        <v>0</v>
      </c>
      <c r="AH223">
        <v>0</v>
      </c>
      <c r="AI223">
        <v>1</v>
      </c>
      <c r="AJ223">
        <v>1</v>
      </c>
      <c r="AK223">
        <v>1</v>
      </c>
      <c r="AL223">
        <v>1</v>
      </c>
      <c r="AM223">
        <v>0</v>
      </c>
      <c r="AN223">
        <v>0</v>
      </c>
      <c r="AO223">
        <v>0</v>
      </c>
      <c r="AP223">
        <v>1</v>
      </c>
      <c r="AQ223">
        <v>0</v>
      </c>
      <c r="AR223">
        <v>0</v>
      </c>
      <c r="AS223" t="s">
        <v>3</v>
      </c>
      <c r="AT223">
        <v>1.1160000000000001</v>
      </c>
      <c r="AU223" t="s">
        <v>3</v>
      </c>
      <c r="AV223">
        <v>0</v>
      </c>
      <c r="AW223">
        <v>1</v>
      </c>
      <c r="AX223">
        <v>-1</v>
      </c>
      <c r="AY223">
        <v>0</v>
      </c>
      <c r="AZ223">
        <v>0</v>
      </c>
      <c r="BA223" t="s">
        <v>3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CV223">
        <v>0</v>
      </c>
      <c r="CW223">
        <v>0</v>
      </c>
      <c r="CX223">
        <f>ROUND(Y223*Source!I311,7)</f>
        <v>0.33479999999999999</v>
      </c>
      <c r="CY223">
        <f>AA223</f>
        <v>32815.35</v>
      </c>
      <c r="CZ223">
        <f>AE223</f>
        <v>32815.35</v>
      </c>
      <c r="DA223">
        <f>AI223</f>
        <v>1</v>
      </c>
      <c r="DB223">
        <f>ROUND(ROUND(AT223*CZ223,2),6)</f>
        <v>36621.93</v>
      </c>
      <c r="DC223">
        <f>ROUND(ROUND(AT223*AG223,2),6)</f>
        <v>0</v>
      </c>
      <c r="DD223" t="s">
        <v>3</v>
      </c>
      <c r="DE223" t="s">
        <v>3</v>
      </c>
      <c r="DF223">
        <f t="shared" ref="DF223:DF228" si="95">ROUND(ROUND(AE223,2)*CX223,2)</f>
        <v>10986.58</v>
      </c>
      <c r="DG223">
        <f t="shared" si="94"/>
        <v>0</v>
      </c>
      <c r="DH223">
        <f t="shared" si="86"/>
        <v>0</v>
      </c>
      <c r="DI223">
        <f t="shared" si="87"/>
        <v>0</v>
      </c>
      <c r="DJ223">
        <f>DF223</f>
        <v>10986.58</v>
      </c>
      <c r="DK223">
        <v>1</v>
      </c>
      <c r="DL223" t="s">
        <v>3</v>
      </c>
      <c r="DM223">
        <v>0</v>
      </c>
      <c r="DN223" t="s">
        <v>3</v>
      </c>
      <c r="DO223">
        <v>0</v>
      </c>
    </row>
    <row r="224" spans="1:119" x14ac:dyDescent="0.2">
      <c r="A224">
        <f>ROW(Source!A311)</f>
        <v>311</v>
      </c>
      <c r="B224">
        <v>94104265</v>
      </c>
      <c r="C224">
        <v>94191218</v>
      </c>
      <c r="D224">
        <v>87315443</v>
      </c>
      <c r="E224">
        <v>1</v>
      </c>
      <c r="F224">
        <v>1</v>
      </c>
      <c r="G224">
        <v>1</v>
      </c>
      <c r="H224">
        <v>3</v>
      </c>
      <c r="I224" t="s">
        <v>588</v>
      </c>
      <c r="J224" t="s">
        <v>589</v>
      </c>
      <c r="K224" t="s">
        <v>590</v>
      </c>
      <c r="L224">
        <v>1339</v>
      </c>
      <c r="N224">
        <v>1007</v>
      </c>
      <c r="O224" t="s">
        <v>34</v>
      </c>
      <c r="P224" t="s">
        <v>34</v>
      </c>
      <c r="Q224">
        <v>1</v>
      </c>
      <c r="W224">
        <v>0</v>
      </c>
      <c r="X224">
        <v>229585250</v>
      </c>
      <c r="Y224">
        <f>(AT224*ROUND(0,7))</f>
        <v>0</v>
      </c>
      <c r="AA224">
        <v>30892.33</v>
      </c>
      <c r="AB224">
        <v>0</v>
      </c>
      <c r="AC224">
        <v>0</v>
      </c>
      <c r="AD224">
        <v>0</v>
      </c>
      <c r="AE224">
        <v>30892.33</v>
      </c>
      <c r="AF224">
        <v>0</v>
      </c>
      <c r="AG224">
        <v>0</v>
      </c>
      <c r="AH224">
        <v>0</v>
      </c>
      <c r="AI224">
        <v>1</v>
      </c>
      <c r="AJ224">
        <v>1</v>
      </c>
      <c r="AK224">
        <v>1</v>
      </c>
      <c r="AL224">
        <v>1</v>
      </c>
      <c r="AM224">
        <v>-2</v>
      </c>
      <c r="AN224">
        <v>0</v>
      </c>
      <c r="AO224">
        <v>0</v>
      </c>
      <c r="AP224">
        <v>0</v>
      </c>
      <c r="AQ224">
        <v>1</v>
      </c>
      <c r="AR224">
        <v>0</v>
      </c>
      <c r="AS224" t="s">
        <v>3</v>
      </c>
      <c r="AT224">
        <v>1.24</v>
      </c>
      <c r="AU224" t="s">
        <v>591</v>
      </c>
      <c r="AV224">
        <v>0</v>
      </c>
      <c r="AW224">
        <v>2</v>
      </c>
      <c r="AX224">
        <v>94191226</v>
      </c>
      <c r="AY224">
        <v>1</v>
      </c>
      <c r="AZ224">
        <v>2048</v>
      </c>
      <c r="BA224">
        <v>223</v>
      </c>
      <c r="BB224">
        <v>1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38306.489200000004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1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CV224">
        <v>0</v>
      </c>
      <c r="CW224">
        <v>0</v>
      </c>
      <c r="CX224">
        <f>ROUND(Y224*Source!I311,7)</f>
        <v>0</v>
      </c>
      <c r="CY224">
        <f>AA224</f>
        <v>30892.33</v>
      </c>
      <c r="CZ224">
        <f>AE224</f>
        <v>30892.33</v>
      </c>
      <c r="DA224">
        <f>AI224</f>
        <v>1</v>
      </c>
      <c r="DB224">
        <f>ROUND((ROUND(AT224*CZ224,2)*ROUND(0,7)),6)</f>
        <v>0</v>
      </c>
      <c r="DC224">
        <f>ROUND((ROUND(AT224*AG224,2)*ROUND(0,7)),6)</f>
        <v>0</v>
      </c>
      <c r="DD224" t="s">
        <v>3</v>
      </c>
      <c r="DE224" t="s">
        <v>3</v>
      </c>
      <c r="DF224">
        <f t="shared" si="95"/>
        <v>0</v>
      </c>
      <c r="DG224">
        <f t="shared" si="94"/>
        <v>0</v>
      </c>
      <c r="DH224">
        <f t="shared" si="86"/>
        <v>0</v>
      </c>
      <c r="DI224">
        <f t="shared" si="87"/>
        <v>0</v>
      </c>
      <c r="DJ224">
        <f>DF224</f>
        <v>0</v>
      </c>
      <c r="DK224">
        <v>1</v>
      </c>
      <c r="DL224" t="s">
        <v>3</v>
      </c>
      <c r="DM224">
        <v>0</v>
      </c>
      <c r="DN224" t="s">
        <v>3</v>
      </c>
      <c r="DO224">
        <v>0</v>
      </c>
    </row>
    <row r="225" spans="1:119" x14ac:dyDescent="0.2">
      <c r="A225">
        <f>ROW(Source!A313)</f>
        <v>313</v>
      </c>
      <c r="B225">
        <v>94104265</v>
      </c>
      <c r="C225">
        <v>94192461</v>
      </c>
      <c r="D225">
        <v>37065248</v>
      </c>
      <c r="E225">
        <v>116</v>
      </c>
      <c r="F225">
        <v>1</v>
      </c>
      <c r="G225">
        <v>1</v>
      </c>
      <c r="H225">
        <v>1</v>
      </c>
      <c r="I225" t="s">
        <v>436</v>
      </c>
      <c r="J225" t="s">
        <v>3</v>
      </c>
      <c r="K225" t="s">
        <v>437</v>
      </c>
      <c r="L225">
        <v>1191</v>
      </c>
      <c r="N225">
        <v>1013</v>
      </c>
      <c r="O225" t="s">
        <v>428</v>
      </c>
      <c r="P225" t="s">
        <v>428</v>
      </c>
      <c r="Q225">
        <v>1</v>
      </c>
      <c r="W225">
        <v>0</v>
      </c>
      <c r="X225">
        <v>-1833565283</v>
      </c>
      <c r="Y225">
        <f>(AT225*ROUND(1.15,7))</f>
        <v>25.932499999999997</v>
      </c>
      <c r="AA225">
        <v>0</v>
      </c>
      <c r="AB225">
        <v>0</v>
      </c>
      <c r="AC225">
        <v>0</v>
      </c>
      <c r="AD225">
        <v>649.24</v>
      </c>
      <c r="AE225">
        <v>0</v>
      </c>
      <c r="AF225">
        <v>0</v>
      </c>
      <c r="AG225">
        <v>0</v>
      </c>
      <c r="AH225">
        <v>649.24</v>
      </c>
      <c r="AI225">
        <v>1</v>
      </c>
      <c r="AJ225">
        <v>1</v>
      </c>
      <c r="AK225">
        <v>1</v>
      </c>
      <c r="AL225">
        <v>1</v>
      </c>
      <c r="AM225">
        <v>-2</v>
      </c>
      <c r="AN225">
        <v>0</v>
      </c>
      <c r="AO225">
        <v>0</v>
      </c>
      <c r="AP225">
        <v>1</v>
      </c>
      <c r="AQ225">
        <v>1</v>
      </c>
      <c r="AR225">
        <v>0</v>
      </c>
      <c r="AS225" t="s">
        <v>3</v>
      </c>
      <c r="AT225">
        <v>22.55</v>
      </c>
      <c r="AU225" t="s">
        <v>243</v>
      </c>
      <c r="AV225">
        <v>1</v>
      </c>
      <c r="AW225">
        <v>2</v>
      </c>
      <c r="AX225">
        <v>94192468</v>
      </c>
      <c r="AY225">
        <v>1</v>
      </c>
      <c r="AZ225">
        <v>0</v>
      </c>
      <c r="BA225">
        <v>224</v>
      </c>
      <c r="BB225">
        <v>1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14640.362000000001</v>
      </c>
      <c r="BN225">
        <v>22.55</v>
      </c>
      <c r="BO225">
        <v>0</v>
      </c>
      <c r="BP225">
        <v>1</v>
      </c>
      <c r="BQ225">
        <v>0</v>
      </c>
      <c r="BR225">
        <v>0</v>
      </c>
      <c r="BS225">
        <v>0</v>
      </c>
      <c r="BT225">
        <v>16836.416299999997</v>
      </c>
      <c r="BU225">
        <v>25.932499999999997</v>
      </c>
      <c r="BV225">
        <v>0</v>
      </c>
      <c r="BW225">
        <v>1</v>
      </c>
      <c r="CU225">
        <f>ROUND(AT225*Source!I313*AH225*AL225,2)</f>
        <v>4392.1099999999997</v>
      </c>
      <c r="CV225">
        <f>ROUND(Y225*Source!I313,7)</f>
        <v>7.7797499999999999</v>
      </c>
      <c r="CW225">
        <v>0</v>
      </c>
      <c r="CX225">
        <f>ROUND(Y225*Source!I313,7)</f>
        <v>7.7797499999999999</v>
      </c>
      <c r="CY225">
        <f>AD225</f>
        <v>649.24</v>
      </c>
      <c r="CZ225">
        <f>AH225</f>
        <v>649.24</v>
      </c>
      <c r="DA225">
        <f>AL225</f>
        <v>1</v>
      </c>
      <c r="DB225">
        <f>ROUND((ROUND(AT225*CZ225,2)*ROUND(1.15,7)),6)</f>
        <v>16836.414000000001</v>
      </c>
      <c r="DC225">
        <f>ROUND((ROUND(AT225*AG225,2)*ROUND(1.15,7)),6)</f>
        <v>0</v>
      </c>
      <c r="DD225" t="s">
        <v>3</v>
      </c>
      <c r="DE225" t="s">
        <v>3</v>
      </c>
      <c r="DF225">
        <f t="shared" si="95"/>
        <v>0</v>
      </c>
      <c r="DG225">
        <f t="shared" si="94"/>
        <v>0</v>
      </c>
      <c r="DH225">
        <f t="shared" si="86"/>
        <v>0</v>
      </c>
      <c r="DI225">
        <f t="shared" si="87"/>
        <v>5050.92</v>
      </c>
      <c r="DJ225">
        <f>DI225</f>
        <v>5050.92</v>
      </c>
      <c r="DK225">
        <v>1</v>
      </c>
      <c r="DL225" t="s">
        <v>3</v>
      </c>
      <c r="DM225">
        <v>0</v>
      </c>
      <c r="DN225" t="s">
        <v>3</v>
      </c>
      <c r="DO225">
        <v>0</v>
      </c>
    </row>
    <row r="226" spans="1:119" x14ac:dyDescent="0.2">
      <c r="A226">
        <f>ROW(Source!A313)</f>
        <v>313</v>
      </c>
      <c r="B226">
        <v>94104265</v>
      </c>
      <c r="C226">
        <v>94192461</v>
      </c>
      <c r="D226">
        <v>37064876</v>
      </c>
      <c r="E226">
        <v>116</v>
      </c>
      <c r="F226">
        <v>1</v>
      </c>
      <c r="G226">
        <v>1</v>
      </c>
      <c r="H226">
        <v>1</v>
      </c>
      <c r="I226" t="s">
        <v>429</v>
      </c>
      <c r="J226" t="s">
        <v>3</v>
      </c>
      <c r="K226" t="s">
        <v>430</v>
      </c>
      <c r="L226">
        <v>1191</v>
      </c>
      <c r="N226">
        <v>1013</v>
      </c>
      <c r="O226" t="s">
        <v>428</v>
      </c>
      <c r="P226" t="s">
        <v>428</v>
      </c>
      <c r="Q226">
        <v>1</v>
      </c>
      <c r="W226">
        <v>0</v>
      </c>
      <c r="X226">
        <v>-1417349443</v>
      </c>
      <c r="Y226">
        <f>(AT226*ROUND(1.25,7))</f>
        <v>0.125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1</v>
      </c>
      <c r="AJ226">
        <v>1</v>
      </c>
      <c r="AK226">
        <v>1</v>
      </c>
      <c r="AL226">
        <v>1</v>
      </c>
      <c r="AM226">
        <v>-2</v>
      </c>
      <c r="AN226">
        <v>0</v>
      </c>
      <c r="AO226">
        <v>0</v>
      </c>
      <c r="AP226">
        <v>1</v>
      </c>
      <c r="AQ226">
        <v>1</v>
      </c>
      <c r="AR226">
        <v>0</v>
      </c>
      <c r="AS226" t="s">
        <v>3</v>
      </c>
      <c r="AT226">
        <v>0.1</v>
      </c>
      <c r="AU226" t="s">
        <v>242</v>
      </c>
      <c r="AV226">
        <v>2</v>
      </c>
      <c r="AW226">
        <v>2</v>
      </c>
      <c r="AX226">
        <v>94192469</v>
      </c>
      <c r="AY226">
        <v>1</v>
      </c>
      <c r="AZ226">
        <v>0</v>
      </c>
      <c r="BA226">
        <v>225</v>
      </c>
      <c r="BB226">
        <v>1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CV226">
        <v>0</v>
      </c>
      <c r="CW226">
        <v>0</v>
      </c>
      <c r="CX226">
        <f>ROUND(Y226*Source!I313,7)</f>
        <v>3.7499999999999999E-2</v>
      </c>
      <c r="CY226">
        <f>AD226</f>
        <v>0</v>
      </c>
      <c r="CZ226">
        <f>AH226</f>
        <v>0</v>
      </c>
      <c r="DA226">
        <f>AL226</f>
        <v>1</v>
      </c>
      <c r="DB226">
        <f>ROUND((ROUND(AT226*CZ226,2)*ROUND(1.25,7)),6)</f>
        <v>0</v>
      </c>
      <c r="DC226">
        <f>ROUND((ROUND(AT226*AG226,2)*ROUND(1.25,7)),6)</f>
        <v>0</v>
      </c>
      <c r="DD226" t="s">
        <v>3</v>
      </c>
      <c r="DE226" t="s">
        <v>3</v>
      </c>
      <c r="DF226">
        <f t="shared" si="95"/>
        <v>0</v>
      </c>
      <c r="DG226">
        <f t="shared" si="94"/>
        <v>0</v>
      </c>
      <c r="DH226">
        <f t="shared" si="86"/>
        <v>0</v>
      </c>
      <c r="DI226">
        <f t="shared" si="87"/>
        <v>0</v>
      </c>
      <c r="DJ226">
        <f>DI226</f>
        <v>0</v>
      </c>
      <c r="DK226">
        <v>0</v>
      </c>
      <c r="DL226" t="s">
        <v>3</v>
      </c>
      <c r="DM226">
        <v>0</v>
      </c>
      <c r="DN226" t="s">
        <v>3</v>
      </c>
      <c r="DO226">
        <v>0</v>
      </c>
    </row>
    <row r="227" spans="1:119" x14ac:dyDescent="0.2">
      <c r="A227">
        <f>ROW(Source!A313)</f>
        <v>313</v>
      </c>
      <c r="B227">
        <v>94104265</v>
      </c>
      <c r="C227">
        <v>94192461</v>
      </c>
      <c r="D227">
        <v>84464742</v>
      </c>
      <c r="E227">
        <v>1</v>
      </c>
      <c r="F227">
        <v>1</v>
      </c>
      <c r="G227">
        <v>1</v>
      </c>
      <c r="H227">
        <v>2</v>
      </c>
      <c r="I227" t="s">
        <v>463</v>
      </c>
      <c r="J227" t="s">
        <v>464</v>
      </c>
      <c r="K227" t="s">
        <v>465</v>
      </c>
      <c r="L227">
        <v>1368</v>
      </c>
      <c r="N227">
        <v>1011</v>
      </c>
      <c r="O227" t="s">
        <v>434</v>
      </c>
      <c r="P227" t="s">
        <v>434</v>
      </c>
      <c r="Q227">
        <v>1</v>
      </c>
      <c r="W227">
        <v>0</v>
      </c>
      <c r="X227">
        <v>-950105757</v>
      </c>
      <c r="Y227">
        <f>(AT227*ROUND(1.25,7))</f>
        <v>0.125</v>
      </c>
      <c r="AA227">
        <v>0</v>
      </c>
      <c r="AB227">
        <v>544.91999999999996</v>
      </c>
      <c r="AC227">
        <v>731.08</v>
      </c>
      <c r="AD227">
        <v>0</v>
      </c>
      <c r="AE227">
        <v>0</v>
      </c>
      <c r="AF227">
        <v>544.91999999999996</v>
      </c>
      <c r="AG227">
        <v>731.08</v>
      </c>
      <c r="AH227">
        <v>0</v>
      </c>
      <c r="AI227">
        <v>1</v>
      </c>
      <c r="AJ227">
        <v>1</v>
      </c>
      <c r="AK227">
        <v>1</v>
      </c>
      <c r="AL227">
        <v>1</v>
      </c>
      <c r="AM227">
        <v>-2</v>
      </c>
      <c r="AN227">
        <v>0</v>
      </c>
      <c r="AO227">
        <v>0</v>
      </c>
      <c r="AP227">
        <v>1</v>
      </c>
      <c r="AQ227">
        <v>1</v>
      </c>
      <c r="AR227">
        <v>0</v>
      </c>
      <c r="AS227" t="s">
        <v>3</v>
      </c>
      <c r="AT227">
        <v>0.1</v>
      </c>
      <c r="AU227" t="s">
        <v>242</v>
      </c>
      <c r="AV227">
        <v>1</v>
      </c>
      <c r="AW227">
        <v>2</v>
      </c>
      <c r="AX227">
        <v>94192470</v>
      </c>
      <c r="AY227">
        <v>1</v>
      </c>
      <c r="AZ227">
        <v>0</v>
      </c>
      <c r="BA227">
        <v>226</v>
      </c>
      <c r="BB227">
        <v>1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54.491999999999997</v>
      </c>
      <c r="BL227">
        <v>73.108000000000004</v>
      </c>
      <c r="BM227">
        <v>0</v>
      </c>
      <c r="BN227">
        <v>0</v>
      </c>
      <c r="BO227">
        <v>0.1</v>
      </c>
      <c r="BP227">
        <v>1</v>
      </c>
      <c r="BQ227">
        <v>0</v>
      </c>
      <c r="BR227">
        <v>68.114999999999995</v>
      </c>
      <c r="BS227">
        <v>91.385000000000005</v>
      </c>
      <c r="BT227">
        <v>0</v>
      </c>
      <c r="BU227">
        <v>0</v>
      </c>
      <c r="BV227">
        <v>0.125</v>
      </c>
      <c r="BW227">
        <v>1</v>
      </c>
      <c r="CV227">
        <v>0</v>
      </c>
      <c r="CW227">
        <f>ROUND(Y227*Source!I313*DO227,7)</f>
        <v>3.7499999999999999E-2</v>
      </c>
      <c r="CX227">
        <f>ROUND(Y227*Source!I313,7)</f>
        <v>3.7499999999999999E-2</v>
      </c>
      <c r="CY227">
        <f>AB227</f>
        <v>544.91999999999996</v>
      </c>
      <c r="CZ227">
        <f>AF227</f>
        <v>544.91999999999996</v>
      </c>
      <c r="DA227">
        <f>AJ227</f>
        <v>1</v>
      </c>
      <c r="DB227">
        <f>ROUND((ROUND(AT227*CZ227,2)*ROUND(1.25,7)),6)</f>
        <v>68.112499999999997</v>
      </c>
      <c r="DC227">
        <f>ROUND((ROUND(AT227*AG227,2)*ROUND(1.25,7)),6)</f>
        <v>91.387500000000003</v>
      </c>
      <c r="DD227" t="s">
        <v>3</v>
      </c>
      <c r="DE227" t="s">
        <v>3</v>
      </c>
      <c r="DF227">
        <f t="shared" si="95"/>
        <v>0</v>
      </c>
      <c r="DG227">
        <f t="shared" si="94"/>
        <v>20.43</v>
      </c>
      <c r="DH227">
        <f t="shared" si="86"/>
        <v>27.42</v>
      </c>
      <c r="DI227">
        <f t="shared" si="87"/>
        <v>0</v>
      </c>
      <c r="DJ227">
        <f>DG227+DH227</f>
        <v>47.85</v>
      </c>
      <c r="DK227">
        <v>1</v>
      </c>
      <c r="DL227" t="s">
        <v>466</v>
      </c>
      <c r="DM227">
        <v>4</v>
      </c>
      <c r="DN227" t="s">
        <v>428</v>
      </c>
      <c r="DO227">
        <v>1</v>
      </c>
    </row>
    <row r="228" spans="1:119" x14ac:dyDescent="0.2">
      <c r="A228">
        <f>ROW(Source!A313)</f>
        <v>313</v>
      </c>
      <c r="B228">
        <v>94104265</v>
      </c>
      <c r="C228">
        <v>94192461</v>
      </c>
      <c r="D228">
        <v>84414641</v>
      </c>
      <c r="E228">
        <v>1</v>
      </c>
      <c r="F228">
        <v>1</v>
      </c>
      <c r="G228">
        <v>1</v>
      </c>
      <c r="H228">
        <v>3</v>
      </c>
      <c r="I228" t="s">
        <v>530</v>
      </c>
      <c r="J228" t="s">
        <v>531</v>
      </c>
      <c r="K228" t="s">
        <v>532</v>
      </c>
      <c r="L228">
        <v>1383</v>
      </c>
      <c r="N228">
        <v>1013</v>
      </c>
      <c r="O228" t="s">
        <v>533</v>
      </c>
      <c r="P228" t="s">
        <v>533</v>
      </c>
      <c r="Q228">
        <v>1</v>
      </c>
      <c r="W228">
        <v>0</v>
      </c>
      <c r="X228">
        <v>-1504342657</v>
      </c>
      <c r="Y228">
        <f>AT228</f>
        <v>0.58099999999999996</v>
      </c>
      <c r="AA228">
        <v>6.92</v>
      </c>
      <c r="AB228">
        <v>0</v>
      </c>
      <c r="AC228">
        <v>0</v>
      </c>
      <c r="AD228">
        <v>0</v>
      </c>
      <c r="AE228">
        <v>6.92</v>
      </c>
      <c r="AF228">
        <v>0</v>
      </c>
      <c r="AG228">
        <v>0</v>
      </c>
      <c r="AH228">
        <v>0</v>
      </c>
      <c r="AI228">
        <v>1</v>
      </c>
      <c r="AJ228">
        <v>1</v>
      </c>
      <c r="AK228">
        <v>1</v>
      </c>
      <c r="AL228">
        <v>1</v>
      </c>
      <c r="AM228">
        <v>-2</v>
      </c>
      <c r="AN228">
        <v>0</v>
      </c>
      <c r="AO228">
        <v>0</v>
      </c>
      <c r="AP228">
        <v>1</v>
      </c>
      <c r="AQ228">
        <v>1</v>
      </c>
      <c r="AR228">
        <v>0</v>
      </c>
      <c r="AS228" t="s">
        <v>3</v>
      </c>
      <c r="AT228">
        <v>0.58099999999999996</v>
      </c>
      <c r="AU228" t="s">
        <v>3</v>
      </c>
      <c r="AV228">
        <v>0</v>
      </c>
      <c r="AW228">
        <v>2</v>
      </c>
      <c r="AX228">
        <v>94192471</v>
      </c>
      <c r="AY228">
        <v>1</v>
      </c>
      <c r="AZ228">
        <v>0</v>
      </c>
      <c r="BA228">
        <v>227</v>
      </c>
      <c r="BB228">
        <v>1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4.0205199999999994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1</v>
      </c>
      <c r="BQ228">
        <v>4.0205199999999994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1</v>
      </c>
      <c r="CV228">
        <v>0</v>
      </c>
      <c r="CW228">
        <v>0</v>
      </c>
      <c r="CX228">
        <f>ROUND(Y228*Source!I313,7)</f>
        <v>0.17430000000000001</v>
      </c>
      <c r="CY228">
        <f>AA228</f>
        <v>6.92</v>
      </c>
      <c r="CZ228">
        <f>AE228</f>
        <v>6.92</v>
      </c>
      <c r="DA228">
        <f>AI228</f>
        <v>1</v>
      </c>
      <c r="DB228">
        <f>ROUND(ROUND(AT228*CZ228,2),6)</f>
        <v>4.0199999999999996</v>
      </c>
      <c r="DC228">
        <f>ROUND(ROUND(AT228*AG228,2),6)</f>
        <v>0</v>
      </c>
      <c r="DD228" t="s">
        <v>3</v>
      </c>
      <c r="DE228" t="s">
        <v>3</v>
      </c>
      <c r="DF228">
        <f t="shared" si="95"/>
        <v>1.21</v>
      </c>
      <c r="DG228">
        <f t="shared" si="94"/>
        <v>0</v>
      </c>
      <c r="DH228">
        <f t="shared" si="86"/>
        <v>0</v>
      </c>
      <c r="DI228">
        <f t="shared" si="87"/>
        <v>0</v>
      </c>
      <c r="DJ228">
        <f>DF228</f>
        <v>1.21</v>
      </c>
      <c r="DK228">
        <v>1</v>
      </c>
      <c r="DL228" t="s">
        <v>3</v>
      </c>
      <c r="DM228">
        <v>0</v>
      </c>
      <c r="DN228" t="s">
        <v>3</v>
      </c>
      <c r="DO228">
        <v>0</v>
      </c>
    </row>
    <row r="229" spans="1:119" x14ac:dyDescent="0.2">
      <c r="A229">
        <f>ROW(Source!A313)</f>
        <v>313</v>
      </c>
      <c r="B229">
        <v>94104265</v>
      </c>
      <c r="C229">
        <v>94192461</v>
      </c>
      <c r="D229">
        <v>84426339</v>
      </c>
      <c r="E229">
        <v>1</v>
      </c>
      <c r="F229">
        <v>1</v>
      </c>
      <c r="G229">
        <v>1</v>
      </c>
      <c r="H229">
        <v>3</v>
      </c>
      <c r="I229" t="s">
        <v>592</v>
      </c>
      <c r="J229" t="s">
        <v>593</v>
      </c>
      <c r="K229" t="s">
        <v>594</v>
      </c>
      <c r="L229">
        <v>1330</v>
      </c>
      <c r="N229">
        <v>1005</v>
      </c>
      <c r="O229" t="s">
        <v>595</v>
      </c>
      <c r="P229" t="s">
        <v>595</v>
      </c>
      <c r="Q229">
        <v>10</v>
      </c>
      <c r="W229">
        <v>0</v>
      </c>
      <c r="X229">
        <v>-685612171</v>
      </c>
      <c r="Y229">
        <f>AT229</f>
        <v>10.5</v>
      </c>
      <c r="AA229">
        <v>157.12</v>
      </c>
      <c r="AB229">
        <v>0</v>
      </c>
      <c r="AC229">
        <v>0</v>
      </c>
      <c r="AD229">
        <v>0</v>
      </c>
      <c r="AE229">
        <v>108.36</v>
      </c>
      <c r="AF229">
        <v>0</v>
      </c>
      <c r="AG229">
        <v>0</v>
      </c>
      <c r="AH229">
        <v>0</v>
      </c>
      <c r="AI229">
        <v>1.45</v>
      </c>
      <c r="AJ229">
        <v>1</v>
      </c>
      <c r="AK229">
        <v>1</v>
      </c>
      <c r="AL229">
        <v>1</v>
      </c>
      <c r="AM229">
        <v>2</v>
      </c>
      <c r="AN229">
        <v>0</v>
      </c>
      <c r="AO229">
        <v>0</v>
      </c>
      <c r="AP229">
        <v>1</v>
      </c>
      <c r="AQ229">
        <v>1</v>
      </c>
      <c r="AR229">
        <v>0</v>
      </c>
      <c r="AS229" t="s">
        <v>3</v>
      </c>
      <c r="AT229">
        <v>10.5</v>
      </c>
      <c r="AU229" t="s">
        <v>3</v>
      </c>
      <c r="AV229">
        <v>0</v>
      </c>
      <c r="AW229">
        <v>2</v>
      </c>
      <c r="AX229">
        <v>94192473</v>
      </c>
      <c r="AY229">
        <v>1</v>
      </c>
      <c r="AZ229">
        <v>0</v>
      </c>
      <c r="BA229">
        <v>229</v>
      </c>
      <c r="BB229">
        <v>1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1137.78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1</v>
      </c>
      <c r="BQ229">
        <v>1137.78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1</v>
      </c>
      <c r="CV229">
        <v>0</v>
      </c>
      <c r="CW229">
        <v>0</v>
      </c>
      <c r="CX229">
        <f>ROUND(Y229*Source!I313,7)</f>
        <v>3.15</v>
      </c>
      <c r="CY229">
        <f>AA229</f>
        <v>157.12</v>
      </c>
      <c r="CZ229">
        <f>AE229</f>
        <v>108.36</v>
      </c>
      <c r="DA229">
        <f>AI229</f>
        <v>1.45</v>
      </c>
      <c r="DB229">
        <f>ROUND(ROUND(AT229*CZ229,2),6)</f>
        <v>1137.78</v>
      </c>
      <c r="DC229">
        <f>ROUND(ROUND(AT229*AG229,2),6)</f>
        <v>0</v>
      </c>
      <c r="DD229" t="s">
        <v>3</v>
      </c>
      <c r="DE229" t="s">
        <v>3</v>
      </c>
      <c r="DF229">
        <f>ROUND(ROUND(AE229*AI229,2)*CX229,2)</f>
        <v>494.93</v>
      </c>
      <c r="DG229">
        <f t="shared" si="94"/>
        <v>0</v>
      </c>
      <c r="DH229">
        <f t="shared" si="86"/>
        <v>0</v>
      </c>
      <c r="DI229">
        <f t="shared" si="87"/>
        <v>0</v>
      </c>
      <c r="DJ229">
        <f>DF229</f>
        <v>494.93</v>
      </c>
      <c r="DK229">
        <v>0</v>
      </c>
      <c r="DL229" t="s">
        <v>3</v>
      </c>
      <c r="DM229">
        <v>0</v>
      </c>
      <c r="DN229" t="s">
        <v>3</v>
      </c>
      <c r="DO229">
        <v>0</v>
      </c>
    </row>
    <row r="230" spans="1:119" x14ac:dyDescent="0.2">
      <c r="A230">
        <f>ROW(Source!A313)</f>
        <v>313</v>
      </c>
      <c r="B230">
        <v>94104265</v>
      </c>
      <c r="C230">
        <v>94192461</v>
      </c>
      <c r="D230">
        <v>0</v>
      </c>
      <c r="E230">
        <v>0</v>
      </c>
      <c r="F230">
        <v>1</v>
      </c>
      <c r="G230">
        <v>1</v>
      </c>
      <c r="H230">
        <v>3</v>
      </c>
      <c r="I230" t="s">
        <v>307</v>
      </c>
      <c r="J230" t="s">
        <v>307</v>
      </c>
      <c r="K230" t="s">
        <v>308</v>
      </c>
      <c r="L230">
        <v>1327</v>
      </c>
      <c r="N230">
        <v>1005</v>
      </c>
      <c r="O230" t="s">
        <v>60</v>
      </c>
      <c r="P230" t="s">
        <v>60</v>
      </c>
      <c r="Q230">
        <v>1</v>
      </c>
      <c r="W230">
        <v>0</v>
      </c>
      <c r="X230">
        <v>2028736237</v>
      </c>
      <c r="Y230">
        <f>AT230</f>
        <v>102.5</v>
      </c>
      <c r="AA230">
        <v>2195.08</v>
      </c>
      <c r="AB230">
        <v>0</v>
      </c>
      <c r="AC230">
        <v>0</v>
      </c>
      <c r="AD230">
        <v>0</v>
      </c>
      <c r="AE230">
        <v>2195.08</v>
      </c>
      <c r="AF230">
        <v>0</v>
      </c>
      <c r="AG230">
        <v>0</v>
      </c>
      <c r="AH230">
        <v>0</v>
      </c>
      <c r="AI230">
        <v>1</v>
      </c>
      <c r="AJ230">
        <v>1</v>
      </c>
      <c r="AK230">
        <v>1</v>
      </c>
      <c r="AL230">
        <v>1</v>
      </c>
      <c r="AM230">
        <v>0</v>
      </c>
      <c r="AN230">
        <v>0</v>
      </c>
      <c r="AO230">
        <v>0</v>
      </c>
      <c r="AP230">
        <v>1</v>
      </c>
      <c r="AQ230">
        <v>0</v>
      </c>
      <c r="AR230">
        <v>0</v>
      </c>
      <c r="AS230" t="s">
        <v>3</v>
      </c>
      <c r="AT230">
        <v>102.5</v>
      </c>
      <c r="AU230" t="s">
        <v>3</v>
      </c>
      <c r="AV230">
        <v>0</v>
      </c>
      <c r="AW230">
        <v>1</v>
      </c>
      <c r="AX230">
        <v>-1</v>
      </c>
      <c r="AY230">
        <v>0</v>
      </c>
      <c r="AZ230">
        <v>0</v>
      </c>
      <c r="BA230" t="s">
        <v>3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CV230">
        <v>0</v>
      </c>
      <c r="CW230">
        <v>0</v>
      </c>
      <c r="CX230">
        <f>ROUND(Y230*Source!I313,7)</f>
        <v>30.75</v>
      </c>
      <c r="CY230">
        <f>AA230</f>
        <v>2195.08</v>
      </c>
      <c r="CZ230">
        <f>AE230</f>
        <v>2195.08</v>
      </c>
      <c r="DA230">
        <f>AI230</f>
        <v>1</v>
      </c>
      <c r="DB230">
        <f>ROUND(ROUND(AT230*CZ230,2),6)</f>
        <v>224995.7</v>
      </c>
      <c r="DC230">
        <f>ROUND(ROUND(AT230*AG230,2),6)</f>
        <v>0</v>
      </c>
      <c r="DD230" t="s">
        <v>3</v>
      </c>
      <c r="DE230" t="s">
        <v>3</v>
      </c>
      <c r="DF230">
        <f>ROUND(ROUND(AE230,2)*CX230,2)</f>
        <v>67498.710000000006</v>
      </c>
      <c r="DG230">
        <f t="shared" si="94"/>
        <v>0</v>
      </c>
      <c r="DH230">
        <f t="shared" si="86"/>
        <v>0</v>
      </c>
      <c r="DI230">
        <f t="shared" si="87"/>
        <v>0</v>
      </c>
      <c r="DJ230">
        <f>DF230</f>
        <v>67498.710000000006</v>
      </c>
      <c r="DK230">
        <v>0</v>
      </c>
      <c r="DL230" t="s">
        <v>3</v>
      </c>
      <c r="DM230">
        <v>0</v>
      </c>
      <c r="DN230" t="s">
        <v>3</v>
      </c>
      <c r="DO230">
        <v>0</v>
      </c>
    </row>
    <row r="231" spans="1:119" x14ac:dyDescent="0.2">
      <c r="A231">
        <f>ROW(Source!A315)</f>
        <v>315</v>
      </c>
      <c r="B231">
        <v>94104265</v>
      </c>
      <c r="C231">
        <v>94192475</v>
      </c>
      <c r="D231">
        <v>90155086</v>
      </c>
      <c r="E231">
        <v>118</v>
      </c>
      <c r="F231">
        <v>1</v>
      </c>
      <c r="G231">
        <v>1</v>
      </c>
      <c r="H231">
        <v>1</v>
      </c>
      <c r="I231" t="s">
        <v>596</v>
      </c>
      <c r="J231" t="s">
        <v>3</v>
      </c>
      <c r="K231" t="s">
        <v>597</v>
      </c>
      <c r="L231">
        <v>1191</v>
      </c>
      <c r="N231">
        <v>1013</v>
      </c>
      <c r="O231" t="s">
        <v>428</v>
      </c>
      <c r="P231" t="s">
        <v>428</v>
      </c>
      <c r="Q231">
        <v>1</v>
      </c>
      <c r="W231">
        <v>0</v>
      </c>
      <c r="X231">
        <v>174150515</v>
      </c>
      <c r="Y231">
        <f>(AT231*ROUND(1.15,7))</f>
        <v>10.361499999999999</v>
      </c>
      <c r="AA231">
        <v>0</v>
      </c>
      <c r="AB231">
        <v>0</v>
      </c>
      <c r="AC231">
        <v>0</v>
      </c>
      <c r="AD231">
        <v>741.99</v>
      </c>
      <c r="AE231">
        <v>0</v>
      </c>
      <c r="AF231">
        <v>0</v>
      </c>
      <c r="AG231">
        <v>0</v>
      </c>
      <c r="AH231">
        <v>741.99</v>
      </c>
      <c r="AI231">
        <v>1</v>
      </c>
      <c r="AJ231">
        <v>1</v>
      </c>
      <c r="AK231">
        <v>1</v>
      </c>
      <c r="AL231">
        <v>1</v>
      </c>
      <c r="AM231">
        <v>-2</v>
      </c>
      <c r="AN231">
        <v>0</v>
      </c>
      <c r="AO231">
        <v>0</v>
      </c>
      <c r="AP231">
        <v>1</v>
      </c>
      <c r="AQ231">
        <v>1</v>
      </c>
      <c r="AR231">
        <v>0</v>
      </c>
      <c r="AS231" t="s">
        <v>3</v>
      </c>
      <c r="AT231">
        <v>9.01</v>
      </c>
      <c r="AU231" t="s">
        <v>243</v>
      </c>
      <c r="AV231">
        <v>1</v>
      </c>
      <c r="AW231">
        <v>2</v>
      </c>
      <c r="AX231">
        <v>94192641</v>
      </c>
      <c r="AY231">
        <v>1</v>
      </c>
      <c r="AZ231">
        <v>0</v>
      </c>
      <c r="BA231">
        <v>230</v>
      </c>
      <c r="BB231">
        <v>1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6685.3298999999997</v>
      </c>
      <c r="BN231">
        <v>9.01</v>
      </c>
      <c r="BO231">
        <v>0</v>
      </c>
      <c r="BP231">
        <v>1</v>
      </c>
      <c r="BQ231">
        <v>0</v>
      </c>
      <c r="BR231">
        <v>0</v>
      </c>
      <c r="BS231">
        <v>0</v>
      </c>
      <c r="BT231">
        <v>7688.1293849999993</v>
      </c>
      <c r="BU231">
        <v>10.361499999999999</v>
      </c>
      <c r="BV231">
        <v>0</v>
      </c>
      <c r="BW231">
        <v>1</v>
      </c>
      <c r="CU231">
        <f>ROUND(AT231*Source!I315*AH231*AL231,2)</f>
        <v>1403.92</v>
      </c>
      <c r="CV231">
        <f>ROUND(Y231*Source!I315,7)</f>
        <v>2.1759149999999998</v>
      </c>
      <c r="CW231">
        <v>0</v>
      </c>
      <c r="CX231">
        <f>ROUND(Y231*Source!I315,7)</f>
        <v>2.1759149999999998</v>
      </c>
      <c r="CY231">
        <f>AD231</f>
        <v>741.99</v>
      </c>
      <c r="CZ231">
        <f>AH231</f>
        <v>741.99</v>
      </c>
      <c r="DA231">
        <f>AL231</f>
        <v>1</v>
      </c>
      <c r="DB231">
        <f>ROUND((ROUND(AT231*CZ231,2)*ROUND(1.15,7)),6)</f>
        <v>7688.1295</v>
      </c>
      <c r="DC231">
        <f>ROUND((ROUND(AT231*AG231,2)*ROUND(1.15,7)),6)</f>
        <v>0</v>
      </c>
      <c r="DD231" t="s">
        <v>3</v>
      </c>
      <c r="DE231" t="s">
        <v>3</v>
      </c>
      <c r="DF231">
        <f>ROUND(ROUND(AE231,2)*CX231,2)</f>
        <v>0</v>
      </c>
      <c r="DG231">
        <f t="shared" si="94"/>
        <v>0</v>
      </c>
      <c r="DH231">
        <f t="shared" si="86"/>
        <v>0</v>
      </c>
      <c r="DI231">
        <f t="shared" si="87"/>
        <v>1614.51</v>
      </c>
      <c r="DJ231">
        <f>DI231</f>
        <v>1614.51</v>
      </c>
      <c r="DK231">
        <v>1</v>
      </c>
      <c r="DL231" t="s">
        <v>3</v>
      </c>
      <c r="DM231">
        <v>0</v>
      </c>
      <c r="DN231" t="s">
        <v>3</v>
      </c>
      <c r="DO231">
        <v>0</v>
      </c>
    </row>
    <row r="232" spans="1:119" x14ac:dyDescent="0.2">
      <c r="A232">
        <f>ROW(Source!A315)</f>
        <v>315</v>
      </c>
      <c r="B232">
        <v>94104265</v>
      </c>
      <c r="C232">
        <v>94192475</v>
      </c>
      <c r="D232">
        <v>90155259</v>
      </c>
      <c r="E232">
        <v>118</v>
      </c>
      <c r="F232">
        <v>1</v>
      </c>
      <c r="G232">
        <v>1</v>
      </c>
      <c r="H232">
        <v>1</v>
      </c>
      <c r="I232" t="s">
        <v>429</v>
      </c>
      <c r="J232" t="s">
        <v>3</v>
      </c>
      <c r="K232" t="s">
        <v>430</v>
      </c>
      <c r="L232">
        <v>1191</v>
      </c>
      <c r="N232">
        <v>1013</v>
      </c>
      <c r="O232" t="s">
        <v>428</v>
      </c>
      <c r="P232" t="s">
        <v>428</v>
      </c>
      <c r="Q232">
        <v>1</v>
      </c>
      <c r="W232">
        <v>0</v>
      </c>
      <c r="X232">
        <v>-1417349443</v>
      </c>
      <c r="Y232">
        <f>(AT232*ROUND(1.25,7))</f>
        <v>0.05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1</v>
      </c>
      <c r="AJ232">
        <v>1</v>
      </c>
      <c r="AK232">
        <v>1</v>
      </c>
      <c r="AL232">
        <v>1</v>
      </c>
      <c r="AM232">
        <v>-2</v>
      </c>
      <c r="AN232">
        <v>0</v>
      </c>
      <c r="AO232">
        <v>0</v>
      </c>
      <c r="AP232">
        <v>1</v>
      </c>
      <c r="AQ232">
        <v>1</v>
      </c>
      <c r="AR232">
        <v>0</v>
      </c>
      <c r="AS232" t="s">
        <v>3</v>
      </c>
      <c r="AT232">
        <v>0.04</v>
      </c>
      <c r="AU232" t="s">
        <v>242</v>
      </c>
      <c r="AV232">
        <v>2</v>
      </c>
      <c r="AW232">
        <v>2</v>
      </c>
      <c r="AX232">
        <v>94192642</v>
      </c>
      <c r="AY232">
        <v>1</v>
      </c>
      <c r="AZ232">
        <v>0</v>
      </c>
      <c r="BA232">
        <v>231</v>
      </c>
      <c r="BB232">
        <v>1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CV232">
        <v>0</v>
      </c>
      <c r="CW232">
        <v>0</v>
      </c>
      <c r="CX232">
        <f>ROUND(Y232*Source!I315,7)</f>
        <v>1.0500000000000001E-2</v>
      </c>
      <c r="CY232">
        <f>AD232</f>
        <v>0</v>
      </c>
      <c r="CZ232">
        <f>AH232</f>
        <v>0</v>
      </c>
      <c r="DA232">
        <f>AL232</f>
        <v>1</v>
      </c>
      <c r="DB232">
        <f>ROUND((ROUND(AT232*CZ232,2)*ROUND(1.25,7)),6)</f>
        <v>0</v>
      </c>
      <c r="DC232">
        <f>ROUND((ROUND(AT232*AG232,2)*ROUND(1.25,7)),6)</f>
        <v>0</v>
      </c>
      <c r="DD232" t="s">
        <v>3</v>
      </c>
      <c r="DE232" t="s">
        <v>3</v>
      </c>
      <c r="DF232">
        <f>ROUND(ROUND(AE232,2)*CX232,2)</f>
        <v>0</v>
      </c>
      <c r="DG232">
        <f t="shared" si="94"/>
        <v>0</v>
      </c>
      <c r="DH232">
        <f t="shared" si="86"/>
        <v>0</v>
      </c>
      <c r="DI232">
        <f t="shared" si="87"/>
        <v>0</v>
      </c>
      <c r="DJ232">
        <f>DI232</f>
        <v>0</v>
      </c>
      <c r="DK232">
        <v>0</v>
      </c>
      <c r="DL232" t="s">
        <v>3</v>
      </c>
      <c r="DM232">
        <v>0</v>
      </c>
      <c r="DN232" t="s">
        <v>3</v>
      </c>
      <c r="DO232">
        <v>0</v>
      </c>
    </row>
    <row r="233" spans="1:119" x14ac:dyDescent="0.2">
      <c r="A233">
        <f>ROW(Source!A315)</f>
        <v>315</v>
      </c>
      <c r="B233">
        <v>94104265</v>
      </c>
      <c r="C233">
        <v>94192475</v>
      </c>
      <c r="D233">
        <v>90281903</v>
      </c>
      <c r="E233">
        <v>1</v>
      </c>
      <c r="F233">
        <v>1</v>
      </c>
      <c r="G233">
        <v>1</v>
      </c>
      <c r="H233">
        <v>2</v>
      </c>
      <c r="I233" t="s">
        <v>431</v>
      </c>
      <c r="J233" t="s">
        <v>432</v>
      </c>
      <c r="K233" t="s">
        <v>433</v>
      </c>
      <c r="L233">
        <v>1368</v>
      </c>
      <c r="N233">
        <v>1011</v>
      </c>
      <c r="O233" t="s">
        <v>434</v>
      </c>
      <c r="P233" t="s">
        <v>434</v>
      </c>
      <c r="Q233">
        <v>1</v>
      </c>
      <c r="W233">
        <v>0</v>
      </c>
      <c r="X233">
        <v>-566469117</v>
      </c>
      <c r="Y233">
        <f>(AT233*ROUND(1.25,7))</f>
        <v>6.2500000000000003E-3</v>
      </c>
      <c r="AA233">
        <v>0</v>
      </c>
      <c r="AB233">
        <v>58.59</v>
      </c>
      <c r="AC233">
        <v>649.24</v>
      </c>
      <c r="AD233">
        <v>0</v>
      </c>
      <c r="AE233">
        <v>0</v>
      </c>
      <c r="AF233">
        <v>37.32</v>
      </c>
      <c r="AG233">
        <v>649.24</v>
      </c>
      <c r="AH233">
        <v>0</v>
      </c>
      <c r="AI233">
        <v>1</v>
      </c>
      <c r="AJ233">
        <v>1.57</v>
      </c>
      <c r="AK233">
        <v>1</v>
      </c>
      <c r="AL233">
        <v>1</v>
      </c>
      <c r="AM233">
        <v>2</v>
      </c>
      <c r="AN233">
        <v>0</v>
      </c>
      <c r="AO233">
        <v>0</v>
      </c>
      <c r="AP233">
        <v>1</v>
      </c>
      <c r="AQ233">
        <v>1</v>
      </c>
      <c r="AR233">
        <v>0</v>
      </c>
      <c r="AS233" t="s">
        <v>3</v>
      </c>
      <c r="AT233">
        <v>5.0000000000000001E-3</v>
      </c>
      <c r="AU233" t="s">
        <v>242</v>
      </c>
      <c r="AV233">
        <v>1</v>
      </c>
      <c r="AW233">
        <v>2</v>
      </c>
      <c r="AX233">
        <v>94192643</v>
      </c>
      <c r="AY233">
        <v>1</v>
      </c>
      <c r="AZ233">
        <v>0</v>
      </c>
      <c r="BA233">
        <v>232</v>
      </c>
      <c r="BB233">
        <v>1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0.18660000000000002</v>
      </c>
      <c r="BL233">
        <v>3.2462</v>
      </c>
      <c r="BM233">
        <v>0</v>
      </c>
      <c r="BN233">
        <v>0</v>
      </c>
      <c r="BO233">
        <v>5.0000000000000001E-3</v>
      </c>
      <c r="BP233">
        <v>1</v>
      </c>
      <c r="BQ233">
        <v>0</v>
      </c>
      <c r="BR233">
        <v>0.23325000000000001</v>
      </c>
      <c r="BS233">
        <v>4.0577500000000004</v>
      </c>
      <c r="BT233">
        <v>0</v>
      </c>
      <c r="BU233">
        <v>0</v>
      </c>
      <c r="BV233">
        <v>6.2500000000000003E-3</v>
      </c>
      <c r="BW233">
        <v>1</v>
      </c>
      <c r="CV233">
        <v>0</v>
      </c>
      <c r="CW233">
        <f>ROUND(Y233*Source!I315*DO233,7)</f>
        <v>1.3125000000000001E-3</v>
      </c>
      <c r="CX233">
        <f>ROUND(Y233*Source!I315,7)</f>
        <v>1.3125000000000001E-3</v>
      </c>
      <c r="CY233">
        <f>AB233</f>
        <v>58.59</v>
      </c>
      <c r="CZ233">
        <f>AF233</f>
        <v>37.32</v>
      </c>
      <c r="DA233">
        <f>AJ233</f>
        <v>1.57</v>
      </c>
      <c r="DB233">
        <f>ROUND((ROUND(AT233*CZ233,2)*ROUND(1.25,7)),6)</f>
        <v>0.23749999999999999</v>
      </c>
      <c r="DC233">
        <f>ROUND((ROUND(AT233*AG233,2)*ROUND(1.25,7)),6)</f>
        <v>4.0625</v>
      </c>
      <c r="DD233" t="s">
        <v>3</v>
      </c>
      <c r="DE233" t="s">
        <v>3</v>
      </c>
      <c r="DF233">
        <f>ROUND(ROUND(AE233,2)*CX233,2)</f>
        <v>0</v>
      </c>
      <c r="DG233">
        <f>ROUND(ROUND(AF233*AJ233,2)*CX233,2)</f>
        <v>0.08</v>
      </c>
      <c r="DH233">
        <f t="shared" si="86"/>
        <v>0.85</v>
      </c>
      <c r="DI233">
        <f t="shared" si="87"/>
        <v>0</v>
      </c>
      <c r="DJ233">
        <f>DG233+DH233</f>
        <v>0.92999999999999994</v>
      </c>
      <c r="DK233">
        <v>0</v>
      </c>
      <c r="DL233" t="s">
        <v>435</v>
      </c>
      <c r="DM233">
        <v>3</v>
      </c>
      <c r="DN233" t="s">
        <v>428</v>
      </c>
      <c r="DO233">
        <v>1</v>
      </c>
    </row>
    <row r="234" spans="1:119" x14ac:dyDescent="0.2">
      <c r="A234">
        <f>ROW(Source!A315)</f>
        <v>315</v>
      </c>
      <c r="B234">
        <v>94104265</v>
      </c>
      <c r="C234">
        <v>94192475</v>
      </c>
      <c r="D234">
        <v>90282618</v>
      </c>
      <c r="E234">
        <v>1</v>
      </c>
      <c r="F234">
        <v>1</v>
      </c>
      <c r="G234">
        <v>1</v>
      </c>
      <c r="H234">
        <v>2</v>
      </c>
      <c r="I234" t="s">
        <v>463</v>
      </c>
      <c r="J234" t="s">
        <v>464</v>
      </c>
      <c r="K234" t="s">
        <v>465</v>
      </c>
      <c r="L234">
        <v>1368</v>
      </c>
      <c r="N234">
        <v>1011</v>
      </c>
      <c r="O234" t="s">
        <v>434</v>
      </c>
      <c r="P234" t="s">
        <v>434</v>
      </c>
      <c r="Q234">
        <v>1</v>
      </c>
      <c r="W234">
        <v>0</v>
      </c>
      <c r="X234">
        <v>-312038840</v>
      </c>
      <c r="Y234">
        <f>(AT234*ROUND(1.25,7))</f>
        <v>3.7499999999999999E-2</v>
      </c>
      <c r="AA234">
        <v>0</v>
      </c>
      <c r="AB234">
        <v>544.91999999999996</v>
      </c>
      <c r="AC234">
        <v>731.08</v>
      </c>
      <c r="AD234">
        <v>0</v>
      </c>
      <c r="AE234">
        <v>0</v>
      </c>
      <c r="AF234">
        <v>544.91999999999996</v>
      </c>
      <c r="AG234">
        <v>731.08</v>
      </c>
      <c r="AH234">
        <v>0</v>
      </c>
      <c r="AI234">
        <v>1</v>
      </c>
      <c r="AJ234">
        <v>1</v>
      </c>
      <c r="AK234">
        <v>1</v>
      </c>
      <c r="AL234">
        <v>1</v>
      </c>
      <c r="AM234">
        <v>-2</v>
      </c>
      <c r="AN234">
        <v>0</v>
      </c>
      <c r="AO234">
        <v>0</v>
      </c>
      <c r="AP234">
        <v>1</v>
      </c>
      <c r="AQ234">
        <v>1</v>
      </c>
      <c r="AR234">
        <v>0</v>
      </c>
      <c r="AS234" t="s">
        <v>3</v>
      </c>
      <c r="AT234">
        <v>0.03</v>
      </c>
      <c r="AU234" t="s">
        <v>242</v>
      </c>
      <c r="AV234">
        <v>1</v>
      </c>
      <c r="AW234">
        <v>2</v>
      </c>
      <c r="AX234">
        <v>94192644</v>
      </c>
      <c r="AY234">
        <v>1</v>
      </c>
      <c r="AZ234">
        <v>0</v>
      </c>
      <c r="BA234">
        <v>233</v>
      </c>
      <c r="BB234">
        <v>1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16.3476</v>
      </c>
      <c r="BL234">
        <v>21.932400000000001</v>
      </c>
      <c r="BM234">
        <v>0</v>
      </c>
      <c r="BN234">
        <v>0</v>
      </c>
      <c r="BO234">
        <v>0.03</v>
      </c>
      <c r="BP234">
        <v>1</v>
      </c>
      <c r="BQ234">
        <v>0</v>
      </c>
      <c r="BR234">
        <v>20.434499999999996</v>
      </c>
      <c r="BS234">
        <v>27.415500000000002</v>
      </c>
      <c r="BT234">
        <v>0</v>
      </c>
      <c r="BU234">
        <v>0</v>
      </c>
      <c r="BV234">
        <v>3.7499999999999999E-2</v>
      </c>
      <c r="BW234">
        <v>1</v>
      </c>
      <c r="CV234">
        <v>0</v>
      </c>
      <c r="CW234">
        <f>ROUND(Y234*Source!I315*DO234,7)</f>
        <v>7.8750000000000001E-3</v>
      </c>
      <c r="CX234">
        <f>ROUND(Y234*Source!I315,7)</f>
        <v>7.8750000000000001E-3</v>
      </c>
      <c r="CY234">
        <f>AB234</f>
        <v>544.91999999999996</v>
      </c>
      <c r="CZ234">
        <f>AF234</f>
        <v>544.91999999999996</v>
      </c>
      <c r="DA234">
        <f>AJ234</f>
        <v>1</v>
      </c>
      <c r="DB234">
        <f>ROUND((ROUND(AT234*CZ234,2)*ROUND(1.25,7)),6)</f>
        <v>20.4375</v>
      </c>
      <c r="DC234">
        <f>ROUND((ROUND(AT234*AG234,2)*ROUND(1.25,7)),6)</f>
        <v>27.412500000000001</v>
      </c>
      <c r="DD234" t="s">
        <v>3</v>
      </c>
      <c r="DE234" t="s">
        <v>3</v>
      </c>
      <c r="DF234">
        <f>ROUND(ROUND(AE234,2)*CX234,2)</f>
        <v>0</v>
      </c>
      <c r="DG234">
        <f>ROUND(ROUND(AF234,2)*CX234,2)</f>
        <v>4.29</v>
      </c>
      <c r="DH234">
        <f t="shared" si="86"/>
        <v>5.76</v>
      </c>
      <c r="DI234">
        <f t="shared" si="87"/>
        <v>0</v>
      </c>
      <c r="DJ234">
        <f>DG234+DH234</f>
        <v>10.050000000000001</v>
      </c>
      <c r="DK234">
        <v>1</v>
      </c>
      <c r="DL234" t="s">
        <v>466</v>
      </c>
      <c r="DM234">
        <v>4</v>
      </c>
      <c r="DN234" t="s">
        <v>428</v>
      </c>
      <c r="DO234">
        <v>1</v>
      </c>
    </row>
    <row r="235" spans="1:119" x14ac:dyDescent="0.2">
      <c r="A235">
        <f>ROW(Source!A315)</f>
        <v>315</v>
      </c>
      <c r="B235">
        <v>94104265</v>
      </c>
      <c r="C235">
        <v>94192475</v>
      </c>
      <c r="D235">
        <v>90251084</v>
      </c>
      <c r="E235">
        <v>1</v>
      </c>
      <c r="F235">
        <v>1</v>
      </c>
      <c r="G235">
        <v>1</v>
      </c>
      <c r="H235">
        <v>3</v>
      </c>
      <c r="I235" t="s">
        <v>598</v>
      </c>
      <c r="J235" t="s">
        <v>599</v>
      </c>
      <c r="K235" t="s">
        <v>600</v>
      </c>
      <c r="L235">
        <v>1346</v>
      </c>
      <c r="N235">
        <v>1009</v>
      </c>
      <c r="O235" t="s">
        <v>96</v>
      </c>
      <c r="P235" t="s">
        <v>96</v>
      </c>
      <c r="Q235">
        <v>1</v>
      </c>
      <c r="W235">
        <v>0</v>
      </c>
      <c r="X235">
        <v>-352993051</v>
      </c>
      <c r="Y235">
        <f t="shared" ref="Y235:Y272" si="96">AT235</f>
        <v>5.15</v>
      </c>
      <c r="AA235">
        <v>199.57</v>
      </c>
      <c r="AB235">
        <v>0</v>
      </c>
      <c r="AC235">
        <v>0</v>
      </c>
      <c r="AD235">
        <v>0</v>
      </c>
      <c r="AE235">
        <v>113.39</v>
      </c>
      <c r="AF235">
        <v>0</v>
      </c>
      <c r="AG235">
        <v>0</v>
      </c>
      <c r="AH235">
        <v>0</v>
      </c>
      <c r="AI235">
        <v>1.76</v>
      </c>
      <c r="AJ235">
        <v>1</v>
      </c>
      <c r="AK235">
        <v>1</v>
      </c>
      <c r="AL235">
        <v>1</v>
      </c>
      <c r="AM235">
        <v>2</v>
      </c>
      <c r="AN235">
        <v>0</v>
      </c>
      <c r="AO235">
        <v>0</v>
      </c>
      <c r="AP235">
        <v>1</v>
      </c>
      <c r="AQ235">
        <v>1</v>
      </c>
      <c r="AR235">
        <v>0</v>
      </c>
      <c r="AS235" t="s">
        <v>3</v>
      </c>
      <c r="AT235">
        <v>5.15</v>
      </c>
      <c r="AU235" t="s">
        <v>3</v>
      </c>
      <c r="AV235">
        <v>0</v>
      </c>
      <c r="AW235">
        <v>2</v>
      </c>
      <c r="AX235">
        <v>94192646</v>
      </c>
      <c r="AY235">
        <v>1</v>
      </c>
      <c r="AZ235">
        <v>0</v>
      </c>
      <c r="BA235">
        <v>235</v>
      </c>
      <c r="BB235">
        <v>1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583.95850000000007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1</v>
      </c>
      <c r="BQ235">
        <v>583.95850000000007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1</v>
      </c>
      <c r="CV235">
        <v>0</v>
      </c>
      <c r="CW235">
        <v>0</v>
      </c>
      <c r="CX235">
        <f>ROUND(Y235*Source!I315,7)</f>
        <v>1.0814999999999999</v>
      </c>
      <c r="CY235">
        <f>AA235</f>
        <v>199.57</v>
      </c>
      <c r="CZ235">
        <f>AE235</f>
        <v>113.39</v>
      </c>
      <c r="DA235">
        <f>AI235</f>
        <v>1.76</v>
      </c>
      <c r="DB235">
        <f t="shared" ref="DB235:DB272" si="97">ROUND(ROUND(AT235*CZ235,2),6)</f>
        <v>583.96</v>
      </c>
      <c r="DC235">
        <f t="shared" ref="DC235:DC272" si="98">ROUND(ROUND(AT235*AG235,2),6)</f>
        <v>0</v>
      </c>
      <c r="DD235" t="s">
        <v>3</v>
      </c>
      <c r="DE235" t="s">
        <v>3</v>
      </c>
      <c r="DF235">
        <f>ROUND(ROUND(AE235*AI235,2)*CX235,2)</f>
        <v>215.83</v>
      </c>
      <c r="DG235">
        <f>ROUND(ROUND(AF235,2)*CX235,2)</f>
        <v>0</v>
      </c>
      <c r="DH235">
        <f t="shared" si="86"/>
        <v>0</v>
      </c>
      <c r="DI235">
        <f t="shared" si="87"/>
        <v>0</v>
      </c>
      <c r="DJ235">
        <f>DF235</f>
        <v>215.83</v>
      </c>
      <c r="DK235">
        <v>0</v>
      </c>
      <c r="DL235" t="s">
        <v>3</v>
      </c>
      <c r="DM235">
        <v>0</v>
      </c>
      <c r="DN235" t="s">
        <v>3</v>
      </c>
      <c r="DO235">
        <v>0</v>
      </c>
    </row>
    <row r="236" spans="1:119" x14ac:dyDescent="0.2">
      <c r="A236">
        <f>ROW(Source!A315)</f>
        <v>315</v>
      </c>
      <c r="B236">
        <v>94104265</v>
      </c>
      <c r="C236">
        <v>94192475</v>
      </c>
      <c r="D236">
        <v>0</v>
      </c>
      <c r="E236">
        <v>0</v>
      </c>
      <c r="F236">
        <v>1</v>
      </c>
      <c r="G236">
        <v>1</v>
      </c>
      <c r="H236">
        <v>3</v>
      </c>
      <c r="I236" t="s">
        <v>316</v>
      </c>
      <c r="J236" t="s">
        <v>601</v>
      </c>
      <c r="K236" t="s">
        <v>317</v>
      </c>
      <c r="L236">
        <v>3442</v>
      </c>
      <c r="N236">
        <v>1013</v>
      </c>
      <c r="O236" t="s">
        <v>318</v>
      </c>
      <c r="P236" t="s">
        <v>318</v>
      </c>
      <c r="Q236">
        <v>1</v>
      </c>
      <c r="W236">
        <v>0</v>
      </c>
      <c r="X236">
        <v>-635467084</v>
      </c>
      <c r="Y236">
        <f t="shared" si="96"/>
        <v>101</v>
      </c>
      <c r="AA236">
        <v>978.5</v>
      </c>
      <c r="AB236">
        <v>0</v>
      </c>
      <c r="AC236">
        <v>0</v>
      </c>
      <c r="AD236">
        <v>0</v>
      </c>
      <c r="AE236">
        <v>978.5</v>
      </c>
      <c r="AF236">
        <v>0</v>
      </c>
      <c r="AG236">
        <v>0</v>
      </c>
      <c r="AH236">
        <v>0</v>
      </c>
      <c r="AI236">
        <v>1</v>
      </c>
      <c r="AJ236">
        <v>1</v>
      </c>
      <c r="AK236">
        <v>1</v>
      </c>
      <c r="AL236">
        <v>1</v>
      </c>
      <c r="AM236">
        <v>0</v>
      </c>
      <c r="AN236">
        <v>0</v>
      </c>
      <c r="AO236">
        <v>0</v>
      </c>
      <c r="AP236">
        <v>1</v>
      </c>
      <c r="AQ236">
        <v>0</v>
      </c>
      <c r="AR236">
        <v>0</v>
      </c>
      <c r="AS236" t="s">
        <v>3</v>
      </c>
      <c r="AT236">
        <v>101</v>
      </c>
      <c r="AU236" t="s">
        <v>3</v>
      </c>
      <c r="AV236">
        <v>0</v>
      </c>
      <c r="AW236">
        <v>1</v>
      </c>
      <c r="AX236">
        <v>-1</v>
      </c>
      <c r="AY236">
        <v>0</v>
      </c>
      <c r="AZ236">
        <v>0</v>
      </c>
      <c r="BA236" t="s">
        <v>3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CV236">
        <v>0</v>
      </c>
      <c r="CW236">
        <v>0</v>
      </c>
      <c r="CX236">
        <f>ROUND(Y236*Source!I315,7)</f>
        <v>21.21</v>
      </c>
      <c r="CY236">
        <f>AA236</f>
        <v>978.5</v>
      </c>
      <c r="CZ236">
        <f>AE236</f>
        <v>978.5</v>
      </c>
      <c r="DA236">
        <f>AI236</f>
        <v>1</v>
      </c>
      <c r="DB236">
        <f t="shared" si="97"/>
        <v>98828.5</v>
      </c>
      <c r="DC236">
        <f t="shared" si="98"/>
        <v>0</v>
      </c>
      <c r="DD236" t="s">
        <v>3</v>
      </c>
      <c r="DE236" t="s">
        <v>3</v>
      </c>
      <c r="DF236">
        <f>ROUND(ROUND(AE236,2)*CX236,2)</f>
        <v>20753.990000000002</v>
      </c>
      <c r="DG236">
        <f>ROUND(ROUND(AF236,2)*CX236,2)</f>
        <v>0</v>
      </c>
      <c r="DH236">
        <f t="shared" si="86"/>
        <v>0</v>
      </c>
      <c r="DI236">
        <f t="shared" si="87"/>
        <v>0</v>
      </c>
      <c r="DJ236">
        <f>DF236</f>
        <v>20753.990000000002</v>
      </c>
      <c r="DK236">
        <v>0</v>
      </c>
      <c r="DL236" t="s">
        <v>3</v>
      </c>
      <c r="DM236">
        <v>0</v>
      </c>
      <c r="DN236" t="s">
        <v>3</v>
      </c>
      <c r="DO236">
        <v>0</v>
      </c>
    </row>
    <row r="237" spans="1:119" x14ac:dyDescent="0.2">
      <c r="A237">
        <f>ROW(Source!A354)</f>
        <v>354</v>
      </c>
      <c r="B237">
        <v>94104265</v>
      </c>
      <c r="C237">
        <v>94238526</v>
      </c>
      <c r="D237">
        <v>87229801</v>
      </c>
      <c r="E237">
        <v>117</v>
      </c>
      <c r="F237">
        <v>1</v>
      </c>
      <c r="G237">
        <v>1</v>
      </c>
      <c r="H237">
        <v>1</v>
      </c>
      <c r="I237" t="s">
        <v>602</v>
      </c>
      <c r="J237" t="s">
        <v>3</v>
      </c>
      <c r="K237" t="s">
        <v>603</v>
      </c>
      <c r="L237">
        <v>1191</v>
      </c>
      <c r="N237">
        <v>1013</v>
      </c>
      <c r="O237" t="s">
        <v>428</v>
      </c>
      <c r="P237" t="s">
        <v>428</v>
      </c>
      <c r="Q237">
        <v>1</v>
      </c>
      <c r="W237">
        <v>0</v>
      </c>
      <c r="X237">
        <v>1521243167</v>
      </c>
      <c r="Y237">
        <f t="shared" si="96"/>
        <v>62.91</v>
      </c>
      <c r="AA237">
        <v>0</v>
      </c>
      <c r="AB237">
        <v>0</v>
      </c>
      <c r="AC237">
        <v>0</v>
      </c>
      <c r="AD237">
        <v>807.46</v>
      </c>
      <c r="AE237">
        <v>0</v>
      </c>
      <c r="AF237">
        <v>0</v>
      </c>
      <c r="AG237">
        <v>0</v>
      </c>
      <c r="AH237">
        <v>807.46</v>
      </c>
      <c r="AI237">
        <v>1</v>
      </c>
      <c r="AJ237">
        <v>1</v>
      </c>
      <c r="AK237">
        <v>1</v>
      </c>
      <c r="AL237">
        <v>1</v>
      </c>
      <c r="AM237">
        <v>-2</v>
      </c>
      <c r="AN237">
        <v>0</v>
      </c>
      <c r="AO237">
        <v>0</v>
      </c>
      <c r="AP237">
        <v>0</v>
      </c>
      <c r="AQ237">
        <v>1</v>
      </c>
      <c r="AR237">
        <v>0</v>
      </c>
      <c r="AS237" t="s">
        <v>3</v>
      </c>
      <c r="AT237">
        <v>62.91</v>
      </c>
      <c r="AU237" t="s">
        <v>3</v>
      </c>
      <c r="AV237">
        <v>1</v>
      </c>
      <c r="AW237">
        <v>2</v>
      </c>
      <c r="AX237">
        <v>94238527</v>
      </c>
      <c r="AY237">
        <v>1</v>
      </c>
      <c r="AZ237">
        <v>0</v>
      </c>
      <c r="BA237">
        <v>236</v>
      </c>
      <c r="BB237">
        <v>1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50797.308599999997</v>
      </c>
      <c r="BN237">
        <v>62.91</v>
      </c>
      <c r="BO237">
        <v>0</v>
      </c>
      <c r="BP237">
        <v>1</v>
      </c>
      <c r="BQ237">
        <v>0</v>
      </c>
      <c r="BR237">
        <v>0</v>
      </c>
      <c r="BS237">
        <v>0</v>
      </c>
      <c r="BT237">
        <v>50797.308599999997</v>
      </c>
      <c r="BU237">
        <v>62.91</v>
      </c>
      <c r="BV237">
        <v>0</v>
      </c>
      <c r="BW237">
        <v>1</v>
      </c>
      <c r="CU237">
        <f>ROUND(AT237*Source!I354*AH237*AL237,2)</f>
        <v>11175.41</v>
      </c>
      <c r="CV237">
        <f>ROUND(Y237*Source!I354,7)</f>
        <v>13.840199999999999</v>
      </c>
      <c r="CW237">
        <v>0</v>
      </c>
      <c r="CX237">
        <f>ROUND(Y237*Source!I354,7)</f>
        <v>13.840199999999999</v>
      </c>
      <c r="CY237">
        <f>AD237</f>
        <v>807.46</v>
      </c>
      <c r="CZ237">
        <f>AH237</f>
        <v>807.46</v>
      </c>
      <c r="DA237">
        <f>AL237</f>
        <v>1</v>
      </c>
      <c r="DB237">
        <f t="shared" si="97"/>
        <v>50797.31</v>
      </c>
      <c r="DC237">
        <f t="shared" si="98"/>
        <v>0</v>
      </c>
      <c r="DD237" t="s">
        <v>3</v>
      </c>
      <c r="DE237" t="s">
        <v>3</v>
      </c>
      <c r="DF237">
        <f>ROUND(ROUND(AE237,2)*CX237,2)</f>
        <v>0</v>
      </c>
      <c r="DG237">
        <f>ROUND(ROUND(AF237,2)*CX237,2)</f>
        <v>0</v>
      </c>
      <c r="DH237">
        <f t="shared" si="86"/>
        <v>0</v>
      </c>
      <c r="DI237">
        <f t="shared" si="87"/>
        <v>11175.41</v>
      </c>
      <c r="DJ237">
        <f>DI237</f>
        <v>11175.41</v>
      </c>
      <c r="DK237">
        <v>1</v>
      </c>
      <c r="DL237" t="s">
        <v>3</v>
      </c>
      <c r="DM237">
        <v>0</v>
      </c>
      <c r="DN237" t="s">
        <v>3</v>
      </c>
      <c r="DO237">
        <v>0</v>
      </c>
    </row>
    <row r="238" spans="1:119" x14ac:dyDescent="0.2">
      <c r="A238">
        <f>ROW(Source!A354)</f>
        <v>354</v>
      </c>
      <c r="B238">
        <v>94104265</v>
      </c>
      <c r="C238">
        <v>94238526</v>
      </c>
      <c r="D238">
        <v>87229949</v>
      </c>
      <c r="E238">
        <v>117</v>
      </c>
      <c r="F238">
        <v>1</v>
      </c>
      <c r="G238">
        <v>1</v>
      </c>
      <c r="H238">
        <v>1</v>
      </c>
      <c r="I238" t="s">
        <v>429</v>
      </c>
      <c r="J238" t="s">
        <v>3</v>
      </c>
      <c r="K238" t="s">
        <v>430</v>
      </c>
      <c r="L238">
        <v>1191</v>
      </c>
      <c r="N238">
        <v>1013</v>
      </c>
      <c r="O238" t="s">
        <v>428</v>
      </c>
      <c r="P238" t="s">
        <v>428</v>
      </c>
      <c r="Q238">
        <v>1</v>
      </c>
      <c r="W238">
        <v>0</v>
      </c>
      <c r="X238">
        <v>-1417349443</v>
      </c>
      <c r="Y238">
        <f t="shared" si="96"/>
        <v>6.21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1</v>
      </c>
      <c r="AJ238">
        <v>1</v>
      </c>
      <c r="AK238">
        <v>1</v>
      </c>
      <c r="AL238">
        <v>1</v>
      </c>
      <c r="AM238">
        <v>-2</v>
      </c>
      <c r="AN238">
        <v>0</v>
      </c>
      <c r="AO238">
        <v>0</v>
      </c>
      <c r="AP238">
        <v>0</v>
      </c>
      <c r="AQ238">
        <v>1</v>
      </c>
      <c r="AR238">
        <v>0</v>
      </c>
      <c r="AS238" t="s">
        <v>3</v>
      </c>
      <c r="AT238">
        <v>6.21</v>
      </c>
      <c r="AU238" t="s">
        <v>3</v>
      </c>
      <c r="AV238">
        <v>2</v>
      </c>
      <c r="AW238">
        <v>2</v>
      </c>
      <c r="AX238">
        <v>94238528</v>
      </c>
      <c r="AY238">
        <v>1</v>
      </c>
      <c r="AZ238">
        <v>0</v>
      </c>
      <c r="BA238">
        <v>237</v>
      </c>
      <c r="BB238">
        <v>1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CV238">
        <v>0</v>
      </c>
      <c r="CW238">
        <v>0</v>
      </c>
      <c r="CX238">
        <f>ROUND(Y238*Source!I354,7)</f>
        <v>1.3662000000000001</v>
      </c>
      <c r="CY238">
        <f>AD238</f>
        <v>0</v>
      </c>
      <c r="CZ238">
        <f>AH238</f>
        <v>0</v>
      </c>
      <c r="DA238">
        <f>AL238</f>
        <v>1</v>
      </c>
      <c r="DB238">
        <f t="shared" si="97"/>
        <v>0</v>
      </c>
      <c r="DC238">
        <f t="shared" si="98"/>
        <v>0</v>
      </c>
      <c r="DD238" t="s">
        <v>3</v>
      </c>
      <c r="DE238" t="s">
        <v>3</v>
      </c>
      <c r="DF238">
        <f>ROUND(ROUND(AE238,2)*CX238,2)</f>
        <v>0</v>
      </c>
      <c r="DG238">
        <f>ROUND(ROUND(AF238,2)*CX238,2)</f>
        <v>0</v>
      </c>
      <c r="DH238">
        <f t="shared" si="86"/>
        <v>0</v>
      </c>
      <c r="DI238">
        <f t="shared" si="87"/>
        <v>0</v>
      </c>
      <c r="DJ238">
        <f>DI238</f>
        <v>0</v>
      </c>
      <c r="DK238">
        <v>0</v>
      </c>
      <c r="DL238" t="s">
        <v>3</v>
      </c>
      <c r="DM238">
        <v>0</v>
      </c>
      <c r="DN238" t="s">
        <v>3</v>
      </c>
      <c r="DO238">
        <v>0</v>
      </c>
    </row>
    <row r="239" spans="1:119" x14ac:dyDescent="0.2">
      <c r="A239">
        <f>ROW(Source!A354)</f>
        <v>354</v>
      </c>
      <c r="B239">
        <v>94104265</v>
      </c>
      <c r="C239">
        <v>94238526</v>
      </c>
      <c r="D239">
        <v>87236625</v>
      </c>
      <c r="E239">
        <v>1</v>
      </c>
      <c r="F239">
        <v>1</v>
      </c>
      <c r="G239">
        <v>1</v>
      </c>
      <c r="H239">
        <v>2</v>
      </c>
      <c r="I239" t="s">
        <v>431</v>
      </c>
      <c r="J239" t="s">
        <v>432</v>
      </c>
      <c r="K239" t="s">
        <v>433</v>
      </c>
      <c r="L239">
        <v>1368</v>
      </c>
      <c r="N239">
        <v>1011</v>
      </c>
      <c r="O239" t="s">
        <v>434</v>
      </c>
      <c r="P239" t="s">
        <v>434</v>
      </c>
      <c r="Q239">
        <v>1</v>
      </c>
      <c r="W239">
        <v>0</v>
      </c>
      <c r="X239">
        <v>945201097</v>
      </c>
      <c r="Y239">
        <f t="shared" si="96"/>
        <v>0.56999999999999995</v>
      </c>
      <c r="AA239">
        <v>0</v>
      </c>
      <c r="AB239">
        <v>58.59</v>
      </c>
      <c r="AC239">
        <v>649.24</v>
      </c>
      <c r="AD239">
        <v>0</v>
      </c>
      <c r="AE239">
        <v>0</v>
      </c>
      <c r="AF239">
        <v>37.32</v>
      </c>
      <c r="AG239">
        <v>649.24</v>
      </c>
      <c r="AH239">
        <v>0</v>
      </c>
      <c r="AI239">
        <v>1</v>
      </c>
      <c r="AJ239">
        <v>1.57</v>
      </c>
      <c r="AK239">
        <v>1</v>
      </c>
      <c r="AL239">
        <v>1</v>
      </c>
      <c r="AM239">
        <v>2</v>
      </c>
      <c r="AN239">
        <v>0</v>
      </c>
      <c r="AO239">
        <v>0</v>
      </c>
      <c r="AP239">
        <v>0</v>
      </c>
      <c r="AQ239">
        <v>1</v>
      </c>
      <c r="AR239">
        <v>0</v>
      </c>
      <c r="AS239" t="s">
        <v>3</v>
      </c>
      <c r="AT239">
        <v>0.56999999999999995</v>
      </c>
      <c r="AU239" t="s">
        <v>3</v>
      </c>
      <c r="AV239">
        <v>1</v>
      </c>
      <c r="AW239">
        <v>2</v>
      </c>
      <c r="AX239">
        <v>94238529</v>
      </c>
      <c r="AY239">
        <v>1</v>
      </c>
      <c r="AZ239">
        <v>0</v>
      </c>
      <c r="BA239">
        <v>238</v>
      </c>
      <c r="BB239">
        <v>1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21.272399999999998</v>
      </c>
      <c r="BL239">
        <v>370.0668</v>
      </c>
      <c r="BM239">
        <v>0</v>
      </c>
      <c r="BN239">
        <v>0</v>
      </c>
      <c r="BO239">
        <v>0.56999999999999995</v>
      </c>
      <c r="BP239">
        <v>1</v>
      </c>
      <c r="BQ239">
        <v>0</v>
      </c>
      <c r="BR239">
        <v>21.272399999999998</v>
      </c>
      <c r="BS239">
        <v>370.0668</v>
      </c>
      <c r="BT239">
        <v>0</v>
      </c>
      <c r="BU239">
        <v>0</v>
      </c>
      <c r="BV239">
        <v>0.56999999999999995</v>
      </c>
      <c r="BW239">
        <v>1</v>
      </c>
      <c r="CV239">
        <v>0</v>
      </c>
      <c r="CW239">
        <f>ROUND(Y239*Source!I354*DO239,7)</f>
        <v>0.12540000000000001</v>
      </c>
      <c r="CX239">
        <f>ROUND(Y239*Source!I354,7)</f>
        <v>0.12540000000000001</v>
      </c>
      <c r="CY239">
        <f>AB239</f>
        <v>58.59</v>
      </c>
      <c r="CZ239">
        <f>AF239</f>
        <v>37.32</v>
      </c>
      <c r="DA239">
        <f>AJ239</f>
        <v>1.57</v>
      </c>
      <c r="DB239">
        <f t="shared" si="97"/>
        <v>21.27</v>
      </c>
      <c r="DC239">
        <f t="shared" si="98"/>
        <v>370.07</v>
      </c>
      <c r="DD239" t="s">
        <v>3</v>
      </c>
      <c r="DE239" t="s">
        <v>3</v>
      </c>
      <c r="DF239">
        <f>ROUND(ROUND(AE239,2)*CX239,2)</f>
        <v>0</v>
      </c>
      <c r="DG239">
        <f>ROUND(ROUND(AF239*AJ239,2)*CX239,2)</f>
        <v>7.35</v>
      </c>
      <c r="DH239">
        <f t="shared" si="86"/>
        <v>81.41</v>
      </c>
      <c r="DI239">
        <f t="shared" si="87"/>
        <v>0</v>
      </c>
      <c r="DJ239">
        <f>DG239+DH239</f>
        <v>88.759999999999991</v>
      </c>
      <c r="DK239">
        <v>0</v>
      </c>
      <c r="DL239" t="s">
        <v>435</v>
      </c>
      <c r="DM239">
        <v>3</v>
      </c>
      <c r="DN239" t="s">
        <v>428</v>
      </c>
      <c r="DO239">
        <v>1</v>
      </c>
    </row>
    <row r="240" spans="1:119" x14ac:dyDescent="0.2">
      <c r="A240">
        <f>ROW(Source!A354)</f>
        <v>354</v>
      </c>
      <c r="B240">
        <v>94104265</v>
      </c>
      <c r="C240">
        <v>94238526</v>
      </c>
      <c r="D240">
        <v>87236730</v>
      </c>
      <c r="E240">
        <v>1</v>
      </c>
      <c r="F240">
        <v>1</v>
      </c>
      <c r="G240">
        <v>1</v>
      </c>
      <c r="H240">
        <v>2</v>
      </c>
      <c r="I240" t="s">
        <v>527</v>
      </c>
      <c r="J240" t="s">
        <v>528</v>
      </c>
      <c r="K240" t="s">
        <v>529</v>
      </c>
      <c r="L240">
        <v>1368</v>
      </c>
      <c r="N240">
        <v>1011</v>
      </c>
      <c r="O240" t="s">
        <v>434</v>
      </c>
      <c r="P240" t="s">
        <v>434</v>
      </c>
      <c r="Q240">
        <v>1</v>
      </c>
      <c r="W240">
        <v>0</v>
      </c>
      <c r="X240">
        <v>-903812129</v>
      </c>
      <c r="Y240">
        <f t="shared" si="96"/>
        <v>5.64</v>
      </c>
      <c r="AA240">
        <v>0</v>
      </c>
      <c r="AB240">
        <v>3.81</v>
      </c>
      <c r="AC240">
        <v>649.24</v>
      </c>
      <c r="AD240">
        <v>0</v>
      </c>
      <c r="AE240">
        <v>0</v>
      </c>
      <c r="AF240">
        <v>2.31</v>
      </c>
      <c r="AG240">
        <v>649.24</v>
      </c>
      <c r="AH240">
        <v>0</v>
      </c>
      <c r="AI240">
        <v>1</v>
      </c>
      <c r="AJ240">
        <v>1.65</v>
      </c>
      <c r="AK240">
        <v>1</v>
      </c>
      <c r="AL240">
        <v>1</v>
      </c>
      <c r="AM240">
        <v>2</v>
      </c>
      <c r="AN240">
        <v>0</v>
      </c>
      <c r="AO240">
        <v>0</v>
      </c>
      <c r="AP240">
        <v>0</v>
      </c>
      <c r="AQ240">
        <v>1</v>
      </c>
      <c r="AR240">
        <v>0</v>
      </c>
      <c r="AS240" t="s">
        <v>3</v>
      </c>
      <c r="AT240">
        <v>5.64</v>
      </c>
      <c r="AU240" t="s">
        <v>3</v>
      </c>
      <c r="AV240">
        <v>1</v>
      </c>
      <c r="AW240">
        <v>2</v>
      </c>
      <c r="AX240">
        <v>94238530</v>
      </c>
      <c r="AY240">
        <v>1</v>
      </c>
      <c r="AZ240">
        <v>0</v>
      </c>
      <c r="BA240">
        <v>239</v>
      </c>
      <c r="BB240">
        <v>1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13.0284</v>
      </c>
      <c r="BL240">
        <v>3661.7136</v>
      </c>
      <c r="BM240">
        <v>0</v>
      </c>
      <c r="BN240">
        <v>0</v>
      </c>
      <c r="BO240">
        <v>5.64</v>
      </c>
      <c r="BP240">
        <v>1</v>
      </c>
      <c r="BQ240">
        <v>0</v>
      </c>
      <c r="BR240">
        <v>13.0284</v>
      </c>
      <c r="BS240">
        <v>3661.7136</v>
      </c>
      <c r="BT240">
        <v>0</v>
      </c>
      <c r="BU240">
        <v>0</v>
      </c>
      <c r="BV240">
        <v>5.64</v>
      </c>
      <c r="BW240">
        <v>1</v>
      </c>
      <c r="CV240">
        <v>0</v>
      </c>
      <c r="CW240">
        <f>ROUND(Y240*Source!I354*DO240,7)</f>
        <v>1.2407999999999999</v>
      </c>
      <c r="CX240">
        <f>ROUND(Y240*Source!I354,7)</f>
        <v>1.2407999999999999</v>
      </c>
      <c r="CY240">
        <f>AB240</f>
        <v>3.81</v>
      </c>
      <c r="CZ240">
        <f>AF240</f>
        <v>2.31</v>
      </c>
      <c r="DA240">
        <f>AJ240</f>
        <v>1.65</v>
      </c>
      <c r="DB240">
        <f t="shared" si="97"/>
        <v>13.03</v>
      </c>
      <c r="DC240">
        <f t="shared" si="98"/>
        <v>3661.71</v>
      </c>
      <c r="DD240" t="s">
        <v>3</v>
      </c>
      <c r="DE240" t="s">
        <v>3</v>
      </c>
      <c r="DF240">
        <f>ROUND(ROUND(AE240,2)*CX240,2)</f>
        <v>0</v>
      </c>
      <c r="DG240">
        <f>ROUND(ROUND(AF240*AJ240,2)*CX240,2)</f>
        <v>4.7300000000000004</v>
      </c>
      <c r="DH240">
        <f t="shared" si="86"/>
        <v>805.58</v>
      </c>
      <c r="DI240">
        <f t="shared" si="87"/>
        <v>0</v>
      </c>
      <c r="DJ240">
        <f>DG240+DH240</f>
        <v>810.31000000000006</v>
      </c>
      <c r="DK240">
        <v>0</v>
      </c>
      <c r="DL240" t="s">
        <v>435</v>
      </c>
      <c r="DM240">
        <v>3</v>
      </c>
      <c r="DN240" t="s">
        <v>428</v>
      </c>
      <c r="DO240">
        <v>1</v>
      </c>
    </row>
    <row r="241" spans="1:119" x14ac:dyDescent="0.2">
      <c r="A241">
        <f>ROW(Source!A354)</f>
        <v>354</v>
      </c>
      <c r="B241">
        <v>94104265</v>
      </c>
      <c r="C241">
        <v>94238526</v>
      </c>
      <c r="D241">
        <v>87304091</v>
      </c>
      <c r="E241">
        <v>1</v>
      </c>
      <c r="F241">
        <v>1</v>
      </c>
      <c r="G241">
        <v>1</v>
      </c>
      <c r="H241">
        <v>3</v>
      </c>
      <c r="I241" t="s">
        <v>467</v>
      </c>
      <c r="J241" t="s">
        <v>468</v>
      </c>
      <c r="K241" t="s">
        <v>469</v>
      </c>
      <c r="L241">
        <v>1339</v>
      </c>
      <c r="N241">
        <v>1007</v>
      </c>
      <c r="O241" t="s">
        <v>34</v>
      </c>
      <c r="P241" t="s">
        <v>34</v>
      </c>
      <c r="Q241">
        <v>1</v>
      </c>
      <c r="W241">
        <v>0</v>
      </c>
      <c r="X241">
        <v>1964556667</v>
      </c>
      <c r="Y241">
        <f t="shared" si="96"/>
        <v>0.41</v>
      </c>
      <c r="AA241">
        <v>54.64</v>
      </c>
      <c r="AB241">
        <v>0</v>
      </c>
      <c r="AC241">
        <v>0</v>
      </c>
      <c r="AD241">
        <v>0</v>
      </c>
      <c r="AE241">
        <v>35.71</v>
      </c>
      <c r="AF241">
        <v>0</v>
      </c>
      <c r="AG241">
        <v>0</v>
      </c>
      <c r="AH241">
        <v>0</v>
      </c>
      <c r="AI241">
        <v>1.53</v>
      </c>
      <c r="AJ241">
        <v>1</v>
      </c>
      <c r="AK241">
        <v>1</v>
      </c>
      <c r="AL241">
        <v>1</v>
      </c>
      <c r="AM241">
        <v>2</v>
      </c>
      <c r="AN241">
        <v>0</v>
      </c>
      <c r="AO241">
        <v>0</v>
      </c>
      <c r="AP241">
        <v>0</v>
      </c>
      <c r="AQ241">
        <v>1</v>
      </c>
      <c r="AR241">
        <v>0</v>
      </c>
      <c r="AS241" t="s">
        <v>3</v>
      </c>
      <c r="AT241">
        <v>0.41</v>
      </c>
      <c r="AU241" t="s">
        <v>3</v>
      </c>
      <c r="AV241">
        <v>0</v>
      </c>
      <c r="AW241">
        <v>2</v>
      </c>
      <c r="AX241">
        <v>94238531</v>
      </c>
      <c r="AY241">
        <v>1</v>
      </c>
      <c r="AZ241">
        <v>0</v>
      </c>
      <c r="BA241">
        <v>240</v>
      </c>
      <c r="BB241">
        <v>1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14.6411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1</v>
      </c>
      <c r="BQ241">
        <v>14.6411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1</v>
      </c>
      <c r="CV241">
        <v>0</v>
      </c>
      <c r="CW241">
        <v>0</v>
      </c>
      <c r="CX241">
        <f>ROUND(Y241*Source!I354,7)</f>
        <v>9.0200000000000002E-2</v>
      </c>
      <c r="CY241">
        <f>AA241</f>
        <v>54.64</v>
      </c>
      <c r="CZ241">
        <f>AE241</f>
        <v>35.71</v>
      </c>
      <c r="DA241">
        <f>AI241</f>
        <v>1.53</v>
      </c>
      <c r="DB241">
        <f t="shared" si="97"/>
        <v>14.64</v>
      </c>
      <c r="DC241">
        <f t="shared" si="98"/>
        <v>0</v>
      </c>
      <c r="DD241" t="s">
        <v>3</v>
      </c>
      <c r="DE241" t="s">
        <v>3</v>
      </c>
      <c r="DF241">
        <f>ROUND(ROUND(AE241*AI241,2)*CX241,2)</f>
        <v>4.93</v>
      </c>
      <c r="DG241">
        <f t="shared" ref="DG241:DG246" si="99">ROUND(ROUND(AF241,2)*CX241,2)</f>
        <v>0</v>
      </c>
      <c r="DH241">
        <f t="shared" si="86"/>
        <v>0</v>
      </c>
      <c r="DI241">
        <f t="shared" si="87"/>
        <v>0</v>
      </c>
      <c r="DJ241">
        <f>DF241</f>
        <v>4.93</v>
      </c>
      <c r="DK241">
        <v>0</v>
      </c>
      <c r="DL241" t="s">
        <v>3</v>
      </c>
      <c r="DM241">
        <v>0</v>
      </c>
      <c r="DN241" t="s">
        <v>3</v>
      </c>
      <c r="DO241">
        <v>0</v>
      </c>
    </row>
    <row r="242" spans="1:119" x14ac:dyDescent="0.2">
      <c r="A242">
        <f>ROW(Source!A354)</f>
        <v>354</v>
      </c>
      <c r="B242">
        <v>94104265</v>
      </c>
      <c r="C242">
        <v>94238526</v>
      </c>
      <c r="D242">
        <v>87306387</v>
      </c>
      <c r="E242">
        <v>1</v>
      </c>
      <c r="F242">
        <v>1</v>
      </c>
      <c r="G242">
        <v>1</v>
      </c>
      <c r="H242">
        <v>3</v>
      </c>
      <c r="I242" t="s">
        <v>567</v>
      </c>
      <c r="J242" t="s">
        <v>568</v>
      </c>
      <c r="K242" t="s">
        <v>569</v>
      </c>
      <c r="L242">
        <v>1327</v>
      </c>
      <c r="N242">
        <v>1005</v>
      </c>
      <c r="O242" t="s">
        <v>60</v>
      </c>
      <c r="P242" t="s">
        <v>60</v>
      </c>
      <c r="Q242">
        <v>1</v>
      </c>
      <c r="W242">
        <v>0</v>
      </c>
      <c r="X242">
        <v>10451617</v>
      </c>
      <c r="Y242">
        <f t="shared" si="96"/>
        <v>2</v>
      </c>
      <c r="AA242">
        <v>717.44</v>
      </c>
      <c r="AB242">
        <v>0</v>
      </c>
      <c r="AC242">
        <v>0</v>
      </c>
      <c r="AD242">
        <v>0</v>
      </c>
      <c r="AE242">
        <v>531.44000000000005</v>
      </c>
      <c r="AF242">
        <v>0</v>
      </c>
      <c r="AG242">
        <v>0</v>
      </c>
      <c r="AH242">
        <v>0</v>
      </c>
      <c r="AI242">
        <v>1.35</v>
      </c>
      <c r="AJ242">
        <v>1</v>
      </c>
      <c r="AK242">
        <v>1</v>
      </c>
      <c r="AL242">
        <v>1</v>
      </c>
      <c r="AM242">
        <v>2</v>
      </c>
      <c r="AN242">
        <v>0</v>
      </c>
      <c r="AO242">
        <v>0</v>
      </c>
      <c r="AP242">
        <v>0</v>
      </c>
      <c r="AQ242">
        <v>1</v>
      </c>
      <c r="AR242">
        <v>0</v>
      </c>
      <c r="AS242" t="s">
        <v>3</v>
      </c>
      <c r="AT242">
        <v>2</v>
      </c>
      <c r="AU242" t="s">
        <v>3</v>
      </c>
      <c r="AV242">
        <v>0</v>
      </c>
      <c r="AW242">
        <v>2</v>
      </c>
      <c r="AX242">
        <v>94238532</v>
      </c>
      <c r="AY242">
        <v>1</v>
      </c>
      <c r="AZ242">
        <v>0</v>
      </c>
      <c r="BA242">
        <v>241</v>
      </c>
      <c r="BB242">
        <v>1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1062.8800000000001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1</v>
      </c>
      <c r="BQ242">
        <v>1062.8800000000001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1</v>
      </c>
      <c r="CV242">
        <v>0</v>
      </c>
      <c r="CW242">
        <v>0</v>
      </c>
      <c r="CX242">
        <f>ROUND(Y242*Source!I354,7)</f>
        <v>0.44</v>
      </c>
      <c r="CY242">
        <f>AA242</f>
        <v>717.44</v>
      </c>
      <c r="CZ242">
        <f>AE242</f>
        <v>531.44000000000005</v>
      </c>
      <c r="DA242">
        <f>AI242</f>
        <v>1.35</v>
      </c>
      <c r="DB242">
        <f t="shared" si="97"/>
        <v>1062.8800000000001</v>
      </c>
      <c r="DC242">
        <f t="shared" si="98"/>
        <v>0</v>
      </c>
      <c r="DD242" t="s">
        <v>3</v>
      </c>
      <c r="DE242" t="s">
        <v>3</v>
      </c>
      <c r="DF242">
        <f>ROUND(ROUND(AE242*AI242,2)*CX242,2)</f>
        <v>315.67</v>
      </c>
      <c r="DG242">
        <f t="shared" si="99"/>
        <v>0</v>
      </c>
      <c r="DH242">
        <f t="shared" si="86"/>
        <v>0</v>
      </c>
      <c r="DI242">
        <f t="shared" si="87"/>
        <v>0</v>
      </c>
      <c r="DJ242">
        <f>DF242</f>
        <v>315.67</v>
      </c>
      <c r="DK242">
        <v>0</v>
      </c>
      <c r="DL242" t="s">
        <v>3</v>
      </c>
      <c r="DM242">
        <v>0</v>
      </c>
      <c r="DN242" t="s">
        <v>3</v>
      </c>
      <c r="DO242">
        <v>0</v>
      </c>
    </row>
    <row r="243" spans="1:119" x14ac:dyDescent="0.2">
      <c r="A243">
        <f>ROW(Source!A354)</f>
        <v>354</v>
      </c>
      <c r="B243">
        <v>94104265</v>
      </c>
      <c r="C243">
        <v>94238526</v>
      </c>
      <c r="D243">
        <v>90235885</v>
      </c>
      <c r="E243">
        <v>1</v>
      </c>
      <c r="F243">
        <v>1</v>
      </c>
      <c r="G243">
        <v>1</v>
      </c>
      <c r="H243">
        <v>3</v>
      </c>
      <c r="I243" t="s">
        <v>327</v>
      </c>
      <c r="J243" t="s">
        <v>329</v>
      </c>
      <c r="K243" t="s">
        <v>328</v>
      </c>
      <c r="L243">
        <v>1346</v>
      </c>
      <c r="N243">
        <v>1009</v>
      </c>
      <c r="O243" t="s">
        <v>96</v>
      </c>
      <c r="P243" t="s">
        <v>96</v>
      </c>
      <c r="Q243">
        <v>1</v>
      </c>
      <c r="W243">
        <v>0</v>
      </c>
      <c r="X243">
        <v>-576634648</v>
      </c>
      <c r="Y243">
        <f t="shared" si="96"/>
        <v>540</v>
      </c>
      <c r="AA243">
        <v>28.74</v>
      </c>
      <c r="AB243">
        <v>0</v>
      </c>
      <c r="AC243">
        <v>0</v>
      </c>
      <c r="AD243">
        <v>0</v>
      </c>
      <c r="AE243">
        <v>19.16</v>
      </c>
      <c r="AF243">
        <v>0</v>
      </c>
      <c r="AG243">
        <v>0</v>
      </c>
      <c r="AH243">
        <v>0</v>
      </c>
      <c r="AI243">
        <v>1.5</v>
      </c>
      <c r="AJ243">
        <v>1</v>
      </c>
      <c r="AK243">
        <v>1</v>
      </c>
      <c r="AL243">
        <v>1</v>
      </c>
      <c r="AM243">
        <v>0</v>
      </c>
      <c r="AN243">
        <v>0</v>
      </c>
      <c r="AO243">
        <v>0</v>
      </c>
      <c r="AP243">
        <v>1</v>
      </c>
      <c r="AQ243">
        <v>0</v>
      </c>
      <c r="AR243">
        <v>0</v>
      </c>
      <c r="AS243" t="s">
        <v>3</v>
      </c>
      <c r="AT243">
        <v>540</v>
      </c>
      <c r="AU243" t="s">
        <v>3</v>
      </c>
      <c r="AV243">
        <v>0</v>
      </c>
      <c r="AW243">
        <v>1</v>
      </c>
      <c r="AX243">
        <v>-1</v>
      </c>
      <c r="AY243">
        <v>0</v>
      </c>
      <c r="AZ243">
        <v>0</v>
      </c>
      <c r="BA243" t="s">
        <v>3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CV243">
        <v>0</v>
      </c>
      <c r="CW243">
        <v>0</v>
      </c>
      <c r="CX243">
        <f>ROUND(Y243*Source!I354,7)</f>
        <v>118.8</v>
      </c>
      <c r="CY243">
        <f>AA243</f>
        <v>28.74</v>
      </c>
      <c r="CZ243">
        <f>AE243</f>
        <v>19.16</v>
      </c>
      <c r="DA243">
        <f>AI243</f>
        <v>1.5</v>
      </c>
      <c r="DB243">
        <f t="shared" si="97"/>
        <v>10346.4</v>
      </c>
      <c r="DC243">
        <f t="shared" si="98"/>
        <v>0</v>
      </c>
      <c r="DD243" t="s">
        <v>3</v>
      </c>
      <c r="DE243" t="s">
        <v>3</v>
      </c>
      <c r="DF243">
        <f>ROUND(ROUND(AE243*AI243,2)*CX243,2)</f>
        <v>3414.31</v>
      </c>
      <c r="DG243">
        <f t="shared" si="99"/>
        <v>0</v>
      </c>
      <c r="DH243">
        <f t="shared" si="86"/>
        <v>0</v>
      </c>
      <c r="DI243">
        <f t="shared" si="87"/>
        <v>0</v>
      </c>
      <c r="DJ243">
        <f>DF243</f>
        <v>3414.31</v>
      </c>
      <c r="DK243">
        <v>0</v>
      </c>
      <c r="DL243" t="s">
        <v>3</v>
      </c>
      <c r="DM243">
        <v>0</v>
      </c>
      <c r="DN243" t="s">
        <v>3</v>
      </c>
      <c r="DO243">
        <v>0</v>
      </c>
    </row>
    <row r="244" spans="1:119" x14ac:dyDescent="0.2">
      <c r="A244">
        <f>ROW(Source!A354)</f>
        <v>354</v>
      </c>
      <c r="B244">
        <v>94104265</v>
      </c>
      <c r="C244">
        <v>94238526</v>
      </c>
      <c r="D244">
        <v>87322628</v>
      </c>
      <c r="E244">
        <v>1</v>
      </c>
      <c r="F244">
        <v>1</v>
      </c>
      <c r="G244">
        <v>1</v>
      </c>
      <c r="H244">
        <v>3</v>
      </c>
      <c r="I244" t="s">
        <v>604</v>
      </c>
      <c r="J244" t="s">
        <v>605</v>
      </c>
      <c r="K244" t="s">
        <v>606</v>
      </c>
      <c r="L244">
        <v>1348</v>
      </c>
      <c r="N244">
        <v>1009</v>
      </c>
      <c r="O244" t="s">
        <v>30</v>
      </c>
      <c r="P244" t="s">
        <v>30</v>
      </c>
      <c r="Q244">
        <v>1000</v>
      </c>
      <c r="W244">
        <v>0</v>
      </c>
      <c r="X244">
        <v>1433137339</v>
      </c>
      <c r="Y244">
        <f t="shared" si="96"/>
        <v>0.01</v>
      </c>
      <c r="AA244">
        <v>408660.8</v>
      </c>
      <c r="AB244">
        <v>0</v>
      </c>
      <c r="AC244">
        <v>0</v>
      </c>
      <c r="AD244">
        <v>0</v>
      </c>
      <c r="AE244">
        <v>215084.63</v>
      </c>
      <c r="AF244">
        <v>0</v>
      </c>
      <c r="AG244">
        <v>0</v>
      </c>
      <c r="AH244">
        <v>0</v>
      </c>
      <c r="AI244">
        <v>1.9</v>
      </c>
      <c r="AJ244">
        <v>1</v>
      </c>
      <c r="AK244">
        <v>1</v>
      </c>
      <c r="AL244">
        <v>1</v>
      </c>
      <c r="AM244">
        <v>2</v>
      </c>
      <c r="AN244">
        <v>0</v>
      </c>
      <c r="AO244">
        <v>0</v>
      </c>
      <c r="AP244">
        <v>0</v>
      </c>
      <c r="AQ244">
        <v>1</v>
      </c>
      <c r="AR244">
        <v>0</v>
      </c>
      <c r="AS244" t="s">
        <v>3</v>
      </c>
      <c r="AT244">
        <v>0.01</v>
      </c>
      <c r="AU244" t="s">
        <v>3</v>
      </c>
      <c r="AV244">
        <v>0</v>
      </c>
      <c r="AW244">
        <v>2</v>
      </c>
      <c r="AX244">
        <v>94238534</v>
      </c>
      <c r="AY244">
        <v>1</v>
      </c>
      <c r="AZ244">
        <v>0</v>
      </c>
      <c r="BA244">
        <v>243</v>
      </c>
      <c r="BB244">
        <v>1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2150.8463000000002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1</v>
      </c>
      <c r="BQ244">
        <v>2150.8463000000002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1</v>
      </c>
      <c r="CV244">
        <v>0</v>
      </c>
      <c r="CW244">
        <v>0</v>
      </c>
      <c r="CX244">
        <f>ROUND(Y244*Source!I354,7)</f>
        <v>2.2000000000000001E-3</v>
      </c>
      <c r="CY244">
        <f>AA244</f>
        <v>408660.8</v>
      </c>
      <c r="CZ244">
        <f>AE244</f>
        <v>215084.63</v>
      </c>
      <c r="DA244">
        <f>AI244</f>
        <v>1.9</v>
      </c>
      <c r="DB244">
        <f t="shared" si="97"/>
        <v>2150.85</v>
      </c>
      <c r="DC244">
        <f t="shared" si="98"/>
        <v>0</v>
      </c>
      <c r="DD244" t="s">
        <v>3</v>
      </c>
      <c r="DE244" t="s">
        <v>3</v>
      </c>
      <c r="DF244">
        <f>ROUND(ROUND(AE244*AI244,2)*CX244,2)</f>
        <v>899.05</v>
      </c>
      <c r="DG244">
        <f t="shared" si="99"/>
        <v>0</v>
      </c>
      <c r="DH244">
        <f t="shared" si="86"/>
        <v>0</v>
      </c>
      <c r="DI244">
        <f t="shared" si="87"/>
        <v>0</v>
      </c>
      <c r="DJ244">
        <f>DF244</f>
        <v>899.05</v>
      </c>
      <c r="DK244">
        <v>0</v>
      </c>
      <c r="DL244" t="s">
        <v>3</v>
      </c>
      <c r="DM244">
        <v>0</v>
      </c>
      <c r="DN244" t="s">
        <v>3</v>
      </c>
      <c r="DO244">
        <v>0</v>
      </c>
    </row>
    <row r="245" spans="1:119" x14ac:dyDescent="0.2">
      <c r="A245">
        <f>ROW(Source!A356)</f>
        <v>356</v>
      </c>
      <c r="B245">
        <v>94104265</v>
      </c>
      <c r="C245">
        <v>94238910</v>
      </c>
      <c r="D245">
        <v>87229757</v>
      </c>
      <c r="E245">
        <v>117</v>
      </c>
      <c r="F245">
        <v>1</v>
      </c>
      <c r="G245">
        <v>1</v>
      </c>
      <c r="H245">
        <v>1</v>
      </c>
      <c r="I245" t="s">
        <v>547</v>
      </c>
      <c r="J245" t="s">
        <v>3</v>
      </c>
      <c r="K245" t="s">
        <v>548</v>
      </c>
      <c r="L245">
        <v>1191</v>
      </c>
      <c r="N245">
        <v>1013</v>
      </c>
      <c r="O245" t="s">
        <v>428</v>
      </c>
      <c r="P245" t="s">
        <v>428</v>
      </c>
      <c r="Q245">
        <v>1</v>
      </c>
      <c r="W245">
        <v>0</v>
      </c>
      <c r="X245">
        <v>1426738182</v>
      </c>
      <c r="Y245">
        <f t="shared" si="96"/>
        <v>11.6</v>
      </c>
      <c r="AA245">
        <v>0</v>
      </c>
      <c r="AB245">
        <v>0</v>
      </c>
      <c r="AC245">
        <v>0</v>
      </c>
      <c r="AD245">
        <v>657.42</v>
      </c>
      <c r="AE245">
        <v>0</v>
      </c>
      <c r="AF245">
        <v>0</v>
      </c>
      <c r="AG245">
        <v>0</v>
      </c>
      <c r="AH245">
        <v>657.42</v>
      </c>
      <c r="AI245">
        <v>1</v>
      </c>
      <c r="AJ245">
        <v>1</v>
      </c>
      <c r="AK245">
        <v>1</v>
      </c>
      <c r="AL245">
        <v>1</v>
      </c>
      <c r="AM245">
        <v>-2</v>
      </c>
      <c r="AN245">
        <v>0</v>
      </c>
      <c r="AO245">
        <v>0</v>
      </c>
      <c r="AP245">
        <v>0</v>
      </c>
      <c r="AQ245">
        <v>1</v>
      </c>
      <c r="AR245">
        <v>0</v>
      </c>
      <c r="AS245" t="s">
        <v>3</v>
      </c>
      <c r="AT245">
        <v>11.6</v>
      </c>
      <c r="AU245" t="s">
        <v>3</v>
      </c>
      <c r="AV245">
        <v>1</v>
      </c>
      <c r="AW245">
        <v>2</v>
      </c>
      <c r="AX245">
        <v>94238911</v>
      </c>
      <c r="AY245">
        <v>1</v>
      </c>
      <c r="AZ245">
        <v>0</v>
      </c>
      <c r="BA245">
        <v>244</v>
      </c>
      <c r="BB245">
        <v>1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7626.0719999999992</v>
      </c>
      <c r="BN245">
        <v>11.6</v>
      </c>
      <c r="BO245">
        <v>0</v>
      </c>
      <c r="BP245">
        <v>1</v>
      </c>
      <c r="BQ245">
        <v>0</v>
      </c>
      <c r="BR245">
        <v>0</v>
      </c>
      <c r="BS245">
        <v>0</v>
      </c>
      <c r="BT245">
        <v>7626.0719999999992</v>
      </c>
      <c r="BU245">
        <v>11.6</v>
      </c>
      <c r="BV245">
        <v>0</v>
      </c>
      <c r="BW245">
        <v>1</v>
      </c>
      <c r="CU245">
        <f>ROUND(AT245*Source!I356*AH245*AL245,2)</f>
        <v>1677.74</v>
      </c>
      <c r="CV245">
        <f>ROUND(Y245*Source!I356,7)</f>
        <v>2.552</v>
      </c>
      <c r="CW245">
        <v>0</v>
      </c>
      <c r="CX245">
        <f>ROUND(Y245*Source!I356,7)</f>
        <v>2.552</v>
      </c>
      <c r="CY245">
        <f>AD245</f>
        <v>657.42</v>
      </c>
      <c r="CZ245">
        <f>AH245</f>
        <v>657.42</v>
      </c>
      <c r="DA245">
        <f>AL245</f>
        <v>1</v>
      </c>
      <c r="DB245">
        <f t="shared" si="97"/>
        <v>7626.07</v>
      </c>
      <c r="DC245">
        <f t="shared" si="98"/>
        <v>0</v>
      </c>
      <c r="DD245" t="s">
        <v>3</v>
      </c>
      <c r="DE245" t="s">
        <v>3</v>
      </c>
      <c r="DF245">
        <f t="shared" ref="DF245:DF250" si="100">ROUND(ROUND(AE245,2)*CX245,2)</f>
        <v>0</v>
      </c>
      <c r="DG245">
        <f t="shared" si="99"/>
        <v>0</v>
      </c>
      <c r="DH245">
        <f t="shared" si="86"/>
        <v>0</v>
      </c>
      <c r="DI245">
        <f t="shared" si="87"/>
        <v>1677.74</v>
      </c>
      <c r="DJ245">
        <f>DI245</f>
        <v>1677.74</v>
      </c>
      <c r="DK245">
        <v>1</v>
      </c>
      <c r="DL245" t="s">
        <v>3</v>
      </c>
      <c r="DM245">
        <v>0</v>
      </c>
      <c r="DN245" t="s">
        <v>3</v>
      </c>
      <c r="DO245">
        <v>0</v>
      </c>
    </row>
    <row r="246" spans="1:119" x14ac:dyDescent="0.2">
      <c r="A246">
        <f>ROW(Source!A356)</f>
        <v>356</v>
      </c>
      <c r="B246">
        <v>94104265</v>
      </c>
      <c r="C246">
        <v>94238910</v>
      </c>
      <c r="D246">
        <v>87229949</v>
      </c>
      <c r="E246">
        <v>117</v>
      </c>
      <c r="F246">
        <v>1</v>
      </c>
      <c r="G246">
        <v>1</v>
      </c>
      <c r="H246">
        <v>1</v>
      </c>
      <c r="I246" t="s">
        <v>429</v>
      </c>
      <c r="J246" t="s">
        <v>3</v>
      </c>
      <c r="K246" t="s">
        <v>430</v>
      </c>
      <c r="L246">
        <v>1191</v>
      </c>
      <c r="N246">
        <v>1013</v>
      </c>
      <c r="O246" t="s">
        <v>428</v>
      </c>
      <c r="P246" t="s">
        <v>428</v>
      </c>
      <c r="Q246">
        <v>1</v>
      </c>
      <c r="W246">
        <v>0</v>
      </c>
      <c r="X246">
        <v>-1417349443</v>
      </c>
      <c r="Y246">
        <f t="shared" si="96"/>
        <v>0.08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1</v>
      </c>
      <c r="AJ246">
        <v>1</v>
      </c>
      <c r="AK246">
        <v>1</v>
      </c>
      <c r="AL246">
        <v>1</v>
      </c>
      <c r="AM246">
        <v>-2</v>
      </c>
      <c r="AN246">
        <v>0</v>
      </c>
      <c r="AO246">
        <v>0</v>
      </c>
      <c r="AP246">
        <v>0</v>
      </c>
      <c r="AQ246">
        <v>1</v>
      </c>
      <c r="AR246">
        <v>0</v>
      </c>
      <c r="AS246" t="s">
        <v>3</v>
      </c>
      <c r="AT246">
        <v>0.08</v>
      </c>
      <c r="AU246" t="s">
        <v>3</v>
      </c>
      <c r="AV246">
        <v>2</v>
      </c>
      <c r="AW246">
        <v>2</v>
      </c>
      <c r="AX246">
        <v>94238912</v>
      </c>
      <c r="AY246">
        <v>1</v>
      </c>
      <c r="AZ246">
        <v>0</v>
      </c>
      <c r="BA246">
        <v>245</v>
      </c>
      <c r="BB246">
        <v>1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CV246">
        <v>0</v>
      </c>
      <c r="CW246">
        <v>0</v>
      </c>
      <c r="CX246">
        <f>ROUND(Y246*Source!I356,7)</f>
        <v>1.7600000000000001E-2</v>
      </c>
      <c r="CY246">
        <f>AD246</f>
        <v>0</v>
      </c>
      <c r="CZ246">
        <f>AH246</f>
        <v>0</v>
      </c>
      <c r="DA246">
        <f>AL246</f>
        <v>1</v>
      </c>
      <c r="DB246">
        <f t="shared" si="97"/>
        <v>0</v>
      </c>
      <c r="DC246">
        <f t="shared" si="98"/>
        <v>0</v>
      </c>
      <c r="DD246" t="s">
        <v>3</v>
      </c>
      <c r="DE246" t="s">
        <v>3</v>
      </c>
      <c r="DF246">
        <f t="shared" si="100"/>
        <v>0</v>
      </c>
      <c r="DG246">
        <f t="shared" si="99"/>
        <v>0</v>
      </c>
      <c r="DH246">
        <f t="shared" si="86"/>
        <v>0</v>
      </c>
      <c r="DI246">
        <f t="shared" si="87"/>
        <v>0</v>
      </c>
      <c r="DJ246">
        <f>DI246</f>
        <v>0</v>
      </c>
      <c r="DK246">
        <v>0</v>
      </c>
      <c r="DL246" t="s">
        <v>3</v>
      </c>
      <c r="DM246">
        <v>0</v>
      </c>
      <c r="DN246" t="s">
        <v>3</v>
      </c>
      <c r="DO246">
        <v>0</v>
      </c>
    </row>
    <row r="247" spans="1:119" x14ac:dyDescent="0.2">
      <c r="A247">
        <f>ROW(Source!A356)</f>
        <v>356</v>
      </c>
      <c r="B247">
        <v>94104265</v>
      </c>
      <c r="C247">
        <v>94238910</v>
      </c>
      <c r="D247">
        <v>87236577</v>
      </c>
      <c r="E247">
        <v>1</v>
      </c>
      <c r="F247">
        <v>1</v>
      </c>
      <c r="G247">
        <v>1</v>
      </c>
      <c r="H247">
        <v>2</v>
      </c>
      <c r="I247" t="s">
        <v>538</v>
      </c>
      <c r="J247" t="s">
        <v>539</v>
      </c>
      <c r="K247" t="s">
        <v>540</v>
      </c>
      <c r="L247">
        <v>1368</v>
      </c>
      <c r="N247">
        <v>1011</v>
      </c>
      <c r="O247" t="s">
        <v>434</v>
      </c>
      <c r="P247" t="s">
        <v>434</v>
      </c>
      <c r="Q247">
        <v>1</v>
      </c>
      <c r="W247">
        <v>0</v>
      </c>
      <c r="X247">
        <v>453228636</v>
      </c>
      <c r="Y247">
        <f t="shared" si="96"/>
        <v>0.09</v>
      </c>
      <c r="AA247">
        <v>0</v>
      </c>
      <c r="AB247">
        <v>9.93</v>
      </c>
      <c r="AC247">
        <v>0</v>
      </c>
      <c r="AD247">
        <v>0</v>
      </c>
      <c r="AE247">
        <v>0</v>
      </c>
      <c r="AF247">
        <v>6.62</v>
      </c>
      <c r="AG247">
        <v>0</v>
      </c>
      <c r="AH247">
        <v>0</v>
      </c>
      <c r="AI247">
        <v>1</v>
      </c>
      <c r="AJ247">
        <v>1.5</v>
      </c>
      <c r="AK247">
        <v>1</v>
      </c>
      <c r="AL247">
        <v>1</v>
      </c>
      <c r="AM247">
        <v>2</v>
      </c>
      <c r="AN247">
        <v>0</v>
      </c>
      <c r="AO247">
        <v>0</v>
      </c>
      <c r="AP247">
        <v>0</v>
      </c>
      <c r="AQ247">
        <v>1</v>
      </c>
      <c r="AR247">
        <v>0</v>
      </c>
      <c r="AS247" t="s">
        <v>3</v>
      </c>
      <c r="AT247">
        <v>0.09</v>
      </c>
      <c r="AU247" t="s">
        <v>3</v>
      </c>
      <c r="AV247">
        <v>1</v>
      </c>
      <c r="AW247">
        <v>2</v>
      </c>
      <c r="AX247">
        <v>94238913</v>
      </c>
      <c r="AY247">
        <v>1</v>
      </c>
      <c r="AZ247">
        <v>0</v>
      </c>
      <c r="BA247">
        <v>246</v>
      </c>
      <c r="BB247">
        <v>1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0.5958</v>
      </c>
      <c r="BL247">
        <v>0</v>
      </c>
      <c r="BM247">
        <v>0</v>
      </c>
      <c r="BN247">
        <v>0</v>
      </c>
      <c r="BO247">
        <v>0</v>
      </c>
      <c r="BP247">
        <v>1</v>
      </c>
      <c r="BQ247">
        <v>0</v>
      </c>
      <c r="BR247">
        <v>0.5958</v>
      </c>
      <c r="BS247">
        <v>0</v>
      </c>
      <c r="BT247">
        <v>0</v>
      </c>
      <c r="BU247">
        <v>0</v>
      </c>
      <c r="BV247">
        <v>0</v>
      </c>
      <c r="BW247">
        <v>1</v>
      </c>
      <c r="CV247">
        <v>0</v>
      </c>
      <c r="CW247">
        <f>ROUND(Y247*Source!I356*DO247,7)</f>
        <v>0</v>
      </c>
      <c r="CX247">
        <f>ROUND(Y247*Source!I356,7)</f>
        <v>1.9800000000000002E-2</v>
      </c>
      <c r="CY247">
        <f>AB247</f>
        <v>9.93</v>
      </c>
      <c r="CZ247">
        <f>AF247</f>
        <v>6.62</v>
      </c>
      <c r="DA247">
        <f>AJ247</f>
        <v>1.5</v>
      </c>
      <c r="DB247">
        <f t="shared" si="97"/>
        <v>0.6</v>
      </c>
      <c r="DC247">
        <f t="shared" si="98"/>
        <v>0</v>
      </c>
      <c r="DD247" t="s">
        <v>3</v>
      </c>
      <c r="DE247" t="s">
        <v>3</v>
      </c>
      <c r="DF247">
        <f t="shared" si="100"/>
        <v>0</v>
      </c>
      <c r="DG247">
        <f>ROUND(ROUND(AF247*AJ247,2)*CX247,2)</f>
        <v>0.2</v>
      </c>
      <c r="DH247">
        <f t="shared" si="86"/>
        <v>0</v>
      </c>
      <c r="DI247">
        <f t="shared" si="87"/>
        <v>0</v>
      </c>
      <c r="DJ247">
        <f>DG247+DH247</f>
        <v>0.2</v>
      </c>
      <c r="DK247">
        <v>0</v>
      </c>
      <c r="DL247" t="s">
        <v>3</v>
      </c>
      <c r="DM247">
        <v>0</v>
      </c>
      <c r="DN247" t="s">
        <v>3</v>
      </c>
      <c r="DO247">
        <v>0</v>
      </c>
    </row>
    <row r="248" spans="1:119" x14ac:dyDescent="0.2">
      <c r="A248">
        <f>ROW(Source!A356)</f>
        <v>356</v>
      </c>
      <c r="B248">
        <v>94104265</v>
      </c>
      <c r="C248">
        <v>94238910</v>
      </c>
      <c r="D248">
        <v>87237333</v>
      </c>
      <c r="E248">
        <v>1</v>
      </c>
      <c r="F248">
        <v>1</v>
      </c>
      <c r="G248">
        <v>1</v>
      </c>
      <c r="H248">
        <v>2</v>
      </c>
      <c r="I248" t="s">
        <v>463</v>
      </c>
      <c r="J248" t="s">
        <v>464</v>
      </c>
      <c r="K248" t="s">
        <v>465</v>
      </c>
      <c r="L248">
        <v>1368</v>
      </c>
      <c r="N248">
        <v>1011</v>
      </c>
      <c r="O248" t="s">
        <v>434</v>
      </c>
      <c r="P248" t="s">
        <v>434</v>
      </c>
      <c r="Q248">
        <v>1</v>
      </c>
      <c r="W248">
        <v>0</v>
      </c>
      <c r="X248">
        <v>-849950259</v>
      </c>
      <c r="Y248">
        <f t="shared" si="96"/>
        <v>0.08</v>
      </c>
      <c r="AA248">
        <v>0</v>
      </c>
      <c r="AB248">
        <v>544.91999999999996</v>
      </c>
      <c r="AC248">
        <v>731.08</v>
      </c>
      <c r="AD248">
        <v>0</v>
      </c>
      <c r="AE248">
        <v>0</v>
      </c>
      <c r="AF248">
        <v>544.91999999999996</v>
      </c>
      <c r="AG248">
        <v>731.08</v>
      </c>
      <c r="AH248">
        <v>0</v>
      </c>
      <c r="AI248">
        <v>1</v>
      </c>
      <c r="AJ248">
        <v>1</v>
      </c>
      <c r="AK248">
        <v>1</v>
      </c>
      <c r="AL248">
        <v>1</v>
      </c>
      <c r="AM248">
        <v>-2</v>
      </c>
      <c r="AN248">
        <v>0</v>
      </c>
      <c r="AO248">
        <v>0</v>
      </c>
      <c r="AP248">
        <v>0</v>
      </c>
      <c r="AQ248">
        <v>1</v>
      </c>
      <c r="AR248">
        <v>0</v>
      </c>
      <c r="AS248" t="s">
        <v>3</v>
      </c>
      <c r="AT248">
        <v>0.08</v>
      </c>
      <c r="AU248" t="s">
        <v>3</v>
      </c>
      <c r="AV248">
        <v>1</v>
      </c>
      <c r="AW248">
        <v>2</v>
      </c>
      <c r="AX248">
        <v>94238914</v>
      </c>
      <c r="AY248">
        <v>1</v>
      </c>
      <c r="AZ248">
        <v>0</v>
      </c>
      <c r="BA248">
        <v>247</v>
      </c>
      <c r="BB248">
        <v>1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43.593599999999995</v>
      </c>
      <c r="BL248">
        <v>58.486400000000003</v>
      </c>
      <c r="BM248">
        <v>0</v>
      </c>
      <c r="BN248">
        <v>0</v>
      </c>
      <c r="BO248">
        <v>0.08</v>
      </c>
      <c r="BP248">
        <v>1</v>
      </c>
      <c r="BQ248">
        <v>0</v>
      </c>
      <c r="BR248">
        <v>43.593599999999995</v>
      </c>
      <c r="BS248">
        <v>58.486400000000003</v>
      </c>
      <c r="BT248">
        <v>0</v>
      </c>
      <c r="BU248">
        <v>0</v>
      </c>
      <c r="BV248">
        <v>0.08</v>
      </c>
      <c r="BW248">
        <v>1</v>
      </c>
      <c r="CV248">
        <v>0</v>
      </c>
      <c r="CW248">
        <f>ROUND(Y248*Source!I356*DO248,7)</f>
        <v>1.7600000000000001E-2</v>
      </c>
      <c r="CX248">
        <f>ROUND(Y248*Source!I356,7)</f>
        <v>1.7600000000000001E-2</v>
      </c>
      <c r="CY248">
        <f>AB248</f>
        <v>544.91999999999996</v>
      </c>
      <c r="CZ248">
        <f>AF248</f>
        <v>544.91999999999996</v>
      </c>
      <c r="DA248">
        <f>AJ248</f>
        <v>1</v>
      </c>
      <c r="DB248">
        <f t="shared" si="97"/>
        <v>43.59</v>
      </c>
      <c r="DC248">
        <f t="shared" si="98"/>
        <v>58.49</v>
      </c>
      <c r="DD248" t="s">
        <v>3</v>
      </c>
      <c r="DE248" t="s">
        <v>3</v>
      </c>
      <c r="DF248">
        <f t="shared" si="100"/>
        <v>0</v>
      </c>
      <c r="DG248">
        <f>ROUND(ROUND(AF248,2)*CX248,2)</f>
        <v>9.59</v>
      </c>
      <c r="DH248">
        <f t="shared" si="86"/>
        <v>12.87</v>
      </c>
      <c r="DI248">
        <f t="shared" si="87"/>
        <v>0</v>
      </c>
      <c r="DJ248">
        <f>DG248+DH248</f>
        <v>22.46</v>
      </c>
      <c r="DK248">
        <v>1</v>
      </c>
      <c r="DL248" t="s">
        <v>466</v>
      </c>
      <c r="DM248">
        <v>4</v>
      </c>
      <c r="DN248" t="s">
        <v>428</v>
      </c>
      <c r="DO248">
        <v>1</v>
      </c>
    </row>
    <row r="249" spans="1:119" x14ac:dyDescent="0.2">
      <c r="A249">
        <f>ROW(Source!A356)</f>
        <v>356</v>
      </c>
      <c r="B249">
        <v>94104265</v>
      </c>
      <c r="C249">
        <v>94238910</v>
      </c>
      <c r="D249">
        <v>87237544</v>
      </c>
      <c r="E249">
        <v>1</v>
      </c>
      <c r="F249">
        <v>1</v>
      </c>
      <c r="G249">
        <v>1</v>
      </c>
      <c r="H249">
        <v>2</v>
      </c>
      <c r="I249" t="s">
        <v>549</v>
      </c>
      <c r="J249" t="s">
        <v>550</v>
      </c>
      <c r="K249" t="s">
        <v>551</v>
      </c>
      <c r="L249">
        <v>1368</v>
      </c>
      <c r="N249">
        <v>1011</v>
      </c>
      <c r="O249" t="s">
        <v>434</v>
      </c>
      <c r="P249" t="s">
        <v>434</v>
      </c>
      <c r="Q249">
        <v>1</v>
      </c>
      <c r="W249">
        <v>0</v>
      </c>
      <c r="X249">
        <v>716025848</v>
      </c>
      <c r="Y249">
        <f t="shared" si="96"/>
        <v>5.2</v>
      </c>
      <c r="AA249">
        <v>0</v>
      </c>
      <c r="AB249">
        <v>15.41</v>
      </c>
      <c r="AC249">
        <v>0</v>
      </c>
      <c r="AD249">
        <v>0</v>
      </c>
      <c r="AE249">
        <v>0</v>
      </c>
      <c r="AF249">
        <v>11.85</v>
      </c>
      <c r="AG249">
        <v>0</v>
      </c>
      <c r="AH249">
        <v>0</v>
      </c>
      <c r="AI249">
        <v>1</v>
      </c>
      <c r="AJ249">
        <v>1.3</v>
      </c>
      <c r="AK249">
        <v>1</v>
      </c>
      <c r="AL249">
        <v>1</v>
      </c>
      <c r="AM249">
        <v>2</v>
      </c>
      <c r="AN249">
        <v>0</v>
      </c>
      <c r="AO249">
        <v>0</v>
      </c>
      <c r="AP249">
        <v>0</v>
      </c>
      <c r="AQ249">
        <v>1</v>
      </c>
      <c r="AR249">
        <v>0</v>
      </c>
      <c r="AS249" t="s">
        <v>3</v>
      </c>
      <c r="AT249">
        <v>5.2</v>
      </c>
      <c r="AU249" t="s">
        <v>3</v>
      </c>
      <c r="AV249">
        <v>1</v>
      </c>
      <c r="AW249">
        <v>2</v>
      </c>
      <c r="AX249">
        <v>94238915</v>
      </c>
      <c r="AY249">
        <v>1</v>
      </c>
      <c r="AZ249">
        <v>0</v>
      </c>
      <c r="BA249">
        <v>248</v>
      </c>
      <c r="BB249">
        <v>1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61.62</v>
      </c>
      <c r="BL249">
        <v>0</v>
      </c>
      <c r="BM249">
        <v>0</v>
      </c>
      <c r="BN249">
        <v>0</v>
      </c>
      <c r="BO249">
        <v>0</v>
      </c>
      <c r="BP249">
        <v>1</v>
      </c>
      <c r="BQ249">
        <v>0</v>
      </c>
      <c r="BR249">
        <v>61.62</v>
      </c>
      <c r="BS249">
        <v>0</v>
      </c>
      <c r="BT249">
        <v>0</v>
      </c>
      <c r="BU249">
        <v>0</v>
      </c>
      <c r="BV249">
        <v>0</v>
      </c>
      <c r="BW249">
        <v>1</v>
      </c>
      <c r="CV249">
        <v>0</v>
      </c>
      <c r="CW249">
        <f>ROUND(Y249*Source!I356*DO249,7)</f>
        <v>0</v>
      </c>
      <c r="CX249">
        <f>ROUND(Y249*Source!I356,7)</f>
        <v>1.1439999999999999</v>
      </c>
      <c r="CY249">
        <f>AB249</f>
        <v>15.41</v>
      </c>
      <c r="CZ249">
        <f>AF249</f>
        <v>11.85</v>
      </c>
      <c r="DA249">
        <f>AJ249</f>
        <v>1.3</v>
      </c>
      <c r="DB249">
        <f t="shared" si="97"/>
        <v>61.62</v>
      </c>
      <c r="DC249">
        <f t="shared" si="98"/>
        <v>0</v>
      </c>
      <c r="DD249" t="s">
        <v>3</v>
      </c>
      <c r="DE249" t="s">
        <v>3</v>
      </c>
      <c r="DF249">
        <f t="shared" si="100"/>
        <v>0</v>
      </c>
      <c r="DG249">
        <f>ROUND(ROUND(AF249*AJ249,2)*CX249,2)</f>
        <v>17.63</v>
      </c>
      <c r="DH249">
        <f t="shared" si="86"/>
        <v>0</v>
      </c>
      <c r="DI249">
        <f t="shared" si="87"/>
        <v>0</v>
      </c>
      <c r="DJ249">
        <f>DG249+DH249</f>
        <v>17.63</v>
      </c>
      <c r="DK249">
        <v>0</v>
      </c>
      <c r="DL249" t="s">
        <v>3</v>
      </c>
      <c r="DM249">
        <v>0</v>
      </c>
      <c r="DN249" t="s">
        <v>3</v>
      </c>
      <c r="DO249">
        <v>0</v>
      </c>
    </row>
    <row r="250" spans="1:119" x14ac:dyDescent="0.2">
      <c r="A250">
        <f>ROW(Source!A356)</f>
        <v>356</v>
      </c>
      <c r="B250">
        <v>94104265</v>
      </c>
      <c r="C250">
        <v>94238910</v>
      </c>
      <c r="D250">
        <v>87237890</v>
      </c>
      <c r="E250">
        <v>1</v>
      </c>
      <c r="F250">
        <v>1</v>
      </c>
      <c r="G250">
        <v>1</v>
      </c>
      <c r="H250">
        <v>2</v>
      </c>
      <c r="I250" t="s">
        <v>552</v>
      </c>
      <c r="J250" t="s">
        <v>553</v>
      </c>
      <c r="K250" t="s">
        <v>554</v>
      </c>
      <c r="L250">
        <v>1368</v>
      </c>
      <c r="N250">
        <v>1011</v>
      </c>
      <c r="O250" t="s">
        <v>434</v>
      </c>
      <c r="P250" t="s">
        <v>434</v>
      </c>
      <c r="Q250">
        <v>1</v>
      </c>
      <c r="W250">
        <v>0</v>
      </c>
      <c r="X250">
        <v>-132886196</v>
      </c>
      <c r="Y250">
        <f t="shared" si="96"/>
        <v>10.4</v>
      </c>
      <c r="AA250">
        <v>0</v>
      </c>
      <c r="AB250">
        <v>5.79</v>
      </c>
      <c r="AC250">
        <v>0</v>
      </c>
      <c r="AD250">
        <v>0</v>
      </c>
      <c r="AE250">
        <v>0</v>
      </c>
      <c r="AF250">
        <v>4.5199999999999996</v>
      </c>
      <c r="AG250">
        <v>0</v>
      </c>
      <c r="AH250">
        <v>0</v>
      </c>
      <c r="AI250">
        <v>1</v>
      </c>
      <c r="AJ250">
        <v>1.28</v>
      </c>
      <c r="AK250">
        <v>1</v>
      </c>
      <c r="AL250">
        <v>1</v>
      </c>
      <c r="AM250">
        <v>2</v>
      </c>
      <c r="AN250">
        <v>0</v>
      </c>
      <c r="AO250">
        <v>0</v>
      </c>
      <c r="AP250">
        <v>0</v>
      </c>
      <c r="AQ250">
        <v>1</v>
      </c>
      <c r="AR250">
        <v>0</v>
      </c>
      <c r="AS250" t="s">
        <v>3</v>
      </c>
      <c r="AT250">
        <v>10.4</v>
      </c>
      <c r="AU250" t="s">
        <v>3</v>
      </c>
      <c r="AV250">
        <v>1</v>
      </c>
      <c r="AW250">
        <v>2</v>
      </c>
      <c r="AX250">
        <v>94238916</v>
      </c>
      <c r="AY250">
        <v>1</v>
      </c>
      <c r="AZ250">
        <v>0</v>
      </c>
      <c r="BA250">
        <v>249</v>
      </c>
      <c r="BB250">
        <v>1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47.007999999999996</v>
      </c>
      <c r="BL250">
        <v>0</v>
      </c>
      <c r="BM250">
        <v>0</v>
      </c>
      <c r="BN250">
        <v>0</v>
      </c>
      <c r="BO250">
        <v>0</v>
      </c>
      <c r="BP250">
        <v>1</v>
      </c>
      <c r="BQ250">
        <v>0</v>
      </c>
      <c r="BR250">
        <v>47.007999999999996</v>
      </c>
      <c r="BS250">
        <v>0</v>
      </c>
      <c r="BT250">
        <v>0</v>
      </c>
      <c r="BU250">
        <v>0</v>
      </c>
      <c r="BV250">
        <v>0</v>
      </c>
      <c r="BW250">
        <v>1</v>
      </c>
      <c r="CV250">
        <v>0</v>
      </c>
      <c r="CW250">
        <f>ROUND(Y250*Source!I356*DO250,7)</f>
        <v>0</v>
      </c>
      <c r="CX250">
        <f>ROUND(Y250*Source!I356,7)</f>
        <v>2.2879999999999998</v>
      </c>
      <c r="CY250">
        <f>AB250</f>
        <v>5.79</v>
      </c>
      <c r="CZ250">
        <f>AF250</f>
        <v>4.5199999999999996</v>
      </c>
      <c r="DA250">
        <f>AJ250</f>
        <v>1.28</v>
      </c>
      <c r="DB250">
        <f t="shared" si="97"/>
        <v>47.01</v>
      </c>
      <c r="DC250">
        <f t="shared" si="98"/>
        <v>0</v>
      </c>
      <c r="DD250" t="s">
        <v>3</v>
      </c>
      <c r="DE250" t="s">
        <v>3</v>
      </c>
      <c r="DF250">
        <f t="shared" si="100"/>
        <v>0</v>
      </c>
      <c r="DG250">
        <f>ROUND(ROUND(AF250*AJ250,2)*CX250,2)</f>
        <v>13.25</v>
      </c>
      <c r="DH250">
        <f t="shared" si="86"/>
        <v>0</v>
      </c>
      <c r="DI250">
        <f t="shared" si="87"/>
        <v>0</v>
      </c>
      <c r="DJ250">
        <f>DG250+DH250</f>
        <v>13.25</v>
      </c>
      <c r="DK250">
        <v>0</v>
      </c>
      <c r="DL250" t="s">
        <v>3</v>
      </c>
      <c r="DM250">
        <v>0</v>
      </c>
      <c r="DN250" t="s">
        <v>3</v>
      </c>
      <c r="DO250">
        <v>0</v>
      </c>
    </row>
    <row r="251" spans="1:119" x14ac:dyDescent="0.2">
      <c r="A251">
        <f>ROW(Source!A356)</f>
        <v>356</v>
      </c>
      <c r="B251">
        <v>94104265</v>
      </c>
      <c r="C251">
        <v>94238910</v>
      </c>
      <c r="D251">
        <v>87306751</v>
      </c>
      <c r="E251">
        <v>1</v>
      </c>
      <c r="F251">
        <v>1</v>
      </c>
      <c r="G251">
        <v>1</v>
      </c>
      <c r="H251">
        <v>3</v>
      </c>
      <c r="I251" t="s">
        <v>519</v>
      </c>
      <c r="J251" t="s">
        <v>520</v>
      </c>
      <c r="K251" t="s">
        <v>521</v>
      </c>
      <c r="L251">
        <v>1346</v>
      </c>
      <c r="N251">
        <v>1009</v>
      </c>
      <c r="O251" t="s">
        <v>96</v>
      </c>
      <c r="P251" t="s">
        <v>96</v>
      </c>
      <c r="Q251">
        <v>1</v>
      </c>
      <c r="W251">
        <v>0</v>
      </c>
      <c r="X251">
        <v>-373327139</v>
      </c>
      <c r="Y251">
        <f t="shared" si="96"/>
        <v>0.41</v>
      </c>
      <c r="AA251">
        <v>89.78</v>
      </c>
      <c r="AB251">
        <v>0</v>
      </c>
      <c r="AC251">
        <v>0</v>
      </c>
      <c r="AD251">
        <v>0</v>
      </c>
      <c r="AE251">
        <v>56.11</v>
      </c>
      <c r="AF251">
        <v>0</v>
      </c>
      <c r="AG251">
        <v>0</v>
      </c>
      <c r="AH251">
        <v>0</v>
      </c>
      <c r="AI251">
        <v>1.6</v>
      </c>
      <c r="AJ251">
        <v>1</v>
      </c>
      <c r="AK251">
        <v>1</v>
      </c>
      <c r="AL251">
        <v>1</v>
      </c>
      <c r="AM251">
        <v>2</v>
      </c>
      <c r="AN251">
        <v>0</v>
      </c>
      <c r="AO251">
        <v>0</v>
      </c>
      <c r="AP251">
        <v>0</v>
      </c>
      <c r="AQ251">
        <v>1</v>
      </c>
      <c r="AR251">
        <v>0</v>
      </c>
      <c r="AS251" t="s">
        <v>3</v>
      </c>
      <c r="AT251">
        <v>0.41</v>
      </c>
      <c r="AU251" t="s">
        <v>3</v>
      </c>
      <c r="AV251">
        <v>0</v>
      </c>
      <c r="AW251">
        <v>2</v>
      </c>
      <c r="AX251">
        <v>94238917</v>
      </c>
      <c r="AY251">
        <v>1</v>
      </c>
      <c r="AZ251">
        <v>0</v>
      </c>
      <c r="BA251">
        <v>250</v>
      </c>
      <c r="BB251">
        <v>1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23.005099999999999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1</v>
      </c>
      <c r="BQ251">
        <v>23.005099999999999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1</v>
      </c>
      <c r="CV251">
        <v>0</v>
      </c>
      <c r="CW251">
        <v>0</v>
      </c>
      <c r="CX251">
        <f>ROUND(Y251*Source!I356,7)</f>
        <v>9.0200000000000002E-2</v>
      </c>
      <c r="CY251">
        <f>AA251</f>
        <v>89.78</v>
      </c>
      <c r="CZ251">
        <f>AE251</f>
        <v>56.11</v>
      </c>
      <c r="DA251">
        <f>AI251</f>
        <v>1.6</v>
      </c>
      <c r="DB251">
        <f t="shared" si="97"/>
        <v>23.01</v>
      </c>
      <c r="DC251">
        <f t="shared" si="98"/>
        <v>0</v>
      </c>
      <c r="DD251" t="s">
        <v>3</v>
      </c>
      <c r="DE251" t="s">
        <v>3</v>
      </c>
      <c r="DF251">
        <f>ROUND(ROUND(AE251*AI251,2)*CX251,2)</f>
        <v>8.1</v>
      </c>
      <c r="DG251">
        <f t="shared" ref="DG251:DG256" si="101">ROUND(ROUND(AF251,2)*CX251,2)</f>
        <v>0</v>
      </c>
      <c r="DH251">
        <f t="shared" si="86"/>
        <v>0</v>
      </c>
      <c r="DI251">
        <f t="shared" si="87"/>
        <v>0</v>
      </c>
      <c r="DJ251">
        <f>DF251</f>
        <v>8.1</v>
      </c>
      <c r="DK251">
        <v>0</v>
      </c>
      <c r="DL251" t="s">
        <v>3</v>
      </c>
      <c r="DM251">
        <v>0</v>
      </c>
      <c r="DN251" t="s">
        <v>3</v>
      </c>
      <c r="DO251">
        <v>0</v>
      </c>
    </row>
    <row r="252" spans="1:119" x14ac:dyDescent="0.2">
      <c r="A252">
        <f>ROW(Source!A356)</f>
        <v>356</v>
      </c>
      <c r="B252">
        <v>94104265</v>
      </c>
      <c r="C252">
        <v>94238910</v>
      </c>
      <c r="D252">
        <v>90250859</v>
      </c>
      <c r="E252">
        <v>1</v>
      </c>
      <c r="F252">
        <v>1</v>
      </c>
      <c r="G252">
        <v>1</v>
      </c>
      <c r="H252">
        <v>3</v>
      </c>
      <c r="I252" t="s">
        <v>126</v>
      </c>
      <c r="J252" t="s">
        <v>128</v>
      </c>
      <c r="K252" t="s">
        <v>127</v>
      </c>
      <c r="L252">
        <v>1348</v>
      </c>
      <c r="N252">
        <v>1009</v>
      </c>
      <c r="O252" t="s">
        <v>30</v>
      </c>
      <c r="P252" t="s">
        <v>30</v>
      </c>
      <c r="Q252">
        <v>1000</v>
      </c>
      <c r="W252">
        <v>0</v>
      </c>
      <c r="X252">
        <v>-1162192685</v>
      </c>
      <c r="Y252">
        <f t="shared" si="96"/>
        <v>5.3800000000000001E-2</v>
      </c>
      <c r="AA252">
        <v>130636.64</v>
      </c>
      <c r="AB252">
        <v>0</v>
      </c>
      <c r="AC252">
        <v>0</v>
      </c>
      <c r="AD252">
        <v>0</v>
      </c>
      <c r="AE252">
        <v>119850.13</v>
      </c>
      <c r="AF252">
        <v>0</v>
      </c>
      <c r="AG252">
        <v>0</v>
      </c>
      <c r="AH252">
        <v>0</v>
      </c>
      <c r="AI252">
        <v>1.0900000000000001</v>
      </c>
      <c r="AJ252">
        <v>1</v>
      </c>
      <c r="AK252">
        <v>1</v>
      </c>
      <c r="AL252">
        <v>1</v>
      </c>
      <c r="AM252">
        <v>0</v>
      </c>
      <c r="AN252">
        <v>0</v>
      </c>
      <c r="AO252">
        <v>0</v>
      </c>
      <c r="AP252">
        <v>1</v>
      </c>
      <c r="AQ252">
        <v>0</v>
      </c>
      <c r="AR252">
        <v>0</v>
      </c>
      <c r="AS252" t="s">
        <v>3</v>
      </c>
      <c r="AT252">
        <v>5.3800000000000001E-2</v>
      </c>
      <c r="AU252" t="s">
        <v>3</v>
      </c>
      <c r="AV252">
        <v>0</v>
      </c>
      <c r="AW252">
        <v>1</v>
      </c>
      <c r="AX252">
        <v>-1</v>
      </c>
      <c r="AY252">
        <v>0</v>
      </c>
      <c r="AZ252">
        <v>0</v>
      </c>
      <c r="BA252" t="s">
        <v>3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CV252">
        <v>0</v>
      </c>
      <c r="CW252">
        <v>0</v>
      </c>
      <c r="CX252">
        <f>ROUND(Y252*Source!I356,7)</f>
        <v>1.1835999999999999E-2</v>
      </c>
      <c r="CY252">
        <f>AA252</f>
        <v>130636.64</v>
      </c>
      <c r="CZ252">
        <f>AE252</f>
        <v>119850.13</v>
      </c>
      <c r="DA252">
        <f>AI252</f>
        <v>1.0900000000000001</v>
      </c>
      <c r="DB252">
        <f t="shared" si="97"/>
        <v>6447.94</v>
      </c>
      <c r="DC252">
        <f t="shared" si="98"/>
        <v>0</v>
      </c>
      <c r="DD252" t="s">
        <v>3</v>
      </c>
      <c r="DE252" t="s">
        <v>3</v>
      </c>
      <c r="DF252">
        <f>ROUND(ROUND(AE252*AI252,2)*CX252,2)</f>
        <v>1546.22</v>
      </c>
      <c r="DG252">
        <f t="shared" si="101"/>
        <v>0</v>
      </c>
      <c r="DH252">
        <f t="shared" si="86"/>
        <v>0</v>
      </c>
      <c r="DI252">
        <f t="shared" si="87"/>
        <v>0</v>
      </c>
      <c r="DJ252">
        <f>DF252</f>
        <v>1546.22</v>
      </c>
      <c r="DK252">
        <v>0</v>
      </c>
      <c r="DL252" t="s">
        <v>3</v>
      </c>
      <c r="DM252">
        <v>0</v>
      </c>
      <c r="DN252" t="s">
        <v>3</v>
      </c>
      <c r="DO252">
        <v>0</v>
      </c>
    </row>
    <row r="253" spans="1:119" x14ac:dyDescent="0.2">
      <c r="A253">
        <f>ROW(Source!A356)</f>
        <v>356</v>
      </c>
      <c r="B253">
        <v>94104265</v>
      </c>
      <c r="C253">
        <v>94238910</v>
      </c>
      <c r="D253">
        <v>87323217</v>
      </c>
      <c r="E253">
        <v>1</v>
      </c>
      <c r="F253">
        <v>1</v>
      </c>
      <c r="G253">
        <v>1</v>
      </c>
      <c r="H253">
        <v>3</v>
      </c>
      <c r="I253" t="s">
        <v>555</v>
      </c>
      <c r="J253" t="s">
        <v>556</v>
      </c>
      <c r="K253" t="s">
        <v>557</v>
      </c>
      <c r="L253">
        <v>1346</v>
      </c>
      <c r="N253">
        <v>1009</v>
      </c>
      <c r="O253" t="s">
        <v>96</v>
      </c>
      <c r="P253" t="s">
        <v>96</v>
      </c>
      <c r="Q253">
        <v>1</v>
      </c>
      <c r="W253">
        <v>0</v>
      </c>
      <c r="X253">
        <v>-939965935</v>
      </c>
      <c r="Y253">
        <f t="shared" si="96"/>
        <v>1.6</v>
      </c>
      <c r="AA253">
        <v>87.26</v>
      </c>
      <c r="AB253">
        <v>0</v>
      </c>
      <c r="AC253">
        <v>0</v>
      </c>
      <c r="AD253">
        <v>0</v>
      </c>
      <c r="AE253">
        <v>60.6</v>
      </c>
      <c r="AF253">
        <v>0</v>
      </c>
      <c r="AG253">
        <v>0</v>
      </c>
      <c r="AH253">
        <v>0</v>
      </c>
      <c r="AI253">
        <v>1.44</v>
      </c>
      <c r="AJ253">
        <v>1</v>
      </c>
      <c r="AK253">
        <v>1</v>
      </c>
      <c r="AL253">
        <v>1</v>
      </c>
      <c r="AM253">
        <v>2</v>
      </c>
      <c r="AN253">
        <v>0</v>
      </c>
      <c r="AO253">
        <v>0</v>
      </c>
      <c r="AP253">
        <v>0</v>
      </c>
      <c r="AQ253">
        <v>1</v>
      </c>
      <c r="AR253">
        <v>0</v>
      </c>
      <c r="AS253" t="s">
        <v>3</v>
      </c>
      <c r="AT253">
        <v>1.6</v>
      </c>
      <c r="AU253" t="s">
        <v>3</v>
      </c>
      <c r="AV253">
        <v>0</v>
      </c>
      <c r="AW253">
        <v>2</v>
      </c>
      <c r="AX253">
        <v>94238919</v>
      </c>
      <c r="AY253">
        <v>1</v>
      </c>
      <c r="AZ253">
        <v>0</v>
      </c>
      <c r="BA253">
        <v>252</v>
      </c>
      <c r="BB253">
        <v>1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96.960000000000008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1</v>
      </c>
      <c r="BQ253">
        <v>96.960000000000008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1</v>
      </c>
      <c r="CV253">
        <v>0</v>
      </c>
      <c r="CW253">
        <v>0</v>
      </c>
      <c r="CX253">
        <f>ROUND(Y253*Source!I356,7)</f>
        <v>0.35199999999999998</v>
      </c>
      <c r="CY253">
        <f>AA253</f>
        <v>87.26</v>
      </c>
      <c r="CZ253">
        <f>AE253</f>
        <v>60.6</v>
      </c>
      <c r="DA253">
        <f>AI253</f>
        <v>1.44</v>
      </c>
      <c r="DB253">
        <f t="shared" si="97"/>
        <v>96.96</v>
      </c>
      <c r="DC253">
        <f t="shared" si="98"/>
        <v>0</v>
      </c>
      <c r="DD253" t="s">
        <v>3</v>
      </c>
      <c r="DE253" t="s">
        <v>3</v>
      </c>
      <c r="DF253">
        <f>ROUND(ROUND(AE253*AI253,2)*CX253,2)</f>
        <v>30.72</v>
      </c>
      <c r="DG253">
        <f t="shared" si="101"/>
        <v>0</v>
      </c>
      <c r="DH253">
        <f t="shared" si="86"/>
        <v>0</v>
      </c>
      <c r="DI253">
        <f t="shared" si="87"/>
        <v>0</v>
      </c>
      <c r="DJ253">
        <f>DF253</f>
        <v>30.72</v>
      </c>
      <c r="DK253">
        <v>0</v>
      </c>
      <c r="DL253" t="s">
        <v>3</v>
      </c>
      <c r="DM253">
        <v>0</v>
      </c>
      <c r="DN253" t="s">
        <v>3</v>
      </c>
      <c r="DO253">
        <v>0</v>
      </c>
    </row>
    <row r="254" spans="1:119" x14ac:dyDescent="0.2">
      <c r="A254">
        <f>ROW(Source!A358)</f>
        <v>358</v>
      </c>
      <c r="B254">
        <v>94104265</v>
      </c>
      <c r="C254">
        <v>94238966</v>
      </c>
      <c r="D254">
        <v>87229761</v>
      </c>
      <c r="E254">
        <v>117</v>
      </c>
      <c r="F254">
        <v>1</v>
      </c>
      <c r="G254">
        <v>1</v>
      </c>
      <c r="H254">
        <v>1</v>
      </c>
      <c r="I254" t="s">
        <v>607</v>
      </c>
      <c r="J254" t="s">
        <v>3</v>
      </c>
      <c r="K254" t="s">
        <v>608</v>
      </c>
      <c r="L254">
        <v>1191</v>
      </c>
      <c r="N254">
        <v>1013</v>
      </c>
      <c r="O254" t="s">
        <v>428</v>
      </c>
      <c r="P254" t="s">
        <v>428</v>
      </c>
      <c r="Q254">
        <v>1</v>
      </c>
      <c r="W254">
        <v>0</v>
      </c>
      <c r="X254">
        <v>32079103</v>
      </c>
      <c r="Y254">
        <f t="shared" si="96"/>
        <v>142.65</v>
      </c>
      <c r="AA254">
        <v>0</v>
      </c>
      <c r="AB254">
        <v>0</v>
      </c>
      <c r="AC254">
        <v>0</v>
      </c>
      <c r="AD254">
        <v>673.79</v>
      </c>
      <c r="AE254">
        <v>0</v>
      </c>
      <c r="AF254">
        <v>0</v>
      </c>
      <c r="AG254">
        <v>0</v>
      </c>
      <c r="AH254">
        <v>673.79</v>
      </c>
      <c r="AI254">
        <v>1</v>
      </c>
      <c r="AJ254">
        <v>1</v>
      </c>
      <c r="AK254">
        <v>1</v>
      </c>
      <c r="AL254">
        <v>1</v>
      </c>
      <c r="AM254">
        <v>-2</v>
      </c>
      <c r="AN254">
        <v>0</v>
      </c>
      <c r="AO254">
        <v>0</v>
      </c>
      <c r="AP254">
        <v>0</v>
      </c>
      <c r="AQ254">
        <v>1</v>
      </c>
      <c r="AR254">
        <v>0</v>
      </c>
      <c r="AS254" t="s">
        <v>3</v>
      </c>
      <c r="AT254">
        <v>142.65</v>
      </c>
      <c r="AU254" t="s">
        <v>3</v>
      </c>
      <c r="AV254">
        <v>1</v>
      </c>
      <c r="AW254">
        <v>2</v>
      </c>
      <c r="AX254">
        <v>94238967</v>
      </c>
      <c r="AY254">
        <v>1</v>
      </c>
      <c r="AZ254">
        <v>0</v>
      </c>
      <c r="BA254">
        <v>253</v>
      </c>
      <c r="BB254">
        <v>1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96116.143500000006</v>
      </c>
      <c r="BN254">
        <v>142.65</v>
      </c>
      <c r="BO254">
        <v>0</v>
      </c>
      <c r="BP254">
        <v>1</v>
      </c>
      <c r="BQ254">
        <v>0</v>
      </c>
      <c r="BR254">
        <v>0</v>
      </c>
      <c r="BS254">
        <v>0</v>
      </c>
      <c r="BT254">
        <v>96116.143500000006</v>
      </c>
      <c r="BU254">
        <v>142.65</v>
      </c>
      <c r="BV254">
        <v>0</v>
      </c>
      <c r="BW254">
        <v>1</v>
      </c>
      <c r="CU254">
        <f>ROUND(AT254*Source!I358*AH254*AL254,2)</f>
        <v>23548.46</v>
      </c>
      <c r="CV254">
        <f>ROUND(Y254*Source!I358,7)</f>
        <v>34.949249999999999</v>
      </c>
      <c r="CW254">
        <v>0</v>
      </c>
      <c r="CX254">
        <f>ROUND(Y254*Source!I358,7)</f>
        <v>34.949249999999999</v>
      </c>
      <c r="CY254">
        <f>AD254</f>
        <v>673.79</v>
      </c>
      <c r="CZ254">
        <f>AH254</f>
        <v>673.79</v>
      </c>
      <c r="DA254">
        <f>AL254</f>
        <v>1</v>
      </c>
      <c r="DB254">
        <f t="shared" si="97"/>
        <v>96116.14</v>
      </c>
      <c r="DC254">
        <f t="shared" si="98"/>
        <v>0</v>
      </c>
      <c r="DD254" t="s">
        <v>3</v>
      </c>
      <c r="DE254" t="s">
        <v>3</v>
      </c>
      <c r="DF254">
        <f>ROUND(ROUND(AE254,2)*CX254,2)</f>
        <v>0</v>
      </c>
      <c r="DG254">
        <f t="shared" si="101"/>
        <v>0</v>
      </c>
      <c r="DH254">
        <f t="shared" si="86"/>
        <v>0</v>
      </c>
      <c r="DI254">
        <f t="shared" si="87"/>
        <v>23548.46</v>
      </c>
      <c r="DJ254">
        <f>DI254</f>
        <v>23548.46</v>
      </c>
      <c r="DK254">
        <v>1</v>
      </c>
      <c r="DL254" t="s">
        <v>3</v>
      </c>
      <c r="DM254">
        <v>0</v>
      </c>
      <c r="DN254" t="s">
        <v>3</v>
      </c>
      <c r="DO254">
        <v>0</v>
      </c>
    </row>
    <row r="255" spans="1:119" x14ac:dyDescent="0.2">
      <c r="A255">
        <f>ROW(Source!A358)</f>
        <v>358</v>
      </c>
      <c r="B255">
        <v>94104265</v>
      </c>
      <c r="C255">
        <v>94238966</v>
      </c>
      <c r="D255">
        <v>87229949</v>
      </c>
      <c r="E255">
        <v>117</v>
      </c>
      <c r="F255">
        <v>1</v>
      </c>
      <c r="G255">
        <v>1</v>
      </c>
      <c r="H255">
        <v>1</v>
      </c>
      <c r="I255" t="s">
        <v>429</v>
      </c>
      <c r="J255" t="s">
        <v>3</v>
      </c>
      <c r="K255" t="s">
        <v>430</v>
      </c>
      <c r="L255">
        <v>1191</v>
      </c>
      <c r="N255">
        <v>1013</v>
      </c>
      <c r="O255" t="s">
        <v>428</v>
      </c>
      <c r="P255" t="s">
        <v>428</v>
      </c>
      <c r="Q255">
        <v>1</v>
      </c>
      <c r="W255">
        <v>0</v>
      </c>
      <c r="X255">
        <v>-1417349443</v>
      </c>
      <c r="Y255">
        <f t="shared" si="96"/>
        <v>1.67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1</v>
      </c>
      <c r="AJ255">
        <v>1</v>
      </c>
      <c r="AK255">
        <v>1</v>
      </c>
      <c r="AL255">
        <v>1</v>
      </c>
      <c r="AM255">
        <v>-2</v>
      </c>
      <c r="AN255">
        <v>0</v>
      </c>
      <c r="AO255">
        <v>0</v>
      </c>
      <c r="AP255">
        <v>0</v>
      </c>
      <c r="AQ255">
        <v>1</v>
      </c>
      <c r="AR255">
        <v>0</v>
      </c>
      <c r="AS255" t="s">
        <v>3</v>
      </c>
      <c r="AT255">
        <v>1.67</v>
      </c>
      <c r="AU255" t="s">
        <v>3</v>
      </c>
      <c r="AV255">
        <v>2</v>
      </c>
      <c r="AW255">
        <v>2</v>
      </c>
      <c r="AX255">
        <v>94238968</v>
      </c>
      <c r="AY255">
        <v>1</v>
      </c>
      <c r="AZ255">
        <v>0</v>
      </c>
      <c r="BA255">
        <v>254</v>
      </c>
      <c r="BB255">
        <v>1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CV255">
        <v>0</v>
      </c>
      <c r="CW255">
        <v>0</v>
      </c>
      <c r="CX255">
        <f>ROUND(Y255*Source!I358,7)</f>
        <v>0.40915000000000001</v>
      </c>
      <c r="CY255">
        <f>AD255</f>
        <v>0</v>
      </c>
      <c r="CZ255">
        <f>AH255</f>
        <v>0</v>
      </c>
      <c r="DA255">
        <f>AL255</f>
        <v>1</v>
      </c>
      <c r="DB255">
        <f t="shared" si="97"/>
        <v>0</v>
      </c>
      <c r="DC255">
        <f t="shared" si="98"/>
        <v>0</v>
      </c>
      <c r="DD255" t="s">
        <v>3</v>
      </c>
      <c r="DE255" t="s">
        <v>3</v>
      </c>
      <c r="DF255">
        <f>ROUND(ROUND(AE255,2)*CX255,2)</f>
        <v>0</v>
      </c>
      <c r="DG255">
        <f t="shared" si="101"/>
        <v>0</v>
      </c>
      <c r="DH255">
        <f t="shared" si="86"/>
        <v>0</v>
      </c>
      <c r="DI255">
        <f t="shared" si="87"/>
        <v>0</v>
      </c>
      <c r="DJ255">
        <f>DI255</f>
        <v>0</v>
      </c>
      <c r="DK255">
        <v>0</v>
      </c>
      <c r="DL255" t="s">
        <v>3</v>
      </c>
      <c r="DM255">
        <v>0</v>
      </c>
      <c r="DN255" t="s">
        <v>3</v>
      </c>
      <c r="DO255">
        <v>0</v>
      </c>
    </row>
    <row r="256" spans="1:119" x14ac:dyDescent="0.2">
      <c r="A256">
        <f>ROW(Source!A358)</f>
        <v>358</v>
      </c>
      <c r="B256">
        <v>94104265</v>
      </c>
      <c r="C256">
        <v>94238966</v>
      </c>
      <c r="D256">
        <v>87236608</v>
      </c>
      <c r="E256">
        <v>1</v>
      </c>
      <c r="F256">
        <v>1</v>
      </c>
      <c r="G256">
        <v>1</v>
      </c>
      <c r="H256">
        <v>2</v>
      </c>
      <c r="I256" t="s">
        <v>541</v>
      </c>
      <c r="J256" t="s">
        <v>542</v>
      </c>
      <c r="K256" t="s">
        <v>543</v>
      </c>
      <c r="L256">
        <v>1368</v>
      </c>
      <c r="N256">
        <v>1011</v>
      </c>
      <c r="O256" t="s">
        <v>434</v>
      </c>
      <c r="P256" t="s">
        <v>434</v>
      </c>
      <c r="Q256">
        <v>1</v>
      </c>
      <c r="W256">
        <v>0</v>
      </c>
      <c r="X256">
        <v>-996617845</v>
      </c>
      <c r="Y256">
        <f t="shared" si="96"/>
        <v>1</v>
      </c>
      <c r="AA256">
        <v>0</v>
      </c>
      <c r="AB256">
        <v>603.94000000000005</v>
      </c>
      <c r="AC256">
        <v>731.08</v>
      </c>
      <c r="AD256">
        <v>0</v>
      </c>
      <c r="AE256">
        <v>0</v>
      </c>
      <c r="AF256">
        <v>603.94000000000005</v>
      </c>
      <c r="AG256">
        <v>731.08</v>
      </c>
      <c r="AH256">
        <v>0</v>
      </c>
      <c r="AI256">
        <v>1</v>
      </c>
      <c r="AJ256">
        <v>1</v>
      </c>
      <c r="AK256">
        <v>1</v>
      </c>
      <c r="AL256">
        <v>1</v>
      </c>
      <c r="AM256">
        <v>-2</v>
      </c>
      <c r="AN256">
        <v>0</v>
      </c>
      <c r="AO256">
        <v>0</v>
      </c>
      <c r="AP256">
        <v>0</v>
      </c>
      <c r="AQ256">
        <v>1</v>
      </c>
      <c r="AR256">
        <v>0</v>
      </c>
      <c r="AS256" t="s">
        <v>3</v>
      </c>
      <c r="AT256">
        <v>1</v>
      </c>
      <c r="AU256" t="s">
        <v>3</v>
      </c>
      <c r="AV256">
        <v>1</v>
      </c>
      <c r="AW256">
        <v>2</v>
      </c>
      <c r="AX256">
        <v>94238969</v>
      </c>
      <c r="AY256">
        <v>1</v>
      </c>
      <c r="AZ256">
        <v>0</v>
      </c>
      <c r="BA256">
        <v>255</v>
      </c>
      <c r="BB256">
        <v>1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603.94000000000005</v>
      </c>
      <c r="BL256">
        <v>731.08</v>
      </c>
      <c r="BM256">
        <v>0</v>
      </c>
      <c r="BN256">
        <v>0</v>
      </c>
      <c r="BO256">
        <v>1</v>
      </c>
      <c r="BP256">
        <v>1</v>
      </c>
      <c r="BQ256">
        <v>0</v>
      </c>
      <c r="BR256">
        <v>603.94000000000005</v>
      </c>
      <c r="BS256">
        <v>731.08</v>
      </c>
      <c r="BT256">
        <v>0</v>
      </c>
      <c r="BU256">
        <v>0</v>
      </c>
      <c r="BV256">
        <v>1</v>
      </c>
      <c r="BW256">
        <v>1</v>
      </c>
      <c r="CV256">
        <v>0</v>
      </c>
      <c r="CW256">
        <f>ROUND(Y256*Source!I358*DO256,7)</f>
        <v>0.245</v>
      </c>
      <c r="CX256">
        <f>ROUND(Y256*Source!I358,7)</f>
        <v>0.245</v>
      </c>
      <c r="CY256">
        <f>AB256</f>
        <v>603.94000000000005</v>
      </c>
      <c r="CZ256">
        <f>AF256</f>
        <v>603.94000000000005</v>
      </c>
      <c r="DA256">
        <f>AJ256</f>
        <v>1</v>
      </c>
      <c r="DB256">
        <f t="shared" si="97"/>
        <v>603.94000000000005</v>
      </c>
      <c r="DC256">
        <f t="shared" si="98"/>
        <v>731.08</v>
      </c>
      <c r="DD256" t="s">
        <v>3</v>
      </c>
      <c r="DE256" t="s">
        <v>3</v>
      </c>
      <c r="DF256">
        <f>ROUND(ROUND(AE256,2)*CX256,2)</f>
        <v>0</v>
      </c>
      <c r="DG256">
        <f t="shared" si="101"/>
        <v>147.97</v>
      </c>
      <c r="DH256">
        <f t="shared" si="86"/>
        <v>179.11</v>
      </c>
      <c r="DI256">
        <f t="shared" si="87"/>
        <v>0</v>
      </c>
      <c r="DJ256">
        <f>DG256+DH256</f>
        <v>327.08000000000004</v>
      </c>
      <c r="DK256">
        <v>1</v>
      </c>
      <c r="DL256" t="s">
        <v>466</v>
      </c>
      <c r="DM256">
        <v>4</v>
      </c>
      <c r="DN256" t="s">
        <v>428</v>
      </c>
      <c r="DO256">
        <v>1</v>
      </c>
    </row>
    <row r="257" spans="1:119" x14ac:dyDescent="0.2">
      <c r="A257">
        <f>ROW(Source!A358)</f>
        <v>358</v>
      </c>
      <c r="B257">
        <v>94104265</v>
      </c>
      <c r="C257">
        <v>94238966</v>
      </c>
      <c r="D257">
        <v>87236625</v>
      </c>
      <c r="E257">
        <v>1</v>
      </c>
      <c r="F257">
        <v>1</v>
      </c>
      <c r="G257">
        <v>1</v>
      </c>
      <c r="H257">
        <v>2</v>
      </c>
      <c r="I257" t="s">
        <v>431</v>
      </c>
      <c r="J257" t="s">
        <v>432</v>
      </c>
      <c r="K257" t="s">
        <v>433</v>
      </c>
      <c r="L257">
        <v>1368</v>
      </c>
      <c r="N257">
        <v>1011</v>
      </c>
      <c r="O257" t="s">
        <v>434</v>
      </c>
      <c r="P257" t="s">
        <v>434</v>
      </c>
      <c r="Q257">
        <v>1</v>
      </c>
      <c r="W257">
        <v>0</v>
      </c>
      <c r="X257">
        <v>945201097</v>
      </c>
      <c r="Y257">
        <f t="shared" si="96"/>
        <v>0.67</v>
      </c>
      <c r="AA257">
        <v>0</v>
      </c>
      <c r="AB257">
        <v>58.59</v>
      </c>
      <c r="AC257">
        <v>649.24</v>
      </c>
      <c r="AD257">
        <v>0</v>
      </c>
      <c r="AE257">
        <v>0</v>
      </c>
      <c r="AF257">
        <v>37.32</v>
      </c>
      <c r="AG257">
        <v>649.24</v>
      </c>
      <c r="AH257">
        <v>0</v>
      </c>
      <c r="AI257">
        <v>1</v>
      </c>
      <c r="AJ257">
        <v>1.57</v>
      </c>
      <c r="AK257">
        <v>1</v>
      </c>
      <c r="AL257">
        <v>1</v>
      </c>
      <c r="AM257">
        <v>2</v>
      </c>
      <c r="AN257">
        <v>0</v>
      </c>
      <c r="AO257">
        <v>0</v>
      </c>
      <c r="AP257">
        <v>0</v>
      </c>
      <c r="AQ257">
        <v>1</v>
      </c>
      <c r="AR257">
        <v>0</v>
      </c>
      <c r="AS257" t="s">
        <v>3</v>
      </c>
      <c r="AT257">
        <v>0.67</v>
      </c>
      <c r="AU257" t="s">
        <v>3</v>
      </c>
      <c r="AV257">
        <v>1</v>
      </c>
      <c r="AW257">
        <v>2</v>
      </c>
      <c r="AX257">
        <v>94238970</v>
      </c>
      <c r="AY257">
        <v>1</v>
      </c>
      <c r="AZ257">
        <v>0</v>
      </c>
      <c r="BA257">
        <v>256</v>
      </c>
      <c r="BB257">
        <v>1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25.0044</v>
      </c>
      <c r="BL257">
        <v>434.99080000000004</v>
      </c>
      <c r="BM257">
        <v>0</v>
      </c>
      <c r="BN257">
        <v>0</v>
      </c>
      <c r="BO257">
        <v>0.67</v>
      </c>
      <c r="BP257">
        <v>1</v>
      </c>
      <c r="BQ257">
        <v>0</v>
      </c>
      <c r="BR257">
        <v>25.0044</v>
      </c>
      <c r="BS257">
        <v>434.99080000000004</v>
      </c>
      <c r="BT257">
        <v>0</v>
      </c>
      <c r="BU257">
        <v>0</v>
      </c>
      <c r="BV257">
        <v>0.67</v>
      </c>
      <c r="BW257">
        <v>1</v>
      </c>
      <c r="CV257">
        <v>0</v>
      </c>
      <c r="CW257">
        <f>ROUND(Y257*Source!I358*DO257,7)</f>
        <v>0.16414999999999999</v>
      </c>
      <c r="CX257">
        <f>ROUND(Y257*Source!I358,7)</f>
        <v>0.16414999999999999</v>
      </c>
      <c r="CY257">
        <f>AB257</f>
        <v>58.59</v>
      </c>
      <c r="CZ257">
        <f>AF257</f>
        <v>37.32</v>
      </c>
      <c r="DA257">
        <f>AJ257</f>
        <v>1.57</v>
      </c>
      <c r="DB257">
        <f t="shared" si="97"/>
        <v>25</v>
      </c>
      <c r="DC257">
        <f t="shared" si="98"/>
        <v>434.99</v>
      </c>
      <c r="DD257" t="s">
        <v>3</v>
      </c>
      <c r="DE257" t="s">
        <v>3</v>
      </c>
      <c r="DF257">
        <f>ROUND(ROUND(AE257,2)*CX257,2)</f>
        <v>0</v>
      </c>
      <c r="DG257">
        <f>ROUND(ROUND(AF257*AJ257,2)*CX257,2)</f>
        <v>9.6199999999999992</v>
      </c>
      <c r="DH257">
        <f t="shared" ref="DH257:DH272" si="102">ROUND(ROUND(AG257,2)*CX257,2)</f>
        <v>106.57</v>
      </c>
      <c r="DI257">
        <f t="shared" ref="DI257:DI272" si="103">ROUND(ROUND(AH257,2)*CX257,2)</f>
        <v>0</v>
      </c>
      <c r="DJ257">
        <f>DG257+DH257</f>
        <v>116.19</v>
      </c>
      <c r="DK257">
        <v>0</v>
      </c>
      <c r="DL257" t="s">
        <v>435</v>
      </c>
      <c r="DM257">
        <v>3</v>
      </c>
      <c r="DN257" t="s">
        <v>428</v>
      </c>
      <c r="DO257">
        <v>1</v>
      </c>
    </row>
    <row r="258" spans="1:119" x14ac:dyDescent="0.2">
      <c r="A258">
        <f>ROW(Source!A358)</f>
        <v>358</v>
      </c>
      <c r="B258">
        <v>94104265</v>
      </c>
      <c r="C258">
        <v>94238966</v>
      </c>
      <c r="D258">
        <v>87304091</v>
      </c>
      <c r="E258">
        <v>1</v>
      </c>
      <c r="F258">
        <v>1</v>
      </c>
      <c r="G258">
        <v>1</v>
      </c>
      <c r="H258">
        <v>3</v>
      </c>
      <c r="I258" t="s">
        <v>467</v>
      </c>
      <c r="J258" t="s">
        <v>468</v>
      </c>
      <c r="K258" t="s">
        <v>469</v>
      </c>
      <c r="L258">
        <v>1339</v>
      </c>
      <c r="N258">
        <v>1007</v>
      </c>
      <c r="O258" t="s">
        <v>34</v>
      </c>
      <c r="P258" t="s">
        <v>34</v>
      </c>
      <c r="Q258">
        <v>1</v>
      </c>
      <c r="W258">
        <v>0</v>
      </c>
      <c r="X258">
        <v>1964556667</v>
      </c>
      <c r="Y258">
        <f t="shared" si="96"/>
        <v>0.35</v>
      </c>
      <c r="AA258">
        <v>54.64</v>
      </c>
      <c r="AB258">
        <v>0</v>
      </c>
      <c r="AC258">
        <v>0</v>
      </c>
      <c r="AD258">
        <v>0</v>
      </c>
      <c r="AE258">
        <v>35.71</v>
      </c>
      <c r="AF258">
        <v>0</v>
      </c>
      <c r="AG258">
        <v>0</v>
      </c>
      <c r="AH258">
        <v>0</v>
      </c>
      <c r="AI258">
        <v>1.53</v>
      </c>
      <c r="AJ258">
        <v>1</v>
      </c>
      <c r="AK258">
        <v>1</v>
      </c>
      <c r="AL258">
        <v>1</v>
      </c>
      <c r="AM258">
        <v>2</v>
      </c>
      <c r="AN258">
        <v>0</v>
      </c>
      <c r="AO258">
        <v>0</v>
      </c>
      <c r="AP258">
        <v>0</v>
      </c>
      <c r="AQ258">
        <v>1</v>
      </c>
      <c r="AR258">
        <v>0</v>
      </c>
      <c r="AS258" t="s">
        <v>3</v>
      </c>
      <c r="AT258">
        <v>0.35</v>
      </c>
      <c r="AU258" t="s">
        <v>3</v>
      </c>
      <c r="AV258">
        <v>0</v>
      </c>
      <c r="AW258">
        <v>2</v>
      </c>
      <c r="AX258">
        <v>94238971</v>
      </c>
      <c r="AY258">
        <v>1</v>
      </c>
      <c r="AZ258">
        <v>0</v>
      </c>
      <c r="BA258">
        <v>257</v>
      </c>
      <c r="BB258">
        <v>1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12.4985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1</v>
      </c>
      <c r="BQ258">
        <v>12.4985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1</v>
      </c>
      <c r="CV258">
        <v>0</v>
      </c>
      <c r="CW258">
        <v>0</v>
      </c>
      <c r="CX258">
        <f>ROUND(Y258*Source!I358,7)</f>
        <v>8.5750000000000007E-2</v>
      </c>
      <c r="CY258">
        <f>AA258</f>
        <v>54.64</v>
      </c>
      <c r="CZ258">
        <f>AE258</f>
        <v>35.71</v>
      </c>
      <c r="DA258">
        <f>AI258</f>
        <v>1.53</v>
      </c>
      <c r="DB258">
        <f t="shared" si="97"/>
        <v>12.5</v>
      </c>
      <c r="DC258">
        <f t="shared" si="98"/>
        <v>0</v>
      </c>
      <c r="DD258" t="s">
        <v>3</v>
      </c>
      <c r="DE258" t="s">
        <v>3</v>
      </c>
      <c r="DF258">
        <f>ROUND(ROUND(AE258*AI258,2)*CX258,2)</f>
        <v>4.6900000000000004</v>
      </c>
      <c r="DG258">
        <f>ROUND(ROUND(AF258,2)*CX258,2)</f>
        <v>0</v>
      </c>
      <c r="DH258">
        <f t="shared" si="102"/>
        <v>0</v>
      </c>
      <c r="DI258">
        <f t="shared" si="103"/>
        <v>0</v>
      </c>
      <c r="DJ258">
        <f>DF258</f>
        <v>4.6900000000000004</v>
      </c>
      <c r="DK258">
        <v>0</v>
      </c>
      <c r="DL258" t="s">
        <v>3</v>
      </c>
      <c r="DM258">
        <v>0</v>
      </c>
      <c r="DN258" t="s">
        <v>3</v>
      </c>
      <c r="DO258">
        <v>0</v>
      </c>
    </row>
    <row r="259" spans="1:119" x14ac:dyDescent="0.2">
      <c r="A259">
        <f>ROW(Source!A358)</f>
        <v>358</v>
      </c>
      <c r="B259">
        <v>94104265</v>
      </c>
      <c r="C259">
        <v>94238966</v>
      </c>
      <c r="D259">
        <v>87308053</v>
      </c>
      <c r="E259">
        <v>1</v>
      </c>
      <c r="F259">
        <v>1</v>
      </c>
      <c r="G259">
        <v>1</v>
      </c>
      <c r="H259">
        <v>3</v>
      </c>
      <c r="I259" t="s">
        <v>544</v>
      </c>
      <c r="J259" t="s">
        <v>545</v>
      </c>
      <c r="K259" t="s">
        <v>546</v>
      </c>
      <c r="L259">
        <v>1339</v>
      </c>
      <c r="N259">
        <v>1007</v>
      </c>
      <c r="O259" t="s">
        <v>34</v>
      </c>
      <c r="P259" t="s">
        <v>34</v>
      </c>
      <c r="Q259">
        <v>1</v>
      </c>
      <c r="W259">
        <v>0</v>
      </c>
      <c r="X259">
        <v>-155823422</v>
      </c>
      <c r="Y259">
        <f t="shared" si="96"/>
        <v>2.2000000000000002</v>
      </c>
      <c r="AA259">
        <v>4749.3</v>
      </c>
      <c r="AB259">
        <v>0</v>
      </c>
      <c r="AC259">
        <v>0</v>
      </c>
      <c r="AD259">
        <v>0</v>
      </c>
      <c r="AE259">
        <v>3392.36</v>
      </c>
      <c r="AF259">
        <v>0</v>
      </c>
      <c r="AG259">
        <v>0</v>
      </c>
      <c r="AH259">
        <v>0</v>
      </c>
      <c r="AI259">
        <v>1.4</v>
      </c>
      <c r="AJ259">
        <v>1</v>
      </c>
      <c r="AK259">
        <v>1</v>
      </c>
      <c r="AL259">
        <v>1</v>
      </c>
      <c r="AM259">
        <v>2</v>
      </c>
      <c r="AN259">
        <v>0</v>
      </c>
      <c r="AO259">
        <v>0</v>
      </c>
      <c r="AP259">
        <v>0</v>
      </c>
      <c r="AQ259">
        <v>1</v>
      </c>
      <c r="AR259">
        <v>0</v>
      </c>
      <c r="AS259" t="s">
        <v>3</v>
      </c>
      <c r="AT259">
        <v>2.2000000000000002</v>
      </c>
      <c r="AU259" t="s">
        <v>3</v>
      </c>
      <c r="AV259">
        <v>0</v>
      </c>
      <c r="AW259">
        <v>2</v>
      </c>
      <c r="AX259">
        <v>94238972</v>
      </c>
      <c r="AY259">
        <v>1</v>
      </c>
      <c r="AZ259">
        <v>0</v>
      </c>
      <c r="BA259">
        <v>258</v>
      </c>
      <c r="BB259">
        <v>1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7463.1920000000009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1</v>
      </c>
      <c r="BQ259">
        <v>7463.1920000000009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1</v>
      </c>
      <c r="CV259">
        <v>0</v>
      </c>
      <c r="CW259">
        <v>0</v>
      </c>
      <c r="CX259">
        <f>ROUND(Y259*Source!I358,7)</f>
        <v>0.53900000000000003</v>
      </c>
      <c r="CY259">
        <f>AA259</f>
        <v>4749.3</v>
      </c>
      <c r="CZ259">
        <f>AE259</f>
        <v>3392.36</v>
      </c>
      <c r="DA259">
        <f>AI259</f>
        <v>1.4</v>
      </c>
      <c r="DB259">
        <f t="shared" si="97"/>
        <v>7463.19</v>
      </c>
      <c r="DC259">
        <f t="shared" si="98"/>
        <v>0</v>
      </c>
      <c r="DD259" t="s">
        <v>3</v>
      </c>
      <c r="DE259" t="s">
        <v>3</v>
      </c>
      <c r="DF259">
        <f>ROUND(ROUND(AE259*AI259,2)*CX259,2)</f>
        <v>2559.87</v>
      </c>
      <c r="DG259">
        <f>ROUND(ROUND(AF259,2)*CX259,2)</f>
        <v>0</v>
      </c>
      <c r="DH259">
        <f t="shared" si="102"/>
        <v>0</v>
      </c>
      <c r="DI259">
        <f t="shared" si="103"/>
        <v>0</v>
      </c>
      <c r="DJ259">
        <f>DF259</f>
        <v>2559.87</v>
      </c>
      <c r="DK259">
        <v>0</v>
      </c>
      <c r="DL259" t="s">
        <v>3</v>
      </c>
      <c r="DM259">
        <v>0</v>
      </c>
      <c r="DN259" t="s">
        <v>3</v>
      </c>
      <c r="DO259">
        <v>0</v>
      </c>
    </row>
    <row r="260" spans="1:119" x14ac:dyDescent="0.2">
      <c r="A260">
        <f>ROW(Source!A358)</f>
        <v>358</v>
      </c>
      <c r="B260">
        <v>94104265</v>
      </c>
      <c r="C260">
        <v>94238966</v>
      </c>
      <c r="D260">
        <v>87235788</v>
      </c>
      <c r="E260">
        <v>117</v>
      </c>
      <c r="F260">
        <v>1</v>
      </c>
      <c r="G260">
        <v>1</v>
      </c>
      <c r="H260">
        <v>3</v>
      </c>
      <c r="I260" t="s">
        <v>28</v>
      </c>
      <c r="J260" t="s">
        <v>3</v>
      </c>
      <c r="K260" t="s">
        <v>29</v>
      </c>
      <c r="L260">
        <v>1348</v>
      </c>
      <c r="N260">
        <v>1009</v>
      </c>
      <c r="O260" t="s">
        <v>30</v>
      </c>
      <c r="P260" t="s">
        <v>30</v>
      </c>
      <c r="Q260">
        <v>1000</v>
      </c>
      <c r="W260">
        <v>0</v>
      </c>
      <c r="X260">
        <v>2102561428</v>
      </c>
      <c r="Y260">
        <f t="shared" si="96"/>
        <v>3.38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1</v>
      </c>
      <c r="AJ260">
        <v>1</v>
      </c>
      <c r="AK260">
        <v>1</v>
      </c>
      <c r="AL260">
        <v>1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 t="s">
        <v>3</v>
      </c>
      <c r="AT260">
        <v>3.38</v>
      </c>
      <c r="AU260" t="s">
        <v>3</v>
      </c>
      <c r="AV260">
        <v>0</v>
      </c>
      <c r="AW260">
        <v>2</v>
      </c>
      <c r="AX260">
        <v>94238973</v>
      </c>
      <c r="AY260">
        <v>1</v>
      </c>
      <c r="AZ260">
        <v>0</v>
      </c>
      <c r="BA260">
        <v>259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CV260">
        <v>0</v>
      </c>
      <c r="CW260">
        <v>0</v>
      </c>
      <c r="CX260">
        <f>ROUND(Y260*Source!I358,7)</f>
        <v>0.82809999999999995</v>
      </c>
      <c r="CY260">
        <f>AA260</f>
        <v>0</v>
      </c>
      <c r="CZ260">
        <f>AE260</f>
        <v>0</v>
      </c>
      <c r="DA260">
        <f>AI260</f>
        <v>1</v>
      </c>
      <c r="DB260">
        <f t="shared" si="97"/>
        <v>0</v>
      </c>
      <c r="DC260">
        <f t="shared" si="98"/>
        <v>0</v>
      </c>
      <c r="DD260" t="s">
        <v>3</v>
      </c>
      <c r="DE260" t="s">
        <v>3</v>
      </c>
      <c r="DF260">
        <f>ROUND(ROUND(AE260,2)*CX260,2)</f>
        <v>0</v>
      </c>
      <c r="DG260">
        <f>ROUND(ROUND(AF260,2)*CX260,2)</f>
        <v>0</v>
      </c>
      <c r="DH260">
        <f t="shared" si="102"/>
        <v>0</v>
      </c>
      <c r="DI260">
        <f t="shared" si="103"/>
        <v>0</v>
      </c>
      <c r="DJ260">
        <f>DF260</f>
        <v>0</v>
      </c>
      <c r="DK260">
        <v>0</v>
      </c>
      <c r="DL260" t="s">
        <v>3</v>
      </c>
      <c r="DM260">
        <v>0</v>
      </c>
      <c r="DN260" t="s">
        <v>3</v>
      </c>
      <c r="DO260">
        <v>0</v>
      </c>
    </row>
    <row r="261" spans="1:119" x14ac:dyDescent="0.2">
      <c r="A261">
        <f>ROW(Source!A360)</f>
        <v>360</v>
      </c>
      <c r="B261">
        <v>94104265</v>
      </c>
      <c r="C261">
        <v>94238993</v>
      </c>
      <c r="D261">
        <v>37069580</v>
      </c>
      <c r="E261">
        <v>117</v>
      </c>
      <c r="F261">
        <v>1</v>
      </c>
      <c r="G261">
        <v>1</v>
      </c>
      <c r="H261">
        <v>1</v>
      </c>
      <c r="I261" t="s">
        <v>547</v>
      </c>
      <c r="J261" t="s">
        <v>3</v>
      </c>
      <c r="K261" t="s">
        <v>548</v>
      </c>
      <c r="L261">
        <v>1191</v>
      </c>
      <c r="N261">
        <v>1013</v>
      </c>
      <c r="O261" t="s">
        <v>428</v>
      </c>
      <c r="P261" t="s">
        <v>428</v>
      </c>
      <c r="Q261">
        <v>1</v>
      </c>
      <c r="W261">
        <v>0</v>
      </c>
      <c r="X261">
        <v>1426738182</v>
      </c>
      <c r="Y261">
        <f t="shared" si="96"/>
        <v>18.899999999999999</v>
      </c>
      <c r="AA261">
        <v>0</v>
      </c>
      <c r="AB261">
        <v>0</v>
      </c>
      <c r="AC261">
        <v>0</v>
      </c>
      <c r="AD261">
        <v>657.42</v>
      </c>
      <c r="AE261">
        <v>0</v>
      </c>
      <c r="AF261">
        <v>0</v>
      </c>
      <c r="AG261">
        <v>0</v>
      </c>
      <c r="AH261">
        <v>657.42</v>
      </c>
      <c r="AI261">
        <v>1</v>
      </c>
      <c r="AJ261">
        <v>1</v>
      </c>
      <c r="AK261">
        <v>1</v>
      </c>
      <c r="AL261">
        <v>1</v>
      </c>
      <c r="AM261">
        <v>-2</v>
      </c>
      <c r="AN261">
        <v>0</v>
      </c>
      <c r="AO261">
        <v>0</v>
      </c>
      <c r="AP261">
        <v>0</v>
      </c>
      <c r="AQ261">
        <v>1</v>
      </c>
      <c r="AR261">
        <v>0</v>
      </c>
      <c r="AS261" t="s">
        <v>3</v>
      </c>
      <c r="AT261">
        <v>18.899999999999999</v>
      </c>
      <c r="AU261" t="s">
        <v>3</v>
      </c>
      <c r="AV261">
        <v>1</v>
      </c>
      <c r="AW261">
        <v>2</v>
      </c>
      <c r="AX261">
        <v>94239006</v>
      </c>
      <c r="AY261">
        <v>1</v>
      </c>
      <c r="AZ261">
        <v>0</v>
      </c>
      <c r="BA261">
        <v>260</v>
      </c>
      <c r="BB261">
        <v>1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12425.237999999998</v>
      </c>
      <c r="BN261">
        <v>18.899999999999999</v>
      </c>
      <c r="BO261">
        <v>0</v>
      </c>
      <c r="BP261">
        <v>1</v>
      </c>
      <c r="BQ261">
        <v>0</v>
      </c>
      <c r="BR261">
        <v>0</v>
      </c>
      <c r="BS261">
        <v>0</v>
      </c>
      <c r="BT261">
        <v>12425.237999999998</v>
      </c>
      <c r="BU261">
        <v>18.899999999999999</v>
      </c>
      <c r="BV261">
        <v>0</v>
      </c>
      <c r="BW261">
        <v>1</v>
      </c>
      <c r="CU261">
        <f>ROUND(AT261*Source!I360*AH261*AL261,2)</f>
        <v>3044.18</v>
      </c>
      <c r="CV261">
        <f>ROUND(Y261*Source!I360,7)</f>
        <v>4.6304999999999996</v>
      </c>
      <c r="CW261">
        <v>0</v>
      </c>
      <c r="CX261">
        <f>ROUND(Y261*Source!I360,7)</f>
        <v>4.6304999999999996</v>
      </c>
      <c r="CY261">
        <f>AD261</f>
        <v>657.42</v>
      </c>
      <c r="CZ261">
        <f>AH261</f>
        <v>657.42</v>
      </c>
      <c r="DA261">
        <f>AL261</f>
        <v>1</v>
      </c>
      <c r="DB261">
        <f t="shared" si="97"/>
        <v>12425.24</v>
      </c>
      <c r="DC261">
        <f t="shared" si="98"/>
        <v>0</v>
      </c>
      <c r="DD261" t="s">
        <v>3</v>
      </c>
      <c r="DE261" t="s">
        <v>3</v>
      </c>
      <c r="DF261">
        <f>ROUND(ROUND(AE261,2)*CX261,2)</f>
        <v>0</v>
      </c>
      <c r="DG261">
        <f>ROUND(ROUND(AF261,2)*CX261,2)</f>
        <v>0</v>
      </c>
      <c r="DH261">
        <f t="shared" si="102"/>
        <v>0</v>
      </c>
      <c r="DI261">
        <f t="shared" si="103"/>
        <v>3044.18</v>
      </c>
      <c r="DJ261">
        <f>DI261</f>
        <v>3044.18</v>
      </c>
      <c r="DK261">
        <v>1</v>
      </c>
      <c r="DL261" t="s">
        <v>3</v>
      </c>
      <c r="DM261">
        <v>0</v>
      </c>
      <c r="DN261" t="s">
        <v>3</v>
      </c>
      <c r="DO261">
        <v>0</v>
      </c>
    </row>
    <row r="262" spans="1:119" x14ac:dyDescent="0.2">
      <c r="A262">
        <f>ROW(Source!A360)</f>
        <v>360</v>
      </c>
      <c r="B262">
        <v>94104265</v>
      </c>
      <c r="C262">
        <v>94238993</v>
      </c>
      <c r="D262">
        <v>37064876</v>
      </c>
      <c r="E262">
        <v>117</v>
      </c>
      <c r="F262">
        <v>1</v>
      </c>
      <c r="G262">
        <v>1</v>
      </c>
      <c r="H262">
        <v>1</v>
      </c>
      <c r="I262" t="s">
        <v>429</v>
      </c>
      <c r="J262" t="s">
        <v>3</v>
      </c>
      <c r="K262" t="s">
        <v>430</v>
      </c>
      <c r="L262">
        <v>1191</v>
      </c>
      <c r="N262">
        <v>1013</v>
      </c>
      <c r="O262" t="s">
        <v>428</v>
      </c>
      <c r="P262" t="s">
        <v>428</v>
      </c>
      <c r="Q262">
        <v>1</v>
      </c>
      <c r="W262">
        <v>0</v>
      </c>
      <c r="X262">
        <v>-1417349443</v>
      </c>
      <c r="Y262">
        <f t="shared" si="96"/>
        <v>0.16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1</v>
      </c>
      <c r="AJ262">
        <v>1</v>
      </c>
      <c r="AK262">
        <v>1</v>
      </c>
      <c r="AL262">
        <v>1</v>
      </c>
      <c r="AM262">
        <v>-2</v>
      </c>
      <c r="AN262">
        <v>0</v>
      </c>
      <c r="AO262">
        <v>0</v>
      </c>
      <c r="AP262">
        <v>0</v>
      </c>
      <c r="AQ262">
        <v>1</v>
      </c>
      <c r="AR262">
        <v>0</v>
      </c>
      <c r="AS262" t="s">
        <v>3</v>
      </c>
      <c r="AT262">
        <v>0.16</v>
      </c>
      <c r="AU262" t="s">
        <v>3</v>
      </c>
      <c r="AV262">
        <v>2</v>
      </c>
      <c r="AW262">
        <v>2</v>
      </c>
      <c r="AX262">
        <v>94239007</v>
      </c>
      <c r="AY262">
        <v>1</v>
      </c>
      <c r="AZ262">
        <v>0</v>
      </c>
      <c r="BA262">
        <v>261</v>
      </c>
      <c r="BB262">
        <v>1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CV262">
        <v>0</v>
      </c>
      <c r="CW262">
        <v>0</v>
      </c>
      <c r="CX262">
        <f>ROUND(Y262*Source!I360,7)</f>
        <v>3.9199999999999999E-2</v>
      </c>
      <c r="CY262">
        <f>AD262</f>
        <v>0</v>
      </c>
      <c r="CZ262">
        <f>AH262</f>
        <v>0</v>
      </c>
      <c r="DA262">
        <f>AL262</f>
        <v>1</v>
      </c>
      <c r="DB262">
        <f t="shared" si="97"/>
        <v>0</v>
      </c>
      <c r="DC262">
        <f t="shared" si="98"/>
        <v>0</v>
      </c>
      <c r="DD262" t="s">
        <v>3</v>
      </c>
      <c r="DE262" t="s">
        <v>3</v>
      </c>
      <c r="DF262">
        <f>ROUND(ROUND(AE262,2)*CX262,2)</f>
        <v>0</v>
      </c>
      <c r="DG262">
        <f>ROUND(ROUND(AF262,2)*CX262,2)</f>
        <v>0</v>
      </c>
      <c r="DH262">
        <f t="shared" si="102"/>
        <v>0</v>
      </c>
      <c r="DI262">
        <f t="shared" si="103"/>
        <v>0</v>
      </c>
      <c r="DJ262">
        <f>DI262</f>
        <v>0</v>
      </c>
      <c r="DK262">
        <v>0</v>
      </c>
      <c r="DL262" t="s">
        <v>3</v>
      </c>
      <c r="DM262">
        <v>0</v>
      </c>
      <c r="DN262" t="s">
        <v>3</v>
      </c>
      <c r="DO262">
        <v>0</v>
      </c>
    </row>
    <row r="263" spans="1:119" x14ac:dyDescent="0.2">
      <c r="A263">
        <f>ROW(Source!A360)</f>
        <v>360</v>
      </c>
      <c r="B263">
        <v>94104265</v>
      </c>
      <c r="C263">
        <v>94238993</v>
      </c>
      <c r="D263">
        <v>87236625</v>
      </c>
      <c r="E263">
        <v>1</v>
      </c>
      <c r="F263">
        <v>1</v>
      </c>
      <c r="G263">
        <v>1</v>
      </c>
      <c r="H263">
        <v>2</v>
      </c>
      <c r="I263" t="s">
        <v>431</v>
      </c>
      <c r="J263" t="s">
        <v>432</v>
      </c>
      <c r="K263" t="s">
        <v>433</v>
      </c>
      <c r="L263">
        <v>1368</v>
      </c>
      <c r="N263">
        <v>1011</v>
      </c>
      <c r="O263" t="s">
        <v>434</v>
      </c>
      <c r="P263" t="s">
        <v>434</v>
      </c>
      <c r="Q263">
        <v>1</v>
      </c>
      <c r="W263">
        <v>0</v>
      </c>
      <c r="X263">
        <v>945201097</v>
      </c>
      <c r="Y263">
        <f t="shared" si="96"/>
        <v>0.1</v>
      </c>
      <c r="AA263">
        <v>0</v>
      </c>
      <c r="AB263">
        <v>58.59</v>
      </c>
      <c r="AC263">
        <v>649.24</v>
      </c>
      <c r="AD263">
        <v>0</v>
      </c>
      <c r="AE263">
        <v>0</v>
      </c>
      <c r="AF263">
        <v>37.32</v>
      </c>
      <c r="AG263">
        <v>649.24</v>
      </c>
      <c r="AH263">
        <v>0</v>
      </c>
      <c r="AI263">
        <v>1</v>
      </c>
      <c r="AJ263">
        <v>1.57</v>
      </c>
      <c r="AK263">
        <v>1</v>
      </c>
      <c r="AL263">
        <v>1</v>
      </c>
      <c r="AM263">
        <v>2</v>
      </c>
      <c r="AN263">
        <v>0</v>
      </c>
      <c r="AO263">
        <v>0</v>
      </c>
      <c r="AP263">
        <v>0</v>
      </c>
      <c r="AQ263">
        <v>1</v>
      </c>
      <c r="AR263">
        <v>0</v>
      </c>
      <c r="AS263" t="s">
        <v>3</v>
      </c>
      <c r="AT263">
        <v>0.1</v>
      </c>
      <c r="AU263" t="s">
        <v>3</v>
      </c>
      <c r="AV263">
        <v>1</v>
      </c>
      <c r="AW263">
        <v>2</v>
      </c>
      <c r="AX263">
        <v>94239008</v>
      </c>
      <c r="AY263">
        <v>1</v>
      </c>
      <c r="AZ263">
        <v>0</v>
      </c>
      <c r="BA263">
        <v>262</v>
      </c>
      <c r="BB263">
        <v>1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3.7320000000000002</v>
      </c>
      <c r="BL263">
        <v>64.924000000000007</v>
      </c>
      <c r="BM263">
        <v>0</v>
      </c>
      <c r="BN263">
        <v>0</v>
      </c>
      <c r="BO263">
        <v>0.1</v>
      </c>
      <c r="BP263">
        <v>1</v>
      </c>
      <c r="BQ263">
        <v>0</v>
      </c>
      <c r="BR263">
        <v>3.7320000000000002</v>
      </c>
      <c r="BS263">
        <v>64.924000000000007</v>
      </c>
      <c r="BT263">
        <v>0</v>
      </c>
      <c r="BU263">
        <v>0</v>
      </c>
      <c r="BV263">
        <v>0.1</v>
      </c>
      <c r="BW263">
        <v>1</v>
      </c>
      <c r="CV263">
        <v>0</v>
      </c>
      <c r="CW263">
        <f>ROUND(Y263*Source!I360*DO263,7)</f>
        <v>2.4500000000000001E-2</v>
      </c>
      <c r="CX263">
        <f>ROUND(Y263*Source!I360,7)</f>
        <v>2.4500000000000001E-2</v>
      </c>
      <c r="CY263">
        <f>AB263</f>
        <v>58.59</v>
      </c>
      <c r="CZ263">
        <f>AF263</f>
        <v>37.32</v>
      </c>
      <c r="DA263">
        <f>AJ263</f>
        <v>1.57</v>
      </c>
      <c r="DB263">
        <f t="shared" si="97"/>
        <v>3.73</v>
      </c>
      <c r="DC263">
        <f t="shared" si="98"/>
        <v>64.92</v>
      </c>
      <c r="DD263" t="s">
        <v>3</v>
      </c>
      <c r="DE263" t="s">
        <v>3</v>
      </c>
      <c r="DF263">
        <f>ROUND(ROUND(AE263,2)*CX263,2)</f>
        <v>0</v>
      </c>
      <c r="DG263">
        <f>ROUND(ROUND(AF263*AJ263,2)*CX263,2)</f>
        <v>1.44</v>
      </c>
      <c r="DH263">
        <f t="shared" si="102"/>
        <v>15.91</v>
      </c>
      <c r="DI263">
        <f t="shared" si="103"/>
        <v>0</v>
      </c>
      <c r="DJ263">
        <f>DG263+DH263</f>
        <v>17.350000000000001</v>
      </c>
      <c r="DK263">
        <v>0</v>
      </c>
      <c r="DL263" t="s">
        <v>435</v>
      </c>
      <c r="DM263">
        <v>3</v>
      </c>
      <c r="DN263" t="s">
        <v>428</v>
      </c>
      <c r="DO263">
        <v>1</v>
      </c>
    </row>
    <row r="264" spans="1:119" x14ac:dyDescent="0.2">
      <c r="A264">
        <f>ROW(Source!A360)</f>
        <v>360</v>
      </c>
      <c r="B264">
        <v>94104265</v>
      </c>
      <c r="C264">
        <v>94238993</v>
      </c>
      <c r="D264">
        <v>87237333</v>
      </c>
      <c r="E264">
        <v>1</v>
      </c>
      <c r="F264">
        <v>1</v>
      </c>
      <c r="G264">
        <v>1</v>
      </c>
      <c r="H264">
        <v>2</v>
      </c>
      <c r="I264" t="s">
        <v>463</v>
      </c>
      <c r="J264" t="s">
        <v>464</v>
      </c>
      <c r="K264" t="s">
        <v>465</v>
      </c>
      <c r="L264">
        <v>1368</v>
      </c>
      <c r="N264">
        <v>1011</v>
      </c>
      <c r="O264" t="s">
        <v>434</v>
      </c>
      <c r="P264" t="s">
        <v>434</v>
      </c>
      <c r="Q264">
        <v>1</v>
      </c>
      <c r="W264">
        <v>0</v>
      </c>
      <c r="X264">
        <v>-849950259</v>
      </c>
      <c r="Y264">
        <f t="shared" si="96"/>
        <v>0.06</v>
      </c>
      <c r="AA264">
        <v>0</v>
      </c>
      <c r="AB264">
        <v>544.91999999999996</v>
      </c>
      <c r="AC264">
        <v>731.08</v>
      </c>
      <c r="AD264">
        <v>0</v>
      </c>
      <c r="AE264">
        <v>0</v>
      </c>
      <c r="AF264">
        <v>544.91999999999996</v>
      </c>
      <c r="AG264">
        <v>731.08</v>
      </c>
      <c r="AH264">
        <v>0</v>
      </c>
      <c r="AI264">
        <v>1</v>
      </c>
      <c r="AJ264">
        <v>1</v>
      </c>
      <c r="AK264">
        <v>1</v>
      </c>
      <c r="AL264">
        <v>1</v>
      </c>
      <c r="AM264">
        <v>-2</v>
      </c>
      <c r="AN264">
        <v>0</v>
      </c>
      <c r="AO264">
        <v>0</v>
      </c>
      <c r="AP264">
        <v>0</v>
      </c>
      <c r="AQ264">
        <v>1</v>
      </c>
      <c r="AR264">
        <v>0</v>
      </c>
      <c r="AS264" t="s">
        <v>3</v>
      </c>
      <c r="AT264">
        <v>0.06</v>
      </c>
      <c r="AU264" t="s">
        <v>3</v>
      </c>
      <c r="AV264">
        <v>1</v>
      </c>
      <c r="AW264">
        <v>2</v>
      </c>
      <c r="AX264">
        <v>94239009</v>
      </c>
      <c r="AY264">
        <v>1</v>
      </c>
      <c r="AZ264">
        <v>0</v>
      </c>
      <c r="BA264">
        <v>263</v>
      </c>
      <c r="BB264">
        <v>1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32.6952</v>
      </c>
      <c r="BL264">
        <v>43.864800000000002</v>
      </c>
      <c r="BM264">
        <v>0</v>
      </c>
      <c r="BN264">
        <v>0</v>
      </c>
      <c r="BO264">
        <v>0.06</v>
      </c>
      <c r="BP264">
        <v>1</v>
      </c>
      <c r="BQ264">
        <v>0</v>
      </c>
      <c r="BR264">
        <v>32.6952</v>
      </c>
      <c r="BS264">
        <v>43.864800000000002</v>
      </c>
      <c r="BT264">
        <v>0</v>
      </c>
      <c r="BU264">
        <v>0</v>
      </c>
      <c r="BV264">
        <v>0.06</v>
      </c>
      <c r="BW264">
        <v>1</v>
      </c>
      <c r="CV264">
        <v>0</v>
      </c>
      <c r="CW264">
        <f>ROUND(Y264*Source!I360*DO264,7)</f>
        <v>1.47E-2</v>
      </c>
      <c r="CX264">
        <f>ROUND(Y264*Source!I360,7)</f>
        <v>1.47E-2</v>
      </c>
      <c r="CY264">
        <f>AB264</f>
        <v>544.91999999999996</v>
      </c>
      <c r="CZ264">
        <f>AF264</f>
        <v>544.91999999999996</v>
      </c>
      <c r="DA264">
        <f>AJ264</f>
        <v>1</v>
      </c>
      <c r="DB264">
        <f t="shared" si="97"/>
        <v>32.700000000000003</v>
      </c>
      <c r="DC264">
        <f t="shared" si="98"/>
        <v>43.86</v>
      </c>
      <c r="DD264" t="s">
        <v>3</v>
      </c>
      <c r="DE264" t="s">
        <v>3</v>
      </c>
      <c r="DF264">
        <f>ROUND(ROUND(AE264,2)*CX264,2)</f>
        <v>0</v>
      </c>
      <c r="DG264">
        <f t="shared" ref="DG264:DG272" si="104">ROUND(ROUND(AF264,2)*CX264,2)</f>
        <v>8.01</v>
      </c>
      <c r="DH264">
        <f t="shared" si="102"/>
        <v>10.75</v>
      </c>
      <c r="DI264">
        <f t="shared" si="103"/>
        <v>0</v>
      </c>
      <c r="DJ264">
        <f>DG264+DH264</f>
        <v>18.759999999999998</v>
      </c>
      <c r="DK264">
        <v>1</v>
      </c>
      <c r="DL264" t="s">
        <v>466</v>
      </c>
      <c r="DM264">
        <v>4</v>
      </c>
      <c r="DN264" t="s">
        <v>428</v>
      </c>
      <c r="DO264">
        <v>1</v>
      </c>
    </row>
    <row r="265" spans="1:119" x14ac:dyDescent="0.2">
      <c r="A265">
        <f>ROW(Source!A360)</f>
        <v>360</v>
      </c>
      <c r="B265">
        <v>94104265</v>
      </c>
      <c r="C265">
        <v>94238993</v>
      </c>
      <c r="D265">
        <v>87304091</v>
      </c>
      <c r="E265">
        <v>1</v>
      </c>
      <c r="F265">
        <v>1</v>
      </c>
      <c r="G265">
        <v>1</v>
      </c>
      <c r="H265">
        <v>3</v>
      </c>
      <c r="I265" t="s">
        <v>467</v>
      </c>
      <c r="J265" t="s">
        <v>468</v>
      </c>
      <c r="K265" t="s">
        <v>469</v>
      </c>
      <c r="L265">
        <v>1339</v>
      </c>
      <c r="N265">
        <v>1007</v>
      </c>
      <c r="O265" t="s">
        <v>34</v>
      </c>
      <c r="P265" t="s">
        <v>34</v>
      </c>
      <c r="Q265">
        <v>1</v>
      </c>
      <c r="W265">
        <v>0</v>
      </c>
      <c r="X265">
        <v>1964556667</v>
      </c>
      <c r="Y265">
        <f t="shared" si="96"/>
        <v>0.34</v>
      </c>
      <c r="AA265">
        <v>54.64</v>
      </c>
      <c r="AB265">
        <v>0</v>
      </c>
      <c r="AC265">
        <v>0</v>
      </c>
      <c r="AD265">
        <v>0</v>
      </c>
      <c r="AE265">
        <v>35.71</v>
      </c>
      <c r="AF265">
        <v>0</v>
      </c>
      <c r="AG265">
        <v>0</v>
      </c>
      <c r="AH265">
        <v>0</v>
      </c>
      <c r="AI265">
        <v>1.53</v>
      </c>
      <c r="AJ265">
        <v>1</v>
      </c>
      <c r="AK265">
        <v>1</v>
      </c>
      <c r="AL265">
        <v>1</v>
      </c>
      <c r="AM265">
        <v>2</v>
      </c>
      <c r="AN265">
        <v>0</v>
      </c>
      <c r="AO265">
        <v>0</v>
      </c>
      <c r="AP265">
        <v>0</v>
      </c>
      <c r="AQ265">
        <v>1</v>
      </c>
      <c r="AR265">
        <v>0</v>
      </c>
      <c r="AS265" t="s">
        <v>3</v>
      </c>
      <c r="AT265">
        <v>0.34</v>
      </c>
      <c r="AU265" t="s">
        <v>3</v>
      </c>
      <c r="AV265">
        <v>0</v>
      </c>
      <c r="AW265">
        <v>2</v>
      </c>
      <c r="AX265">
        <v>94239010</v>
      </c>
      <c r="AY265">
        <v>1</v>
      </c>
      <c r="AZ265">
        <v>0</v>
      </c>
      <c r="BA265">
        <v>264</v>
      </c>
      <c r="BB265">
        <v>1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12.141400000000001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1</v>
      </c>
      <c r="BQ265">
        <v>12.141400000000001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1</v>
      </c>
      <c r="CV265">
        <v>0</v>
      </c>
      <c r="CW265">
        <v>0</v>
      </c>
      <c r="CX265">
        <f>ROUND(Y265*Source!I360,7)</f>
        <v>8.3299999999999999E-2</v>
      </c>
      <c r="CY265">
        <f t="shared" ref="CY265:CY272" si="105">AA265</f>
        <v>54.64</v>
      </c>
      <c r="CZ265">
        <f t="shared" ref="CZ265:CZ272" si="106">AE265</f>
        <v>35.71</v>
      </c>
      <c r="DA265">
        <f t="shared" ref="DA265:DA272" si="107">AI265</f>
        <v>1.53</v>
      </c>
      <c r="DB265">
        <f t="shared" si="97"/>
        <v>12.14</v>
      </c>
      <c r="DC265">
        <f t="shared" si="98"/>
        <v>0</v>
      </c>
      <c r="DD265" t="s">
        <v>3</v>
      </c>
      <c r="DE265" t="s">
        <v>3</v>
      </c>
      <c r="DF265">
        <f t="shared" ref="DF265:DF272" si="108">ROUND(ROUND(AE265*AI265,2)*CX265,2)</f>
        <v>4.55</v>
      </c>
      <c r="DG265">
        <f t="shared" si="104"/>
        <v>0</v>
      </c>
      <c r="DH265">
        <f t="shared" si="102"/>
        <v>0</v>
      </c>
      <c r="DI265">
        <f t="shared" si="103"/>
        <v>0</v>
      </c>
      <c r="DJ265">
        <f t="shared" ref="DJ265:DJ272" si="109">DF265</f>
        <v>4.55</v>
      </c>
      <c r="DK265">
        <v>0</v>
      </c>
      <c r="DL265" t="s">
        <v>3</v>
      </c>
      <c r="DM265">
        <v>0</v>
      </c>
      <c r="DN265" t="s">
        <v>3</v>
      </c>
      <c r="DO265">
        <v>0</v>
      </c>
    </row>
    <row r="266" spans="1:119" x14ac:dyDescent="0.2">
      <c r="A266">
        <f>ROW(Source!A360)</f>
        <v>360</v>
      </c>
      <c r="B266">
        <v>94104265</v>
      </c>
      <c r="C266">
        <v>94238993</v>
      </c>
      <c r="D266">
        <v>87304388</v>
      </c>
      <c r="E266">
        <v>1</v>
      </c>
      <c r="F266">
        <v>1</v>
      </c>
      <c r="G266">
        <v>1</v>
      </c>
      <c r="H266">
        <v>3</v>
      </c>
      <c r="I266" t="s">
        <v>558</v>
      </c>
      <c r="J266" t="s">
        <v>559</v>
      </c>
      <c r="K266" t="s">
        <v>560</v>
      </c>
      <c r="L266">
        <v>1371</v>
      </c>
      <c r="N266">
        <v>1013</v>
      </c>
      <c r="O266" t="s">
        <v>279</v>
      </c>
      <c r="P266" t="s">
        <v>279</v>
      </c>
      <c r="Q266">
        <v>1</v>
      </c>
      <c r="W266">
        <v>0</v>
      </c>
      <c r="X266">
        <v>1145730244</v>
      </c>
      <c r="Y266">
        <f t="shared" si="96"/>
        <v>2.4</v>
      </c>
      <c r="AA266">
        <v>25.1</v>
      </c>
      <c r="AB266">
        <v>0</v>
      </c>
      <c r="AC266">
        <v>0</v>
      </c>
      <c r="AD266">
        <v>0</v>
      </c>
      <c r="AE266">
        <v>18.59</v>
      </c>
      <c r="AF266">
        <v>0</v>
      </c>
      <c r="AG266">
        <v>0</v>
      </c>
      <c r="AH266">
        <v>0</v>
      </c>
      <c r="AI266">
        <v>1.35</v>
      </c>
      <c r="AJ266">
        <v>1</v>
      </c>
      <c r="AK266">
        <v>1</v>
      </c>
      <c r="AL266">
        <v>1</v>
      </c>
      <c r="AM266">
        <v>2</v>
      </c>
      <c r="AN266">
        <v>0</v>
      </c>
      <c r="AO266">
        <v>0</v>
      </c>
      <c r="AP266">
        <v>0</v>
      </c>
      <c r="AQ266">
        <v>1</v>
      </c>
      <c r="AR266">
        <v>0</v>
      </c>
      <c r="AS266" t="s">
        <v>3</v>
      </c>
      <c r="AT266">
        <v>2.4</v>
      </c>
      <c r="AU266" t="s">
        <v>3</v>
      </c>
      <c r="AV266">
        <v>0</v>
      </c>
      <c r="AW266">
        <v>2</v>
      </c>
      <c r="AX266">
        <v>94239011</v>
      </c>
      <c r="AY266">
        <v>1</v>
      </c>
      <c r="AZ266">
        <v>0</v>
      </c>
      <c r="BA266">
        <v>265</v>
      </c>
      <c r="BB266">
        <v>1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44.616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1</v>
      </c>
      <c r="BQ266">
        <v>44.616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1</v>
      </c>
      <c r="CV266">
        <v>0</v>
      </c>
      <c r="CW266">
        <v>0</v>
      </c>
      <c r="CX266">
        <f>ROUND(Y266*Source!I360,7)</f>
        <v>0.58799999999999997</v>
      </c>
      <c r="CY266">
        <f t="shared" si="105"/>
        <v>25.1</v>
      </c>
      <c r="CZ266">
        <f t="shared" si="106"/>
        <v>18.59</v>
      </c>
      <c r="DA266">
        <f t="shared" si="107"/>
        <v>1.35</v>
      </c>
      <c r="DB266">
        <f t="shared" si="97"/>
        <v>44.62</v>
      </c>
      <c r="DC266">
        <f t="shared" si="98"/>
        <v>0</v>
      </c>
      <c r="DD266" t="s">
        <v>3</v>
      </c>
      <c r="DE266" t="s">
        <v>3</v>
      </c>
      <c r="DF266">
        <f t="shared" si="108"/>
        <v>14.76</v>
      </c>
      <c r="DG266">
        <f t="shared" si="104"/>
        <v>0</v>
      </c>
      <c r="DH266">
        <f t="shared" si="102"/>
        <v>0</v>
      </c>
      <c r="DI266">
        <f t="shared" si="103"/>
        <v>0</v>
      </c>
      <c r="DJ266">
        <f t="shared" si="109"/>
        <v>14.76</v>
      </c>
      <c r="DK266">
        <v>0</v>
      </c>
      <c r="DL266" t="s">
        <v>3</v>
      </c>
      <c r="DM266">
        <v>0</v>
      </c>
      <c r="DN266" t="s">
        <v>3</v>
      </c>
      <c r="DO266">
        <v>0</v>
      </c>
    </row>
    <row r="267" spans="1:119" x14ac:dyDescent="0.2">
      <c r="A267">
        <f>ROW(Source!A360)</f>
        <v>360</v>
      </c>
      <c r="B267">
        <v>94104265</v>
      </c>
      <c r="C267">
        <v>94238993</v>
      </c>
      <c r="D267">
        <v>87304588</v>
      </c>
      <c r="E267">
        <v>1</v>
      </c>
      <c r="F267">
        <v>1</v>
      </c>
      <c r="G267">
        <v>1</v>
      </c>
      <c r="H267">
        <v>3</v>
      </c>
      <c r="I267" t="s">
        <v>561</v>
      </c>
      <c r="J267" t="s">
        <v>562</v>
      </c>
      <c r="K267" t="s">
        <v>563</v>
      </c>
      <c r="L267">
        <v>1348</v>
      </c>
      <c r="N267">
        <v>1009</v>
      </c>
      <c r="O267" t="s">
        <v>30</v>
      </c>
      <c r="P267" t="s">
        <v>30</v>
      </c>
      <c r="Q267">
        <v>1000</v>
      </c>
      <c r="W267">
        <v>0</v>
      </c>
      <c r="X267">
        <v>601473952</v>
      </c>
      <c r="Y267">
        <f t="shared" si="96"/>
        <v>4.1000000000000003E-3</v>
      </c>
      <c r="AA267">
        <v>4882.84</v>
      </c>
      <c r="AB267">
        <v>0</v>
      </c>
      <c r="AC267">
        <v>0</v>
      </c>
      <c r="AD267">
        <v>0</v>
      </c>
      <c r="AE267">
        <v>3616.92</v>
      </c>
      <c r="AF267">
        <v>0</v>
      </c>
      <c r="AG267">
        <v>0</v>
      </c>
      <c r="AH267">
        <v>0</v>
      </c>
      <c r="AI267">
        <v>1.35</v>
      </c>
      <c r="AJ267">
        <v>1</v>
      </c>
      <c r="AK267">
        <v>1</v>
      </c>
      <c r="AL267">
        <v>1</v>
      </c>
      <c r="AM267">
        <v>2</v>
      </c>
      <c r="AN267">
        <v>0</v>
      </c>
      <c r="AO267">
        <v>0</v>
      </c>
      <c r="AP267">
        <v>0</v>
      </c>
      <c r="AQ267">
        <v>1</v>
      </c>
      <c r="AR267">
        <v>0</v>
      </c>
      <c r="AS267" t="s">
        <v>3</v>
      </c>
      <c r="AT267">
        <v>4.1000000000000003E-3</v>
      </c>
      <c r="AU267" t="s">
        <v>3</v>
      </c>
      <c r="AV267">
        <v>0</v>
      </c>
      <c r="AW267">
        <v>2</v>
      </c>
      <c r="AX267">
        <v>94239012</v>
      </c>
      <c r="AY267">
        <v>1</v>
      </c>
      <c r="AZ267">
        <v>0</v>
      </c>
      <c r="BA267">
        <v>266</v>
      </c>
      <c r="BB267">
        <v>1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14.829372000000001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1</v>
      </c>
      <c r="BQ267">
        <v>14.829372000000001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1</v>
      </c>
      <c r="CV267">
        <v>0</v>
      </c>
      <c r="CW267">
        <v>0</v>
      </c>
      <c r="CX267">
        <f>ROUND(Y267*Source!I360,7)</f>
        <v>1.0045E-3</v>
      </c>
      <c r="CY267">
        <f t="shared" si="105"/>
        <v>4882.84</v>
      </c>
      <c r="CZ267">
        <f t="shared" si="106"/>
        <v>3616.92</v>
      </c>
      <c r="DA267">
        <f t="shared" si="107"/>
        <v>1.35</v>
      </c>
      <c r="DB267">
        <f t="shared" si="97"/>
        <v>14.83</v>
      </c>
      <c r="DC267">
        <f t="shared" si="98"/>
        <v>0</v>
      </c>
      <c r="DD267" t="s">
        <v>3</v>
      </c>
      <c r="DE267" t="s">
        <v>3</v>
      </c>
      <c r="DF267">
        <f t="shared" si="108"/>
        <v>4.9000000000000004</v>
      </c>
      <c r="DG267">
        <f t="shared" si="104"/>
        <v>0</v>
      </c>
      <c r="DH267">
        <f t="shared" si="102"/>
        <v>0</v>
      </c>
      <c r="DI267">
        <f t="shared" si="103"/>
        <v>0</v>
      </c>
      <c r="DJ267">
        <f t="shared" si="109"/>
        <v>4.9000000000000004</v>
      </c>
      <c r="DK267">
        <v>0</v>
      </c>
      <c r="DL267" t="s">
        <v>3</v>
      </c>
      <c r="DM267">
        <v>0</v>
      </c>
      <c r="DN267" t="s">
        <v>3</v>
      </c>
      <c r="DO267">
        <v>0</v>
      </c>
    </row>
    <row r="268" spans="1:119" x14ac:dyDescent="0.2">
      <c r="A268">
        <f>ROW(Source!A360)</f>
        <v>360</v>
      </c>
      <c r="B268">
        <v>94104265</v>
      </c>
      <c r="C268">
        <v>94238993</v>
      </c>
      <c r="D268">
        <v>87304694</v>
      </c>
      <c r="E268">
        <v>1</v>
      </c>
      <c r="F268">
        <v>1</v>
      </c>
      <c r="G268">
        <v>1</v>
      </c>
      <c r="H268">
        <v>3</v>
      </c>
      <c r="I268" t="s">
        <v>564</v>
      </c>
      <c r="J268" t="s">
        <v>565</v>
      </c>
      <c r="K268" t="s">
        <v>566</v>
      </c>
      <c r="L268">
        <v>1346</v>
      </c>
      <c r="N268">
        <v>1009</v>
      </c>
      <c r="O268" t="s">
        <v>96</v>
      </c>
      <c r="P268" t="s">
        <v>96</v>
      </c>
      <c r="Q268">
        <v>1</v>
      </c>
      <c r="W268">
        <v>0</v>
      </c>
      <c r="X268">
        <v>-2122839911</v>
      </c>
      <c r="Y268">
        <f t="shared" si="96"/>
        <v>2.64</v>
      </c>
      <c r="AA268">
        <v>3385.29</v>
      </c>
      <c r="AB268">
        <v>0</v>
      </c>
      <c r="AC268">
        <v>0</v>
      </c>
      <c r="AD268">
        <v>0</v>
      </c>
      <c r="AE268">
        <v>2507.62</v>
      </c>
      <c r="AF268">
        <v>0</v>
      </c>
      <c r="AG268">
        <v>0</v>
      </c>
      <c r="AH268">
        <v>0</v>
      </c>
      <c r="AI268">
        <v>1.35</v>
      </c>
      <c r="AJ268">
        <v>1</v>
      </c>
      <c r="AK268">
        <v>1</v>
      </c>
      <c r="AL268">
        <v>1</v>
      </c>
      <c r="AM268">
        <v>2</v>
      </c>
      <c r="AN268">
        <v>0</v>
      </c>
      <c r="AO268">
        <v>0</v>
      </c>
      <c r="AP268">
        <v>0</v>
      </c>
      <c r="AQ268">
        <v>1</v>
      </c>
      <c r="AR268">
        <v>0</v>
      </c>
      <c r="AS268" t="s">
        <v>3</v>
      </c>
      <c r="AT268">
        <v>2.64</v>
      </c>
      <c r="AU268" t="s">
        <v>3</v>
      </c>
      <c r="AV268">
        <v>0</v>
      </c>
      <c r="AW268">
        <v>2</v>
      </c>
      <c r="AX268">
        <v>94239013</v>
      </c>
      <c r="AY268">
        <v>1</v>
      </c>
      <c r="AZ268">
        <v>0</v>
      </c>
      <c r="BA268">
        <v>267</v>
      </c>
      <c r="BB268">
        <v>1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6620.1167999999998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1</v>
      </c>
      <c r="BQ268">
        <v>6620.1167999999998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1</v>
      </c>
      <c r="CV268">
        <v>0</v>
      </c>
      <c r="CW268">
        <v>0</v>
      </c>
      <c r="CX268">
        <f>ROUND(Y268*Source!I360,7)</f>
        <v>0.64680000000000004</v>
      </c>
      <c r="CY268">
        <f t="shared" si="105"/>
        <v>3385.29</v>
      </c>
      <c r="CZ268">
        <f t="shared" si="106"/>
        <v>2507.62</v>
      </c>
      <c r="DA268">
        <f t="shared" si="107"/>
        <v>1.35</v>
      </c>
      <c r="DB268">
        <f t="shared" si="97"/>
        <v>6620.12</v>
      </c>
      <c r="DC268">
        <f t="shared" si="98"/>
        <v>0</v>
      </c>
      <c r="DD268" t="s">
        <v>3</v>
      </c>
      <c r="DE268" t="s">
        <v>3</v>
      </c>
      <c r="DF268">
        <f t="shared" si="108"/>
        <v>2189.61</v>
      </c>
      <c r="DG268">
        <f t="shared" si="104"/>
        <v>0</v>
      </c>
      <c r="DH268">
        <f t="shared" si="102"/>
        <v>0</v>
      </c>
      <c r="DI268">
        <f t="shared" si="103"/>
        <v>0</v>
      </c>
      <c r="DJ268">
        <f t="shared" si="109"/>
        <v>2189.61</v>
      </c>
      <c r="DK268">
        <v>0</v>
      </c>
      <c r="DL268" t="s">
        <v>3</v>
      </c>
      <c r="DM268">
        <v>0</v>
      </c>
      <c r="DN268" t="s">
        <v>3</v>
      </c>
      <c r="DO268">
        <v>0</v>
      </c>
    </row>
    <row r="269" spans="1:119" x14ac:dyDescent="0.2">
      <c r="A269">
        <f>ROW(Source!A360)</f>
        <v>360</v>
      </c>
      <c r="B269">
        <v>94104265</v>
      </c>
      <c r="C269">
        <v>94238993</v>
      </c>
      <c r="D269">
        <v>87306387</v>
      </c>
      <c r="E269">
        <v>1</v>
      </c>
      <c r="F269">
        <v>1</v>
      </c>
      <c r="G269">
        <v>1</v>
      </c>
      <c r="H269">
        <v>3</v>
      </c>
      <c r="I269" t="s">
        <v>567</v>
      </c>
      <c r="J269" t="s">
        <v>568</v>
      </c>
      <c r="K269" t="s">
        <v>569</v>
      </c>
      <c r="L269">
        <v>1327</v>
      </c>
      <c r="N269">
        <v>1005</v>
      </c>
      <c r="O269" t="s">
        <v>60</v>
      </c>
      <c r="P269" t="s">
        <v>60</v>
      </c>
      <c r="Q269">
        <v>1</v>
      </c>
      <c r="W269">
        <v>0</v>
      </c>
      <c r="X269">
        <v>10451617</v>
      </c>
      <c r="Y269">
        <f t="shared" si="96"/>
        <v>0.8</v>
      </c>
      <c r="AA269">
        <v>717.44</v>
      </c>
      <c r="AB269">
        <v>0</v>
      </c>
      <c r="AC269">
        <v>0</v>
      </c>
      <c r="AD269">
        <v>0</v>
      </c>
      <c r="AE269">
        <v>531.44000000000005</v>
      </c>
      <c r="AF269">
        <v>0</v>
      </c>
      <c r="AG269">
        <v>0</v>
      </c>
      <c r="AH269">
        <v>0</v>
      </c>
      <c r="AI269">
        <v>1.35</v>
      </c>
      <c r="AJ269">
        <v>1</v>
      </c>
      <c r="AK269">
        <v>1</v>
      </c>
      <c r="AL269">
        <v>1</v>
      </c>
      <c r="AM269">
        <v>2</v>
      </c>
      <c r="AN269">
        <v>0</v>
      </c>
      <c r="AO269">
        <v>0</v>
      </c>
      <c r="AP269">
        <v>0</v>
      </c>
      <c r="AQ269">
        <v>1</v>
      </c>
      <c r="AR269">
        <v>0</v>
      </c>
      <c r="AS269" t="s">
        <v>3</v>
      </c>
      <c r="AT269">
        <v>0.8</v>
      </c>
      <c r="AU269" t="s">
        <v>3</v>
      </c>
      <c r="AV269">
        <v>0</v>
      </c>
      <c r="AW269">
        <v>2</v>
      </c>
      <c r="AX269">
        <v>94239014</v>
      </c>
      <c r="AY269">
        <v>1</v>
      </c>
      <c r="AZ269">
        <v>0</v>
      </c>
      <c r="BA269">
        <v>268</v>
      </c>
      <c r="BB269">
        <v>1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425.15200000000004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1</v>
      </c>
      <c r="BQ269">
        <v>425.15200000000004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1</v>
      </c>
      <c r="CV269">
        <v>0</v>
      </c>
      <c r="CW269">
        <v>0</v>
      </c>
      <c r="CX269">
        <f>ROUND(Y269*Source!I360,7)</f>
        <v>0.19600000000000001</v>
      </c>
      <c r="CY269">
        <f t="shared" si="105"/>
        <v>717.44</v>
      </c>
      <c r="CZ269">
        <f t="shared" si="106"/>
        <v>531.44000000000005</v>
      </c>
      <c r="DA269">
        <f t="shared" si="107"/>
        <v>1.35</v>
      </c>
      <c r="DB269">
        <f t="shared" si="97"/>
        <v>425.15</v>
      </c>
      <c r="DC269">
        <f t="shared" si="98"/>
        <v>0</v>
      </c>
      <c r="DD269" t="s">
        <v>3</v>
      </c>
      <c r="DE269" t="s">
        <v>3</v>
      </c>
      <c r="DF269">
        <f t="shared" si="108"/>
        <v>140.62</v>
      </c>
      <c r="DG269">
        <f t="shared" si="104"/>
        <v>0</v>
      </c>
      <c r="DH269">
        <f t="shared" si="102"/>
        <v>0</v>
      </c>
      <c r="DI269">
        <f t="shared" si="103"/>
        <v>0</v>
      </c>
      <c r="DJ269">
        <f t="shared" si="109"/>
        <v>140.62</v>
      </c>
      <c r="DK269">
        <v>0</v>
      </c>
      <c r="DL269" t="s">
        <v>3</v>
      </c>
      <c r="DM269">
        <v>0</v>
      </c>
      <c r="DN269" t="s">
        <v>3</v>
      </c>
      <c r="DO269">
        <v>0</v>
      </c>
    </row>
    <row r="270" spans="1:119" x14ac:dyDescent="0.2">
      <c r="A270">
        <f>ROW(Source!A360)</f>
        <v>360</v>
      </c>
      <c r="B270">
        <v>94104265</v>
      </c>
      <c r="C270">
        <v>94238993</v>
      </c>
      <c r="D270">
        <v>87322323</v>
      </c>
      <c r="E270">
        <v>1</v>
      </c>
      <c r="F270">
        <v>1</v>
      </c>
      <c r="G270">
        <v>1</v>
      </c>
      <c r="H270">
        <v>3</v>
      </c>
      <c r="I270" t="s">
        <v>570</v>
      </c>
      <c r="J270" t="s">
        <v>571</v>
      </c>
      <c r="K270" t="s">
        <v>572</v>
      </c>
      <c r="L270">
        <v>1346</v>
      </c>
      <c r="N270">
        <v>1009</v>
      </c>
      <c r="O270" t="s">
        <v>96</v>
      </c>
      <c r="P270" t="s">
        <v>96</v>
      </c>
      <c r="Q270">
        <v>1</v>
      </c>
      <c r="W270">
        <v>0</v>
      </c>
      <c r="X270">
        <v>-2105053205</v>
      </c>
      <c r="Y270">
        <f t="shared" si="96"/>
        <v>1.43</v>
      </c>
      <c r="AA270">
        <v>100.45</v>
      </c>
      <c r="AB270">
        <v>0</v>
      </c>
      <c r="AC270">
        <v>0</v>
      </c>
      <c r="AD270">
        <v>0</v>
      </c>
      <c r="AE270">
        <v>93.01</v>
      </c>
      <c r="AF270">
        <v>0</v>
      </c>
      <c r="AG270">
        <v>0</v>
      </c>
      <c r="AH270">
        <v>0</v>
      </c>
      <c r="AI270">
        <v>1.08</v>
      </c>
      <c r="AJ270">
        <v>1</v>
      </c>
      <c r="AK270">
        <v>1</v>
      </c>
      <c r="AL270">
        <v>1</v>
      </c>
      <c r="AM270">
        <v>2</v>
      </c>
      <c r="AN270">
        <v>0</v>
      </c>
      <c r="AO270">
        <v>0</v>
      </c>
      <c r="AP270">
        <v>0</v>
      </c>
      <c r="AQ270">
        <v>1</v>
      </c>
      <c r="AR270">
        <v>0</v>
      </c>
      <c r="AS270" t="s">
        <v>3</v>
      </c>
      <c r="AT270">
        <v>1.43</v>
      </c>
      <c r="AU270" t="s">
        <v>3</v>
      </c>
      <c r="AV270">
        <v>0</v>
      </c>
      <c r="AW270">
        <v>2</v>
      </c>
      <c r="AX270">
        <v>94239015</v>
      </c>
      <c r="AY270">
        <v>1</v>
      </c>
      <c r="AZ270">
        <v>0</v>
      </c>
      <c r="BA270">
        <v>269</v>
      </c>
      <c r="BB270">
        <v>1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133.0043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1</v>
      </c>
      <c r="BQ270">
        <v>133.0043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1</v>
      </c>
      <c r="CV270">
        <v>0</v>
      </c>
      <c r="CW270">
        <v>0</v>
      </c>
      <c r="CX270">
        <f>ROUND(Y270*Source!I360,7)</f>
        <v>0.35034999999999999</v>
      </c>
      <c r="CY270">
        <f t="shared" si="105"/>
        <v>100.45</v>
      </c>
      <c r="CZ270">
        <f t="shared" si="106"/>
        <v>93.01</v>
      </c>
      <c r="DA270">
        <f t="shared" si="107"/>
        <v>1.08</v>
      </c>
      <c r="DB270">
        <f t="shared" si="97"/>
        <v>133</v>
      </c>
      <c r="DC270">
        <f t="shared" si="98"/>
        <v>0</v>
      </c>
      <c r="DD270" t="s">
        <v>3</v>
      </c>
      <c r="DE270" t="s">
        <v>3</v>
      </c>
      <c r="DF270">
        <f t="shared" si="108"/>
        <v>35.19</v>
      </c>
      <c r="DG270">
        <f t="shared" si="104"/>
        <v>0</v>
      </c>
      <c r="DH270">
        <f t="shared" si="102"/>
        <v>0</v>
      </c>
      <c r="DI270">
        <f t="shared" si="103"/>
        <v>0</v>
      </c>
      <c r="DJ270">
        <f t="shared" si="109"/>
        <v>35.19</v>
      </c>
      <c r="DK270">
        <v>0</v>
      </c>
      <c r="DL270" t="s">
        <v>3</v>
      </c>
      <c r="DM270">
        <v>0</v>
      </c>
      <c r="DN270" t="s">
        <v>3</v>
      </c>
      <c r="DO270">
        <v>0</v>
      </c>
    </row>
    <row r="271" spans="1:119" x14ac:dyDescent="0.2">
      <c r="A271">
        <f>ROW(Source!A360)</f>
        <v>360</v>
      </c>
      <c r="B271">
        <v>94104265</v>
      </c>
      <c r="C271">
        <v>94238993</v>
      </c>
      <c r="D271">
        <v>90250715</v>
      </c>
      <c r="E271">
        <v>1</v>
      </c>
      <c r="F271">
        <v>1</v>
      </c>
      <c r="G271">
        <v>1</v>
      </c>
      <c r="H271">
        <v>3</v>
      </c>
      <c r="I271" t="s">
        <v>345</v>
      </c>
      <c r="J271" t="s">
        <v>347</v>
      </c>
      <c r="K271" t="s">
        <v>346</v>
      </c>
      <c r="L271">
        <v>1348</v>
      </c>
      <c r="N271">
        <v>1009</v>
      </c>
      <c r="O271" t="s">
        <v>30</v>
      </c>
      <c r="P271" t="s">
        <v>30</v>
      </c>
      <c r="Q271">
        <v>1000</v>
      </c>
      <c r="W271">
        <v>0</v>
      </c>
      <c r="X271">
        <v>-1675905325</v>
      </c>
      <c r="Y271">
        <f t="shared" si="96"/>
        <v>6.3E-2</v>
      </c>
      <c r="AA271">
        <v>91465.19</v>
      </c>
      <c r="AB271">
        <v>0</v>
      </c>
      <c r="AC271">
        <v>0</v>
      </c>
      <c r="AD271">
        <v>0</v>
      </c>
      <c r="AE271">
        <v>52265.82</v>
      </c>
      <c r="AF271">
        <v>0</v>
      </c>
      <c r="AG271">
        <v>0</v>
      </c>
      <c r="AH271">
        <v>0</v>
      </c>
      <c r="AI271">
        <v>1.75</v>
      </c>
      <c r="AJ271">
        <v>1</v>
      </c>
      <c r="AK271">
        <v>1</v>
      </c>
      <c r="AL271">
        <v>1</v>
      </c>
      <c r="AM271">
        <v>0</v>
      </c>
      <c r="AN271">
        <v>0</v>
      </c>
      <c r="AO271">
        <v>0</v>
      </c>
      <c r="AP271">
        <v>1</v>
      </c>
      <c r="AQ271">
        <v>0</v>
      </c>
      <c r="AR271">
        <v>0</v>
      </c>
      <c r="AS271" t="s">
        <v>3</v>
      </c>
      <c r="AT271">
        <v>6.3E-2</v>
      </c>
      <c r="AU271" t="s">
        <v>3</v>
      </c>
      <c r="AV271">
        <v>0</v>
      </c>
      <c r="AW271">
        <v>1</v>
      </c>
      <c r="AX271">
        <v>-1</v>
      </c>
      <c r="AY271">
        <v>0</v>
      </c>
      <c r="AZ271">
        <v>0</v>
      </c>
      <c r="BA271" t="s">
        <v>3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CV271">
        <v>0</v>
      </c>
      <c r="CW271">
        <v>0</v>
      </c>
      <c r="CX271">
        <f>ROUND(Y271*Source!I360,7)</f>
        <v>1.5435000000000001E-2</v>
      </c>
      <c r="CY271">
        <f t="shared" si="105"/>
        <v>91465.19</v>
      </c>
      <c r="CZ271">
        <f t="shared" si="106"/>
        <v>52265.82</v>
      </c>
      <c r="DA271">
        <f t="shared" si="107"/>
        <v>1.75</v>
      </c>
      <c r="DB271">
        <f t="shared" si="97"/>
        <v>3292.75</v>
      </c>
      <c r="DC271">
        <f t="shared" si="98"/>
        <v>0</v>
      </c>
      <c r="DD271" t="s">
        <v>3</v>
      </c>
      <c r="DE271" t="s">
        <v>3</v>
      </c>
      <c r="DF271">
        <f t="shared" si="108"/>
        <v>1411.77</v>
      </c>
      <c r="DG271">
        <f t="shared" si="104"/>
        <v>0</v>
      </c>
      <c r="DH271">
        <f t="shared" si="102"/>
        <v>0</v>
      </c>
      <c r="DI271">
        <f t="shared" si="103"/>
        <v>0</v>
      </c>
      <c r="DJ271">
        <f t="shared" si="109"/>
        <v>1411.77</v>
      </c>
      <c r="DK271">
        <v>0</v>
      </c>
      <c r="DL271" t="s">
        <v>3</v>
      </c>
      <c r="DM271">
        <v>0</v>
      </c>
      <c r="DN271" t="s">
        <v>3</v>
      </c>
      <c r="DO271">
        <v>0</v>
      </c>
    </row>
    <row r="272" spans="1:119" x14ac:dyDescent="0.2">
      <c r="A272">
        <f>ROW(Source!A360)</f>
        <v>360</v>
      </c>
      <c r="B272">
        <v>94104265</v>
      </c>
      <c r="C272">
        <v>94238993</v>
      </c>
      <c r="D272">
        <v>87323233</v>
      </c>
      <c r="E272">
        <v>1</v>
      </c>
      <c r="F272">
        <v>1</v>
      </c>
      <c r="G272">
        <v>1</v>
      </c>
      <c r="H272">
        <v>3</v>
      </c>
      <c r="I272" t="s">
        <v>573</v>
      </c>
      <c r="J272" t="s">
        <v>574</v>
      </c>
      <c r="K272" t="s">
        <v>575</v>
      </c>
      <c r="L272">
        <v>1348</v>
      </c>
      <c r="N272">
        <v>1009</v>
      </c>
      <c r="O272" t="s">
        <v>30</v>
      </c>
      <c r="P272" t="s">
        <v>30</v>
      </c>
      <c r="Q272">
        <v>1000</v>
      </c>
      <c r="W272">
        <v>0</v>
      </c>
      <c r="X272">
        <v>-1798942978</v>
      </c>
      <c r="Y272">
        <f t="shared" si="96"/>
        <v>5.1000000000000004E-3</v>
      </c>
      <c r="AA272">
        <v>36342.629999999997</v>
      </c>
      <c r="AB272">
        <v>0</v>
      </c>
      <c r="AC272">
        <v>0</v>
      </c>
      <c r="AD272">
        <v>0</v>
      </c>
      <c r="AE272">
        <v>25237.94</v>
      </c>
      <c r="AF272">
        <v>0</v>
      </c>
      <c r="AG272">
        <v>0</v>
      </c>
      <c r="AH272">
        <v>0</v>
      </c>
      <c r="AI272">
        <v>1.44</v>
      </c>
      <c r="AJ272">
        <v>1</v>
      </c>
      <c r="AK272">
        <v>1</v>
      </c>
      <c r="AL272">
        <v>1</v>
      </c>
      <c r="AM272">
        <v>2</v>
      </c>
      <c r="AN272">
        <v>0</v>
      </c>
      <c r="AO272">
        <v>0</v>
      </c>
      <c r="AP272">
        <v>0</v>
      </c>
      <c r="AQ272">
        <v>1</v>
      </c>
      <c r="AR272">
        <v>0</v>
      </c>
      <c r="AS272" t="s">
        <v>3</v>
      </c>
      <c r="AT272">
        <v>5.1000000000000004E-3</v>
      </c>
      <c r="AU272" t="s">
        <v>3</v>
      </c>
      <c r="AV272">
        <v>0</v>
      </c>
      <c r="AW272">
        <v>2</v>
      </c>
      <c r="AX272">
        <v>94239017</v>
      </c>
      <c r="AY272">
        <v>1</v>
      </c>
      <c r="AZ272">
        <v>0</v>
      </c>
      <c r="BA272">
        <v>271</v>
      </c>
      <c r="BB272">
        <v>1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128.713494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1</v>
      </c>
      <c r="BQ272">
        <v>128.713494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1</v>
      </c>
      <c r="CV272">
        <v>0</v>
      </c>
      <c r="CW272">
        <v>0</v>
      </c>
      <c r="CX272">
        <f>ROUND(Y272*Source!I360,7)</f>
        <v>1.2495E-3</v>
      </c>
      <c r="CY272">
        <f t="shared" si="105"/>
        <v>36342.629999999997</v>
      </c>
      <c r="CZ272">
        <f t="shared" si="106"/>
        <v>25237.94</v>
      </c>
      <c r="DA272">
        <f t="shared" si="107"/>
        <v>1.44</v>
      </c>
      <c r="DB272">
        <f t="shared" si="97"/>
        <v>128.71</v>
      </c>
      <c r="DC272">
        <f t="shared" si="98"/>
        <v>0</v>
      </c>
      <c r="DD272" t="s">
        <v>3</v>
      </c>
      <c r="DE272" t="s">
        <v>3</v>
      </c>
      <c r="DF272">
        <f t="shared" si="108"/>
        <v>45.41</v>
      </c>
      <c r="DG272">
        <f t="shared" si="104"/>
        <v>0</v>
      </c>
      <c r="DH272">
        <f t="shared" si="102"/>
        <v>0</v>
      </c>
      <c r="DI272">
        <f t="shared" si="103"/>
        <v>0</v>
      </c>
      <c r="DJ272">
        <f t="shared" si="109"/>
        <v>45.41</v>
      </c>
      <c r="DK272">
        <v>0</v>
      </c>
      <c r="DL272" t="s">
        <v>3</v>
      </c>
      <c r="DM272">
        <v>0</v>
      </c>
      <c r="DN272" t="s">
        <v>3</v>
      </c>
      <c r="DO27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71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ROW(Source!A28)</f>
        <v>28</v>
      </c>
      <c r="B1">
        <v>89966402</v>
      </c>
      <c r="C1">
        <v>89966397</v>
      </c>
      <c r="D1">
        <v>37069968</v>
      </c>
      <c r="E1">
        <v>117</v>
      </c>
      <c r="F1">
        <v>1</v>
      </c>
      <c r="G1">
        <v>1</v>
      </c>
      <c r="H1">
        <v>1</v>
      </c>
      <c r="I1" t="s">
        <v>426</v>
      </c>
      <c r="J1" t="s">
        <v>3</v>
      </c>
      <c r="K1" t="s">
        <v>427</v>
      </c>
      <c r="L1">
        <v>1191</v>
      </c>
      <c r="N1">
        <v>1013</v>
      </c>
      <c r="O1" t="s">
        <v>428</v>
      </c>
      <c r="P1" t="s">
        <v>428</v>
      </c>
      <c r="Q1">
        <v>1</v>
      </c>
      <c r="X1">
        <v>78.739999999999995</v>
      </c>
      <c r="Y1">
        <v>0</v>
      </c>
      <c r="Z1">
        <v>0</v>
      </c>
      <c r="AA1">
        <v>0</v>
      </c>
      <c r="AB1">
        <v>630.44000000000005</v>
      </c>
      <c r="AC1">
        <v>0</v>
      </c>
      <c r="AD1">
        <v>1</v>
      </c>
      <c r="AE1">
        <v>1</v>
      </c>
      <c r="AF1" t="s">
        <v>3</v>
      </c>
      <c r="AG1">
        <v>78.739999999999995</v>
      </c>
      <c r="AH1">
        <v>2</v>
      </c>
      <c r="AI1">
        <v>89966398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ROW(Source!A28)</f>
        <v>28</v>
      </c>
      <c r="B2">
        <v>89966403</v>
      </c>
      <c r="C2">
        <v>89966397</v>
      </c>
      <c r="D2">
        <v>37064876</v>
      </c>
      <c r="E2">
        <v>117</v>
      </c>
      <c r="F2">
        <v>1</v>
      </c>
      <c r="G2">
        <v>1</v>
      </c>
      <c r="H2">
        <v>1</v>
      </c>
      <c r="I2" t="s">
        <v>429</v>
      </c>
      <c r="J2" t="s">
        <v>3</v>
      </c>
      <c r="K2" t="s">
        <v>430</v>
      </c>
      <c r="L2">
        <v>1191</v>
      </c>
      <c r="N2">
        <v>1013</v>
      </c>
      <c r="O2" t="s">
        <v>428</v>
      </c>
      <c r="P2" t="s">
        <v>428</v>
      </c>
      <c r="Q2">
        <v>1</v>
      </c>
      <c r="X2">
        <v>0.79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2</v>
      </c>
      <c r="AF2" t="s">
        <v>3</v>
      </c>
      <c r="AG2">
        <v>0.79</v>
      </c>
      <c r="AH2">
        <v>2</v>
      </c>
      <c r="AI2">
        <v>89966399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ROW(Source!A28)</f>
        <v>28</v>
      </c>
      <c r="B3">
        <v>89966404</v>
      </c>
      <c r="C3">
        <v>89966397</v>
      </c>
      <c r="D3">
        <v>87236625</v>
      </c>
      <c r="E3">
        <v>1</v>
      </c>
      <c r="F3">
        <v>1</v>
      </c>
      <c r="G3">
        <v>1</v>
      </c>
      <c r="H3">
        <v>2</v>
      </c>
      <c r="I3" t="s">
        <v>431</v>
      </c>
      <c r="J3" t="s">
        <v>432</v>
      </c>
      <c r="K3" t="s">
        <v>433</v>
      </c>
      <c r="L3">
        <v>1368</v>
      </c>
      <c r="N3">
        <v>1011</v>
      </c>
      <c r="O3" t="s">
        <v>434</v>
      </c>
      <c r="P3" t="s">
        <v>434</v>
      </c>
      <c r="Q3">
        <v>1</v>
      </c>
      <c r="X3">
        <v>0.79</v>
      </c>
      <c r="Y3">
        <v>0</v>
      </c>
      <c r="Z3">
        <v>37.32</v>
      </c>
      <c r="AA3">
        <v>641.22</v>
      </c>
      <c r="AB3">
        <v>0</v>
      </c>
      <c r="AC3">
        <v>0</v>
      </c>
      <c r="AD3">
        <v>1</v>
      </c>
      <c r="AE3">
        <v>0</v>
      </c>
      <c r="AF3" t="s">
        <v>3</v>
      </c>
      <c r="AG3">
        <v>0.79</v>
      </c>
      <c r="AH3">
        <v>2</v>
      </c>
      <c r="AI3">
        <v>89966400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ROW(Source!A28)</f>
        <v>28</v>
      </c>
      <c r="B4">
        <v>89966405</v>
      </c>
      <c r="C4">
        <v>89966397</v>
      </c>
      <c r="D4">
        <v>87235788</v>
      </c>
      <c r="E4">
        <v>117</v>
      </c>
      <c r="F4">
        <v>1</v>
      </c>
      <c r="G4">
        <v>1</v>
      </c>
      <c r="H4">
        <v>3</v>
      </c>
      <c r="I4" t="s">
        <v>28</v>
      </c>
      <c r="J4" t="s">
        <v>3</v>
      </c>
      <c r="K4" t="s">
        <v>29</v>
      </c>
      <c r="L4">
        <v>1348</v>
      </c>
      <c r="N4">
        <v>1009</v>
      </c>
      <c r="O4" t="s">
        <v>30</v>
      </c>
      <c r="P4" t="s">
        <v>30</v>
      </c>
      <c r="Q4">
        <v>1000</v>
      </c>
      <c r="X4">
        <v>4.3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 t="s">
        <v>3</v>
      </c>
      <c r="AG4">
        <v>4.3</v>
      </c>
      <c r="AH4">
        <v>2</v>
      </c>
      <c r="AI4">
        <v>89966401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ROW(Source!A30)</f>
        <v>30</v>
      </c>
      <c r="B5">
        <v>89966484</v>
      </c>
      <c r="C5">
        <v>89966483</v>
      </c>
      <c r="D5">
        <v>87229755</v>
      </c>
      <c r="E5">
        <v>117</v>
      </c>
      <c r="F5">
        <v>1</v>
      </c>
      <c r="G5">
        <v>1</v>
      </c>
      <c r="H5">
        <v>1</v>
      </c>
      <c r="I5" t="s">
        <v>436</v>
      </c>
      <c r="J5" t="s">
        <v>3</v>
      </c>
      <c r="K5" t="s">
        <v>437</v>
      </c>
      <c r="L5">
        <v>1191</v>
      </c>
      <c r="N5">
        <v>1013</v>
      </c>
      <c r="O5" t="s">
        <v>428</v>
      </c>
      <c r="P5" t="s">
        <v>428</v>
      </c>
      <c r="Q5">
        <v>1</v>
      </c>
      <c r="X5">
        <v>19.809999999999999</v>
      </c>
      <c r="Y5">
        <v>0</v>
      </c>
      <c r="Z5">
        <v>0</v>
      </c>
      <c r="AA5">
        <v>0</v>
      </c>
      <c r="AB5">
        <v>641.22</v>
      </c>
      <c r="AC5">
        <v>0</v>
      </c>
      <c r="AD5">
        <v>1</v>
      </c>
      <c r="AE5">
        <v>1</v>
      </c>
      <c r="AF5" t="s">
        <v>3</v>
      </c>
      <c r="AG5">
        <v>19.809999999999999</v>
      </c>
      <c r="AH5">
        <v>2</v>
      </c>
      <c r="AI5">
        <v>89966484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ROW(Source!A30)</f>
        <v>30</v>
      </c>
      <c r="B6">
        <v>89966485</v>
      </c>
      <c r="C6">
        <v>89966483</v>
      </c>
      <c r="D6">
        <v>87237491</v>
      </c>
      <c r="E6">
        <v>1</v>
      </c>
      <c r="F6">
        <v>1</v>
      </c>
      <c r="G6">
        <v>1</v>
      </c>
      <c r="H6">
        <v>2</v>
      </c>
      <c r="I6" t="s">
        <v>438</v>
      </c>
      <c r="J6" t="s">
        <v>439</v>
      </c>
      <c r="K6" t="s">
        <v>440</v>
      </c>
      <c r="L6">
        <v>1368</v>
      </c>
      <c r="N6">
        <v>1011</v>
      </c>
      <c r="O6" t="s">
        <v>434</v>
      </c>
      <c r="P6" t="s">
        <v>434</v>
      </c>
      <c r="Q6">
        <v>1</v>
      </c>
      <c r="X6">
        <v>2.36</v>
      </c>
      <c r="Y6">
        <v>0</v>
      </c>
      <c r="Z6">
        <v>4.3499999999999996</v>
      </c>
      <c r="AA6">
        <v>0</v>
      </c>
      <c r="AB6">
        <v>0</v>
      </c>
      <c r="AC6">
        <v>0</v>
      </c>
      <c r="AD6">
        <v>1</v>
      </c>
      <c r="AE6">
        <v>0</v>
      </c>
      <c r="AF6" t="s">
        <v>3</v>
      </c>
      <c r="AG6">
        <v>2.36</v>
      </c>
      <c r="AH6">
        <v>2</v>
      </c>
      <c r="AI6">
        <v>89966485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ROW(Source!A30)</f>
        <v>30</v>
      </c>
      <c r="B7">
        <v>89966486</v>
      </c>
      <c r="C7">
        <v>89966483</v>
      </c>
      <c r="D7">
        <v>87237545</v>
      </c>
      <c r="E7">
        <v>1</v>
      </c>
      <c r="F7">
        <v>1</v>
      </c>
      <c r="G7">
        <v>1</v>
      </c>
      <c r="H7">
        <v>2</v>
      </c>
      <c r="I7" t="s">
        <v>441</v>
      </c>
      <c r="J7" t="s">
        <v>442</v>
      </c>
      <c r="K7" t="s">
        <v>443</v>
      </c>
      <c r="L7">
        <v>1368</v>
      </c>
      <c r="N7">
        <v>1011</v>
      </c>
      <c r="O7" t="s">
        <v>434</v>
      </c>
      <c r="P7" t="s">
        <v>434</v>
      </c>
      <c r="Q7">
        <v>1</v>
      </c>
      <c r="X7">
        <v>8.15</v>
      </c>
      <c r="Y7">
        <v>0</v>
      </c>
      <c r="Z7">
        <v>67.2</v>
      </c>
      <c r="AA7">
        <v>0</v>
      </c>
      <c r="AB7">
        <v>0</v>
      </c>
      <c r="AC7">
        <v>0</v>
      </c>
      <c r="AD7">
        <v>1</v>
      </c>
      <c r="AE7">
        <v>0</v>
      </c>
      <c r="AF7" t="s">
        <v>3</v>
      </c>
      <c r="AG7">
        <v>8.15</v>
      </c>
      <c r="AH7">
        <v>2</v>
      </c>
      <c r="AI7">
        <v>89966486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ROW(Source!A30)</f>
        <v>30</v>
      </c>
      <c r="B8">
        <v>89966487</v>
      </c>
      <c r="C8">
        <v>89966483</v>
      </c>
      <c r="D8">
        <v>87237938</v>
      </c>
      <c r="E8">
        <v>1</v>
      </c>
      <c r="F8">
        <v>1</v>
      </c>
      <c r="G8">
        <v>1</v>
      </c>
      <c r="H8">
        <v>2</v>
      </c>
      <c r="I8" t="s">
        <v>444</v>
      </c>
      <c r="J8" t="s">
        <v>445</v>
      </c>
      <c r="K8" t="s">
        <v>446</v>
      </c>
      <c r="L8">
        <v>1368</v>
      </c>
      <c r="N8">
        <v>1011</v>
      </c>
      <c r="O8" t="s">
        <v>434</v>
      </c>
      <c r="P8" t="s">
        <v>434</v>
      </c>
      <c r="Q8">
        <v>1</v>
      </c>
      <c r="X8">
        <v>16.3</v>
      </c>
      <c r="Y8">
        <v>0</v>
      </c>
      <c r="Z8">
        <v>3.1</v>
      </c>
      <c r="AA8">
        <v>0</v>
      </c>
      <c r="AB8">
        <v>0</v>
      </c>
      <c r="AC8">
        <v>0</v>
      </c>
      <c r="AD8">
        <v>1</v>
      </c>
      <c r="AE8">
        <v>0</v>
      </c>
      <c r="AF8" t="s">
        <v>3</v>
      </c>
      <c r="AG8">
        <v>16.3</v>
      </c>
      <c r="AH8">
        <v>2</v>
      </c>
      <c r="AI8">
        <v>89966487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ROW(Source!A30)</f>
        <v>30</v>
      </c>
      <c r="B9">
        <v>89966488</v>
      </c>
      <c r="C9">
        <v>89966483</v>
      </c>
      <c r="D9">
        <v>87302091</v>
      </c>
      <c r="E9">
        <v>1</v>
      </c>
      <c r="F9">
        <v>1</v>
      </c>
      <c r="G9">
        <v>1</v>
      </c>
      <c r="H9">
        <v>3</v>
      </c>
      <c r="I9" t="s">
        <v>447</v>
      </c>
      <c r="J9" t="s">
        <v>448</v>
      </c>
      <c r="K9" t="s">
        <v>449</v>
      </c>
      <c r="L9">
        <v>1339</v>
      </c>
      <c r="N9">
        <v>1007</v>
      </c>
      <c r="O9" t="s">
        <v>34</v>
      </c>
      <c r="P9" t="s">
        <v>34</v>
      </c>
      <c r="Q9">
        <v>1</v>
      </c>
      <c r="X9">
        <v>0.26</v>
      </c>
      <c r="Y9">
        <v>340.41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 t="s">
        <v>3</v>
      </c>
      <c r="AG9">
        <v>0.26</v>
      </c>
      <c r="AH9">
        <v>2</v>
      </c>
      <c r="AI9">
        <v>89966488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ROW(Source!A30)</f>
        <v>30</v>
      </c>
      <c r="B10">
        <v>89966489</v>
      </c>
      <c r="C10">
        <v>89966483</v>
      </c>
      <c r="D10">
        <v>87302107</v>
      </c>
      <c r="E10">
        <v>1</v>
      </c>
      <c r="F10">
        <v>1</v>
      </c>
      <c r="G10">
        <v>1</v>
      </c>
      <c r="H10">
        <v>3</v>
      </c>
      <c r="I10" t="s">
        <v>450</v>
      </c>
      <c r="J10" t="s">
        <v>451</v>
      </c>
      <c r="K10" t="s">
        <v>452</v>
      </c>
      <c r="L10">
        <v>1339</v>
      </c>
      <c r="N10">
        <v>1007</v>
      </c>
      <c r="O10" t="s">
        <v>34</v>
      </c>
      <c r="P10" t="s">
        <v>34</v>
      </c>
      <c r="Q10">
        <v>1</v>
      </c>
      <c r="X10">
        <v>2</v>
      </c>
      <c r="Y10">
        <v>114.64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 t="s">
        <v>3</v>
      </c>
      <c r="AG10">
        <v>2</v>
      </c>
      <c r="AH10">
        <v>2</v>
      </c>
      <c r="AI10">
        <v>89966489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ROW(Source!A31)</f>
        <v>31</v>
      </c>
      <c r="B11">
        <v>89966554</v>
      </c>
      <c r="C11">
        <v>89966537</v>
      </c>
      <c r="D11">
        <v>37065248</v>
      </c>
      <c r="E11">
        <v>117</v>
      </c>
      <c r="F11">
        <v>1</v>
      </c>
      <c r="G11">
        <v>1</v>
      </c>
      <c r="H11">
        <v>1</v>
      </c>
      <c r="I11" t="s">
        <v>436</v>
      </c>
      <c r="J11" t="s">
        <v>3</v>
      </c>
      <c r="K11" t="s">
        <v>437</v>
      </c>
      <c r="L11">
        <v>1191</v>
      </c>
      <c r="N11">
        <v>1013</v>
      </c>
      <c r="O11" t="s">
        <v>428</v>
      </c>
      <c r="P11" t="s">
        <v>428</v>
      </c>
      <c r="Q11">
        <v>1</v>
      </c>
      <c r="X11">
        <v>4.8499999999999996</v>
      </c>
      <c r="Y11">
        <v>0</v>
      </c>
      <c r="Z11">
        <v>0</v>
      </c>
      <c r="AA11">
        <v>0</v>
      </c>
      <c r="AB11">
        <v>641.22</v>
      </c>
      <c r="AC11">
        <v>0</v>
      </c>
      <c r="AD11">
        <v>1</v>
      </c>
      <c r="AE11">
        <v>1</v>
      </c>
      <c r="AF11" t="s">
        <v>3</v>
      </c>
      <c r="AG11">
        <v>4.8499999999999996</v>
      </c>
      <c r="AH11">
        <v>2</v>
      </c>
      <c r="AI11">
        <v>89966538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ROW(Source!A31)</f>
        <v>31</v>
      </c>
      <c r="B12">
        <v>89966555</v>
      </c>
      <c r="C12">
        <v>89966537</v>
      </c>
      <c r="D12">
        <v>37064876</v>
      </c>
      <c r="E12">
        <v>117</v>
      </c>
      <c r="F12">
        <v>1</v>
      </c>
      <c r="G12">
        <v>1</v>
      </c>
      <c r="H12">
        <v>1</v>
      </c>
      <c r="I12" t="s">
        <v>429</v>
      </c>
      <c r="J12" t="s">
        <v>3</v>
      </c>
      <c r="K12" t="s">
        <v>430</v>
      </c>
      <c r="L12">
        <v>1191</v>
      </c>
      <c r="N12">
        <v>1013</v>
      </c>
      <c r="O12" t="s">
        <v>428</v>
      </c>
      <c r="P12" t="s">
        <v>428</v>
      </c>
      <c r="Q12">
        <v>1</v>
      </c>
      <c r="X12">
        <v>0.12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2</v>
      </c>
      <c r="AF12" t="s">
        <v>3</v>
      </c>
      <c r="AG12">
        <v>0.12</v>
      </c>
      <c r="AH12">
        <v>2</v>
      </c>
      <c r="AI12">
        <v>89966539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ROW(Source!A31)</f>
        <v>31</v>
      </c>
      <c r="B13">
        <v>89966556</v>
      </c>
      <c r="C13">
        <v>89966537</v>
      </c>
      <c r="D13">
        <v>87236438</v>
      </c>
      <c r="E13">
        <v>1</v>
      </c>
      <c r="F13">
        <v>1</v>
      </c>
      <c r="G13">
        <v>1</v>
      </c>
      <c r="H13">
        <v>2</v>
      </c>
      <c r="I13" t="s">
        <v>453</v>
      </c>
      <c r="J13" t="s">
        <v>454</v>
      </c>
      <c r="K13" t="s">
        <v>455</v>
      </c>
      <c r="L13">
        <v>1368</v>
      </c>
      <c r="N13">
        <v>1011</v>
      </c>
      <c r="O13" t="s">
        <v>434</v>
      </c>
      <c r="P13" t="s">
        <v>434</v>
      </c>
      <c r="Q13">
        <v>1</v>
      </c>
      <c r="X13">
        <v>0.01</v>
      </c>
      <c r="Y13">
        <v>0</v>
      </c>
      <c r="Z13">
        <v>1629.55</v>
      </c>
      <c r="AA13">
        <v>969.91</v>
      </c>
      <c r="AB13">
        <v>0</v>
      </c>
      <c r="AC13">
        <v>0</v>
      </c>
      <c r="AD13">
        <v>1</v>
      </c>
      <c r="AE13">
        <v>0</v>
      </c>
      <c r="AF13" t="s">
        <v>3</v>
      </c>
      <c r="AG13">
        <v>0.01</v>
      </c>
      <c r="AH13">
        <v>2</v>
      </c>
      <c r="AI13">
        <v>89966540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ROW(Source!A31)</f>
        <v>31</v>
      </c>
      <c r="B14">
        <v>89966557</v>
      </c>
      <c r="C14">
        <v>89966537</v>
      </c>
      <c r="D14">
        <v>87236694</v>
      </c>
      <c r="E14">
        <v>1</v>
      </c>
      <c r="F14">
        <v>1</v>
      </c>
      <c r="G14">
        <v>1</v>
      </c>
      <c r="H14">
        <v>2</v>
      </c>
      <c r="I14" t="s">
        <v>457</v>
      </c>
      <c r="J14" t="s">
        <v>458</v>
      </c>
      <c r="K14" t="s">
        <v>459</v>
      </c>
      <c r="L14">
        <v>1368</v>
      </c>
      <c r="N14">
        <v>1011</v>
      </c>
      <c r="O14" t="s">
        <v>434</v>
      </c>
      <c r="P14" t="s">
        <v>434</v>
      </c>
      <c r="Q14">
        <v>1</v>
      </c>
      <c r="X14">
        <v>0.17</v>
      </c>
      <c r="Y14">
        <v>0</v>
      </c>
      <c r="Z14">
        <v>10.37</v>
      </c>
      <c r="AA14">
        <v>0</v>
      </c>
      <c r="AB14">
        <v>0</v>
      </c>
      <c r="AC14">
        <v>0</v>
      </c>
      <c r="AD14">
        <v>1</v>
      </c>
      <c r="AE14">
        <v>0</v>
      </c>
      <c r="AF14" t="s">
        <v>3</v>
      </c>
      <c r="AG14">
        <v>0.17</v>
      </c>
      <c r="AH14">
        <v>2</v>
      </c>
      <c r="AI14">
        <v>89966541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ROW(Source!A31)</f>
        <v>31</v>
      </c>
      <c r="B15">
        <v>89966558</v>
      </c>
      <c r="C15">
        <v>89966537</v>
      </c>
      <c r="D15">
        <v>87236695</v>
      </c>
      <c r="E15">
        <v>1</v>
      </c>
      <c r="F15">
        <v>1</v>
      </c>
      <c r="G15">
        <v>1</v>
      </c>
      <c r="H15">
        <v>2</v>
      </c>
      <c r="I15" t="s">
        <v>460</v>
      </c>
      <c r="J15" t="s">
        <v>461</v>
      </c>
      <c r="K15" t="s">
        <v>462</v>
      </c>
      <c r="L15">
        <v>1368</v>
      </c>
      <c r="N15">
        <v>1011</v>
      </c>
      <c r="O15" t="s">
        <v>434</v>
      </c>
      <c r="P15" t="s">
        <v>434</v>
      </c>
      <c r="Q15">
        <v>1</v>
      </c>
      <c r="X15">
        <v>0.1</v>
      </c>
      <c r="Y15">
        <v>0</v>
      </c>
      <c r="Z15">
        <v>8.5399999999999991</v>
      </c>
      <c r="AA15">
        <v>0</v>
      </c>
      <c r="AB15">
        <v>0</v>
      </c>
      <c r="AC15">
        <v>0</v>
      </c>
      <c r="AD15">
        <v>1</v>
      </c>
      <c r="AE15">
        <v>0</v>
      </c>
      <c r="AF15" t="s">
        <v>3</v>
      </c>
      <c r="AG15">
        <v>0.1</v>
      </c>
      <c r="AH15">
        <v>2</v>
      </c>
      <c r="AI15">
        <v>89966542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ROW(Source!A31)</f>
        <v>31</v>
      </c>
      <c r="B16">
        <v>89966559</v>
      </c>
      <c r="C16">
        <v>89966537</v>
      </c>
      <c r="D16">
        <v>87237333</v>
      </c>
      <c r="E16">
        <v>1</v>
      </c>
      <c r="F16">
        <v>1</v>
      </c>
      <c r="G16">
        <v>1</v>
      </c>
      <c r="H16">
        <v>2</v>
      </c>
      <c r="I16" t="s">
        <v>463</v>
      </c>
      <c r="J16" t="s">
        <v>464</v>
      </c>
      <c r="K16" t="s">
        <v>465</v>
      </c>
      <c r="L16">
        <v>1368</v>
      </c>
      <c r="N16">
        <v>1011</v>
      </c>
      <c r="O16" t="s">
        <v>434</v>
      </c>
      <c r="P16" t="s">
        <v>434</v>
      </c>
      <c r="Q16">
        <v>1</v>
      </c>
      <c r="X16">
        <v>0.11</v>
      </c>
      <c r="Y16">
        <v>0</v>
      </c>
      <c r="Z16">
        <v>643.29</v>
      </c>
      <c r="AA16">
        <v>722.05</v>
      </c>
      <c r="AB16">
        <v>0</v>
      </c>
      <c r="AC16">
        <v>0</v>
      </c>
      <c r="AD16">
        <v>1</v>
      </c>
      <c r="AE16">
        <v>0</v>
      </c>
      <c r="AF16" t="s">
        <v>3</v>
      </c>
      <c r="AG16">
        <v>0.11</v>
      </c>
      <c r="AH16">
        <v>2</v>
      </c>
      <c r="AI16">
        <v>89966543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ROW(Source!A31)</f>
        <v>31</v>
      </c>
      <c r="B17">
        <v>89966560</v>
      </c>
      <c r="C17">
        <v>89966537</v>
      </c>
      <c r="D17">
        <v>87304091</v>
      </c>
      <c r="E17">
        <v>1</v>
      </c>
      <c r="F17">
        <v>1</v>
      </c>
      <c r="G17">
        <v>1</v>
      </c>
      <c r="H17">
        <v>3</v>
      </c>
      <c r="I17" t="s">
        <v>467</v>
      </c>
      <c r="J17" t="s">
        <v>468</v>
      </c>
      <c r="K17" t="s">
        <v>469</v>
      </c>
      <c r="L17">
        <v>1339</v>
      </c>
      <c r="N17">
        <v>1007</v>
      </c>
      <c r="O17" t="s">
        <v>34</v>
      </c>
      <c r="P17" t="s">
        <v>34</v>
      </c>
      <c r="Q17">
        <v>1</v>
      </c>
      <c r="X17">
        <v>8.3999999999999995E-3</v>
      </c>
      <c r="Y17">
        <v>35.71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 t="s">
        <v>3</v>
      </c>
      <c r="AG17">
        <v>8.3999999999999995E-3</v>
      </c>
      <c r="AH17">
        <v>2</v>
      </c>
      <c r="AI17">
        <v>89966544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ROW(Source!A31)</f>
        <v>31</v>
      </c>
      <c r="B18">
        <v>89966561</v>
      </c>
      <c r="C18">
        <v>89966537</v>
      </c>
      <c r="D18">
        <v>87304887</v>
      </c>
      <c r="E18">
        <v>1</v>
      </c>
      <c r="F18">
        <v>1</v>
      </c>
      <c r="G18">
        <v>1</v>
      </c>
      <c r="H18">
        <v>3</v>
      </c>
      <c r="I18" t="s">
        <v>470</v>
      </c>
      <c r="J18" t="s">
        <v>471</v>
      </c>
      <c r="K18" t="s">
        <v>472</v>
      </c>
      <c r="L18">
        <v>1327</v>
      </c>
      <c r="N18">
        <v>1005</v>
      </c>
      <c r="O18" t="s">
        <v>60</v>
      </c>
      <c r="P18" t="s">
        <v>60</v>
      </c>
      <c r="Q18">
        <v>1</v>
      </c>
      <c r="X18">
        <v>0.23</v>
      </c>
      <c r="Y18">
        <v>28.13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3</v>
      </c>
      <c r="AG18">
        <v>0.23</v>
      </c>
      <c r="AH18">
        <v>2</v>
      </c>
      <c r="AI18">
        <v>89966545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ROW(Source!A31)</f>
        <v>31</v>
      </c>
      <c r="B19">
        <v>89966562</v>
      </c>
      <c r="C19">
        <v>89966537</v>
      </c>
      <c r="D19">
        <v>87230657</v>
      </c>
      <c r="E19">
        <v>117</v>
      </c>
      <c r="F19">
        <v>1</v>
      </c>
      <c r="G19">
        <v>1</v>
      </c>
      <c r="H19">
        <v>3</v>
      </c>
      <c r="I19" t="s">
        <v>609</v>
      </c>
      <c r="J19" t="s">
        <v>3</v>
      </c>
      <c r="K19" t="s">
        <v>610</v>
      </c>
      <c r="L19">
        <v>1377</v>
      </c>
      <c r="N19">
        <v>1013</v>
      </c>
      <c r="O19" t="s">
        <v>611</v>
      </c>
      <c r="P19" t="s">
        <v>611</v>
      </c>
      <c r="Q19">
        <v>1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0</v>
      </c>
      <c r="AF19" t="s">
        <v>3</v>
      </c>
      <c r="AG19">
        <v>0</v>
      </c>
      <c r="AH19">
        <v>3</v>
      </c>
      <c r="AI19">
        <v>-1</v>
      </c>
      <c r="AJ19" t="s">
        <v>3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ROW(Source!A31)</f>
        <v>31</v>
      </c>
      <c r="B20">
        <v>89966563</v>
      </c>
      <c r="C20">
        <v>89966537</v>
      </c>
      <c r="D20">
        <v>87231094</v>
      </c>
      <c r="E20">
        <v>117</v>
      </c>
      <c r="F20">
        <v>1</v>
      </c>
      <c r="G20">
        <v>1</v>
      </c>
      <c r="H20">
        <v>3</v>
      </c>
      <c r="I20" t="s">
        <v>612</v>
      </c>
      <c r="J20" t="s">
        <v>3</v>
      </c>
      <c r="K20" t="s">
        <v>613</v>
      </c>
      <c r="L20">
        <v>1339</v>
      </c>
      <c r="N20">
        <v>1007</v>
      </c>
      <c r="O20" t="s">
        <v>34</v>
      </c>
      <c r="P20" t="s">
        <v>34</v>
      </c>
      <c r="Q20">
        <v>1</v>
      </c>
      <c r="X20">
        <v>1.0149999999999999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 t="s">
        <v>3</v>
      </c>
      <c r="AG20">
        <v>1.0149999999999999</v>
      </c>
      <c r="AH20">
        <v>3</v>
      </c>
      <c r="AI20">
        <v>-1</v>
      </c>
      <c r="AJ20" t="s">
        <v>3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ROW(Source!A31)</f>
        <v>31</v>
      </c>
      <c r="B21">
        <v>89966564</v>
      </c>
      <c r="C21">
        <v>89966537</v>
      </c>
      <c r="D21">
        <v>87312812</v>
      </c>
      <c r="E21">
        <v>1</v>
      </c>
      <c r="F21">
        <v>1</v>
      </c>
      <c r="G21">
        <v>1</v>
      </c>
      <c r="H21">
        <v>3</v>
      </c>
      <c r="I21" t="s">
        <v>473</v>
      </c>
      <c r="J21" t="s">
        <v>474</v>
      </c>
      <c r="K21" t="s">
        <v>475</v>
      </c>
      <c r="L21">
        <v>1346</v>
      </c>
      <c r="N21">
        <v>1009</v>
      </c>
      <c r="O21" t="s">
        <v>96</v>
      </c>
      <c r="P21" t="s">
        <v>96</v>
      </c>
      <c r="Q21">
        <v>1</v>
      </c>
      <c r="X21">
        <v>0.3</v>
      </c>
      <c r="Y21">
        <v>83.06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 t="s">
        <v>3</v>
      </c>
      <c r="AG21">
        <v>0.3</v>
      </c>
      <c r="AH21">
        <v>2</v>
      </c>
      <c r="AI21">
        <v>89966549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ROW(Source!A31)</f>
        <v>31</v>
      </c>
      <c r="B22">
        <v>89966565</v>
      </c>
      <c r="C22">
        <v>89966537</v>
      </c>
      <c r="D22">
        <v>87232638</v>
      </c>
      <c r="E22">
        <v>117</v>
      </c>
      <c r="F22">
        <v>1</v>
      </c>
      <c r="G22">
        <v>1</v>
      </c>
      <c r="H22">
        <v>3</v>
      </c>
      <c r="I22" t="s">
        <v>614</v>
      </c>
      <c r="J22" t="s">
        <v>3</v>
      </c>
      <c r="K22" t="s">
        <v>615</v>
      </c>
      <c r="L22">
        <v>1348</v>
      </c>
      <c r="N22">
        <v>1009</v>
      </c>
      <c r="O22" t="s">
        <v>30</v>
      </c>
      <c r="P22" t="s">
        <v>30</v>
      </c>
      <c r="Q22">
        <v>1000</v>
      </c>
      <c r="X22">
        <v>0.03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 t="s">
        <v>3</v>
      </c>
      <c r="AG22">
        <v>0.03</v>
      </c>
      <c r="AH22">
        <v>3</v>
      </c>
      <c r="AI22">
        <v>-1</v>
      </c>
      <c r="AJ22" t="s">
        <v>3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ROW(Source!A31)</f>
        <v>31</v>
      </c>
      <c r="B23">
        <v>89966566</v>
      </c>
      <c r="C23">
        <v>89966537</v>
      </c>
      <c r="D23">
        <v>87315000</v>
      </c>
      <c r="E23">
        <v>1</v>
      </c>
      <c r="F23">
        <v>1</v>
      </c>
      <c r="G23">
        <v>1</v>
      </c>
      <c r="H23">
        <v>3</v>
      </c>
      <c r="I23" t="s">
        <v>476</v>
      </c>
      <c r="J23" t="s">
        <v>477</v>
      </c>
      <c r="K23" t="s">
        <v>478</v>
      </c>
      <c r="L23">
        <v>1339</v>
      </c>
      <c r="N23">
        <v>1007</v>
      </c>
      <c r="O23" t="s">
        <v>34</v>
      </c>
      <c r="P23" t="s">
        <v>34</v>
      </c>
      <c r="Q23">
        <v>1</v>
      </c>
      <c r="X23">
        <v>1.7999999999999999E-2</v>
      </c>
      <c r="Y23">
        <v>16496.03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 t="s">
        <v>3</v>
      </c>
      <c r="AG23">
        <v>1.7999999999999999E-2</v>
      </c>
      <c r="AH23">
        <v>2</v>
      </c>
      <c r="AI23">
        <v>89966551</v>
      </c>
      <c r="AJ23">
        <v>22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ROW(Source!A31)</f>
        <v>31</v>
      </c>
      <c r="B24">
        <v>89966567</v>
      </c>
      <c r="C24">
        <v>89966537</v>
      </c>
      <c r="D24">
        <v>87315053</v>
      </c>
      <c r="E24">
        <v>1</v>
      </c>
      <c r="F24">
        <v>1</v>
      </c>
      <c r="G24">
        <v>1</v>
      </c>
      <c r="H24">
        <v>3</v>
      </c>
      <c r="I24" t="s">
        <v>479</v>
      </c>
      <c r="J24" t="s">
        <v>480</v>
      </c>
      <c r="K24" t="s">
        <v>481</v>
      </c>
      <c r="L24">
        <v>1339</v>
      </c>
      <c r="N24">
        <v>1007</v>
      </c>
      <c r="O24" t="s">
        <v>34</v>
      </c>
      <c r="P24" t="s">
        <v>34</v>
      </c>
      <c r="Q24">
        <v>1</v>
      </c>
      <c r="X24">
        <v>0.13800000000000001</v>
      </c>
      <c r="Y24">
        <v>5764.42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 t="s">
        <v>3</v>
      </c>
      <c r="AG24">
        <v>0.13800000000000001</v>
      </c>
      <c r="AH24">
        <v>2</v>
      </c>
      <c r="AI24">
        <v>89966553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ROW(Source!A35)</f>
        <v>35</v>
      </c>
      <c r="B25">
        <v>89946894</v>
      </c>
      <c r="C25">
        <v>89946893</v>
      </c>
      <c r="D25">
        <v>87229765</v>
      </c>
      <c r="E25">
        <v>117</v>
      </c>
      <c r="F25">
        <v>1</v>
      </c>
      <c r="G25">
        <v>1</v>
      </c>
      <c r="H25">
        <v>1</v>
      </c>
      <c r="I25" t="s">
        <v>482</v>
      </c>
      <c r="J25" t="s">
        <v>3</v>
      </c>
      <c r="K25" t="s">
        <v>483</v>
      </c>
      <c r="L25">
        <v>1191</v>
      </c>
      <c r="N25">
        <v>1013</v>
      </c>
      <c r="O25" t="s">
        <v>428</v>
      </c>
      <c r="P25" t="s">
        <v>428</v>
      </c>
      <c r="Q25">
        <v>1</v>
      </c>
      <c r="X25">
        <v>118</v>
      </c>
      <c r="Y25">
        <v>0</v>
      </c>
      <c r="Z25">
        <v>0</v>
      </c>
      <c r="AA25">
        <v>0</v>
      </c>
      <c r="AB25">
        <v>681.63</v>
      </c>
      <c r="AC25">
        <v>0</v>
      </c>
      <c r="AD25">
        <v>1</v>
      </c>
      <c r="AE25">
        <v>1</v>
      </c>
      <c r="AF25" t="s">
        <v>3</v>
      </c>
      <c r="AG25">
        <v>118</v>
      </c>
      <c r="AH25">
        <v>2</v>
      </c>
      <c r="AI25">
        <v>89946894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ROW(Source!A35)</f>
        <v>35</v>
      </c>
      <c r="B26">
        <v>89946895</v>
      </c>
      <c r="C26">
        <v>89946893</v>
      </c>
      <c r="D26">
        <v>87229949</v>
      </c>
      <c r="E26">
        <v>117</v>
      </c>
      <c r="F26">
        <v>1</v>
      </c>
      <c r="G26">
        <v>1</v>
      </c>
      <c r="H26">
        <v>1</v>
      </c>
      <c r="I26" t="s">
        <v>429</v>
      </c>
      <c r="J26" t="s">
        <v>3</v>
      </c>
      <c r="K26" t="s">
        <v>430</v>
      </c>
      <c r="L26">
        <v>1191</v>
      </c>
      <c r="N26">
        <v>1013</v>
      </c>
      <c r="O26" t="s">
        <v>428</v>
      </c>
      <c r="P26" t="s">
        <v>428</v>
      </c>
      <c r="Q26">
        <v>1</v>
      </c>
      <c r="X26">
        <v>0.5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2</v>
      </c>
      <c r="AF26" t="s">
        <v>3</v>
      </c>
      <c r="AG26">
        <v>0.5</v>
      </c>
      <c r="AH26">
        <v>2</v>
      </c>
      <c r="AI26">
        <v>89946895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ROW(Source!A35)</f>
        <v>35</v>
      </c>
      <c r="B27">
        <v>89946896</v>
      </c>
      <c r="C27">
        <v>89946893</v>
      </c>
      <c r="D27">
        <v>87236438</v>
      </c>
      <c r="E27">
        <v>1</v>
      </c>
      <c r="F27">
        <v>1</v>
      </c>
      <c r="G27">
        <v>1</v>
      </c>
      <c r="H27">
        <v>2</v>
      </c>
      <c r="I27" t="s">
        <v>453</v>
      </c>
      <c r="J27" t="s">
        <v>454</v>
      </c>
      <c r="K27" t="s">
        <v>455</v>
      </c>
      <c r="L27">
        <v>1368</v>
      </c>
      <c r="N27">
        <v>1011</v>
      </c>
      <c r="O27" t="s">
        <v>434</v>
      </c>
      <c r="P27" t="s">
        <v>434</v>
      </c>
      <c r="Q27">
        <v>1</v>
      </c>
      <c r="X27">
        <v>0.22</v>
      </c>
      <c r="Y27">
        <v>0</v>
      </c>
      <c r="Z27">
        <v>1629.55</v>
      </c>
      <c r="AA27">
        <v>969.91</v>
      </c>
      <c r="AB27">
        <v>0</v>
      </c>
      <c r="AC27">
        <v>0</v>
      </c>
      <c r="AD27">
        <v>1</v>
      </c>
      <c r="AE27">
        <v>0</v>
      </c>
      <c r="AF27" t="s">
        <v>3</v>
      </c>
      <c r="AG27">
        <v>0.22</v>
      </c>
      <c r="AH27">
        <v>2</v>
      </c>
      <c r="AI27">
        <v>89946896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ROW(Source!A35)</f>
        <v>35</v>
      </c>
      <c r="B28">
        <v>89946897</v>
      </c>
      <c r="C28">
        <v>89946893</v>
      </c>
      <c r="D28">
        <v>87237333</v>
      </c>
      <c r="E28">
        <v>1</v>
      </c>
      <c r="F28">
        <v>1</v>
      </c>
      <c r="G28">
        <v>1</v>
      </c>
      <c r="H28">
        <v>2</v>
      </c>
      <c r="I28" t="s">
        <v>463</v>
      </c>
      <c r="J28" t="s">
        <v>464</v>
      </c>
      <c r="K28" t="s">
        <v>465</v>
      </c>
      <c r="L28">
        <v>1368</v>
      </c>
      <c r="N28">
        <v>1011</v>
      </c>
      <c r="O28" t="s">
        <v>434</v>
      </c>
      <c r="P28" t="s">
        <v>434</v>
      </c>
      <c r="Q28">
        <v>1</v>
      </c>
      <c r="X28">
        <v>0.28000000000000003</v>
      </c>
      <c r="Y28">
        <v>0</v>
      </c>
      <c r="Z28">
        <v>643.29</v>
      </c>
      <c r="AA28">
        <v>722.05</v>
      </c>
      <c r="AB28">
        <v>0</v>
      </c>
      <c r="AC28">
        <v>0</v>
      </c>
      <c r="AD28">
        <v>1</v>
      </c>
      <c r="AE28">
        <v>0</v>
      </c>
      <c r="AF28" t="s">
        <v>3</v>
      </c>
      <c r="AG28">
        <v>0.28000000000000003</v>
      </c>
      <c r="AH28">
        <v>2</v>
      </c>
      <c r="AI28">
        <v>89946897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ROW(Source!A35)</f>
        <v>35</v>
      </c>
      <c r="B29">
        <v>89946898</v>
      </c>
      <c r="C29">
        <v>89946893</v>
      </c>
      <c r="D29">
        <v>87237529</v>
      </c>
      <c r="E29">
        <v>1</v>
      </c>
      <c r="F29">
        <v>1</v>
      </c>
      <c r="G29">
        <v>1</v>
      </c>
      <c r="H29">
        <v>2</v>
      </c>
      <c r="I29" t="s">
        <v>484</v>
      </c>
      <c r="J29" t="s">
        <v>485</v>
      </c>
      <c r="K29" t="s">
        <v>486</v>
      </c>
      <c r="L29">
        <v>1368</v>
      </c>
      <c r="N29">
        <v>1011</v>
      </c>
      <c r="O29" t="s">
        <v>434</v>
      </c>
      <c r="P29" t="s">
        <v>434</v>
      </c>
      <c r="Q29">
        <v>1</v>
      </c>
      <c r="X29">
        <v>1.49</v>
      </c>
      <c r="Y29">
        <v>0</v>
      </c>
      <c r="Z29">
        <v>32.26</v>
      </c>
      <c r="AA29">
        <v>0</v>
      </c>
      <c r="AB29">
        <v>0</v>
      </c>
      <c r="AC29">
        <v>0</v>
      </c>
      <c r="AD29">
        <v>1</v>
      </c>
      <c r="AE29">
        <v>0</v>
      </c>
      <c r="AF29" t="s">
        <v>3</v>
      </c>
      <c r="AG29">
        <v>1.49</v>
      </c>
      <c r="AH29">
        <v>2</v>
      </c>
      <c r="AI29">
        <v>89946898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ROW(Source!A35)</f>
        <v>35</v>
      </c>
      <c r="B30">
        <v>89946899</v>
      </c>
      <c r="C30">
        <v>89946893</v>
      </c>
      <c r="D30">
        <v>87304844</v>
      </c>
      <c r="E30">
        <v>1</v>
      </c>
      <c r="F30">
        <v>1</v>
      </c>
      <c r="G30">
        <v>1</v>
      </c>
      <c r="H30">
        <v>3</v>
      </c>
      <c r="I30" t="s">
        <v>487</v>
      </c>
      <c r="J30" t="s">
        <v>488</v>
      </c>
      <c r="K30" t="s">
        <v>489</v>
      </c>
      <c r="L30">
        <v>1346</v>
      </c>
      <c r="N30">
        <v>1009</v>
      </c>
      <c r="O30" t="s">
        <v>96</v>
      </c>
      <c r="P30" t="s">
        <v>96</v>
      </c>
      <c r="Q30">
        <v>1</v>
      </c>
      <c r="X30">
        <v>2</v>
      </c>
      <c r="Y30">
        <v>155.63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 t="s">
        <v>3</v>
      </c>
      <c r="AG30">
        <v>2</v>
      </c>
      <c r="AH30">
        <v>2</v>
      </c>
      <c r="AI30">
        <v>89946899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ROW(Source!A35)</f>
        <v>35</v>
      </c>
      <c r="B31">
        <v>89946900</v>
      </c>
      <c r="C31">
        <v>89946893</v>
      </c>
      <c r="D31">
        <v>87310747</v>
      </c>
      <c r="E31">
        <v>1</v>
      </c>
      <c r="F31">
        <v>1</v>
      </c>
      <c r="G31">
        <v>1</v>
      </c>
      <c r="H31">
        <v>3</v>
      </c>
      <c r="I31" t="s">
        <v>490</v>
      </c>
      <c r="J31" t="s">
        <v>491</v>
      </c>
      <c r="K31" t="s">
        <v>492</v>
      </c>
      <c r="L31">
        <v>1371</v>
      </c>
      <c r="N31">
        <v>1013</v>
      </c>
      <c r="O31" t="s">
        <v>279</v>
      </c>
      <c r="P31" t="s">
        <v>279</v>
      </c>
      <c r="Q31">
        <v>1</v>
      </c>
      <c r="X31">
        <v>0.01</v>
      </c>
      <c r="Y31">
        <v>61015.76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0</v>
      </c>
      <c r="AF31" t="s">
        <v>3</v>
      </c>
      <c r="AG31">
        <v>0.01</v>
      </c>
      <c r="AH31">
        <v>2</v>
      </c>
      <c r="AI31">
        <v>89946900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ROW(Source!A35)</f>
        <v>35</v>
      </c>
      <c r="B32">
        <v>89946901</v>
      </c>
      <c r="C32">
        <v>89946893</v>
      </c>
      <c r="D32">
        <v>87232581</v>
      </c>
      <c r="E32">
        <v>117</v>
      </c>
      <c r="F32">
        <v>1</v>
      </c>
      <c r="G32">
        <v>1</v>
      </c>
      <c r="H32">
        <v>3</v>
      </c>
      <c r="I32" t="s">
        <v>616</v>
      </c>
      <c r="J32" t="s">
        <v>3</v>
      </c>
      <c r="K32" t="s">
        <v>617</v>
      </c>
      <c r="L32">
        <v>1348</v>
      </c>
      <c r="N32">
        <v>1009</v>
      </c>
      <c r="O32" t="s">
        <v>30</v>
      </c>
      <c r="P32" t="s">
        <v>30</v>
      </c>
      <c r="Q32">
        <v>1000</v>
      </c>
      <c r="X32">
        <v>1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 t="s">
        <v>3</v>
      </c>
      <c r="AG32">
        <v>1</v>
      </c>
      <c r="AH32">
        <v>3</v>
      </c>
      <c r="AI32">
        <v>-1</v>
      </c>
      <c r="AJ32" t="s">
        <v>3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ROW(Source!A35)</f>
        <v>35</v>
      </c>
      <c r="B33">
        <v>89946902</v>
      </c>
      <c r="C33">
        <v>89946893</v>
      </c>
      <c r="D33">
        <v>87313316</v>
      </c>
      <c r="E33">
        <v>1</v>
      </c>
      <c r="F33">
        <v>1</v>
      </c>
      <c r="G33">
        <v>1</v>
      </c>
      <c r="H33">
        <v>3</v>
      </c>
      <c r="I33" t="s">
        <v>493</v>
      </c>
      <c r="J33" t="s">
        <v>494</v>
      </c>
      <c r="K33" t="s">
        <v>495</v>
      </c>
      <c r="L33">
        <v>1348</v>
      </c>
      <c r="N33">
        <v>1009</v>
      </c>
      <c r="O33" t="s">
        <v>30</v>
      </c>
      <c r="P33" t="s">
        <v>30</v>
      </c>
      <c r="Q33">
        <v>1000</v>
      </c>
      <c r="X33">
        <v>0.09</v>
      </c>
      <c r="Y33">
        <v>42458.05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 t="s">
        <v>3</v>
      </c>
      <c r="AG33">
        <v>0.09</v>
      </c>
      <c r="AH33">
        <v>2</v>
      </c>
      <c r="AI33">
        <v>89946902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ROW(Source!A37)</f>
        <v>37</v>
      </c>
      <c r="B34">
        <v>89968132</v>
      </c>
      <c r="C34">
        <v>89968131</v>
      </c>
      <c r="D34">
        <v>87229807</v>
      </c>
      <c r="E34">
        <v>117</v>
      </c>
      <c r="F34">
        <v>1</v>
      </c>
      <c r="G34">
        <v>1</v>
      </c>
      <c r="H34">
        <v>1</v>
      </c>
      <c r="I34" t="s">
        <v>496</v>
      </c>
      <c r="J34" t="s">
        <v>3</v>
      </c>
      <c r="K34" t="s">
        <v>497</v>
      </c>
      <c r="L34">
        <v>1191</v>
      </c>
      <c r="N34">
        <v>1013</v>
      </c>
      <c r="O34" t="s">
        <v>428</v>
      </c>
      <c r="P34" t="s">
        <v>428</v>
      </c>
      <c r="Q34">
        <v>1</v>
      </c>
      <c r="X34">
        <v>24.3</v>
      </c>
      <c r="Y34">
        <v>0</v>
      </c>
      <c r="Z34">
        <v>0</v>
      </c>
      <c r="AA34">
        <v>0</v>
      </c>
      <c r="AB34">
        <v>819.04</v>
      </c>
      <c r="AC34">
        <v>0</v>
      </c>
      <c r="AD34">
        <v>1</v>
      </c>
      <c r="AE34">
        <v>1</v>
      </c>
      <c r="AF34" t="s">
        <v>3</v>
      </c>
      <c r="AG34">
        <v>24.3</v>
      </c>
      <c r="AH34">
        <v>2</v>
      </c>
      <c r="AI34">
        <v>89968132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ROW(Source!A37)</f>
        <v>37</v>
      </c>
      <c r="B35">
        <v>89968133</v>
      </c>
      <c r="C35">
        <v>89968131</v>
      </c>
      <c r="D35">
        <v>87229949</v>
      </c>
      <c r="E35">
        <v>117</v>
      </c>
      <c r="F35">
        <v>1</v>
      </c>
      <c r="G35">
        <v>1</v>
      </c>
      <c r="H35">
        <v>1</v>
      </c>
      <c r="I35" t="s">
        <v>429</v>
      </c>
      <c r="J35" t="s">
        <v>3</v>
      </c>
      <c r="K35" t="s">
        <v>430</v>
      </c>
      <c r="L35">
        <v>1191</v>
      </c>
      <c r="N35">
        <v>1013</v>
      </c>
      <c r="O35" t="s">
        <v>428</v>
      </c>
      <c r="P35" t="s">
        <v>428</v>
      </c>
      <c r="Q35">
        <v>1</v>
      </c>
      <c r="X35">
        <v>0.43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2</v>
      </c>
      <c r="AF35" t="s">
        <v>3</v>
      </c>
      <c r="AG35">
        <v>0.43</v>
      </c>
      <c r="AH35">
        <v>2</v>
      </c>
      <c r="AI35">
        <v>89968133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ROW(Source!A37)</f>
        <v>37</v>
      </c>
      <c r="B36">
        <v>89968134</v>
      </c>
      <c r="C36">
        <v>89968131</v>
      </c>
      <c r="D36">
        <v>87236625</v>
      </c>
      <c r="E36">
        <v>1</v>
      </c>
      <c r="F36">
        <v>1</v>
      </c>
      <c r="G36">
        <v>1</v>
      </c>
      <c r="H36">
        <v>2</v>
      </c>
      <c r="I36" t="s">
        <v>431</v>
      </c>
      <c r="J36" t="s">
        <v>432</v>
      </c>
      <c r="K36" t="s">
        <v>433</v>
      </c>
      <c r="L36">
        <v>1368</v>
      </c>
      <c r="N36">
        <v>1011</v>
      </c>
      <c r="O36" t="s">
        <v>434</v>
      </c>
      <c r="P36" t="s">
        <v>434</v>
      </c>
      <c r="Q36">
        <v>1</v>
      </c>
      <c r="X36">
        <v>0.18</v>
      </c>
      <c r="Y36">
        <v>0</v>
      </c>
      <c r="Z36">
        <v>37.32</v>
      </c>
      <c r="AA36">
        <v>641.22</v>
      </c>
      <c r="AB36">
        <v>0</v>
      </c>
      <c r="AC36">
        <v>0</v>
      </c>
      <c r="AD36">
        <v>1</v>
      </c>
      <c r="AE36">
        <v>0</v>
      </c>
      <c r="AF36" t="s">
        <v>3</v>
      </c>
      <c r="AG36">
        <v>0.18</v>
      </c>
      <c r="AH36">
        <v>2</v>
      </c>
      <c r="AI36">
        <v>89968134</v>
      </c>
      <c r="AJ36">
        <v>36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ROW(Source!A37)</f>
        <v>37</v>
      </c>
      <c r="B37">
        <v>89968135</v>
      </c>
      <c r="C37">
        <v>89968131</v>
      </c>
      <c r="D37">
        <v>87236807</v>
      </c>
      <c r="E37">
        <v>1</v>
      </c>
      <c r="F37">
        <v>1</v>
      </c>
      <c r="G37">
        <v>1</v>
      </c>
      <c r="H37">
        <v>2</v>
      </c>
      <c r="I37" t="s">
        <v>498</v>
      </c>
      <c r="J37" t="s">
        <v>499</v>
      </c>
      <c r="K37" t="s">
        <v>500</v>
      </c>
      <c r="L37">
        <v>1368</v>
      </c>
      <c r="N37">
        <v>1011</v>
      </c>
      <c r="O37" t="s">
        <v>434</v>
      </c>
      <c r="P37" t="s">
        <v>434</v>
      </c>
      <c r="Q37">
        <v>1</v>
      </c>
      <c r="X37">
        <v>4.37</v>
      </c>
      <c r="Y37">
        <v>0</v>
      </c>
      <c r="Z37">
        <v>95.25</v>
      </c>
      <c r="AA37">
        <v>0</v>
      </c>
      <c r="AB37">
        <v>0</v>
      </c>
      <c r="AC37">
        <v>0</v>
      </c>
      <c r="AD37">
        <v>1</v>
      </c>
      <c r="AE37">
        <v>0</v>
      </c>
      <c r="AF37" t="s">
        <v>3</v>
      </c>
      <c r="AG37">
        <v>4.37</v>
      </c>
      <c r="AH37">
        <v>2</v>
      </c>
      <c r="AI37">
        <v>89968135</v>
      </c>
      <c r="AJ37">
        <v>37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ROW(Source!A37)</f>
        <v>37</v>
      </c>
      <c r="B38">
        <v>89968136</v>
      </c>
      <c r="C38">
        <v>89968131</v>
      </c>
      <c r="D38">
        <v>87237333</v>
      </c>
      <c r="E38">
        <v>1</v>
      </c>
      <c r="F38">
        <v>1</v>
      </c>
      <c r="G38">
        <v>1</v>
      </c>
      <c r="H38">
        <v>2</v>
      </c>
      <c r="I38" t="s">
        <v>463</v>
      </c>
      <c r="J38" t="s">
        <v>464</v>
      </c>
      <c r="K38" t="s">
        <v>465</v>
      </c>
      <c r="L38">
        <v>1368</v>
      </c>
      <c r="N38">
        <v>1011</v>
      </c>
      <c r="O38" t="s">
        <v>434</v>
      </c>
      <c r="P38" t="s">
        <v>434</v>
      </c>
      <c r="Q38">
        <v>1</v>
      </c>
      <c r="X38">
        <v>0.25</v>
      </c>
      <c r="Y38">
        <v>0</v>
      </c>
      <c r="Z38">
        <v>643.29</v>
      </c>
      <c r="AA38">
        <v>722.05</v>
      </c>
      <c r="AB38">
        <v>0</v>
      </c>
      <c r="AC38">
        <v>0</v>
      </c>
      <c r="AD38">
        <v>1</v>
      </c>
      <c r="AE38">
        <v>0</v>
      </c>
      <c r="AF38" t="s">
        <v>3</v>
      </c>
      <c r="AG38">
        <v>0.25</v>
      </c>
      <c r="AH38">
        <v>2</v>
      </c>
      <c r="AI38">
        <v>89968136</v>
      </c>
      <c r="AJ38">
        <v>38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ROW(Source!A37)</f>
        <v>37</v>
      </c>
      <c r="B39">
        <v>89968137</v>
      </c>
      <c r="C39">
        <v>89968131</v>
      </c>
      <c r="D39">
        <v>87238073</v>
      </c>
      <c r="E39">
        <v>1</v>
      </c>
      <c r="F39">
        <v>1</v>
      </c>
      <c r="G39">
        <v>1</v>
      </c>
      <c r="H39">
        <v>2</v>
      </c>
      <c r="I39" t="s">
        <v>501</v>
      </c>
      <c r="J39" t="s">
        <v>502</v>
      </c>
      <c r="K39" t="s">
        <v>503</v>
      </c>
      <c r="L39">
        <v>1368</v>
      </c>
      <c r="N39">
        <v>1011</v>
      </c>
      <c r="O39" t="s">
        <v>434</v>
      </c>
      <c r="P39" t="s">
        <v>434</v>
      </c>
      <c r="Q39">
        <v>1</v>
      </c>
      <c r="X39">
        <v>1.5</v>
      </c>
      <c r="Y39">
        <v>0</v>
      </c>
      <c r="Z39">
        <v>26.26</v>
      </c>
      <c r="AA39">
        <v>0</v>
      </c>
      <c r="AB39">
        <v>0</v>
      </c>
      <c r="AC39">
        <v>0</v>
      </c>
      <c r="AD39">
        <v>1</v>
      </c>
      <c r="AE39">
        <v>0</v>
      </c>
      <c r="AF39" t="s">
        <v>3</v>
      </c>
      <c r="AG39">
        <v>1.5</v>
      </c>
      <c r="AH39">
        <v>2</v>
      </c>
      <c r="AI39">
        <v>89968137</v>
      </c>
      <c r="AJ39">
        <v>39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ROW(Source!A37)</f>
        <v>37</v>
      </c>
      <c r="B40">
        <v>89968138</v>
      </c>
      <c r="C40">
        <v>89968131</v>
      </c>
      <c r="D40">
        <v>87301954</v>
      </c>
      <c r="E40">
        <v>1</v>
      </c>
      <c r="F40">
        <v>1</v>
      </c>
      <c r="G40">
        <v>1</v>
      </c>
      <c r="H40">
        <v>3</v>
      </c>
      <c r="I40" t="s">
        <v>504</v>
      </c>
      <c r="J40" t="s">
        <v>505</v>
      </c>
      <c r="K40" t="s">
        <v>506</v>
      </c>
      <c r="L40">
        <v>1348</v>
      </c>
      <c r="N40">
        <v>1009</v>
      </c>
      <c r="O40" t="s">
        <v>30</v>
      </c>
      <c r="P40" t="s">
        <v>30</v>
      </c>
      <c r="Q40">
        <v>1000</v>
      </c>
      <c r="X40">
        <v>8.0000000000000002E-3</v>
      </c>
      <c r="Y40">
        <v>21588.35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 t="s">
        <v>3</v>
      </c>
      <c r="AG40">
        <v>8.0000000000000002E-3</v>
      </c>
      <c r="AH40">
        <v>2</v>
      </c>
      <c r="AI40">
        <v>89968138</v>
      </c>
      <c r="AJ40">
        <v>40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ROW(Source!A37)</f>
        <v>37</v>
      </c>
      <c r="B41">
        <v>89968139</v>
      </c>
      <c r="C41">
        <v>89968131</v>
      </c>
      <c r="D41">
        <v>87301970</v>
      </c>
      <c r="E41">
        <v>1</v>
      </c>
      <c r="F41">
        <v>1</v>
      </c>
      <c r="G41">
        <v>1</v>
      </c>
      <c r="H41">
        <v>3</v>
      </c>
      <c r="I41" t="s">
        <v>507</v>
      </c>
      <c r="J41" t="s">
        <v>508</v>
      </c>
      <c r="K41" t="s">
        <v>509</v>
      </c>
      <c r="L41">
        <v>1348</v>
      </c>
      <c r="N41">
        <v>1009</v>
      </c>
      <c r="O41" t="s">
        <v>30</v>
      </c>
      <c r="P41" t="s">
        <v>30</v>
      </c>
      <c r="Q41">
        <v>1000</v>
      </c>
      <c r="X41">
        <v>1.9E-2</v>
      </c>
      <c r="Y41">
        <v>27150.54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 t="s">
        <v>3</v>
      </c>
      <c r="AG41">
        <v>1.9E-2</v>
      </c>
      <c r="AH41">
        <v>2</v>
      </c>
      <c r="AI41">
        <v>89968139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ROW(Source!A37)</f>
        <v>37</v>
      </c>
      <c r="B42">
        <v>89968140</v>
      </c>
      <c r="C42">
        <v>89968131</v>
      </c>
      <c r="D42">
        <v>87301971</v>
      </c>
      <c r="E42">
        <v>1</v>
      </c>
      <c r="F42">
        <v>1</v>
      </c>
      <c r="G42">
        <v>1</v>
      </c>
      <c r="H42">
        <v>3</v>
      </c>
      <c r="I42" t="s">
        <v>510</v>
      </c>
      <c r="J42" t="s">
        <v>511</v>
      </c>
      <c r="K42" t="s">
        <v>512</v>
      </c>
      <c r="L42">
        <v>1348</v>
      </c>
      <c r="N42">
        <v>1009</v>
      </c>
      <c r="O42" t="s">
        <v>30</v>
      </c>
      <c r="P42" t="s">
        <v>30</v>
      </c>
      <c r="Q42">
        <v>1000</v>
      </c>
      <c r="X42">
        <v>0.157</v>
      </c>
      <c r="Y42">
        <v>27071.99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 t="s">
        <v>3</v>
      </c>
      <c r="AG42">
        <v>0.157</v>
      </c>
      <c r="AH42">
        <v>2</v>
      </c>
      <c r="AI42">
        <v>89968140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ROW(Source!A37)</f>
        <v>37</v>
      </c>
      <c r="B43">
        <v>89968141</v>
      </c>
      <c r="C43">
        <v>89968131</v>
      </c>
      <c r="D43">
        <v>87302033</v>
      </c>
      <c r="E43">
        <v>1</v>
      </c>
      <c r="F43">
        <v>1</v>
      </c>
      <c r="G43">
        <v>1</v>
      </c>
      <c r="H43">
        <v>3</v>
      </c>
      <c r="I43" t="s">
        <v>513</v>
      </c>
      <c r="J43" t="s">
        <v>514</v>
      </c>
      <c r="K43" t="s">
        <v>515</v>
      </c>
      <c r="L43">
        <v>1346</v>
      </c>
      <c r="N43">
        <v>1009</v>
      </c>
      <c r="O43" t="s">
        <v>96</v>
      </c>
      <c r="P43" t="s">
        <v>96</v>
      </c>
      <c r="Q43">
        <v>1</v>
      </c>
      <c r="X43">
        <v>57</v>
      </c>
      <c r="Y43">
        <v>160.27000000000001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 t="s">
        <v>3</v>
      </c>
      <c r="AG43">
        <v>57</v>
      </c>
      <c r="AH43">
        <v>2</v>
      </c>
      <c r="AI43">
        <v>89968141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ROW(Source!A37)</f>
        <v>37</v>
      </c>
      <c r="B44">
        <v>89968142</v>
      </c>
      <c r="C44">
        <v>89968131</v>
      </c>
      <c r="D44">
        <v>87304409</v>
      </c>
      <c r="E44">
        <v>1</v>
      </c>
      <c r="F44">
        <v>1</v>
      </c>
      <c r="G44">
        <v>1</v>
      </c>
      <c r="H44">
        <v>3</v>
      </c>
      <c r="I44" t="s">
        <v>516</v>
      </c>
      <c r="J44" t="s">
        <v>517</v>
      </c>
      <c r="K44" t="s">
        <v>518</v>
      </c>
      <c r="L44">
        <v>1348</v>
      </c>
      <c r="N44">
        <v>1009</v>
      </c>
      <c r="O44" t="s">
        <v>30</v>
      </c>
      <c r="P44" t="s">
        <v>30</v>
      </c>
      <c r="Q44">
        <v>1000</v>
      </c>
      <c r="X44">
        <v>0.125</v>
      </c>
      <c r="Y44">
        <v>10415.31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0</v>
      </c>
      <c r="AF44" t="s">
        <v>3</v>
      </c>
      <c r="AG44">
        <v>0.125</v>
      </c>
      <c r="AH44">
        <v>2</v>
      </c>
      <c r="AI44">
        <v>89968142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ROW(Source!A37)</f>
        <v>37</v>
      </c>
      <c r="B45">
        <v>89968143</v>
      </c>
      <c r="C45">
        <v>89968131</v>
      </c>
      <c r="D45">
        <v>87306751</v>
      </c>
      <c r="E45">
        <v>1</v>
      </c>
      <c r="F45">
        <v>1</v>
      </c>
      <c r="G45">
        <v>1</v>
      </c>
      <c r="H45">
        <v>3</v>
      </c>
      <c r="I45" t="s">
        <v>519</v>
      </c>
      <c r="J45" t="s">
        <v>520</v>
      </c>
      <c r="K45" t="s">
        <v>521</v>
      </c>
      <c r="L45">
        <v>1346</v>
      </c>
      <c r="N45">
        <v>1009</v>
      </c>
      <c r="O45" t="s">
        <v>96</v>
      </c>
      <c r="P45" t="s">
        <v>96</v>
      </c>
      <c r="Q45">
        <v>1</v>
      </c>
      <c r="X45">
        <v>0.5</v>
      </c>
      <c r="Y45">
        <v>56.11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0</v>
      </c>
      <c r="AF45" t="s">
        <v>3</v>
      </c>
      <c r="AG45">
        <v>0.5</v>
      </c>
      <c r="AH45">
        <v>2</v>
      </c>
      <c r="AI45">
        <v>89968143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ROW(Source!A38)</f>
        <v>38</v>
      </c>
      <c r="B46">
        <v>89965284</v>
      </c>
      <c r="C46">
        <v>89965270</v>
      </c>
      <c r="D46">
        <v>37070495</v>
      </c>
      <c r="E46">
        <v>117</v>
      </c>
      <c r="F46">
        <v>1</v>
      </c>
      <c r="G46">
        <v>1</v>
      </c>
      <c r="H46">
        <v>1</v>
      </c>
      <c r="I46" t="s">
        <v>522</v>
      </c>
      <c r="J46" t="s">
        <v>3</v>
      </c>
      <c r="K46" t="s">
        <v>523</v>
      </c>
      <c r="L46">
        <v>1191</v>
      </c>
      <c r="N46">
        <v>1013</v>
      </c>
      <c r="O46" t="s">
        <v>428</v>
      </c>
      <c r="P46" t="s">
        <v>428</v>
      </c>
      <c r="Q46">
        <v>1</v>
      </c>
      <c r="X46">
        <v>310.42</v>
      </c>
      <c r="Y46">
        <v>0</v>
      </c>
      <c r="Z46">
        <v>0</v>
      </c>
      <c r="AA46">
        <v>0</v>
      </c>
      <c r="AB46">
        <v>657.38</v>
      </c>
      <c r="AC46">
        <v>0</v>
      </c>
      <c r="AD46">
        <v>1</v>
      </c>
      <c r="AE46">
        <v>1</v>
      </c>
      <c r="AF46" t="s">
        <v>3</v>
      </c>
      <c r="AG46">
        <v>310.42</v>
      </c>
      <c r="AH46">
        <v>2</v>
      </c>
      <c r="AI46">
        <v>89965271</v>
      </c>
      <c r="AJ46">
        <v>46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ROW(Source!A38)</f>
        <v>38</v>
      </c>
      <c r="B47">
        <v>89965285</v>
      </c>
      <c r="C47">
        <v>89965270</v>
      </c>
      <c r="D47">
        <v>37064876</v>
      </c>
      <c r="E47">
        <v>117</v>
      </c>
      <c r="F47">
        <v>1</v>
      </c>
      <c r="G47">
        <v>1</v>
      </c>
      <c r="H47">
        <v>1</v>
      </c>
      <c r="I47" t="s">
        <v>429</v>
      </c>
      <c r="J47" t="s">
        <v>3</v>
      </c>
      <c r="K47" t="s">
        <v>430</v>
      </c>
      <c r="L47">
        <v>1191</v>
      </c>
      <c r="N47">
        <v>1013</v>
      </c>
      <c r="O47" t="s">
        <v>428</v>
      </c>
      <c r="P47" t="s">
        <v>428</v>
      </c>
      <c r="Q47">
        <v>1</v>
      </c>
      <c r="X47">
        <v>1.73</v>
      </c>
      <c r="Y47">
        <v>0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2</v>
      </c>
      <c r="AF47" t="s">
        <v>3</v>
      </c>
      <c r="AG47">
        <v>1.73</v>
      </c>
      <c r="AH47">
        <v>2</v>
      </c>
      <c r="AI47">
        <v>89965272</v>
      </c>
      <c r="AJ47">
        <v>47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ROW(Source!A38)</f>
        <v>38</v>
      </c>
      <c r="B48">
        <v>89965286</v>
      </c>
      <c r="C48">
        <v>89965270</v>
      </c>
      <c r="D48">
        <v>87236385</v>
      </c>
      <c r="E48">
        <v>1</v>
      </c>
      <c r="F48">
        <v>1</v>
      </c>
      <c r="G48">
        <v>1</v>
      </c>
      <c r="H48">
        <v>2</v>
      </c>
      <c r="I48" t="s">
        <v>524</v>
      </c>
      <c r="J48" t="s">
        <v>525</v>
      </c>
      <c r="K48" t="s">
        <v>526</v>
      </c>
      <c r="L48">
        <v>1368</v>
      </c>
      <c r="N48">
        <v>1011</v>
      </c>
      <c r="O48" t="s">
        <v>434</v>
      </c>
      <c r="P48" t="s">
        <v>434</v>
      </c>
      <c r="Q48">
        <v>1</v>
      </c>
      <c r="X48">
        <v>0.02</v>
      </c>
      <c r="Y48">
        <v>0</v>
      </c>
      <c r="Z48">
        <v>251.77</v>
      </c>
      <c r="AA48">
        <v>969.91</v>
      </c>
      <c r="AB48">
        <v>0</v>
      </c>
      <c r="AC48">
        <v>0</v>
      </c>
      <c r="AD48">
        <v>1</v>
      </c>
      <c r="AE48">
        <v>0</v>
      </c>
      <c r="AF48" t="s">
        <v>3</v>
      </c>
      <c r="AG48">
        <v>0.02</v>
      </c>
      <c r="AH48">
        <v>2</v>
      </c>
      <c r="AI48">
        <v>89965273</v>
      </c>
      <c r="AJ48">
        <v>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ROW(Source!A38)</f>
        <v>38</v>
      </c>
      <c r="B49">
        <v>89965287</v>
      </c>
      <c r="C49">
        <v>89965270</v>
      </c>
      <c r="D49">
        <v>87236438</v>
      </c>
      <c r="E49">
        <v>1</v>
      </c>
      <c r="F49">
        <v>1</v>
      </c>
      <c r="G49">
        <v>1</v>
      </c>
      <c r="H49">
        <v>2</v>
      </c>
      <c r="I49" t="s">
        <v>453</v>
      </c>
      <c r="J49" t="s">
        <v>454</v>
      </c>
      <c r="K49" t="s">
        <v>455</v>
      </c>
      <c r="L49">
        <v>1368</v>
      </c>
      <c r="N49">
        <v>1011</v>
      </c>
      <c r="O49" t="s">
        <v>434</v>
      </c>
      <c r="P49" t="s">
        <v>434</v>
      </c>
      <c r="Q49">
        <v>1</v>
      </c>
      <c r="X49">
        <v>0.01</v>
      </c>
      <c r="Y49">
        <v>0</v>
      </c>
      <c r="Z49">
        <v>1629.55</v>
      </c>
      <c r="AA49">
        <v>969.91</v>
      </c>
      <c r="AB49">
        <v>0</v>
      </c>
      <c r="AC49">
        <v>0</v>
      </c>
      <c r="AD49">
        <v>1</v>
      </c>
      <c r="AE49">
        <v>0</v>
      </c>
      <c r="AF49" t="s">
        <v>3</v>
      </c>
      <c r="AG49">
        <v>0.01</v>
      </c>
      <c r="AH49">
        <v>2</v>
      </c>
      <c r="AI49">
        <v>89965274</v>
      </c>
      <c r="AJ49">
        <v>49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ROW(Source!A38)</f>
        <v>38</v>
      </c>
      <c r="B50">
        <v>89965288</v>
      </c>
      <c r="C50">
        <v>89965270</v>
      </c>
      <c r="D50">
        <v>87236730</v>
      </c>
      <c r="E50">
        <v>1</v>
      </c>
      <c r="F50">
        <v>1</v>
      </c>
      <c r="G50">
        <v>1</v>
      </c>
      <c r="H50">
        <v>2</v>
      </c>
      <c r="I50" t="s">
        <v>527</v>
      </c>
      <c r="J50" t="s">
        <v>528</v>
      </c>
      <c r="K50" t="s">
        <v>529</v>
      </c>
      <c r="L50">
        <v>1368</v>
      </c>
      <c r="N50">
        <v>1011</v>
      </c>
      <c r="O50" t="s">
        <v>434</v>
      </c>
      <c r="P50" t="s">
        <v>434</v>
      </c>
      <c r="Q50">
        <v>1</v>
      </c>
      <c r="X50">
        <v>1.69</v>
      </c>
      <c r="Y50">
        <v>0</v>
      </c>
      <c r="Z50">
        <v>2.31</v>
      </c>
      <c r="AA50">
        <v>641.22</v>
      </c>
      <c r="AB50">
        <v>0</v>
      </c>
      <c r="AC50">
        <v>0</v>
      </c>
      <c r="AD50">
        <v>1</v>
      </c>
      <c r="AE50">
        <v>0</v>
      </c>
      <c r="AF50" t="s">
        <v>3</v>
      </c>
      <c r="AG50">
        <v>1.69</v>
      </c>
      <c r="AH50">
        <v>2</v>
      </c>
      <c r="AI50">
        <v>89965275</v>
      </c>
      <c r="AJ50">
        <v>50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ROW(Source!A38)</f>
        <v>38</v>
      </c>
      <c r="B51">
        <v>89965289</v>
      </c>
      <c r="C51">
        <v>89965270</v>
      </c>
      <c r="D51">
        <v>87237333</v>
      </c>
      <c r="E51">
        <v>1</v>
      </c>
      <c r="F51">
        <v>1</v>
      </c>
      <c r="G51">
        <v>1</v>
      </c>
      <c r="H51">
        <v>2</v>
      </c>
      <c r="I51" t="s">
        <v>463</v>
      </c>
      <c r="J51" t="s">
        <v>464</v>
      </c>
      <c r="K51" t="s">
        <v>465</v>
      </c>
      <c r="L51">
        <v>1368</v>
      </c>
      <c r="N51">
        <v>1011</v>
      </c>
      <c r="O51" t="s">
        <v>434</v>
      </c>
      <c r="P51" t="s">
        <v>434</v>
      </c>
      <c r="Q51">
        <v>1</v>
      </c>
      <c r="X51">
        <v>0.01</v>
      </c>
      <c r="Y51">
        <v>0</v>
      </c>
      <c r="Z51">
        <v>643.29</v>
      </c>
      <c r="AA51">
        <v>722.05</v>
      </c>
      <c r="AB51">
        <v>0</v>
      </c>
      <c r="AC51">
        <v>0</v>
      </c>
      <c r="AD51">
        <v>1</v>
      </c>
      <c r="AE51">
        <v>0</v>
      </c>
      <c r="AF51" t="s">
        <v>3</v>
      </c>
      <c r="AG51">
        <v>0.01</v>
      </c>
      <c r="AH51">
        <v>2</v>
      </c>
      <c r="AI51">
        <v>89965276</v>
      </c>
      <c r="AJ51">
        <v>51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ROW(Source!A38)</f>
        <v>38</v>
      </c>
      <c r="B52">
        <v>89965290</v>
      </c>
      <c r="C52">
        <v>89965270</v>
      </c>
      <c r="D52">
        <v>87304091</v>
      </c>
      <c r="E52">
        <v>1</v>
      </c>
      <c r="F52">
        <v>1</v>
      </c>
      <c r="G52">
        <v>1</v>
      </c>
      <c r="H52">
        <v>3</v>
      </c>
      <c r="I52" t="s">
        <v>467</v>
      </c>
      <c r="J52" t="s">
        <v>468</v>
      </c>
      <c r="K52" t="s">
        <v>469</v>
      </c>
      <c r="L52">
        <v>1339</v>
      </c>
      <c r="N52">
        <v>1007</v>
      </c>
      <c r="O52" t="s">
        <v>34</v>
      </c>
      <c r="P52" t="s">
        <v>34</v>
      </c>
      <c r="Q52">
        <v>1</v>
      </c>
      <c r="X52">
        <v>0.44</v>
      </c>
      <c r="Y52">
        <v>35.71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 t="s">
        <v>3</v>
      </c>
      <c r="AG52">
        <v>0.44</v>
      </c>
      <c r="AH52">
        <v>2</v>
      </c>
      <c r="AI52">
        <v>89965277</v>
      </c>
      <c r="AJ52">
        <v>52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ROW(Source!A38)</f>
        <v>38</v>
      </c>
      <c r="B53">
        <v>89965291</v>
      </c>
      <c r="C53">
        <v>89965270</v>
      </c>
      <c r="D53">
        <v>87304103</v>
      </c>
      <c r="E53">
        <v>1</v>
      </c>
      <c r="F53">
        <v>1</v>
      </c>
      <c r="G53">
        <v>1</v>
      </c>
      <c r="H53">
        <v>3</v>
      </c>
      <c r="I53" t="s">
        <v>530</v>
      </c>
      <c r="J53" t="s">
        <v>531</v>
      </c>
      <c r="K53" t="s">
        <v>532</v>
      </c>
      <c r="L53">
        <v>1383</v>
      </c>
      <c r="N53">
        <v>1013</v>
      </c>
      <c r="O53" t="s">
        <v>533</v>
      </c>
      <c r="P53" t="s">
        <v>533</v>
      </c>
      <c r="Q53">
        <v>1</v>
      </c>
      <c r="X53">
        <v>3.2500000000000001E-2</v>
      </c>
      <c r="Y53">
        <v>6.78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0</v>
      </c>
      <c r="AF53" t="s">
        <v>3</v>
      </c>
      <c r="AG53">
        <v>3.2500000000000001E-2</v>
      </c>
      <c r="AH53">
        <v>2</v>
      </c>
      <c r="AI53">
        <v>89965278</v>
      </c>
      <c r="AJ53">
        <v>53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ROW(Source!A38)</f>
        <v>38</v>
      </c>
      <c r="B54">
        <v>89965292</v>
      </c>
      <c r="C54">
        <v>89965270</v>
      </c>
      <c r="D54">
        <v>87308126</v>
      </c>
      <c r="E54">
        <v>1</v>
      </c>
      <c r="F54">
        <v>1</v>
      </c>
      <c r="G54">
        <v>1</v>
      </c>
      <c r="H54">
        <v>3</v>
      </c>
      <c r="I54" t="s">
        <v>261</v>
      </c>
      <c r="J54" t="s">
        <v>263</v>
      </c>
      <c r="K54" t="s">
        <v>262</v>
      </c>
      <c r="L54">
        <v>1348</v>
      </c>
      <c r="N54">
        <v>1009</v>
      </c>
      <c r="O54" t="s">
        <v>30</v>
      </c>
      <c r="P54" t="s">
        <v>30</v>
      </c>
      <c r="Q54">
        <v>1000</v>
      </c>
      <c r="X54">
        <v>1.2999999999999999E-2</v>
      </c>
      <c r="Y54">
        <v>72092.39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0</v>
      </c>
      <c r="AF54" t="s">
        <v>3</v>
      </c>
      <c r="AG54">
        <v>1.2999999999999999E-2</v>
      </c>
      <c r="AH54">
        <v>2</v>
      </c>
      <c r="AI54">
        <v>89965279</v>
      </c>
      <c r="AJ54">
        <v>54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ROW(Source!A38)</f>
        <v>38</v>
      </c>
      <c r="B55">
        <v>89965293</v>
      </c>
      <c r="C55">
        <v>89965270</v>
      </c>
      <c r="D55">
        <v>87231917</v>
      </c>
      <c r="E55">
        <v>117</v>
      </c>
      <c r="F55">
        <v>1</v>
      </c>
      <c r="G55">
        <v>1</v>
      </c>
      <c r="H55">
        <v>3</v>
      </c>
      <c r="I55" t="s">
        <v>618</v>
      </c>
      <c r="J55" t="s">
        <v>3</v>
      </c>
      <c r="K55" t="s">
        <v>619</v>
      </c>
      <c r="L55">
        <v>1327</v>
      </c>
      <c r="N55">
        <v>1005</v>
      </c>
      <c r="O55" t="s">
        <v>60</v>
      </c>
      <c r="P55" t="s">
        <v>60</v>
      </c>
      <c r="Q55">
        <v>1</v>
      </c>
      <c r="X55">
        <v>102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 t="s">
        <v>3</v>
      </c>
      <c r="AG55">
        <v>102</v>
      </c>
      <c r="AH55">
        <v>3</v>
      </c>
      <c r="AI55">
        <v>-1</v>
      </c>
      <c r="AJ55" t="s">
        <v>3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ROW(Source!A38)</f>
        <v>38</v>
      </c>
      <c r="B56">
        <v>89965294</v>
      </c>
      <c r="C56">
        <v>89965270</v>
      </c>
      <c r="D56">
        <v>87232912</v>
      </c>
      <c r="E56">
        <v>117</v>
      </c>
      <c r="F56">
        <v>1</v>
      </c>
      <c r="G56">
        <v>1</v>
      </c>
      <c r="H56">
        <v>3</v>
      </c>
      <c r="I56" t="s">
        <v>620</v>
      </c>
      <c r="J56" t="s">
        <v>3</v>
      </c>
      <c r="K56" t="s">
        <v>621</v>
      </c>
      <c r="L56">
        <v>1339</v>
      </c>
      <c r="N56">
        <v>1007</v>
      </c>
      <c r="O56" t="s">
        <v>34</v>
      </c>
      <c r="P56" t="s">
        <v>34</v>
      </c>
      <c r="Q56">
        <v>1</v>
      </c>
      <c r="X56">
        <v>0.01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 t="s">
        <v>3</v>
      </c>
      <c r="AG56">
        <v>0.01</v>
      </c>
      <c r="AH56">
        <v>3</v>
      </c>
      <c r="AI56">
        <v>-1</v>
      </c>
      <c r="AJ56" t="s">
        <v>3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ROW(Source!A38)</f>
        <v>38</v>
      </c>
      <c r="B57">
        <v>89965295</v>
      </c>
      <c r="C57">
        <v>89965270</v>
      </c>
      <c r="D57">
        <v>87233517</v>
      </c>
      <c r="E57">
        <v>117</v>
      </c>
      <c r="F57">
        <v>1</v>
      </c>
      <c r="G57">
        <v>1</v>
      </c>
      <c r="H57">
        <v>3</v>
      </c>
      <c r="I57" t="s">
        <v>622</v>
      </c>
      <c r="J57" t="s">
        <v>3</v>
      </c>
      <c r="K57" t="s">
        <v>623</v>
      </c>
      <c r="L57">
        <v>1348</v>
      </c>
      <c r="N57">
        <v>1009</v>
      </c>
      <c r="O57" t="s">
        <v>30</v>
      </c>
      <c r="P57" t="s">
        <v>30</v>
      </c>
      <c r="Q57">
        <v>1000</v>
      </c>
      <c r="X57">
        <v>1.2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 t="s">
        <v>3</v>
      </c>
      <c r="AG57">
        <v>1.2</v>
      </c>
      <c r="AH57">
        <v>3</v>
      </c>
      <c r="AI57">
        <v>-1</v>
      </c>
      <c r="AJ57" t="s">
        <v>3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ROW(Source!A38)</f>
        <v>38</v>
      </c>
      <c r="B58">
        <v>89965296</v>
      </c>
      <c r="C58">
        <v>89965270</v>
      </c>
      <c r="D58">
        <v>87233684</v>
      </c>
      <c r="E58">
        <v>117</v>
      </c>
      <c r="F58">
        <v>1</v>
      </c>
      <c r="G58">
        <v>1</v>
      </c>
      <c r="H58">
        <v>3</v>
      </c>
      <c r="I58" t="s">
        <v>254</v>
      </c>
      <c r="J58" t="s">
        <v>3</v>
      </c>
      <c r="K58" t="s">
        <v>255</v>
      </c>
      <c r="L58">
        <v>1348</v>
      </c>
      <c r="N58">
        <v>1009</v>
      </c>
      <c r="O58" t="s">
        <v>30</v>
      </c>
      <c r="P58" t="s">
        <v>30</v>
      </c>
      <c r="Q58">
        <v>1000</v>
      </c>
      <c r="X58">
        <v>0</v>
      </c>
      <c r="Y58">
        <v>0</v>
      </c>
      <c r="Z58">
        <v>0</v>
      </c>
      <c r="AA58">
        <v>0</v>
      </c>
      <c r="AB58">
        <v>0</v>
      </c>
      <c r="AC58">
        <v>1</v>
      </c>
      <c r="AD58">
        <v>0</v>
      </c>
      <c r="AE58">
        <v>0</v>
      </c>
      <c r="AF58" t="s">
        <v>3</v>
      </c>
      <c r="AG58">
        <v>0</v>
      </c>
      <c r="AH58">
        <v>3</v>
      </c>
      <c r="AI58">
        <v>-1</v>
      </c>
      <c r="AJ58" t="s">
        <v>3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ROW(Source!A43)</f>
        <v>43</v>
      </c>
      <c r="B59">
        <v>89965302</v>
      </c>
      <c r="C59">
        <v>89965301</v>
      </c>
      <c r="D59">
        <v>87229755</v>
      </c>
      <c r="E59">
        <v>117</v>
      </c>
      <c r="F59">
        <v>1</v>
      </c>
      <c r="G59">
        <v>1</v>
      </c>
      <c r="H59">
        <v>1</v>
      </c>
      <c r="I59" t="s">
        <v>436</v>
      </c>
      <c r="J59" t="s">
        <v>3</v>
      </c>
      <c r="K59" t="s">
        <v>437</v>
      </c>
      <c r="L59">
        <v>1191</v>
      </c>
      <c r="N59">
        <v>1013</v>
      </c>
      <c r="O59" t="s">
        <v>428</v>
      </c>
      <c r="P59" t="s">
        <v>428</v>
      </c>
      <c r="Q59">
        <v>1</v>
      </c>
      <c r="X59">
        <v>16.64</v>
      </c>
      <c r="Y59">
        <v>0</v>
      </c>
      <c r="Z59">
        <v>0</v>
      </c>
      <c r="AA59">
        <v>0</v>
      </c>
      <c r="AB59">
        <v>641.22</v>
      </c>
      <c r="AC59">
        <v>0</v>
      </c>
      <c r="AD59">
        <v>1</v>
      </c>
      <c r="AE59">
        <v>1</v>
      </c>
      <c r="AF59" t="s">
        <v>3</v>
      </c>
      <c r="AG59">
        <v>16.64</v>
      </c>
      <c r="AH59">
        <v>2</v>
      </c>
      <c r="AI59">
        <v>89965302</v>
      </c>
      <c r="AJ59">
        <v>59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ROW(Source!A43)</f>
        <v>43</v>
      </c>
      <c r="B60">
        <v>89965303</v>
      </c>
      <c r="C60">
        <v>89965301</v>
      </c>
      <c r="D60">
        <v>87304103</v>
      </c>
      <c r="E60">
        <v>1</v>
      </c>
      <c r="F60">
        <v>1</v>
      </c>
      <c r="G60">
        <v>1</v>
      </c>
      <c r="H60">
        <v>3</v>
      </c>
      <c r="I60" t="s">
        <v>530</v>
      </c>
      <c r="J60" t="s">
        <v>531</v>
      </c>
      <c r="K60" t="s">
        <v>532</v>
      </c>
      <c r="L60">
        <v>1383</v>
      </c>
      <c r="N60">
        <v>1013</v>
      </c>
      <c r="O60" t="s">
        <v>533</v>
      </c>
      <c r="P60" t="s">
        <v>533</v>
      </c>
      <c r="Q60">
        <v>1</v>
      </c>
      <c r="X60">
        <v>6.8760000000000003</v>
      </c>
      <c r="Y60">
        <v>6.78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0</v>
      </c>
      <c r="AF60" t="s">
        <v>3</v>
      </c>
      <c r="AG60">
        <v>6.8760000000000003</v>
      </c>
      <c r="AH60">
        <v>2</v>
      </c>
      <c r="AI60">
        <v>89965303</v>
      </c>
      <c r="AJ60">
        <v>60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ROW(Source!A43)</f>
        <v>43</v>
      </c>
      <c r="B61">
        <v>89965304</v>
      </c>
      <c r="C61">
        <v>89965301</v>
      </c>
      <c r="D61">
        <v>87305971</v>
      </c>
      <c r="E61">
        <v>1</v>
      </c>
      <c r="F61">
        <v>1</v>
      </c>
      <c r="G61">
        <v>1</v>
      </c>
      <c r="H61">
        <v>3</v>
      </c>
      <c r="I61" t="s">
        <v>534</v>
      </c>
      <c r="J61" t="s">
        <v>535</v>
      </c>
      <c r="K61" t="s">
        <v>536</v>
      </c>
      <c r="L61">
        <v>1425</v>
      </c>
      <c r="N61">
        <v>1013</v>
      </c>
      <c r="O61" t="s">
        <v>537</v>
      </c>
      <c r="P61" t="s">
        <v>537</v>
      </c>
      <c r="Q61">
        <v>1</v>
      </c>
      <c r="X61">
        <v>6.7</v>
      </c>
      <c r="Y61">
        <v>88.86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 t="s">
        <v>3</v>
      </c>
      <c r="AG61">
        <v>6.7</v>
      </c>
      <c r="AH61">
        <v>2</v>
      </c>
      <c r="AI61">
        <v>89965304</v>
      </c>
      <c r="AJ61">
        <v>61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ROW(Source!A43)</f>
        <v>43</v>
      </c>
      <c r="B62">
        <v>89965305</v>
      </c>
      <c r="C62">
        <v>89965301</v>
      </c>
      <c r="D62">
        <v>87232701</v>
      </c>
      <c r="E62">
        <v>117</v>
      </c>
      <c r="F62">
        <v>1</v>
      </c>
      <c r="G62">
        <v>1</v>
      </c>
      <c r="H62">
        <v>3</v>
      </c>
      <c r="I62" t="s">
        <v>624</v>
      </c>
      <c r="J62" t="s">
        <v>3</v>
      </c>
      <c r="K62" t="s">
        <v>625</v>
      </c>
      <c r="L62">
        <v>1301</v>
      </c>
      <c r="N62">
        <v>1003</v>
      </c>
      <c r="O62" t="s">
        <v>106</v>
      </c>
      <c r="P62" t="s">
        <v>106</v>
      </c>
      <c r="Q62">
        <v>1</v>
      </c>
      <c r="X62">
        <v>105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 t="s">
        <v>3</v>
      </c>
      <c r="AG62">
        <v>105</v>
      </c>
      <c r="AH62">
        <v>3</v>
      </c>
      <c r="AI62">
        <v>-1</v>
      </c>
      <c r="AJ62" t="s">
        <v>3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ROW(Source!A45)</f>
        <v>45</v>
      </c>
      <c r="B63">
        <v>89966367</v>
      </c>
      <c r="C63">
        <v>89966359</v>
      </c>
      <c r="D63">
        <v>37070495</v>
      </c>
      <c r="E63">
        <v>117</v>
      </c>
      <c r="F63">
        <v>1</v>
      </c>
      <c r="G63">
        <v>1</v>
      </c>
      <c r="H63">
        <v>1</v>
      </c>
      <c r="I63" t="s">
        <v>522</v>
      </c>
      <c r="J63" t="s">
        <v>3</v>
      </c>
      <c r="K63" t="s">
        <v>523</v>
      </c>
      <c r="L63">
        <v>1191</v>
      </c>
      <c r="N63">
        <v>1013</v>
      </c>
      <c r="O63" t="s">
        <v>428</v>
      </c>
      <c r="P63" t="s">
        <v>428</v>
      </c>
      <c r="Q63">
        <v>1</v>
      </c>
      <c r="X63">
        <v>171.2</v>
      </c>
      <c r="Y63">
        <v>0</v>
      </c>
      <c r="Z63">
        <v>0</v>
      </c>
      <c r="AA63">
        <v>0</v>
      </c>
      <c r="AB63">
        <v>657.38</v>
      </c>
      <c r="AC63">
        <v>0</v>
      </c>
      <c r="AD63">
        <v>1</v>
      </c>
      <c r="AE63">
        <v>1</v>
      </c>
      <c r="AF63" t="s">
        <v>3</v>
      </c>
      <c r="AG63">
        <v>171.2</v>
      </c>
      <c r="AH63">
        <v>2</v>
      </c>
      <c r="AI63">
        <v>89966360</v>
      </c>
      <c r="AJ63">
        <v>63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ROW(Source!A45)</f>
        <v>45</v>
      </c>
      <c r="B64">
        <v>89966368</v>
      </c>
      <c r="C64">
        <v>89966359</v>
      </c>
      <c r="D64">
        <v>37064876</v>
      </c>
      <c r="E64">
        <v>117</v>
      </c>
      <c r="F64">
        <v>1</v>
      </c>
      <c r="G64">
        <v>1</v>
      </c>
      <c r="H64">
        <v>1</v>
      </c>
      <c r="I64" t="s">
        <v>429</v>
      </c>
      <c r="J64" t="s">
        <v>3</v>
      </c>
      <c r="K64" t="s">
        <v>430</v>
      </c>
      <c r="L64">
        <v>1191</v>
      </c>
      <c r="N64">
        <v>1013</v>
      </c>
      <c r="O64" t="s">
        <v>428</v>
      </c>
      <c r="P64" t="s">
        <v>428</v>
      </c>
      <c r="Q64">
        <v>1</v>
      </c>
      <c r="X64">
        <v>1.32</v>
      </c>
      <c r="Y64">
        <v>0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2</v>
      </c>
      <c r="AF64" t="s">
        <v>3</v>
      </c>
      <c r="AG64">
        <v>1.32</v>
      </c>
      <c r="AH64">
        <v>2</v>
      </c>
      <c r="AI64">
        <v>89966361</v>
      </c>
      <c r="AJ64">
        <v>64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ROW(Source!A45)</f>
        <v>45</v>
      </c>
      <c r="B65">
        <v>89966369</v>
      </c>
      <c r="C65">
        <v>89966359</v>
      </c>
      <c r="D65">
        <v>87236577</v>
      </c>
      <c r="E65">
        <v>1</v>
      </c>
      <c r="F65">
        <v>1</v>
      </c>
      <c r="G65">
        <v>1</v>
      </c>
      <c r="H65">
        <v>2</v>
      </c>
      <c r="I65" t="s">
        <v>538</v>
      </c>
      <c r="J65" t="s">
        <v>539</v>
      </c>
      <c r="K65" t="s">
        <v>540</v>
      </c>
      <c r="L65">
        <v>1368</v>
      </c>
      <c r="N65">
        <v>1011</v>
      </c>
      <c r="O65" t="s">
        <v>434</v>
      </c>
      <c r="P65" t="s">
        <v>434</v>
      </c>
      <c r="Q65">
        <v>1</v>
      </c>
      <c r="X65">
        <v>0.71</v>
      </c>
      <c r="Y65">
        <v>0</v>
      </c>
      <c r="Z65">
        <v>6.62</v>
      </c>
      <c r="AA65">
        <v>0</v>
      </c>
      <c r="AB65">
        <v>0</v>
      </c>
      <c r="AC65">
        <v>0</v>
      </c>
      <c r="AD65">
        <v>1</v>
      </c>
      <c r="AE65">
        <v>0</v>
      </c>
      <c r="AF65" t="s">
        <v>3</v>
      </c>
      <c r="AG65">
        <v>0.71</v>
      </c>
      <c r="AH65">
        <v>2</v>
      </c>
      <c r="AI65">
        <v>89966362</v>
      </c>
      <c r="AJ65">
        <v>65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ROW(Source!A45)</f>
        <v>45</v>
      </c>
      <c r="B66">
        <v>89966370</v>
      </c>
      <c r="C66">
        <v>89966359</v>
      </c>
      <c r="D66">
        <v>87236608</v>
      </c>
      <c r="E66">
        <v>1</v>
      </c>
      <c r="F66">
        <v>1</v>
      </c>
      <c r="G66">
        <v>1</v>
      </c>
      <c r="H66">
        <v>2</v>
      </c>
      <c r="I66" t="s">
        <v>541</v>
      </c>
      <c r="J66" t="s">
        <v>542</v>
      </c>
      <c r="K66" t="s">
        <v>543</v>
      </c>
      <c r="L66">
        <v>1368</v>
      </c>
      <c r="N66">
        <v>1011</v>
      </c>
      <c r="O66" t="s">
        <v>434</v>
      </c>
      <c r="P66" t="s">
        <v>434</v>
      </c>
      <c r="Q66">
        <v>1</v>
      </c>
      <c r="X66">
        <v>1.32</v>
      </c>
      <c r="Y66">
        <v>0</v>
      </c>
      <c r="Z66">
        <v>671.67</v>
      </c>
      <c r="AA66">
        <v>722.05</v>
      </c>
      <c r="AB66">
        <v>0</v>
      </c>
      <c r="AC66">
        <v>0</v>
      </c>
      <c r="AD66">
        <v>1</v>
      </c>
      <c r="AE66">
        <v>0</v>
      </c>
      <c r="AF66" t="s">
        <v>3</v>
      </c>
      <c r="AG66">
        <v>1.32</v>
      </c>
      <c r="AH66">
        <v>2</v>
      </c>
      <c r="AI66">
        <v>89966363</v>
      </c>
      <c r="AJ66">
        <v>66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ROW(Source!A45)</f>
        <v>45</v>
      </c>
      <c r="B67">
        <v>89966371</v>
      </c>
      <c r="C67">
        <v>89966359</v>
      </c>
      <c r="D67">
        <v>87304091</v>
      </c>
      <c r="E67">
        <v>1</v>
      </c>
      <c r="F67">
        <v>1</v>
      </c>
      <c r="G67">
        <v>1</v>
      </c>
      <c r="H67">
        <v>3</v>
      </c>
      <c r="I67" t="s">
        <v>467</v>
      </c>
      <c r="J67" t="s">
        <v>468</v>
      </c>
      <c r="K67" t="s">
        <v>469</v>
      </c>
      <c r="L67">
        <v>1339</v>
      </c>
      <c r="N67">
        <v>1007</v>
      </c>
      <c r="O67" t="s">
        <v>34</v>
      </c>
      <c r="P67" t="s">
        <v>34</v>
      </c>
      <c r="Q67">
        <v>1</v>
      </c>
      <c r="X67">
        <v>0.35</v>
      </c>
      <c r="Y67">
        <v>35.71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 t="s">
        <v>3</v>
      </c>
      <c r="AG67">
        <v>0.35</v>
      </c>
      <c r="AH67">
        <v>2</v>
      </c>
      <c r="AI67">
        <v>89966364</v>
      </c>
      <c r="AJ67">
        <v>67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ROW(Source!A45)</f>
        <v>45</v>
      </c>
      <c r="B68">
        <v>89966372</v>
      </c>
      <c r="C68">
        <v>89966359</v>
      </c>
      <c r="D68">
        <v>87308053</v>
      </c>
      <c r="E68">
        <v>1</v>
      </c>
      <c r="F68">
        <v>1</v>
      </c>
      <c r="G68">
        <v>1</v>
      </c>
      <c r="H68">
        <v>3</v>
      </c>
      <c r="I68" t="s">
        <v>544</v>
      </c>
      <c r="J68" t="s">
        <v>545</v>
      </c>
      <c r="K68" t="s">
        <v>546</v>
      </c>
      <c r="L68">
        <v>1339</v>
      </c>
      <c r="N68">
        <v>1007</v>
      </c>
      <c r="O68" t="s">
        <v>34</v>
      </c>
      <c r="P68" t="s">
        <v>34</v>
      </c>
      <c r="Q68">
        <v>1</v>
      </c>
      <c r="X68">
        <v>2.2000000000000002</v>
      </c>
      <c r="Y68">
        <v>3392.36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 t="s">
        <v>3</v>
      </c>
      <c r="AG68">
        <v>2.2000000000000002</v>
      </c>
      <c r="AH68">
        <v>2</v>
      </c>
      <c r="AI68">
        <v>89966365</v>
      </c>
      <c r="AJ68">
        <v>68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ROW(Source!A45)</f>
        <v>45</v>
      </c>
      <c r="B69">
        <v>89966373</v>
      </c>
      <c r="C69">
        <v>89966359</v>
      </c>
      <c r="D69">
        <v>87235788</v>
      </c>
      <c r="E69">
        <v>117</v>
      </c>
      <c r="F69">
        <v>1</v>
      </c>
      <c r="G69">
        <v>1</v>
      </c>
      <c r="H69">
        <v>3</v>
      </c>
      <c r="I69" t="s">
        <v>28</v>
      </c>
      <c r="J69" t="s">
        <v>3</v>
      </c>
      <c r="K69" t="s">
        <v>29</v>
      </c>
      <c r="L69">
        <v>1348</v>
      </c>
      <c r="N69">
        <v>1009</v>
      </c>
      <c r="O69" t="s">
        <v>30</v>
      </c>
      <c r="P69" t="s">
        <v>30</v>
      </c>
      <c r="Q69">
        <v>1000</v>
      </c>
      <c r="X69">
        <v>4.84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 t="s">
        <v>3</v>
      </c>
      <c r="AG69">
        <v>4.84</v>
      </c>
      <c r="AH69">
        <v>2</v>
      </c>
      <c r="AI69">
        <v>89966366</v>
      </c>
      <c r="AJ69">
        <v>69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ROW(Source!A47)</f>
        <v>47</v>
      </c>
      <c r="B70">
        <v>89967448</v>
      </c>
      <c r="C70">
        <v>89967447</v>
      </c>
      <c r="D70">
        <v>87229757</v>
      </c>
      <c r="E70">
        <v>117</v>
      </c>
      <c r="F70">
        <v>1</v>
      </c>
      <c r="G70">
        <v>1</v>
      </c>
      <c r="H70">
        <v>1</v>
      </c>
      <c r="I70" t="s">
        <v>547</v>
      </c>
      <c r="J70" t="s">
        <v>3</v>
      </c>
      <c r="K70" t="s">
        <v>548</v>
      </c>
      <c r="L70">
        <v>1191</v>
      </c>
      <c r="N70">
        <v>1013</v>
      </c>
      <c r="O70" t="s">
        <v>428</v>
      </c>
      <c r="P70" t="s">
        <v>428</v>
      </c>
      <c r="Q70">
        <v>1</v>
      </c>
      <c r="X70">
        <v>7.43</v>
      </c>
      <c r="Y70">
        <v>0</v>
      </c>
      <c r="Z70">
        <v>0</v>
      </c>
      <c r="AA70">
        <v>0</v>
      </c>
      <c r="AB70">
        <v>649.29999999999995</v>
      </c>
      <c r="AC70">
        <v>0</v>
      </c>
      <c r="AD70">
        <v>1</v>
      </c>
      <c r="AE70">
        <v>1</v>
      </c>
      <c r="AF70" t="s">
        <v>3</v>
      </c>
      <c r="AG70">
        <v>7.43</v>
      </c>
      <c r="AH70">
        <v>2</v>
      </c>
      <c r="AI70">
        <v>89967448</v>
      </c>
      <c r="AJ70">
        <v>70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ROW(Source!A47)</f>
        <v>47</v>
      </c>
      <c r="B71">
        <v>89967449</v>
      </c>
      <c r="C71">
        <v>89967447</v>
      </c>
      <c r="D71">
        <v>87229949</v>
      </c>
      <c r="E71">
        <v>117</v>
      </c>
      <c r="F71">
        <v>1</v>
      </c>
      <c r="G71">
        <v>1</v>
      </c>
      <c r="H71">
        <v>1</v>
      </c>
      <c r="I71" t="s">
        <v>429</v>
      </c>
      <c r="J71" t="s">
        <v>3</v>
      </c>
      <c r="K71" t="s">
        <v>430</v>
      </c>
      <c r="L71">
        <v>1191</v>
      </c>
      <c r="N71">
        <v>1013</v>
      </c>
      <c r="O71" t="s">
        <v>428</v>
      </c>
      <c r="P71" t="s">
        <v>428</v>
      </c>
      <c r="Q71">
        <v>1</v>
      </c>
      <c r="X71">
        <v>0.08</v>
      </c>
      <c r="Y71">
        <v>0</v>
      </c>
      <c r="Z71">
        <v>0</v>
      </c>
      <c r="AA71">
        <v>0</v>
      </c>
      <c r="AB71">
        <v>0</v>
      </c>
      <c r="AC71">
        <v>0</v>
      </c>
      <c r="AD71">
        <v>1</v>
      </c>
      <c r="AE71">
        <v>2</v>
      </c>
      <c r="AF71" t="s">
        <v>3</v>
      </c>
      <c r="AG71">
        <v>0.08</v>
      </c>
      <c r="AH71">
        <v>2</v>
      </c>
      <c r="AI71">
        <v>89967449</v>
      </c>
      <c r="AJ71">
        <v>71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ROW(Source!A47)</f>
        <v>47</v>
      </c>
      <c r="B72">
        <v>89967450</v>
      </c>
      <c r="C72">
        <v>89967447</v>
      </c>
      <c r="D72">
        <v>87236577</v>
      </c>
      <c r="E72">
        <v>1</v>
      </c>
      <c r="F72">
        <v>1</v>
      </c>
      <c r="G72">
        <v>1</v>
      </c>
      <c r="H72">
        <v>2</v>
      </c>
      <c r="I72" t="s">
        <v>538</v>
      </c>
      <c r="J72" t="s">
        <v>539</v>
      </c>
      <c r="K72" t="s">
        <v>540</v>
      </c>
      <c r="L72">
        <v>1368</v>
      </c>
      <c r="N72">
        <v>1011</v>
      </c>
      <c r="O72" t="s">
        <v>434</v>
      </c>
      <c r="P72" t="s">
        <v>434</v>
      </c>
      <c r="Q72">
        <v>1</v>
      </c>
      <c r="X72">
        <v>0.09</v>
      </c>
      <c r="Y72">
        <v>0</v>
      </c>
      <c r="Z72">
        <v>6.62</v>
      </c>
      <c r="AA72">
        <v>0</v>
      </c>
      <c r="AB72">
        <v>0</v>
      </c>
      <c r="AC72">
        <v>0</v>
      </c>
      <c r="AD72">
        <v>1</v>
      </c>
      <c r="AE72">
        <v>0</v>
      </c>
      <c r="AF72" t="s">
        <v>3</v>
      </c>
      <c r="AG72">
        <v>0.09</v>
      </c>
      <c r="AH72">
        <v>2</v>
      </c>
      <c r="AI72">
        <v>89967450</v>
      </c>
      <c r="AJ72">
        <v>72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ROW(Source!A47)</f>
        <v>47</v>
      </c>
      <c r="B73">
        <v>89967451</v>
      </c>
      <c r="C73">
        <v>89967447</v>
      </c>
      <c r="D73">
        <v>87237333</v>
      </c>
      <c r="E73">
        <v>1</v>
      </c>
      <c r="F73">
        <v>1</v>
      </c>
      <c r="G73">
        <v>1</v>
      </c>
      <c r="H73">
        <v>2</v>
      </c>
      <c r="I73" t="s">
        <v>463</v>
      </c>
      <c r="J73" t="s">
        <v>464</v>
      </c>
      <c r="K73" t="s">
        <v>465</v>
      </c>
      <c r="L73">
        <v>1368</v>
      </c>
      <c r="N73">
        <v>1011</v>
      </c>
      <c r="O73" t="s">
        <v>434</v>
      </c>
      <c r="P73" t="s">
        <v>434</v>
      </c>
      <c r="Q73">
        <v>1</v>
      </c>
      <c r="X73">
        <v>0.08</v>
      </c>
      <c r="Y73">
        <v>0</v>
      </c>
      <c r="Z73">
        <v>643.29</v>
      </c>
      <c r="AA73">
        <v>722.05</v>
      </c>
      <c r="AB73">
        <v>0</v>
      </c>
      <c r="AC73">
        <v>0</v>
      </c>
      <c r="AD73">
        <v>1</v>
      </c>
      <c r="AE73">
        <v>0</v>
      </c>
      <c r="AF73" t="s">
        <v>3</v>
      </c>
      <c r="AG73">
        <v>0.08</v>
      </c>
      <c r="AH73">
        <v>2</v>
      </c>
      <c r="AI73">
        <v>89967451</v>
      </c>
      <c r="AJ73">
        <v>73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ROW(Source!A47)</f>
        <v>47</v>
      </c>
      <c r="B74">
        <v>89967452</v>
      </c>
      <c r="C74">
        <v>89967447</v>
      </c>
      <c r="D74">
        <v>87237544</v>
      </c>
      <c r="E74">
        <v>1</v>
      </c>
      <c r="F74">
        <v>1</v>
      </c>
      <c r="G74">
        <v>1</v>
      </c>
      <c r="H74">
        <v>2</v>
      </c>
      <c r="I74" t="s">
        <v>549</v>
      </c>
      <c r="J74" t="s">
        <v>550</v>
      </c>
      <c r="K74" t="s">
        <v>551</v>
      </c>
      <c r="L74">
        <v>1368</v>
      </c>
      <c r="N74">
        <v>1011</v>
      </c>
      <c r="O74" t="s">
        <v>434</v>
      </c>
      <c r="P74" t="s">
        <v>434</v>
      </c>
      <c r="Q74">
        <v>1</v>
      </c>
      <c r="X74">
        <v>3.32</v>
      </c>
      <c r="Y74">
        <v>0</v>
      </c>
      <c r="Z74">
        <v>11.85</v>
      </c>
      <c r="AA74">
        <v>0</v>
      </c>
      <c r="AB74">
        <v>0</v>
      </c>
      <c r="AC74">
        <v>0</v>
      </c>
      <c r="AD74">
        <v>1</v>
      </c>
      <c r="AE74">
        <v>0</v>
      </c>
      <c r="AF74" t="s">
        <v>3</v>
      </c>
      <c r="AG74">
        <v>3.32</v>
      </c>
      <c r="AH74">
        <v>2</v>
      </c>
      <c r="AI74">
        <v>89967452</v>
      </c>
      <c r="AJ74">
        <v>74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ROW(Source!A47)</f>
        <v>47</v>
      </c>
      <c r="B75">
        <v>89967453</v>
      </c>
      <c r="C75">
        <v>89967447</v>
      </c>
      <c r="D75">
        <v>87237890</v>
      </c>
      <c r="E75">
        <v>1</v>
      </c>
      <c r="F75">
        <v>1</v>
      </c>
      <c r="G75">
        <v>1</v>
      </c>
      <c r="H75">
        <v>2</v>
      </c>
      <c r="I75" t="s">
        <v>552</v>
      </c>
      <c r="J75" t="s">
        <v>553</v>
      </c>
      <c r="K75" t="s">
        <v>554</v>
      </c>
      <c r="L75">
        <v>1368</v>
      </c>
      <c r="N75">
        <v>1011</v>
      </c>
      <c r="O75" t="s">
        <v>434</v>
      </c>
      <c r="P75" t="s">
        <v>434</v>
      </c>
      <c r="Q75">
        <v>1</v>
      </c>
      <c r="X75">
        <v>6.65</v>
      </c>
      <c r="Y75">
        <v>0</v>
      </c>
      <c r="Z75">
        <v>4.5199999999999996</v>
      </c>
      <c r="AA75">
        <v>0</v>
      </c>
      <c r="AB75">
        <v>0</v>
      </c>
      <c r="AC75">
        <v>0</v>
      </c>
      <c r="AD75">
        <v>1</v>
      </c>
      <c r="AE75">
        <v>0</v>
      </c>
      <c r="AF75" t="s">
        <v>3</v>
      </c>
      <c r="AG75">
        <v>6.65</v>
      </c>
      <c r="AH75">
        <v>2</v>
      </c>
      <c r="AI75">
        <v>89967453</v>
      </c>
      <c r="AJ75">
        <v>75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ROW(Source!A47)</f>
        <v>47</v>
      </c>
      <c r="B76">
        <v>89967454</v>
      </c>
      <c r="C76">
        <v>89967447</v>
      </c>
      <c r="D76">
        <v>87306751</v>
      </c>
      <c r="E76">
        <v>1</v>
      </c>
      <c r="F76">
        <v>1</v>
      </c>
      <c r="G76">
        <v>1</v>
      </c>
      <c r="H76">
        <v>3</v>
      </c>
      <c r="I76" t="s">
        <v>519</v>
      </c>
      <c r="J76" t="s">
        <v>520</v>
      </c>
      <c r="K76" t="s">
        <v>521</v>
      </c>
      <c r="L76">
        <v>1346</v>
      </c>
      <c r="N76">
        <v>1009</v>
      </c>
      <c r="O76" t="s">
        <v>96</v>
      </c>
      <c r="P76" t="s">
        <v>96</v>
      </c>
      <c r="Q76">
        <v>1</v>
      </c>
      <c r="X76">
        <v>0.41</v>
      </c>
      <c r="Y76">
        <v>56.11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0</v>
      </c>
      <c r="AF76" t="s">
        <v>3</v>
      </c>
      <c r="AG76">
        <v>0.41</v>
      </c>
      <c r="AH76">
        <v>2</v>
      </c>
      <c r="AI76">
        <v>89967454</v>
      </c>
      <c r="AJ76">
        <v>76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ROW(Source!A47)</f>
        <v>47</v>
      </c>
      <c r="B77">
        <v>89967455</v>
      </c>
      <c r="C77">
        <v>89967447</v>
      </c>
      <c r="D77">
        <v>87233697</v>
      </c>
      <c r="E77">
        <v>117</v>
      </c>
      <c r="F77">
        <v>1</v>
      </c>
      <c r="G77">
        <v>1</v>
      </c>
      <c r="H77">
        <v>3</v>
      </c>
      <c r="I77" t="s">
        <v>626</v>
      </c>
      <c r="J77" t="s">
        <v>3</v>
      </c>
      <c r="K77" t="s">
        <v>627</v>
      </c>
      <c r="L77">
        <v>1348</v>
      </c>
      <c r="N77">
        <v>1009</v>
      </c>
      <c r="O77" t="s">
        <v>30</v>
      </c>
      <c r="P77" t="s">
        <v>30</v>
      </c>
      <c r="Q77">
        <v>1000</v>
      </c>
      <c r="X77">
        <v>3.2300000000000002E-2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 t="s">
        <v>3</v>
      </c>
      <c r="AG77">
        <v>3.2300000000000002E-2</v>
      </c>
      <c r="AH77">
        <v>3</v>
      </c>
      <c r="AI77">
        <v>-1</v>
      </c>
      <c r="AJ77" t="s">
        <v>3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ROW(Source!A47)</f>
        <v>47</v>
      </c>
      <c r="B78">
        <v>89967456</v>
      </c>
      <c r="C78">
        <v>89967447</v>
      </c>
      <c r="D78">
        <v>87323217</v>
      </c>
      <c r="E78">
        <v>1</v>
      </c>
      <c r="F78">
        <v>1</v>
      </c>
      <c r="G78">
        <v>1</v>
      </c>
      <c r="H78">
        <v>3</v>
      </c>
      <c r="I78" t="s">
        <v>555</v>
      </c>
      <c r="J78" t="s">
        <v>556</v>
      </c>
      <c r="K78" t="s">
        <v>557</v>
      </c>
      <c r="L78">
        <v>1346</v>
      </c>
      <c r="N78">
        <v>1009</v>
      </c>
      <c r="O78" t="s">
        <v>96</v>
      </c>
      <c r="P78" t="s">
        <v>96</v>
      </c>
      <c r="Q78">
        <v>1</v>
      </c>
      <c r="X78">
        <v>1.1000000000000001</v>
      </c>
      <c r="Y78">
        <v>60.6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 t="s">
        <v>3</v>
      </c>
      <c r="AG78">
        <v>1.1000000000000001</v>
      </c>
      <c r="AH78">
        <v>2</v>
      </c>
      <c r="AI78">
        <v>89967456</v>
      </c>
      <c r="AJ78">
        <v>78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ROW(Source!A93)</f>
        <v>93</v>
      </c>
      <c r="B79">
        <v>94188122</v>
      </c>
      <c r="C79">
        <v>94188117</v>
      </c>
      <c r="D79">
        <v>37069968</v>
      </c>
      <c r="E79">
        <v>117</v>
      </c>
      <c r="F79">
        <v>1</v>
      </c>
      <c r="G79">
        <v>1</v>
      </c>
      <c r="H79">
        <v>1</v>
      </c>
      <c r="I79" t="s">
        <v>426</v>
      </c>
      <c r="J79" t="s">
        <v>3</v>
      </c>
      <c r="K79" t="s">
        <v>427</v>
      </c>
      <c r="L79">
        <v>1191</v>
      </c>
      <c r="N79">
        <v>1013</v>
      </c>
      <c r="O79" t="s">
        <v>428</v>
      </c>
      <c r="P79" t="s">
        <v>428</v>
      </c>
      <c r="Q79">
        <v>1</v>
      </c>
      <c r="X79">
        <v>78.739999999999995</v>
      </c>
      <c r="Y79">
        <v>0</v>
      </c>
      <c r="Z79">
        <v>0</v>
      </c>
      <c r="AA79">
        <v>0</v>
      </c>
      <c r="AB79">
        <v>630.44000000000005</v>
      </c>
      <c r="AC79">
        <v>0</v>
      </c>
      <c r="AD79">
        <v>1</v>
      </c>
      <c r="AE79">
        <v>1</v>
      </c>
      <c r="AF79" t="s">
        <v>3</v>
      </c>
      <c r="AG79">
        <v>78.739999999999995</v>
      </c>
      <c r="AH79">
        <v>2</v>
      </c>
      <c r="AI79">
        <v>94188118</v>
      </c>
      <c r="AJ79">
        <v>79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ROW(Source!A93)</f>
        <v>93</v>
      </c>
      <c r="B80">
        <v>94188123</v>
      </c>
      <c r="C80">
        <v>94188117</v>
      </c>
      <c r="D80">
        <v>37064876</v>
      </c>
      <c r="E80">
        <v>117</v>
      </c>
      <c r="F80">
        <v>1</v>
      </c>
      <c r="G80">
        <v>1</v>
      </c>
      <c r="H80">
        <v>1</v>
      </c>
      <c r="I80" t="s">
        <v>429</v>
      </c>
      <c r="J80" t="s">
        <v>3</v>
      </c>
      <c r="K80" t="s">
        <v>430</v>
      </c>
      <c r="L80">
        <v>1191</v>
      </c>
      <c r="N80">
        <v>1013</v>
      </c>
      <c r="O80" t="s">
        <v>428</v>
      </c>
      <c r="P80" t="s">
        <v>428</v>
      </c>
      <c r="Q80">
        <v>1</v>
      </c>
      <c r="X80">
        <v>0.79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2</v>
      </c>
      <c r="AF80" t="s">
        <v>3</v>
      </c>
      <c r="AG80">
        <v>0.79</v>
      </c>
      <c r="AH80">
        <v>2</v>
      </c>
      <c r="AI80">
        <v>94188119</v>
      </c>
      <c r="AJ80">
        <v>80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ROW(Source!A93)</f>
        <v>93</v>
      </c>
      <c r="B81">
        <v>94188124</v>
      </c>
      <c r="C81">
        <v>94188117</v>
      </c>
      <c r="D81">
        <v>87236625</v>
      </c>
      <c r="E81">
        <v>1</v>
      </c>
      <c r="F81">
        <v>1</v>
      </c>
      <c r="G81">
        <v>1</v>
      </c>
      <c r="H81">
        <v>2</v>
      </c>
      <c r="I81" t="s">
        <v>431</v>
      </c>
      <c r="J81" t="s">
        <v>432</v>
      </c>
      <c r="K81" t="s">
        <v>433</v>
      </c>
      <c r="L81">
        <v>1368</v>
      </c>
      <c r="N81">
        <v>1011</v>
      </c>
      <c r="O81" t="s">
        <v>434</v>
      </c>
      <c r="P81" t="s">
        <v>434</v>
      </c>
      <c r="Q81">
        <v>1</v>
      </c>
      <c r="X81">
        <v>0.79</v>
      </c>
      <c r="Y81">
        <v>0</v>
      </c>
      <c r="Z81">
        <v>37.32</v>
      </c>
      <c r="AA81">
        <v>641.22</v>
      </c>
      <c r="AB81">
        <v>0</v>
      </c>
      <c r="AC81">
        <v>0</v>
      </c>
      <c r="AD81">
        <v>1</v>
      </c>
      <c r="AE81">
        <v>0</v>
      </c>
      <c r="AF81" t="s">
        <v>3</v>
      </c>
      <c r="AG81">
        <v>0.79</v>
      </c>
      <c r="AH81">
        <v>2</v>
      </c>
      <c r="AI81">
        <v>94188120</v>
      </c>
      <c r="AJ81">
        <v>81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ROW(Source!A93)</f>
        <v>93</v>
      </c>
      <c r="B82">
        <v>94188125</v>
      </c>
      <c r="C82">
        <v>94188117</v>
      </c>
      <c r="D82">
        <v>87235788</v>
      </c>
      <c r="E82">
        <v>117</v>
      </c>
      <c r="F82">
        <v>1</v>
      </c>
      <c r="G82">
        <v>1</v>
      </c>
      <c r="H82">
        <v>3</v>
      </c>
      <c r="I82" t="s">
        <v>28</v>
      </c>
      <c r="J82" t="s">
        <v>3</v>
      </c>
      <c r="K82" t="s">
        <v>29</v>
      </c>
      <c r="L82">
        <v>1348</v>
      </c>
      <c r="N82">
        <v>1009</v>
      </c>
      <c r="O82" t="s">
        <v>30</v>
      </c>
      <c r="P82" t="s">
        <v>30</v>
      </c>
      <c r="Q82">
        <v>1000</v>
      </c>
      <c r="X82">
        <v>4.3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 t="s">
        <v>3</v>
      </c>
      <c r="AG82">
        <v>4.3</v>
      </c>
      <c r="AH82">
        <v>2</v>
      </c>
      <c r="AI82">
        <v>94188121</v>
      </c>
      <c r="AJ82">
        <v>82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ROW(Source!A95)</f>
        <v>95</v>
      </c>
      <c r="B83">
        <v>94188134</v>
      </c>
      <c r="C83">
        <v>94188127</v>
      </c>
      <c r="D83">
        <v>37065248</v>
      </c>
      <c r="E83">
        <v>117</v>
      </c>
      <c r="F83">
        <v>1</v>
      </c>
      <c r="G83">
        <v>1</v>
      </c>
      <c r="H83">
        <v>1</v>
      </c>
      <c r="I83" t="s">
        <v>436</v>
      </c>
      <c r="J83" t="s">
        <v>3</v>
      </c>
      <c r="K83" t="s">
        <v>437</v>
      </c>
      <c r="L83">
        <v>1191</v>
      </c>
      <c r="N83">
        <v>1013</v>
      </c>
      <c r="O83" t="s">
        <v>428</v>
      </c>
      <c r="P83" t="s">
        <v>428</v>
      </c>
      <c r="Q83">
        <v>1</v>
      </c>
      <c r="X83">
        <v>19.809999999999999</v>
      </c>
      <c r="Y83">
        <v>0</v>
      </c>
      <c r="Z83">
        <v>0</v>
      </c>
      <c r="AA83">
        <v>0</v>
      </c>
      <c r="AB83">
        <v>641.22</v>
      </c>
      <c r="AC83">
        <v>0</v>
      </c>
      <c r="AD83">
        <v>1</v>
      </c>
      <c r="AE83">
        <v>1</v>
      </c>
      <c r="AF83" t="s">
        <v>3</v>
      </c>
      <c r="AG83">
        <v>19.809999999999999</v>
      </c>
      <c r="AH83">
        <v>2</v>
      </c>
      <c r="AI83">
        <v>94188128</v>
      </c>
      <c r="AJ83">
        <v>83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ROW(Source!A95)</f>
        <v>95</v>
      </c>
      <c r="B84">
        <v>94188135</v>
      </c>
      <c r="C84">
        <v>94188127</v>
      </c>
      <c r="D84">
        <v>87237491</v>
      </c>
      <c r="E84">
        <v>1</v>
      </c>
      <c r="F84">
        <v>1</v>
      </c>
      <c r="G84">
        <v>1</v>
      </c>
      <c r="H84">
        <v>2</v>
      </c>
      <c r="I84" t="s">
        <v>438</v>
      </c>
      <c r="J84" t="s">
        <v>439</v>
      </c>
      <c r="K84" t="s">
        <v>440</v>
      </c>
      <c r="L84">
        <v>1368</v>
      </c>
      <c r="N84">
        <v>1011</v>
      </c>
      <c r="O84" t="s">
        <v>434</v>
      </c>
      <c r="P84" t="s">
        <v>434</v>
      </c>
      <c r="Q84">
        <v>1</v>
      </c>
      <c r="X84">
        <v>2.36</v>
      </c>
      <c r="Y84">
        <v>0</v>
      </c>
      <c r="Z84">
        <v>4.3499999999999996</v>
      </c>
      <c r="AA84">
        <v>0</v>
      </c>
      <c r="AB84">
        <v>0</v>
      </c>
      <c r="AC84">
        <v>0</v>
      </c>
      <c r="AD84">
        <v>1</v>
      </c>
      <c r="AE84">
        <v>0</v>
      </c>
      <c r="AF84" t="s">
        <v>3</v>
      </c>
      <c r="AG84">
        <v>2.36</v>
      </c>
      <c r="AH84">
        <v>2</v>
      </c>
      <c r="AI84">
        <v>94188129</v>
      </c>
      <c r="AJ84">
        <v>84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ROW(Source!A95)</f>
        <v>95</v>
      </c>
      <c r="B85">
        <v>94188136</v>
      </c>
      <c r="C85">
        <v>94188127</v>
      </c>
      <c r="D85">
        <v>87237545</v>
      </c>
      <c r="E85">
        <v>1</v>
      </c>
      <c r="F85">
        <v>1</v>
      </c>
      <c r="G85">
        <v>1</v>
      </c>
      <c r="H85">
        <v>2</v>
      </c>
      <c r="I85" t="s">
        <v>441</v>
      </c>
      <c r="J85" t="s">
        <v>442</v>
      </c>
      <c r="K85" t="s">
        <v>443</v>
      </c>
      <c r="L85">
        <v>1368</v>
      </c>
      <c r="N85">
        <v>1011</v>
      </c>
      <c r="O85" t="s">
        <v>434</v>
      </c>
      <c r="P85" t="s">
        <v>434</v>
      </c>
      <c r="Q85">
        <v>1</v>
      </c>
      <c r="X85">
        <v>8.15</v>
      </c>
      <c r="Y85">
        <v>0</v>
      </c>
      <c r="Z85">
        <v>67.2</v>
      </c>
      <c r="AA85">
        <v>0</v>
      </c>
      <c r="AB85">
        <v>0</v>
      </c>
      <c r="AC85">
        <v>0</v>
      </c>
      <c r="AD85">
        <v>1</v>
      </c>
      <c r="AE85">
        <v>0</v>
      </c>
      <c r="AF85" t="s">
        <v>3</v>
      </c>
      <c r="AG85">
        <v>8.15</v>
      </c>
      <c r="AH85">
        <v>2</v>
      </c>
      <c r="AI85">
        <v>94188130</v>
      </c>
      <c r="AJ85">
        <v>85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ROW(Source!A95)</f>
        <v>95</v>
      </c>
      <c r="B86">
        <v>94188137</v>
      </c>
      <c r="C86">
        <v>94188127</v>
      </c>
      <c r="D86">
        <v>87237938</v>
      </c>
      <c r="E86">
        <v>1</v>
      </c>
      <c r="F86">
        <v>1</v>
      </c>
      <c r="G86">
        <v>1</v>
      </c>
      <c r="H86">
        <v>2</v>
      </c>
      <c r="I86" t="s">
        <v>444</v>
      </c>
      <c r="J86" t="s">
        <v>445</v>
      </c>
      <c r="K86" t="s">
        <v>446</v>
      </c>
      <c r="L86">
        <v>1368</v>
      </c>
      <c r="N86">
        <v>1011</v>
      </c>
      <c r="O86" t="s">
        <v>434</v>
      </c>
      <c r="P86" t="s">
        <v>434</v>
      </c>
      <c r="Q86">
        <v>1</v>
      </c>
      <c r="X86">
        <v>16.3</v>
      </c>
      <c r="Y86">
        <v>0</v>
      </c>
      <c r="Z86">
        <v>3.1</v>
      </c>
      <c r="AA86">
        <v>0</v>
      </c>
      <c r="AB86">
        <v>0</v>
      </c>
      <c r="AC86">
        <v>0</v>
      </c>
      <c r="AD86">
        <v>1</v>
      </c>
      <c r="AE86">
        <v>0</v>
      </c>
      <c r="AF86" t="s">
        <v>3</v>
      </c>
      <c r="AG86">
        <v>16.3</v>
      </c>
      <c r="AH86">
        <v>2</v>
      </c>
      <c r="AI86">
        <v>94188131</v>
      </c>
      <c r="AJ86">
        <v>86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ROW(Source!A95)</f>
        <v>95</v>
      </c>
      <c r="B87">
        <v>94188138</v>
      </c>
      <c r="C87">
        <v>94188127</v>
      </c>
      <c r="D87">
        <v>87302091</v>
      </c>
      <c r="E87">
        <v>1</v>
      </c>
      <c r="F87">
        <v>1</v>
      </c>
      <c r="G87">
        <v>1</v>
      </c>
      <c r="H87">
        <v>3</v>
      </c>
      <c r="I87" t="s">
        <v>447</v>
      </c>
      <c r="J87" t="s">
        <v>448</v>
      </c>
      <c r="K87" t="s">
        <v>449</v>
      </c>
      <c r="L87">
        <v>1339</v>
      </c>
      <c r="N87">
        <v>1007</v>
      </c>
      <c r="O87" t="s">
        <v>34</v>
      </c>
      <c r="P87" t="s">
        <v>34</v>
      </c>
      <c r="Q87">
        <v>1</v>
      </c>
      <c r="X87">
        <v>0.26</v>
      </c>
      <c r="Y87">
        <v>340.41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0</v>
      </c>
      <c r="AF87" t="s">
        <v>3</v>
      </c>
      <c r="AG87">
        <v>0.26</v>
      </c>
      <c r="AH87">
        <v>2</v>
      </c>
      <c r="AI87">
        <v>94188132</v>
      </c>
      <c r="AJ87">
        <v>87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ROW(Source!A95)</f>
        <v>95</v>
      </c>
      <c r="B88">
        <v>94188139</v>
      </c>
      <c r="C88">
        <v>94188127</v>
      </c>
      <c r="D88">
        <v>87302107</v>
      </c>
      <c r="E88">
        <v>1</v>
      </c>
      <c r="F88">
        <v>1</v>
      </c>
      <c r="G88">
        <v>1</v>
      </c>
      <c r="H88">
        <v>3</v>
      </c>
      <c r="I88" t="s">
        <v>450</v>
      </c>
      <c r="J88" t="s">
        <v>451</v>
      </c>
      <c r="K88" t="s">
        <v>452</v>
      </c>
      <c r="L88">
        <v>1339</v>
      </c>
      <c r="N88">
        <v>1007</v>
      </c>
      <c r="O88" t="s">
        <v>34</v>
      </c>
      <c r="P88" t="s">
        <v>34</v>
      </c>
      <c r="Q88">
        <v>1</v>
      </c>
      <c r="X88">
        <v>2</v>
      </c>
      <c r="Y88">
        <v>114.64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0</v>
      </c>
      <c r="AF88" t="s">
        <v>3</v>
      </c>
      <c r="AG88">
        <v>2</v>
      </c>
      <c r="AH88">
        <v>2</v>
      </c>
      <c r="AI88">
        <v>94188133</v>
      </c>
      <c r="AJ88">
        <v>88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ROW(Source!A96)</f>
        <v>96</v>
      </c>
      <c r="B89">
        <v>94188155</v>
      </c>
      <c r="C89">
        <v>94188140</v>
      </c>
      <c r="D89">
        <v>37065248</v>
      </c>
      <c r="E89">
        <v>117</v>
      </c>
      <c r="F89">
        <v>1</v>
      </c>
      <c r="G89">
        <v>1</v>
      </c>
      <c r="H89">
        <v>1</v>
      </c>
      <c r="I89" t="s">
        <v>436</v>
      </c>
      <c r="J89" t="s">
        <v>3</v>
      </c>
      <c r="K89" t="s">
        <v>437</v>
      </c>
      <c r="L89">
        <v>1191</v>
      </c>
      <c r="N89">
        <v>1013</v>
      </c>
      <c r="O89" t="s">
        <v>428</v>
      </c>
      <c r="P89" t="s">
        <v>428</v>
      </c>
      <c r="Q89">
        <v>1</v>
      </c>
      <c r="X89">
        <v>4.8499999999999996</v>
      </c>
      <c r="Y89">
        <v>0</v>
      </c>
      <c r="Z89">
        <v>0</v>
      </c>
      <c r="AA89">
        <v>0</v>
      </c>
      <c r="AB89">
        <v>641.22</v>
      </c>
      <c r="AC89">
        <v>0</v>
      </c>
      <c r="AD89">
        <v>1</v>
      </c>
      <c r="AE89">
        <v>1</v>
      </c>
      <c r="AF89" t="s">
        <v>3</v>
      </c>
      <c r="AG89">
        <v>4.8499999999999996</v>
      </c>
      <c r="AH89">
        <v>2</v>
      </c>
      <c r="AI89">
        <v>94188141</v>
      </c>
      <c r="AJ89">
        <v>89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ROW(Source!A96)</f>
        <v>96</v>
      </c>
      <c r="B90">
        <v>94188156</v>
      </c>
      <c r="C90">
        <v>94188140</v>
      </c>
      <c r="D90">
        <v>37064876</v>
      </c>
      <c r="E90">
        <v>117</v>
      </c>
      <c r="F90">
        <v>1</v>
      </c>
      <c r="G90">
        <v>1</v>
      </c>
      <c r="H90">
        <v>1</v>
      </c>
      <c r="I90" t="s">
        <v>429</v>
      </c>
      <c r="J90" t="s">
        <v>3</v>
      </c>
      <c r="K90" t="s">
        <v>430</v>
      </c>
      <c r="L90">
        <v>1191</v>
      </c>
      <c r="N90">
        <v>1013</v>
      </c>
      <c r="O90" t="s">
        <v>428</v>
      </c>
      <c r="P90" t="s">
        <v>428</v>
      </c>
      <c r="Q90">
        <v>1</v>
      </c>
      <c r="X90">
        <v>0.12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2</v>
      </c>
      <c r="AF90" t="s">
        <v>3</v>
      </c>
      <c r="AG90">
        <v>0.12</v>
      </c>
      <c r="AH90">
        <v>2</v>
      </c>
      <c r="AI90">
        <v>94188142</v>
      </c>
      <c r="AJ90">
        <v>90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ROW(Source!A96)</f>
        <v>96</v>
      </c>
      <c r="B91">
        <v>94188157</v>
      </c>
      <c r="C91">
        <v>94188140</v>
      </c>
      <c r="D91">
        <v>87236438</v>
      </c>
      <c r="E91">
        <v>1</v>
      </c>
      <c r="F91">
        <v>1</v>
      </c>
      <c r="G91">
        <v>1</v>
      </c>
      <c r="H91">
        <v>2</v>
      </c>
      <c r="I91" t="s">
        <v>453</v>
      </c>
      <c r="J91" t="s">
        <v>454</v>
      </c>
      <c r="K91" t="s">
        <v>455</v>
      </c>
      <c r="L91">
        <v>1368</v>
      </c>
      <c r="N91">
        <v>1011</v>
      </c>
      <c r="O91" t="s">
        <v>434</v>
      </c>
      <c r="P91" t="s">
        <v>434</v>
      </c>
      <c r="Q91">
        <v>1</v>
      </c>
      <c r="X91">
        <v>0.01</v>
      </c>
      <c r="Y91">
        <v>0</v>
      </c>
      <c r="Z91">
        <v>1629.55</v>
      </c>
      <c r="AA91">
        <v>969.91</v>
      </c>
      <c r="AB91">
        <v>0</v>
      </c>
      <c r="AC91">
        <v>0</v>
      </c>
      <c r="AD91">
        <v>1</v>
      </c>
      <c r="AE91">
        <v>0</v>
      </c>
      <c r="AF91" t="s">
        <v>3</v>
      </c>
      <c r="AG91">
        <v>0.01</v>
      </c>
      <c r="AH91">
        <v>2</v>
      </c>
      <c r="AI91">
        <v>94188143</v>
      </c>
      <c r="AJ91">
        <v>91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ROW(Source!A96)</f>
        <v>96</v>
      </c>
      <c r="B92">
        <v>94188158</v>
      </c>
      <c r="C92">
        <v>94188140</v>
      </c>
      <c r="D92">
        <v>87236694</v>
      </c>
      <c r="E92">
        <v>1</v>
      </c>
      <c r="F92">
        <v>1</v>
      </c>
      <c r="G92">
        <v>1</v>
      </c>
      <c r="H92">
        <v>2</v>
      </c>
      <c r="I92" t="s">
        <v>457</v>
      </c>
      <c r="J92" t="s">
        <v>458</v>
      </c>
      <c r="K92" t="s">
        <v>459</v>
      </c>
      <c r="L92">
        <v>1368</v>
      </c>
      <c r="N92">
        <v>1011</v>
      </c>
      <c r="O92" t="s">
        <v>434</v>
      </c>
      <c r="P92" t="s">
        <v>434</v>
      </c>
      <c r="Q92">
        <v>1</v>
      </c>
      <c r="X92">
        <v>0.17</v>
      </c>
      <c r="Y92">
        <v>0</v>
      </c>
      <c r="Z92">
        <v>10.37</v>
      </c>
      <c r="AA92">
        <v>0</v>
      </c>
      <c r="AB92">
        <v>0</v>
      </c>
      <c r="AC92">
        <v>0</v>
      </c>
      <c r="AD92">
        <v>1</v>
      </c>
      <c r="AE92">
        <v>0</v>
      </c>
      <c r="AF92" t="s">
        <v>3</v>
      </c>
      <c r="AG92">
        <v>0.17</v>
      </c>
      <c r="AH92">
        <v>2</v>
      </c>
      <c r="AI92">
        <v>94188144</v>
      </c>
      <c r="AJ92">
        <v>92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ROW(Source!A96)</f>
        <v>96</v>
      </c>
      <c r="B93">
        <v>94188159</v>
      </c>
      <c r="C93">
        <v>94188140</v>
      </c>
      <c r="D93">
        <v>87236695</v>
      </c>
      <c r="E93">
        <v>1</v>
      </c>
      <c r="F93">
        <v>1</v>
      </c>
      <c r="G93">
        <v>1</v>
      </c>
      <c r="H93">
        <v>2</v>
      </c>
      <c r="I93" t="s">
        <v>460</v>
      </c>
      <c r="J93" t="s">
        <v>461</v>
      </c>
      <c r="K93" t="s">
        <v>462</v>
      </c>
      <c r="L93">
        <v>1368</v>
      </c>
      <c r="N93">
        <v>1011</v>
      </c>
      <c r="O93" t="s">
        <v>434</v>
      </c>
      <c r="P93" t="s">
        <v>434</v>
      </c>
      <c r="Q93">
        <v>1</v>
      </c>
      <c r="X93">
        <v>0.1</v>
      </c>
      <c r="Y93">
        <v>0</v>
      </c>
      <c r="Z93">
        <v>8.5399999999999991</v>
      </c>
      <c r="AA93">
        <v>0</v>
      </c>
      <c r="AB93">
        <v>0</v>
      </c>
      <c r="AC93">
        <v>0</v>
      </c>
      <c r="AD93">
        <v>1</v>
      </c>
      <c r="AE93">
        <v>0</v>
      </c>
      <c r="AF93" t="s">
        <v>3</v>
      </c>
      <c r="AG93">
        <v>0.1</v>
      </c>
      <c r="AH93">
        <v>2</v>
      </c>
      <c r="AI93">
        <v>94188145</v>
      </c>
      <c r="AJ93">
        <v>93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ROW(Source!A96)</f>
        <v>96</v>
      </c>
      <c r="B94">
        <v>94188160</v>
      </c>
      <c r="C94">
        <v>94188140</v>
      </c>
      <c r="D94">
        <v>87237333</v>
      </c>
      <c r="E94">
        <v>1</v>
      </c>
      <c r="F94">
        <v>1</v>
      </c>
      <c r="G94">
        <v>1</v>
      </c>
      <c r="H94">
        <v>2</v>
      </c>
      <c r="I94" t="s">
        <v>463</v>
      </c>
      <c r="J94" t="s">
        <v>464</v>
      </c>
      <c r="K94" t="s">
        <v>465</v>
      </c>
      <c r="L94">
        <v>1368</v>
      </c>
      <c r="N94">
        <v>1011</v>
      </c>
      <c r="O94" t="s">
        <v>434</v>
      </c>
      <c r="P94" t="s">
        <v>434</v>
      </c>
      <c r="Q94">
        <v>1</v>
      </c>
      <c r="X94">
        <v>0.11</v>
      </c>
      <c r="Y94">
        <v>0</v>
      </c>
      <c r="Z94">
        <v>643.29</v>
      </c>
      <c r="AA94">
        <v>722.05</v>
      </c>
      <c r="AB94">
        <v>0</v>
      </c>
      <c r="AC94">
        <v>0</v>
      </c>
      <c r="AD94">
        <v>1</v>
      </c>
      <c r="AE94">
        <v>0</v>
      </c>
      <c r="AF94" t="s">
        <v>3</v>
      </c>
      <c r="AG94">
        <v>0.11</v>
      </c>
      <c r="AH94">
        <v>2</v>
      </c>
      <c r="AI94">
        <v>94188146</v>
      </c>
      <c r="AJ94">
        <v>94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ROW(Source!A96)</f>
        <v>96</v>
      </c>
      <c r="B95">
        <v>94188161</v>
      </c>
      <c r="C95">
        <v>94188140</v>
      </c>
      <c r="D95">
        <v>87304091</v>
      </c>
      <c r="E95">
        <v>1</v>
      </c>
      <c r="F95">
        <v>1</v>
      </c>
      <c r="G95">
        <v>1</v>
      </c>
      <c r="H95">
        <v>3</v>
      </c>
      <c r="I95" t="s">
        <v>467</v>
      </c>
      <c r="J95" t="s">
        <v>468</v>
      </c>
      <c r="K95" t="s">
        <v>469</v>
      </c>
      <c r="L95">
        <v>1339</v>
      </c>
      <c r="N95">
        <v>1007</v>
      </c>
      <c r="O95" t="s">
        <v>34</v>
      </c>
      <c r="P95" t="s">
        <v>34</v>
      </c>
      <c r="Q95">
        <v>1</v>
      </c>
      <c r="X95">
        <v>8.3999999999999995E-3</v>
      </c>
      <c r="Y95">
        <v>35.71</v>
      </c>
      <c r="Z95">
        <v>0</v>
      </c>
      <c r="AA95">
        <v>0</v>
      </c>
      <c r="AB95">
        <v>0</v>
      </c>
      <c r="AC95">
        <v>0</v>
      </c>
      <c r="AD95">
        <v>1</v>
      </c>
      <c r="AE95">
        <v>0</v>
      </c>
      <c r="AF95" t="s">
        <v>3</v>
      </c>
      <c r="AG95">
        <v>8.3999999999999995E-3</v>
      </c>
      <c r="AH95">
        <v>2</v>
      </c>
      <c r="AI95">
        <v>94188147</v>
      </c>
      <c r="AJ95">
        <v>95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ROW(Source!A96)</f>
        <v>96</v>
      </c>
      <c r="B96">
        <v>94188162</v>
      </c>
      <c r="C96">
        <v>94188140</v>
      </c>
      <c r="D96">
        <v>87304887</v>
      </c>
      <c r="E96">
        <v>1</v>
      </c>
      <c r="F96">
        <v>1</v>
      </c>
      <c r="G96">
        <v>1</v>
      </c>
      <c r="H96">
        <v>3</v>
      </c>
      <c r="I96" t="s">
        <v>470</v>
      </c>
      <c r="J96" t="s">
        <v>471</v>
      </c>
      <c r="K96" t="s">
        <v>472</v>
      </c>
      <c r="L96">
        <v>1327</v>
      </c>
      <c r="N96">
        <v>1005</v>
      </c>
      <c r="O96" t="s">
        <v>60</v>
      </c>
      <c r="P96" t="s">
        <v>60</v>
      </c>
      <c r="Q96">
        <v>1</v>
      </c>
      <c r="X96">
        <v>0.23</v>
      </c>
      <c r="Y96">
        <v>28.13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 t="s">
        <v>3</v>
      </c>
      <c r="AG96">
        <v>0.23</v>
      </c>
      <c r="AH96">
        <v>2</v>
      </c>
      <c r="AI96">
        <v>94188148</v>
      </c>
      <c r="AJ96">
        <v>96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ROW(Source!A96)</f>
        <v>96</v>
      </c>
      <c r="B97">
        <v>94188163</v>
      </c>
      <c r="C97">
        <v>94188140</v>
      </c>
      <c r="D97">
        <v>87230657</v>
      </c>
      <c r="E97">
        <v>117</v>
      </c>
      <c r="F97">
        <v>1</v>
      </c>
      <c r="G97">
        <v>1</v>
      </c>
      <c r="H97">
        <v>3</v>
      </c>
      <c r="I97" t="s">
        <v>609</v>
      </c>
      <c r="J97" t="s">
        <v>3</v>
      </c>
      <c r="K97" t="s">
        <v>610</v>
      </c>
      <c r="L97">
        <v>1377</v>
      </c>
      <c r="N97">
        <v>1013</v>
      </c>
      <c r="O97" t="s">
        <v>611</v>
      </c>
      <c r="P97" t="s">
        <v>611</v>
      </c>
      <c r="Q97">
        <v>1</v>
      </c>
      <c r="X97">
        <v>0</v>
      </c>
      <c r="Y97">
        <v>0</v>
      </c>
      <c r="Z97">
        <v>0</v>
      </c>
      <c r="AA97">
        <v>0</v>
      </c>
      <c r="AB97">
        <v>0</v>
      </c>
      <c r="AC97">
        <v>1</v>
      </c>
      <c r="AD97">
        <v>0</v>
      </c>
      <c r="AE97">
        <v>0</v>
      </c>
      <c r="AF97" t="s">
        <v>3</v>
      </c>
      <c r="AG97">
        <v>0</v>
      </c>
      <c r="AH97">
        <v>3</v>
      </c>
      <c r="AI97">
        <v>-1</v>
      </c>
      <c r="AJ97" t="s">
        <v>3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ROW(Source!A96)</f>
        <v>96</v>
      </c>
      <c r="B98">
        <v>94188164</v>
      </c>
      <c r="C98">
        <v>94188140</v>
      </c>
      <c r="D98">
        <v>87231094</v>
      </c>
      <c r="E98">
        <v>117</v>
      </c>
      <c r="F98">
        <v>1</v>
      </c>
      <c r="G98">
        <v>1</v>
      </c>
      <c r="H98">
        <v>3</v>
      </c>
      <c r="I98" t="s">
        <v>612</v>
      </c>
      <c r="J98" t="s">
        <v>3</v>
      </c>
      <c r="K98" t="s">
        <v>613</v>
      </c>
      <c r="L98">
        <v>1339</v>
      </c>
      <c r="N98">
        <v>1007</v>
      </c>
      <c r="O98" t="s">
        <v>34</v>
      </c>
      <c r="P98" t="s">
        <v>34</v>
      </c>
      <c r="Q98">
        <v>1</v>
      </c>
      <c r="X98">
        <v>1.0149999999999999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 t="s">
        <v>3</v>
      </c>
      <c r="AG98">
        <v>1.0149999999999999</v>
      </c>
      <c r="AH98">
        <v>3</v>
      </c>
      <c r="AI98">
        <v>-1</v>
      </c>
      <c r="AJ98" t="s">
        <v>3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ROW(Source!A96)</f>
        <v>96</v>
      </c>
      <c r="B99">
        <v>94188165</v>
      </c>
      <c r="C99">
        <v>94188140</v>
      </c>
      <c r="D99">
        <v>87312812</v>
      </c>
      <c r="E99">
        <v>1</v>
      </c>
      <c r="F99">
        <v>1</v>
      </c>
      <c r="G99">
        <v>1</v>
      </c>
      <c r="H99">
        <v>3</v>
      </c>
      <c r="I99" t="s">
        <v>473</v>
      </c>
      <c r="J99" t="s">
        <v>474</v>
      </c>
      <c r="K99" t="s">
        <v>475</v>
      </c>
      <c r="L99">
        <v>1346</v>
      </c>
      <c r="N99">
        <v>1009</v>
      </c>
      <c r="O99" t="s">
        <v>96</v>
      </c>
      <c r="P99" t="s">
        <v>96</v>
      </c>
      <c r="Q99">
        <v>1</v>
      </c>
      <c r="X99">
        <v>0.3</v>
      </c>
      <c r="Y99">
        <v>83.06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0</v>
      </c>
      <c r="AF99" t="s">
        <v>3</v>
      </c>
      <c r="AG99">
        <v>0.3</v>
      </c>
      <c r="AH99">
        <v>2</v>
      </c>
      <c r="AI99">
        <v>94188151</v>
      </c>
      <c r="AJ99">
        <v>99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ROW(Source!A96)</f>
        <v>96</v>
      </c>
      <c r="B100">
        <v>94188166</v>
      </c>
      <c r="C100">
        <v>94188140</v>
      </c>
      <c r="D100">
        <v>87232638</v>
      </c>
      <c r="E100">
        <v>117</v>
      </c>
      <c r="F100">
        <v>1</v>
      </c>
      <c r="G100">
        <v>1</v>
      </c>
      <c r="H100">
        <v>3</v>
      </c>
      <c r="I100" t="s">
        <v>614</v>
      </c>
      <c r="J100" t="s">
        <v>3</v>
      </c>
      <c r="K100" t="s">
        <v>615</v>
      </c>
      <c r="L100">
        <v>1348</v>
      </c>
      <c r="N100">
        <v>1009</v>
      </c>
      <c r="O100" t="s">
        <v>30</v>
      </c>
      <c r="P100" t="s">
        <v>30</v>
      </c>
      <c r="Q100">
        <v>1000</v>
      </c>
      <c r="X100">
        <v>0.03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 t="s">
        <v>3</v>
      </c>
      <c r="AG100">
        <v>0.03</v>
      </c>
      <c r="AH100">
        <v>3</v>
      </c>
      <c r="AI100">
        <v>-1</v>
      </c>
      <c r="AJ100" t="s">
        <v>3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ROW(Source!A96)</f>
        <v>96</v>
      </c>
      <c r="B101">
        <v>94188167</v>
      </c>
      <c r="C101">
        <v>94188140</v>
      </c>
      <c r="D101">
        <v>87315000</v>
      </c>
      <c r="E101">
        <v>1</v>
      </c>
      <c r="F101">
        <v>1</v>
      </c>
      <c r="G101">
        <v>1</v>
      </c>
      <c r="H101">
        <v>3</v>
      </c>
      <c r="I101" t="s">
        <v>476</v>
      </c>
      <c r="J101" t="s">
        <v>477</v>
      </c>
      <c r="K101" t="s">
        <v>478</v>
      </c>
      <c r="L101">
        <v>1339</v>
      </c>
      <c r="N101">
        <v>1007</v>
      </c>
      <c r="O101" t="s">
        <v>34</v>
      </c>
      <c r="P101" t="s">
        <v>34</v>
      </c>
      <c r="Q101">
        <v>1</v>
      </c>
      <c r="X101">
        <v>1.7999999999999999E-2</v>
      </c>
      <c r="Y101">
        <v>16496.03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0</v>
      </c>
      <c r="AF101" t="s">
        <v>3</v>
      </c>
      <c r="AG101">
        <v>1.7999999999999999E-2</v>
      </c>
      <c r="AH101">
        <v>2</v>
      </c>
      <c r="AI101">
        <v>94188152</v>
      </c>
      <c r="AJ101">
        <v>100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ROW(Source!A96)</f>
        <v>96</v>
      </c>
      <c r="B102">
        <v>94188168</v>
      </c>
      <c r="C102">
        <v>94188140</v>
      </c>
      <c r="D102">
        <v>87315053</v>
      </c>
      <c r="E102">
        <v>1</v>
      </c>
      <c r="F102">
        <v>1</v>
      </c>
      <c r="G102">
        <v>1</v>
      </c>
      <c r="H102">
        <v>3</v>
      </c>
      <c r="I102" t="s">
        <v>479</v>
      </c>
      <c r="J102" t="s">
        <v>480</v>
      </c>
      <c r="K102" t="s">
        <v>481</v>
      </c>
      <c r="L102">
        <v>1339</v>
      </c>
      <c r="N102">
        <v>1007</v>
      </c>
      <c r="O102" t="s">
        <v>34</v>
      </c>
      <c r="P102" t="s">
        <v>34</v>
      </c>
      <c r="Q102">
        <v>1</v>
      </c>
      <c r="X102">
        <v>0.13800000000000001</v>
      </c>
      <c r="Y102">
        <v>5764.42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 t="s">
        <v>3</v>
      </c>
      <c r="AG102">
        <v>0.13800000000000001</v>
      </c>
      <c r="AH102">
        <v>2</v>
      </c>
      <c r="AI102">
        <v>94188154</v>
      </c>
      <c r="AJ102">
        <v>102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ROW(Source!A100)</f>
        <v>100</v>
      </c>
      <c r="B103">
        <v>94188182</v>
      </c>
      <c r="C103">
        <v>94188172</v>
      </c>
      <c r="D103">
        <v>37064928</v>
      </c>
      <c r="E103">
        <v>117</v>
      </c>
      <c r="F103">
        <v>1</v>
      </c>
      <c r="G103">
        <v>1</v>
      </c>
      <c r="H103">
        <v>1</v>
      </c>
      <c r="I103" t="s">
        <v>482</v>
      </c>
      <c r="J103" t="s">
        <v>3</v>
      </c>
      <c r="K103" t="s">
        <v>483</v>
      </c>
      <c r="L103">
        <v>1191</v>
      </c>
      <c r="N103">
        <v>1013</v>
      </c>
      <c r="O103" t="s">
        <v>428</v>
      </c>
      <c r="P103" t="s">
        <v>428</v>
      </c>
      <c r="Q103">
        <v>1</v>
      </c>
      <c r="X103">
        <v>118</v>
      </c>
      <c r="Y103">
        <v>0</v>
      </c>
      <c r="Z103">
        <v>0</v>
      </c>
      <c r="AA103">
        <v>0</v>
      </c>
      <c r="AB103">
        <v>681.63</v>
      </c>
      <c r="AC103">
        <v>0</v>
      </c>
      <c r="AD103">
        <v>1</v>
      </c>
      <c r="AE103">
        <v>1</v>
      </c>
      <c r="AF103" t="s">
        <v>3</v>
      </c>
      <c r="AG103">
        <v>118</v>
      </c>
      <c r="AH103">
        <v>2</v>
      </c>
      <c r="AI103">
        <v>94188173</v>
      </c>
      <c r="AJ103">
        <v>103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ROW(Source!A100)</f>
        <v>100</v>
      </c>
      <c r="B104">
        <v>94188183</v>
      </c>
      <c r="C104">
        <v>94188172</v>
      </c>
      <c r="D104">
        <v>37064876</v>
      </c>
      <c r="E104">
        <v>117</v>
      </c>
      <c r="F104">
        <v>1</v>
      </c>
      <c r="G104">
        <v>1</v>
      </c>
      <c r="H104">
        <v>1</v>
      </c>
      <c r="I104" t="s">
        <v>429</v>
      </c>
      <c r="J104" t="s">
        <v>3</v>
      </c>
      <c r="K104" t="s">
        <v>430</v>
      </c>
      <c r="L104">
        <v>1191</v>
      </c>
      <c r="N104">
        <v>1013</v>
      </c>
      <c r="O104" t="s">
        <v>428</v>
      </c>
      <c r="P104" t="s">
        <v>428</v>
      </c>
      <c r="Q104">
        <v>1</v>
      </c>
      <c r="X104">
        <v>0.5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2</v>
      </c>
      <c r="AF104" t="s">
        <v>3</v>
      </c>
      <c r="AG104">
        <v>0.5</v>
      </c>
      <c r="AH104">
        <v>2</v>
      </c>
      <c r="AI104">
        <v>94188174</v>
      </c>
      <c r="AJ104">
        <v>104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ROW(Source!A100)</f>
        <v>100</v>
      </c>
      <c r="B105">
        <v>94188184</v>
      </c>
      <c r="C105">
        <v>94188172</v>
      </c>
      <c r="D105">
        <v>87236438</v>
      </c>
      <c r="E105">
        <v>1</v>
      </c>
      <c r="F105">
        <v>1</v>
      </c>
      <c r="G105">
        <v>1</v>
      </c>
      <c r="H105">
        <v>2</v>
      </c>
      <c r="I105" t="s">
        <v>453</v>
      </c>
      <c r="J105" t="s">
        <v>454</v>
      </c>
      <c r="K105" t="s">
        <v>455</v>
      </c>
      <c r="L105">
        <v>1368</v>
      </c>
      <c r="N105">
        <v>1011</v>
      </c>
      <c r="O105" t="s">
        <v>434</v>
      </c>
      <c r="P105" t="s">
        <v>434</v>
      </c>
      <c r="Q105">
        <v>1</v>
      </c>
      <c r="X105">
        <v>0.22</v>
      </c>
      <c r="Y105">
        <v>0</v>
      </c>
      <c r="Z105">
        <v>1629.55</v>
      </c>
      <c r="AA105">
        <v>969.91</v>
      </c>
      <c r="AB105">
        <v>0</v>
      </c>
      <c r="AC105">
        <v>0</v>
      </c>
      <c r="AD105">
        <v>1</v>
      </c>
      <c r="AE105">
        <v>0</v>
      </c>
      <c r="AF105" t="s">
        <v>3</v>
      </c>
      <c r="AG105">
        <v>0.22</v>
      </c>
      <c r="AH105">
        <v>2</v>
      </c>
      <c r="AI105">
        <v>94188175</v>
      </c>
      <c r="AJ105">
        <v>105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ROW(Source!A100)</f>
        <v>100</v>
      </c>
      <c r="B106">
        <v>94188185</v>
      </c>
      <c r="C106">
        <v>94188172</v>
      </c>
      <c r="D106">
        <v>87237333</v>
      </c>
      <c r="E106">
        <v>1</v>
      </c>
      <c r="F106">
        <v>1</v>
      </c>
      <c r="G106">
        <v>1</v>
      </c>
      <c r="H106">
        <v>2</v>
      </c>
      <c r="I106" t="s">
        <v>463</v>
      </c>
      <c r="J106" t="s">
        <v>464</v>
      </c>
      <c r="K106" t="s">
        <v>465</v>
      </c>
      <c r="L106">
        <v>1368</v>
      </c>
      <c r="N106">
        <v>1011</v>
      </c>
      <c r="O106" t="s">
        <v>434</v>
      </c>
      <c r="P106" t="s">
        <v>434</v>
      </c>
      <c r="Q106">
        <v>1</v>
      </c>
      <c r="X106">
        <v>0.28000000000000003</v>
      </c>
      <c r="Y106">
        <v>0</v>
      </c>
      <c r="Z106">
        <v>643.29</v>
      </c>
      <c r="AA106">
        <v>722.05</v>
      </c>
      <c r="AB106">
        <v>0</v>
      </c>
      <c r="AC106">
        <v>0</v>
      </c>
      <c r="AD106">
        <v>1</v>
      </c>
      <c r="AE106">
        <v>0</v>
      </c>
      <c r="AF106" t="s">
        <v>3</v>
      </c>
      <c r="AG106">
        <v>0.28000000000000003</v>
      </c>
      <c r="AH106">
        <v>2</v>
      </c>
      <c r="AI106">
        <v>94188176</v>
      </c>
      <c r="AJ106">
        <v>106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ROW(Source!A100)</f>
        <v>100</v>
      </c>
      <c r="B107">
        <v>94188186</v>
      </c>
      <c r="C107">
        <v>94188172</v>
      </c>
      <c r="D107">
        <v>87237529</v>
      </c>
      <c r="E107">
        <v>1</v>
      </c>
      <c r="F107">
        <v>1</v>
      </c>
      <c r="G107">
        <v>1</v>
      </c>
      <c r="H107">
        <v>2</v>
      </c>
      <c r="I107" t="s">
        <v>484</v>
      </c>
      <c r="J107" t="s">
        <v>485</v>
      </c>
      <c r="K107" t="s">
        <v>486</v>
      </c>
      <c r="L107">
        <v>1368</v>
      </c>
      <c r="N107">
        <v>1011</v>
      </c>
      <c r="O107" t="s">
        <v>434</v>
      </c>
      <c r="P107" t="s">
        <v>434</v>
      </c>
      <c r="Q107">
        <v>1</v>
      </c>
      <c r="X107">
        <v>1.49</v>
      </c>
      <c r="Y107">
        <v>0</v>
      </c>
      <c r="Z107">
        <v>32.26</v>
      </c>
      <c r="AA107">
        <v>0</v>
      </c>
      <c r="AB107">
        <v>0</v>
      </c>
      <c r="AC107">
        <v>0</v>
      </c>
      <c r="AD107">
        <v>1</v>
      </c>
      <c r="AE107">
        <v>0</v>
      </c>
      <c r="AF107" t="s">
        <v>3</v>
      </c>
      <c r="AG107">
        <v>1.49</v>
      </c>
      <c r="AH107">
        <v>2</v>
      </c>
      <c r="AI107">
        <v>94188177</v>
      </c>
      <c r="AJ107">
        <v>107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2">
      <c r="A108">
        <f>ROW(Source!A100)</f>
        <v>100</v>
      </c>
      <c r="B108">
        <v>94188187</v>
      </c>
      <c r="C108">
        <v>94188172</v>
      </c>
      <c r="D108">
        <v>87304844</v>
      </c>
      <c r="E108">
        <v>1</v>
      </c>
      <c r="F108">
        <v>1</v>
      </c>
      <c r="G108">
        <v>1</v>
      </c>
      <c r="H108">
        <v>3</v>
      </c>
      <c r="I108" t="s">
        <v>487</v>
      </c>
      <c r="J108" t="s">
        <v>488</v>
      </c>
      <c r="K108" t="s">
        <v>489</v>
      </c>
      <c r="L108">
        <v>1346</v>
      </c>
      <c r="N108">
        <v>1009</v>
      </c>
      <c r="O108" t="s">
        <v>96</v>
      </c>
      <c r="P108" t="s">
        <v>96</v>
      </c>
      <c r="Q108">
        <v>1</v>
      </c>
      <c r="X108">
        <v>2</v>
      </c>
      <c r="Y108">
        <v>155.63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0</v>
      </c>
      <c r="AF108" t="s">
        <v>3</v>
      </c>
      <c r="AG108">
        <v>2</v>
      </c>
      <c r="AH108">
        <v>2</v>
      </c>
      <c r="AI108">
        <v>94188178</v>
      </c>
      <c r="AJ108">
        <v>108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f>ROW(Source!A100)</f>
        <v>100</v>
      </c>
      <c r="B109">
        <v>94188188</v>
      </c>
      <c r="C109">
        <v>94188172</v>
      </c>
      <c r="D109">
        <v>87310747</v>
      </c>
      <c r="E109">
        <v>1</v>
      </c>
      <c r="F109">
        <v>1</v>
      </c>
      <c r="G109">
        <v>1</v>
      </c>
      <c r="H109">
        <v>3</v>
      </c>
      <c r="I109" t="s">
        <v>490</v>
      </c>
      <c r="J109" t="s">
        <v>491</v>
      </c>
      <c r="K109" t="s">
        <v>492</v>
      </c>
      <c r="L109">
        <v>1371</v>
      </c>
      <c r="N109">
        <v>1013</v>
      </c>
      <c r="O109" t="s">
        <v>279</v>
      </c>
      <c r="P109" t="s">
        <v>279</v>
      </c>
      <c r="Q109">
        <v>1</v>
      </c>
      <c r="X109">
        <v>0.01</v>
      </c>
      <c r="Y109">
        <v>61015.76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0</v>
      </c>
      <c r="AF109" t="s">
        <v>3</v>
      </c>
      <c r="AG109">
        <v>0.01</v>
      </c>
      <c r="AH109">
        <v>2</v>
      </c>
      <c r="AI109">
        <v>94188179</v>
      </c>
      <c r="AJ109">
        <v>109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f>ROW(Source!A100)</f>
        <v>100</v>
      </c>
      <c r="B110">
        <v>94188189</v>
      </c>
      <c r="C110">
        <v>94188172</v>
      </c>
      <c r="D110">
        <v>87232581</v>
      </c>
      <c r="E110">
        <v>117</v>
      </c>
      <c r="F110">
        <v>1</v>
      </c>
      <c r="G110">
        <v>1</v>
      </c>
      <c r="H110">
        <v>3</v>
      </c>
      <c r="I110" t="s">
        <v>616</v>
      </c>
      <c r="J110" t="s">
        <v>3</v>
      </c>
      <c r="K110" t="s">
        <v>617</v>
      </c>
      <c r="L110">
        <v>1348</v>
      </c>
      <c r="N110">
        <v>1009</v>
      </c>
      <c r="O110" t="s">
        <v>30</v>
      </c>
      <c r="P110" t="s">
        <v>30</v>
      </c>
      <c r="Q110">
        <v>1000</v>
      </c>
      <c r="X110">
        <v>1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 t="s">
        <v>3</v>
      </c>
      <c r="AG110">
        <v>1</v>
      </c>
      <c r="AH110">
        <v>3</v>
      </c>
      <c r="AI110">
        <v>-1</v>
      </c>
      <c r="AJ110" t="s">
        <v>3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</row>
    <row r="111" spans="1:44" x14ac:dyDescent="0.2">
      <c r="A111">
        <f>ROW(Source!A100)</f>
        <v>100</v>
      </c>
      <c r="B111">
        <v>94188190</v>
      </c>
      <c r="C111">
        <v>94188172</v>
      </c>
      <c r="D111">
        <v>87313316</v>
      </c>
      <c r="E111">
        <v>1</v>
      </c>
      <c r="F111">
        <v>1</v>
      </c>
      <c r="G111">
        <v>1</v>
      </c>
      <c r="H111">
        <v>3</v>
      </c>
      <c r="I111" t="s">
        <v>493</v>
      </c>
      <c r="J111" t="s">
        <v>494</v>
      </c>
      <c r="K111" t="s">
        <v>495</v>
      </c>
      <c r="L111">
        <v>1348</v>
      </c>
      <c r="N111">
        <v>1009</v>
      </c>
      <c r="O111" t="s">
        <v>30</v>
      </c>
      <c r="P111" t="s">
        <v>30</v>
      </c>
      <c r="Q111">
        <v>1000</v>
      </c>
      <c r="X111">
        <v>0.09</v>
      </c>
      <c r="Y111">
        <v>42458.05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 t="s">
        <v>3</v>
      </c>
      <c r="AG111">
        <v>0.09</v>
      </c>
      <c r="AH111">
        <v>2</v>
      </c>
      <c r="AI111">
        <v>94188181</v>
      </c>
      <c r="AJ111">
        <v>111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2">
      <c r="A112">
        <f>ROW(Source!A102)</f>
        <v>102</v>
      </c>
      <c r="B112">
        <v>94188205</v>
      </c>
      <c r="C112">
        <v>94188192</v>
      </c>
      <c r="D112">
        <v>37070176</v>
      </c>
      <c r="E112">
        <v>117</v>
      </c>
      <c r="F112">
        <v>1</v>
      </c>
      <c r="G112">
        <v>1</v>
      </c>
      <c r="H112">
        <v>1</v>
      </c>
      <c r="I112" t="s">
        <v>496</v>
      </c>
      <c r="J112" t="s">
        <v>3</v>
      </c>
      <c r="K112" t="s">
        <v>497</v>
      </c>
      <c r="L112">
        <v>1191</v>
      </c>
      <c r="N112">
        <v>1013</v>
      </c>
      <c r="O112" t="s">
        <v>428</v>
      </c>
      <c r="P112" t="s">
        <v>428</v>
      </c>
      <c r="Q112">
        <v>1</v>
      </c>
      <c r="X112">
        <v>24.3</v>
      </c>
      <c r="Y112">
        <v>0</v>
      </c>
      <c r="Z112">
        <v>0</v>
      </c>
      <c r="AA112">
        <v>0</v>
      </c>
      <c r="AB112">
        <v>819.04</v>
      </c>
      <c r="AC112">
        <v>0</v>
      </c>
      <c r="AD112">
        <v>1</v>
      </c>
      <c r="AE112">
        <v>1</v>
      </c>
      <c r="AF112" t="s">
        <v>3</v>
      </c>
      <c r="AG112">
        <v>24.3</v>
      </c>
      <c r="AH112">
        <v>2</v>
      </c>
      <c r="AI112">
        <v>94188193</v>
      </c>
      <c r="AJ112">
        <v>112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f>ROW(Source!A102)</f>
        <v>102</v>
      </c>
      <c r="B113">
        <v>94188206</v>
      </c>
      <c r="C113">
        <v>94188192</v>
      </c>
      <c r="D113">
        <v>37064876</v>
      </c>
      <c r="E113">
        <v>117</v>
      </c>
      <c r="F113">
        <v>1</v>
      </c>
      <c r="G113">
        <v>1</v>
      </c>
      <c r="H113">
        <v>1</v>
      </c>
      <c r="I113" t="s">
        <v>429</v>
      </c>
      <c r="J113" t="s">
        <v>3</v>
      </c>
      <c r="K113" t="s">
        <v>430</v>
      </c>
      <c r="L113">
        <v>1191</v>
      </c>
      <c r="N113">
        <v>1013</v>
      </c>
      <c r="O113" t="s">
        <v>428</v>
      </c>
      <c r="P113" t="s">
        <v>428</v>
      </c>
      <c r="Q113">
        <v>1</v>
      </c>
      <c r="X113">
        <v>0.43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2</v>
      </c>
      <c r="AF113" t="s">
        <v>3</v>
      </c>
      <c r="AG113">
        <v>0.43</v>
      </c>
      <c r="AH113">
        <v>2</v>
      </c>
      <c r="AI113">
        <v>94188194</v>
      </c>
      <c r="AJ113">
        <v>113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2">
      <c r="A114">
        <f>ROW(Source!A102)</f>
        <v>102</v>
      </c>
      <c r="B114">
        <v>94188207</v>
      </c>
      <c r="C114">
        <v>94188192</v>
      </c>
      <c r="D114">
        <v>87236625</v>
      </c>
      <c r="E114">
        <v>1</v>
      </c>
      <c r="F114">
        <v>1</v>
      </c>
      <c r="G114">
        <v>1</v>
      </c>
      <c r="H114">
        <v>2</v>
      </c>
      <c r="I114" t="s">
        <v>431</v>
      </c>
      <c r="J114" t="s">
        <v>432</v>
      </c>
      <c r="K114" t="s">
        <v>433</v>
      </c>
      <c r="L114">
        <v>1368</v>
      </c>
      <c r="N114">
        <v>1011</v>
      </c>
      <c r="O114" t="s">
        <v>434</v>
      </c>
      <c r="P114" t="s">
        <v>434</v>
      </c>
      <c r="Q114">
        <v>1</v>
      </c>
      <c r="X114">
        <v>0.18</v>
      </c>
      <c r="Y114">
        <v>0</v>
      </c>
      <c r="Z114">
        <v>37.32</v>
      </c>
      <c r="AA114">
        <v>641.22</v>
      </c>
      <c r="AB114">
        <v>0</v>
      </c>
      <c r="AC114">
        <v>0</v>
      </c>
      <c r="AD114">
        <v>1</v>
      </c>
      <c r="AE114">
        <v>0</v>
      </c>
      <c r="AF114" t="s">
        <v>3</v>
      </c>
      <c r="AG114">
        <v>0.18</v>
      </c>
      <c r="AH114">
        <v>2</v>
      </c>
      <c r="AI114">
        <v>94188195</v>
      </c>
      <c r="AJ114">
        <v>114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2">
      <c r="A115">
        <f>ROW(Source!A102)</f>
        <v>102</v>
      </c>
      <c r="B115">
        <v>94188208</v>
      </c>
      <c r="C115">
        <v>94188192</v>
      </c>
      <c r="D115">
        <v>87236807</v>
      </c>
      <c r="E115">
        <v>1</v>
      </c>
      <c r="F115">
        <v>1</v>
      </c>
      <c r="G115">
        <v>1</v>
      </c>
      <c r="H115">
        <v>2</v>
      </c>
      <c r="I115" t="s">
        <v>498</v>
      </c>
      <c r="J115" t="s">
        <v>499</v>
      </c>
      <c r="K115" t="s">
        <v>500</v>
      </c>
      <c r="L115">
        <v>1368</v>
      </c>
      <c r="N115">
        <v>1011</v>
      </c>
      <c r="O115" t="s">
        <v>434</v>
      </c>
      <c r="P115" t="s">
        <v>434</v>
      </c>
      <c r="Q115">
        <v>1</v>
      </c>
      <c r="X115">
        <v>4.37</v>
      </c>
      <c r="Y115">
        <v>0</v>
      </c>
      <c r="Z115">
        <v>95.25</v>
      </c>
      <c r="AA115">
        <v>0</v>
      </c>
      <c r="AB115">
        <v>0</v>
      </c>
      <c r="AC115">
        <v>0</v>
      </c>
      <c r="AD115">
        <v>1</v>
      </c>
      <c r="AE115">
        <v>0</v>
      </c>
      <c r="AF115" t="s">
        <v>3</v>
      </c>
      <c r="AG115">
        <v>4.37</v>
      </c>
      <c r="AH115">
        <v>2</v>
      </c>
      <c r="AI115">
        <v>94188196</v>
      </c>
      <c r="AJ115">
        <v>115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2">
      <c r="A116">
        <f>ROW(Source!A102)</f>
        <v>102</v>
      </c>
      <c r="B116">
        <v>94188209</v>
      </c>
      <c r="C116">
        <v>94188192</v>
      </c>
      <c r="D116">
        <v>87237333</v>
      </c>
      <c r="E116">
        <v>1</v>
      </c>
      <c r="F116">
        <v>1</v>
      </c>
      <c r="G116">
        <v>1</v>
      </c>
      <c r="H116">
        <v>2</v>
      </c>
      <c r="I116" t="s">
        <v>463</v>
      </c>
      <c r="J116" t="s">
        <v>464</v>
      </c>
      <c r="K116" t="s">
        <v>465</v>
      </c>
      <c r="L116">
        <v>1368</v>
      </c>
      <c r="N116">
        <v>1011</v>
      </c>
      <c r="O116" t="s">
        <v>434</v>
      </c>
      <c r="P116" t="s">
        <v>434</v>
      </c>
      <c r="Q116">
        <v>1</v>
      </c>
      <c r="X116">
        <v>0.25</v>
      </c>
      <c r="Y116">
        <v>0</v>
      </c>
      <c r="Z116">
        <v>643.29</v>
      </c>
      <c r="AA116">
        <v>722.05</v>
      </c>
      <c r="AB116">
        <v>0</v>
      </c>
      <c r="AC116">
        <v>0</v>
      </c>
      <c r="AD116">
        <v>1</v>
      </c>
      <c r="AE116">
        <v>0</v>
      </c>
      <c r="AF116" t="s">
        <v>3</v>
      </c>
      <c r="AG116">
        <v>0.25</v>
      </c>
      <c r="AH116">
        <v>2</v>
      </c>
      <c r="AI116">
        <v>94188197</v>
      </c>
      <c r="AJ116">
        <v>116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2">
      <c r="A117">
        <f>ROW(Source!A102)</f>
        <v>102</v>
      </c>
      <c r="B117">
        <v>94188210</v>
      </c>
      <c r="C117">
        <v>94188192</v>
      </c>
      <c r="D117">
        <v>87238073</v>
      </c>
      <c r="E117">
        <v>1</v>
      </c>
      <c r="F117">
        <v>1</v>
      </c>
      <c r="G117">
        <v>1</v>
      </c>
      <c r="H117">
        <v>2</v>
      </c>
      <c r="I117" t="s">
        <v>501</v>
      </c>
      <c r="J117" t="s">
        <v>502</v>
      </c>
      <c r="K117" t="s">
        <v>503</v>
      </c>
      <c r="L117">
        <v>1368</v>
      </c>
      <c r="N117">
        <v>1011</v>
      </c>
      <c r="O117" t="s">
        <v>434</v>
      </c>
      <c r="P117" t="s">
        <v>434</v>
      </c>
      <c r="Q117">
        <v>1</v>
      </c>
      <c r="X117">
        <v>1.5</v>
      </c>
      <c r="Y117">
        <v>0</v>
      </c>
      <c r="Z117">
        <v>26.26</v>
      </c>
      <c r="AA117">
        <v>0</v>
      </c>
      <c r="AB117">
        <v>0</v>
      </c>
      <c r="AC117">
        <v>0</v>
      </c>
      <c r="AD117">
        <v>1</v>
      </c>
      <c r="AE117">
        <v>0</v>
      </c>
      <c r="AF117" t="s">
        <v>3</v>
      </c>
      <c r="AG117">
        <v>1.5</v>
      </c>
      <c r="AH117">
        <v>2</v>
      </c>
      <c r="AI117">
        <v>94188198</v>
      </c>
      <c r="AJ117">
        <v>117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2">
      <c r="A118">
        <f>ROW(Source!A102)</f>
        <v>102</v>
      </c>
      <c r="B118">
        <v>94188211</v>
      </c>
      <c r="C118">
        <v>94188192</v>
      </c>
      <c r="D118">
        <v>87301954</v>
      </c>
      <c r="E118">
        <v>1</v>
      </c>
      <c r="F118">
        <v>1</v>
      </c>
      <c r="G118">
        <v>1</v>
      </c>
      <c r="H118">
        <v>3</v>
      </c>
      <c r="I118" t="s">
        <v>504</v>
      </c>
      <c r="J118" t="s">
        <v>505</v>
      </c>
      <c r="K118" t="s">
        <v>506</v>
      </c>
      <c r="L118">
        <v>1348</v>
      </c>
      <c r="N118">
        <v>1009</v>
      </c>
      <c r="O118" t="s">
        <v>30</v>
      </c>
      <c r="P118" t="s">
        <v>30</v>
      </c>
      <c r="Q118">
        <v>1000</v>
      </c>
      <c r="X118">
        <v>8.0000000000000002E-3</v>
      </c>
      <c r="Y118">
        <v>21588.35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0</v>
      </c>
      <c r="AF118" t="s">
        <v>3</v>
      </c>
      <c r="AG118">
        <v>8.0000000000000002E-3</v>
      </c>
      <c r="AH118">
        <v>2</v>
      </c>
      <c r="AI118">
        <v>94188199</v>
      </c>
      <c r="AJ118">
        <v>118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2">
      <c r="A119">
        <f>ROW(Source!A102)</f>
        <v>102</v>
      </c>
      <c r="B119">
        <v>94188212</v>
      </c>
      <c r="C119">
        <v>94188192</v>
      </c>
      <c r="D119">
        <v>87301970</v>
      </c>
      <c r="E119">
        <v>1</v>
      </c>
      <c r="F119">
        <v>1</v>
      </c>
      <c r="G119">
        <v>1</v>
      </c>
      <c r="H119">
        <v>3</v>
      </c>
      <c r="I119" t="s">
        <v>507</v>
      </c>
      <c r="J119" t="s">
        <v>508</v>
      </c>
      <c r="K119" t="s">
        <v>509</v>
      </c>
      <c r="L119">
        <v>1348</v>
      </c>
      <c r="N119">
        <v>1009</v>
      </c>
      <c r="O119" t="s">
        <v>30</v>
      </c>
      <c r="P119" t="s">
        <v>30</v>
      </c>
      <c r="Q119">
        <v>1000</v>
      </c>
      <c r="X119">
        <v>1.9E-2</v>
      </c>
      <c r="Y119">
        <v>27150.54</v>
      </c>
      <c r="Z119">
        <v>0</v>
      </c>
      <c r="AA119">
        <v>0</v>
      </c>
      <c r="AB119">
        <v>0</v>
      </c>
      <c r="AC119">
        <v>0</v>
      </c>
      <c r="AD119">
        <v>1</v>
      </c>
      <c r="AE119">
        <v>0</v>
      </c>
      <c r="AF119" t="s">
        <v>3</v>
      </c>
      <c r="AG119">
        <v>1.9E-2</v>
      </c>
      <c r="AH119">
        <v>2</v>
      </c>
      <c r="AI119">
        <v>94188200</v>
      </c>
      <c r="AJ119">
        <v>119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2">
      <c r="A120">
        <f>ROW(Source!A102)</f>
        <v>102</v>
      </c>
      <c r="B120">
        <v>94188213</v>
      </c>
      <c r="C120">
        <v>94188192</v>
      </c>
      <c r="D120">
        <v>87301971</v>
      </c>
      <c r="E120">
        <v>1</v>
      </c>
      <c r="F120">
        <v>1</v>
      </c>
      <c r="G120">
        <v>1</v>
      </c>
      <c r="H120">
        <v>3</v>
      </c>
      <c r="I120" t="s">
        <v>510</v>
      </c>
      <c r="J120" t="s">
        <v>511</v>
      </c>
      <c r="K120" t="s">
        <v>512</v>
      </c>
      <c r="L120">
        <v>1348</v>
      </c>
      <c r="N120">
        <v>1009</v>
      </c>
      <c r="O120" t="s">
        <v>30</v>
      </c>
      <c r="P120" t="s">
        <v>30</v>
      </c>
      <c r="Q120">
        <v>1000</v>
      </c>
      <c r="X120">
        <v>0.157</v>
      </c>
      <c r="Y120">
        <v>27071.99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 t="s">
        <v>3</v>
      </c>
      <c r="AG120">
        <v>0.157</v>
      </c>
      <c r="AH120">
        <v>2</v>
      </c>
      <c r="AI120">
        <v>94188201</v>
      </c>
      <c r="AJ120">
        <v>120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2">
      <c r="A121">
        <f>ROW(Source!A102)</f>
        <v>102</v>
      </c>
      <c r="B121">
        <v>94188214</v>
      </c>
      <c r="C121">
        <v>94188192</v>
      </c>
      <c r="D121">
        <v>87302033</v>
      </c>
      <c r="E121">
        <v>1</v>
      </c>
      <c r="F121">
        <v>1</v>
      </c>
      <c r="G121">
        <v>1</v>
      </c>
      <c r="H121">
        <v>3</v>
      </c>
      <c r="I121" t="s">
        <v>513</v>
      </c>
      <c r="J121" t="s">
        <v>514</v>
      </c>
      <c r="K121" t="s">
        <v>515</v>
      </c>
      <c r="L121">
        <v>1346</v>
      </c>
      <c r="N121">
        <v>1009</v>
      </c>
      <c r="O121" t="s">
        <v>96</v>
      </c>
      <c r="P121" t="s">
        <v>96</v>
      </c>
      <c r="Q121">
        <v>1</v>
      </c>
      <c r="X121">
        <v>57</v>
      </c>
      <c r="Y121">
        <v>160.27000000000001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0</v>
      </c>
      <c r="AF121" t="s">
        <v>3</v>
      </c>
      <c r="AG121">
        <v>57</v>
      </c>
      <c r="AH121">
        <v>2</v>
      </c>
      <c r="AI121">
        <v>94188202</v>
      </c>
      <c r="AJ121">
        <v>121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</row>
    <row r="122" spans="1:44" x14ac:dyDescent="0.2">
      <c r="A122">
        <f>ROW(Source!A102)</f>
        <v>102</v>
      </c>
      <c r="B122">
        <v>94188215</v>
      </c>
      <c r="C122">
        <v>94188192</v>
      </c>
      <c r="D122">
        <v>87304409</v>
      </c>
      <c r="E122">
        <v>1</v>
      </c>
      <c r="F122">
        <v>1</v>
      </c>
      <c r="G122">
        <v>1</v>
      </c>
      <c r="H122">
        <v>3</v>
      </c>
      <c r="I122" t="s">
        <v>516</v>
      </c>
      <c r="J122" t="s">
        <v>517</v>
      </c>
      <c r="K122" t="s">
        <v>518</v>
      </c>
      <c r="L122">
        <v>1348</v>
      </c>
      <c r="N122">
        <v>1009</v>
      </c>
      <c r="O122" t="s">
        <v>30</v>
      </c>
      <c r="P122" t="s">
        <v>30</v>
      </c>
      <c r="Q122">
        <v>1000</v>
      </c>
      <c r="X122">
        <v>0.125</v>
      </c>
      <c r="Y122">
        <v>10415.31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0</v>
      </c>
      <c r="AF122" t="s">
        <v>3</v>
      </c>
      <c r="AG122">
        <v>0.125</v>
      </c>
      <c r="AH122">
        <v>2</v>
      </c>
      <c r="AI122">
        <v>94188203</v>
      </c>
      <c r="AJ122">
        <v>122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</row>
    <row r="123" spans="1:44" x14ac:dyDescent="0.2">
      <c r="A123">
        <f>ROW(Source!A102)</f>
        <v>102</v>
      </c>
      <c r="B123">
        <v>94188216</v>
      </c>
      <c r="C123">
        <v>94188192</v>
      </c>
      <c r="D123">
        <v>87306751</v>
      </c>
      <c r="E123">
        <v>1</v>
      </c>
      <c r="F123">
        <v>1</v>
      </c>
      <c r="G123">
        <v>1</v>
      </c>
      <c r="H123">
        <v>3</v>
      </c>
      <c r="I123" t="s">
        <v>519</v>
      </c>
      <c r="J123" t="s">
        <v>520</v>
      </c>
      <c r="K123" t="s">
        <v>521</v>
      </c>
      <c r="L123">
        <v>1346</v>
      </c>
      <c r="N123">
        <v>1009</v>
      </c>
      <c r="O123" t="s">
        <v>96</v>
      </c>
      <c r="P123" t="s">
        <v>96</v>
      </c>
      <c r="Q123">
        <v>1</v>
      </c>
      <c r="X123">
        <v>0.5</v>
      </c>
      <c r="Y123">
        <v>56.11</v>
      </c>
      <c r="Z123">
        <v>0</v>
      </c>
      <c r="AA123">
        <v>0</v>
      </c>
      <c r="AB123">
        <v>0</v>
      </c>
      <c r="AC123">
        <v>0</v>
      </c>
      <c r="AD123">
        <v>1</v>
      </c>
      <c r="AE123">
        <v>0</v>
      </c>
      <c r="AF123" t="s">
        <v>3</v>
      </c>
      <c r="AG123">
        <v>0.5</v>
      </c>
      <c r="AH123">
        <v>2</v>
      </c>
      <c r="AI123">
        <v>94188204</v>
      </c>
      <c r="AJ123">
        <v>123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</row>
    <row r="124" spans="1:44" x14ac:dyDescent="0.2">
      <c r="A124">
        <f>ROW(Source!A103)</f>
        <v>103</v>
      </c>
      <c r="B124">
        <v>94188231</v>
      </c>
      <c r="C124">
        <v>94188217</v>
      </c>
      <c r="D124">
        <v>37070495</v>
      </c>
      <c r="E124">
        <v>117</v>
      </c>
      <c r="F124">
        <v>1</v>
      </c>
      <c r="G124">
        <v>1</v>
      </c>
      <c r="H124">
        <v>1</v>
      </c>
      <c r="I124" t="s">
        <v>522</v>
      </c>
      <c r="J124" t="s">
        <v>3</v>
      </c>
      <c r="K124" t="s">
        <v>523</v>
      </c>
      <c r="L124">
        <v>1191</v>
      </c>
      <c r="N124">
        <v>1013</v>
      </c>
      <c r="O124" t="s">
        <v>428</v>
      </c>
      <c r="P124" t="s">
        <v>428</v>
      </c>
      <c r="Q124">
        <v>1</v>
      </c>
      <c r="X124">
        <v>310.42</v>
      </c>
      <c r="Y124">
        <v>0</v>
      </c>
      <c r="Z124">
        <v>0</v>
      </c>
      <c r="AA124">
        <v>0</v>
      </c>
      <c r="AB124">
        <v>657.38</v>
      </c>
      <c r="AC124">
        <v>0</v>
      </c>
      <c r="AD124">
        <v>1</v>
      </c>
      <c r="AE124">
        <v>1</v>
      </c>
      <c r="AF124" t="s">
        <v>3</v>
      </c>
      <c r="AG124">
        <v>310.42</v>
      </c>
      <c r="AH124">
        <v>2</v>
      </c>
      <c r="AI124">
        <v>94188218</v>
      </c>
      <c r="AJ124">
        <v>124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2">
      <c r="A125">
        <f>ROW(Source!A103)</f>
        <v>103</v>
      </c>
      <c r="B125">
        <v>94188232</v>
      </c>
      <c r="C125">
        <v>94188217</v>
      </c>
      <c r="D125">
        <v>37064876</v>
      </c>
      <c r="E125">
        <v>117</v>
      </c>
      <c r="F125">
        <v>1</v>
      </c>
      <c r="G125">
        <v>1</v>
      </c>
      <c r="H125">
        <v>1</v>
      </c>
      <c r="I125" t="s">
        <v>429</v>
      </c>
      <c r="J125" t="s">
        <v>3</v>
      </c>
      <c r="K125" t="s">
        <v>430</v>
      </c>
      <c r="L125">
        <v>1191</v>
      </c>
      <c r="N125">
        <v>1013</v>
      </c>
      <c r="O125" t="s">
        <v>428</v>
      </c>
      <c r="P125" t="s">
        <v>428</v>
      </c>
      <c r="Q125">
        <v>1</v>
      </c>
      <c r="X125">
        <v>1.73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2</v>
      </c>
      <c r="AF125" t="s">
        <v>3</v>
      </c>
      <c r="AG125">
        <v>1.73</v>
      </c>
      <c r="AH125">
        <v>2</v>
      </c>
      <c r="AI125">
        <v>94188219</v>
      </c>
      <c r="AJ125">
        <v>125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2">
      <c r="A126">
        <f>ROW(Source!A103)</f>
        <v>103</v>
      </c>
      <c r="B126">
        <v>94188233</v>
      </c>
      <c r="C126">
        <v>94188217</v>
      </c>
      <c r="D126">
        <v>87236385</v>
      </c>
      <c r="E126">
        <v>1</v>
      </c>
      <c r="F126">
        <v>1</v>
      </c>
      <c r="G126">
        <v>1</v>
      </c>
      <c r="H126">
        <v>2</v>
      </c>
      <c r="I126" t="s">
        <v>524</v>
      </c>
      <c r="J126" t="s">
        <v>525</v>
      </c>
      <c r="K126" t="s">
        <v>526</v>
      </c>
      <c r="L126">
        <v>1368</v>
      </c>
      <c r="N126">
        <v>1011</v>
      </c>
      <c r="O126" t="s">
        <v>434</v>
      </c>
      <c r="P126" t="s">
        <v>434</v>
      </c>
      <c r="Q126">
        <v>1</v>
      </c>
      <c r="X126">
        <v>0.02</v>
      </c>
      <c r="Y126">
        <v>0</v>
      </c>
      <c r="Z126">
        <v>251.77</v>
      </c>
      <c r="AA126">
        <v>969.91</v>
      </c>
      <c r="AB126">
        <v>0</v>
      </c>
      <c r="AC126">
        <v>0</v>
      </c>
      <c r="AD126">
        <v>1</v>
      </c>
      <c r="AE126">
        <v>0</v>
      </c>
      <c r="AF126" t="s">
        <v>3</v>
      </c>
      <c r="AG126">
        <v>0.02</v>
      </c>
      <c r="AH126">
        <v>2</v>
      </c>
      <c r="AI126">
        <v>94188220</v>
      </c>
      <c r="AJ126">
        <v>126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</row>
    <row r="127" spans="1:44" x14ac:dyDescent="0.2">
      <c r="A127">
        <f>ROW(Source!A103)</f>
        <v>103</v>
      </c>
      <c r="B127">
        <v>94188234</v>
      </c>
      <c r="C127">
        <v>94188217</v>
      </c>
      <c r="D127">
        <v>87236438</v>
      </c>
      <c r="E127">
        <v>1</v>
      </c>
      <c r="F127">
        <v>1</v>
      </c>
      <c r="G127">
        <v>1</v>
      </c>
      <c r="H127">
        <v>2</v>
      </c>
      <c r="I127" t="s">
        <v>453</v>
      </c>
      <c r="J127" t="s">
        <v>454</v>
      </c>
      <c r="K127" t="s">
        <v>455</v>
      </c>
      <c r="L127">
        <v>1368</v>
      </c>
      <c r="N127">
        <v>1011</v>
      </c>
      <c r="O127" t="s">
        <v>434</v>
      </c>
      <c r="P127" t="s">
        <v>434</v>
      </c>
      <c r="Q127">
        <v>1</v>
      </c>
      <c r="X127">
        <v>0.01</v>
      </c>
      <c r="Y127">
        <v>0</v>
      </c>
      <c r="Z127">
        <v>1629.55</v>
      </c>
      <c r="AA127">
        <v>969.91</v>
      </c>
      <c r="AB127">
        <v>0</v>
      </c>
      <c r="AC127">
        <v>0</v>
      </c>
      <c r="AD127">
        <v>1</v>
      </c>
      <c r="AE127">
        <v>0</v>
      </c>
      <c r="AF127" t="s">
        <v>3</v>
      </c>
      <c r="AG127">
        <v>0.01</v>
      </c>
      <c r="AH127">
        <v>2</v>
      </c>
      <c r="AI127">
        <v>94188221</v>
      </c>
      <c r="AJ127">
        <v>127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2">
      <c r="A128">
        <f>ROW(Source!A103)</f>
        <v>103</v>
      </c>
      <c r="B128">
        <v>94188235</v>
      </c>
      <c r="C128">
        <v>94188217</v>
      </c>
      <c r="D128">
        <v>87236730</v>
      </c>
      <c r="E128">
        <v>1</v>
      </c>
      <c r="F128">
        <v>1</v>
      </c>
      <c r="G128">
        <v>1</v>
      </c>
      <c r="H128">
        <v>2</v>
      </c>
      <c r="I128" t="s">
        <v>527</v>
      </c>
      <c r="J128" t="s">
        <v>528</v>
      </c>
      <c r="K128" t="s">
        <v>529</v>
      </c>
      <c r="L128">
        <v>1368</v>
      </c>
      <c r="N128">
        <v>1011</v>
      </c>
      <c r="O128" t="s">
        <v>434</v>
      </c>
      <c r="P128" t="s">
        <v>434</v>
      </c>
      <c r="Q128">
        <v>1</v>
      </c>
      <c r="X128">
        <v>1.69</v>
      </c>
      <c r="Y128">
        <v>0</v>
      </c>
      <c r="Z128">
        <v>2.31</v>
      </c>
      <c r="AA128">
        <v>641.22</v>
      </c>
      <c r="AB128">
        <v>0</v>
      </c>
      <c r="AC128">
        <v>0</v>
      </c>
      <c r="AD128">
        <v>1</v>
      </c>
      <c r="AE128">
        <v>0</v>
      </c>
      <c r="AF128" t="s">
        <v>3</v>
      </c>
      <c r="AG128">
        <v>1.69</v>
      </c>
      <c r="AH128">
        <v>2</v>
      </c>
      <c r="AI128">
        <v>94188222</v>
      </c>
      <c r="AJ128">
        <v>128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2">
      <c r="A129">
        <f>ROW(Source!A103)</f>
        <v>103</v>
      </c>
      <c r="B129">
        <v>94188236</v>
      </c>
      <c r="C129">
        <v>94188217</v>
      </c>
      <c r="D129">
        <v>87237333</v>
      </c>
      <c r="E129">
        <v>1</v>
      </c>
      <c r="F129">
        <v>1</v>
      </c>
      <c r="G129">
        <v>1</v>
      </c>
      <c r="H129">
        <v>2</v>
      </c>
      <c r="I129" t="s">
        <v>463</v>
      </c>
      <c r="J129" t="s">
        <v>464</v>
      </c>
      <c r="K129" t="s">
        <v>465</v>
      </c>
      <c r="L129">
        <v>1368</v>
      </c>
      <c r="N129">
        <v>1011</v>
      </c>
      <c r="O129" t="s">
        <v>434</v>
      </c>
      <c r="P129" t="s">
        <v>434</v>
      </c>
      <c r="Q129">
        <v>1</v>
      </c>
      <c r="X129">
        <v>0.01</v>
      </c>
      <c r="Y129">
        <v>0</v>
      </c>
      <c r="Z129">
        <v>643.29</v>
      </c>
      <c r="AA129">
        <v>722.05</v>
      </c>
      <c r="AB129">
        <v>0</v>
      </c>
      <c r="AC129">
        <v>0</v>
      </c>
      <c r="AD129">
        <v>1</v>
      </c>
      <c r="AE129">
        <v>0</v>
      </c>
      <c r="AF129" t="s">
        <v>3</v>
      </c>
      <c r="AG129">
        <v>0.01</v>
      </c>
      <c r="AH129">
        <v>2</v>
      </c>
      <c r="AI129">
        <v>94188223</v>
      </c>
      <c r="AJ129">
        <v>129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2">
      <c r="A130">
        <f>ROW(Source!A103)</f>
        <v>103</v>
      </c>
      <c r="B130">
        <v>94188237</v>
      </c>
      <c r="C130">
        <v>94188217</v>
      </c>
      <c r="D130">
        <v>87304091</v>
      </c>
      <c r="E130">
        <v>1</v>
      </c>
      <c r="F130">
        <v>1</v>
      </c>
      <c r="G130">
        <v>1</v>
      </c>
      <c r="H130">
        <v>3</v>
      </c>
      <c r="I130" t="s">
        <v>467</v>
      </c>
      <c r="J130" t="s">
        <v>468</v>
      </c>
      <c r="K130" t="s">
        <v>469</v>
      </c>
      <c r="L130">
        <v>1339</v>
      </c>
      <c r="N130">
        <v>1007</v>
      </c>
      <c r="O130" t="s">
        <v>34</v>
      </c>
      <c r="P130" t="s">
        <v>34</v>
      </c>
      <c r="Q130">
        <v>1</v>
      </c>
      <c r="X130">
        <v>0.44</v>
      </c>
      <c r="Y130">
        <v>35.71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 t="s">
        <v>3</v>
      </c>
      <c r="AG130">
        <v>0.44</v>
      </c>
      <c r="AH130">
        <v>2</v>
      </c>
      <c r="AI130">
        <v>94188224</v>
      </c>
      <c r="AJ130">
        <v>130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</row>
    <row r="131" spans="1:44" x14ac:dyDescent="0.2">
      <c r="A131">
        <f>ROW(Source!A103)</f>
        <v>103</v>
      </c>
      <c r="B131">
        <v>94188238</v>
      </c>
      <c r="C131">
        <v>94188217</v>
      </c>
      <c r="D131">
        <v>87304103</v>
      </c>
      <c r="E131">
        <v>1</v>
      </c>
      <c r="F131">
        <v>1</v>
      </c>
      <c r="G131">
        <v>1</v>
      </c>
      <c r="H131">
        <v>3</v>
      </c>
      <c r="I131" t="s">
        <v>530</v>
      </c>
      <c r="J131" t="s">
        <v>531</v>
      </c>
      <c r="K131" t="s">
        <v>532</v>
      </c>
      <c r="L131">
        <v>1383</v>
      </c>
      <c r="N131">
        <v>1013</v>
      </c>
      <c r="O131" t="s">
        <v>533</v>
      </c>
      <c r="P131" t="s">
        <v>533</v>
      </c>
      <c r="Q131">
        <v>1</v>
      </c>
      <c r="X131">
        <v>3.2500000000000001E-2</v>
      </c>
      <c r="Y131">
        <v>6.78</v>
      </c>
      <c r="Z131">
        <v>0</v>
      </c>
      <c r="AA131">
        <v>0</v>
      </c>
      <c r="AB131">
        <v>0</v>
      </c>
      <c r="AC131">
        <v>0</v>
      </c>
      <c r="AD131">
        <v>1</v>
      </c>
      <c r="AE131">
        <v>0</v>
      </c>
      <c r="AF131" t="s">
        <v>3</v>
      </c>
      <c r="AG131">
        <v>3.2500000000000001E-2</v>
      </c>
      <c r="AH131">
        <v>2</v>
      </c>
      <c r="AI131">
        <v>94188225</v>
      </c>
      <c r="AJ131">
        <v>131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2">
      <c r="A132">
        <f>ROW(Source!A103)</f>
        <v>103</v>
      </c>
      <c r="B132">
        <v>94188239</v>
      </c>
      <c r="C132">
        <v>94188217</v>
      </c>
      <c r="D132">
        <v>87308126</v>
      </c>
      <c r="E132">
        <v>1</v>
      </c>
      <c r="F132">
        <v>1</v>
      </c>
      <c r="G132">
        <v>1</v>
      </c>
      <c r="H132">
        <v>3</v>
      </c>
      <c r="I132" t="s">
        <v>261</v>
      </c>
      <c r="J132" t="s">
        <v>263</v>
      </c>
      <c r="K132" t="s">
        <v>262</v>
      </c>
      <c r="L132">
        <v>1348</v>
      </c>
      <c r="N132">
        <v>1009</v>
      </c>
      <c r="O132" t="s">
        <v>30</v>
      </c>
      <c r="P132" t="s">
        <v>30</v>
      </c>
      <c r="Q132">
        <v>1000</v>
      </c>
      <c r="X132">
        <v>1.2999999999999999E-2</v>
      </c>
      <c r="Y132">
        <v>72092.39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0</v>
      </c>
      <c r="AF132" t="s">
        <v>3</v>
      </c>
      <c r="AG132">
        <v>1.2999999999999999E-2</v>
      </c>
      <c r="AH132">
        <v>2</v>
      </c>
      <c r="AI132">
        <v>94188226</v>
      </c>
      <c r="AJ132">
        <v>132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  <row r="133" spans="1:44" x14ac:dyDescent="0.2">
      <c r="A133">
        <f>ROW(Source!A103)</f>
        <v>103</v>
      </c>
      <c r="B133">
        <v>94188240</v>
      </c>
      <c r="C133">
        <v>94188217</v>
      </c>
      <c r="D133">
        <v>87231917</v>
      </c>
      <c r="E133">
        <v>117</v>
      </c>
      <c r="F133">
        <v>1</v>
      </c>
      <c r="G133">
        <v>1</v>
      </c>
      <c r="H133">
        <v>3</v>
      </c>
      <c r="I133" t="s">
        <v>618</v>
      </c>
      <c r="J133" t="s">
        <v>3</v>
      </c>
      <c r="K133" t="s">
        <v>619</v>
      </c>
      <c r="L133">
        <v>1327</v>
      </c>
      <c r="N133">
        <v>1005</v>
      </c>
      <c r="O133" t="s">
        <v>60</v>
      </c>
      <c r="P133" t="s">
        <v>60</v>
      </c>
      <c r="Q133">
        <v>1</v>
      </c>
      <c r="X133">
        <v>102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 t="s">
        <v>3</v>
      </c>
      <c r="AG133">
        <v>102</v>
      </c>
      <c r="AH133">
        <v>3</v>
      </c>
      <c r="AI133">
        <v>-1</v>
      </c>
      <c r="AJ133" t="s">
        <v>3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</row>
    <row r="134" spans="1:44" x14ac:dyDescent="0.2">
      <c r="A134">
        <f>ROW(Source!A103)</f>
        <v>103</v>
      </c>
      <c r="B134">
        <v>94188241</v>
      </c>
      <c r="C134">
        <v>94188217</v>
      </c>
      <c r="D134">
        <v>87232912</v>
      </c>
      <c r="E134">
        <v>117</v>
      </c>
      <c r="F134">
        <v>1</v>
      </c>
      <c r="G134">
        <v>1</v>
      </c>
      <c r="H134">
        <v>3</v>
      </c>
      <c r="I134" t="s">
        <v>620</v>
      </c>
      <c r="J134" t="s">
        <v>3</v>
      </c>
      <c r="K134" t="s">
        <v>621</v>
      </c>
      <c r="L134">
        <v>1339</v>
      </c>
      <c r="N134">
        <v>1007</v>
      </c>
      <c r="O134" t="s">
        <v>34</v>
      </c>
      <c r="P134" t="s">
        <v>34</v>
      </c>
      <c r="Q134">
        <v>1</v>
      </c>
      <c r="X134">
        <v>0.01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 t="s">
        <v>3</v>
      </c>
      <c r="AG134">
        <v>0.01</v>
      </c>
      <c r="AH134">
        <v>3</v>
      </c>
      <c r="AI134">
        <v>-1</v>
      </c>
      <c r="AJ134" t="s">
        <v>3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</row>
    <row r="135" spans="1:44" x14ac:dyDescent="0.2">
      <c r="A135">
        <f>ROW(Source!A103)</f>
        <v>103</v>
      </c>
      <c r="B135">
        <v>94188242</v>
      </c>
      <c r="C135">
        <v>94188217</v>
      </c>
      <c r="D135">
        <v>87233517</v>
      </c>
      <c r="E135">
        <v>117</v>
      </c>
      <c r="F135">
        <v>1</v>
      </c>
      <c r="G135">
        <v>1</v>
      </c>
      <c r="H135">
        <v>3</v>
      </c>
      <c r="I135" t="s">
        <v>622</v>
      </c>
      <c r="J135" t="s">
        <v>3</v>
      </c>
      <c r="K135" t="s">
        <v>623</v>
      </c>
      <c r="L135">
        <v>1348</v>
      </c>
      <c r="N135">
        <v>1009</v>
      </c>
      <c r="O135" t="s">
        <v>30</v>
      </c>
      <c r="P135" t="s">
        <v>30</v>
      </c>
      <c r="Q135">
        <v>1000</v>
      </c>
      <c r="X135">
        <v>1.2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 t="s">
        <v>3</v>
      </c>
      <c r="AG135">
        <v>1.2</v>
      </c>
      <c r="AH135">
        <v>3</v>
      </c>
      <c r="AI135">
        <v>-1</v>
      </c>
      <c r="AJ135" t="s">
        <v>3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</row>
    <row r="136" spans="1:44" x14ac:dyDescent="0.2">
      <c r="A136">
        <f>ROW(Source!A103)</f>
        <v>103</v>
      </c>
      <c r="B136">
        <v>94188243</v>
      </c>
      <c r="C136">
        <v>94188217</v>
      </c>
      <c r="D136">
        <v>87233684</v>
      </c>
      <c r="E136">
        <v>117</v>
      </c>
      <c r="F136">
        <v>1</v>
      </c>
      <c r="G136">
        <v>1</v>
      </c>
      <c r="H136">
        <v>3</v>
      </c>
      <c r="I136" t="s">
        <v>254</v>
      </c>
      <c r="J136" t="s">
        <v>3</v>
      </c>
      <c r="K136" t="s">
        <v>255</v>
      </c>
      <c r="L136">
        <v>1348</v>
      </c>
      <c r="N136">
        <v>1009</v>
      </c>
      <c r="O136" t="s">
        <v>30</v>
      </c>
      <c r="P136" t="s">
        <v>30</v>
      </c>
      <c r="Q136">
        <v>1000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1</v>
      </c>
      <c r="AD136">
        <v>0</v>
      </c>
      <c r="AE136">
        <v>0</v>
      </c>
      <c r="AF136" t="s">
        <v>3</v>
      </c>
      <c r="AG136">
        <v>0</v>
      </c>
      <c r="AH136">
        <v>3</v>
      </c>
      <c r="AI136">
        <v>-1</v>
      </c>
      <c r="AJ136" t="s">
        <v>3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2">
      <c r="A137">
        <f>ROW(Source!A108)</f>
        <v>108</v>
      </c>
      <c r="B137">
        <v>94188253</v>
      </c>
      <c r="C137">
        <v>94188248</v>
      </c>
      <c r="D137">
        <v>37065248</v>
      </c>
      <c r="E137">
        <v>117</v>
      </c>
      <c r="F137">
        <v>1</v>
      </c>
      <c r="G137">
        <v>1</v>
      </c>
      <c r="H137">
        <v>1</v>
      </c>
      <c r="I137" t="s">
        <v>436</v>
      </c>
      <c r="J137" t="s">
        <v>3</v>
      </c>
      <c r="K137" t="s">
        <v>437</v>
      </c>
      <c r="L137">
        <v>1191</v>
      </c>
      <c r="N137">
        <v>1013</v>
      </c>
      <c r="O137" t="s">
        <v>428</v>
      </c>
      <c r="P137" t="s">
        <v>428</v>
      </c>
      <c r="Q137">
        <v>1</v>
      </c>
      <c r="X137">
        <v>16.64</v>
      </c>
      <c r="Y137">
        <v>0</v>
      </c>
      <c r="Z137">
        <v>0</v>
      </c>
      <c r="AA137">
        <v>0</v>
      </c>
      <c r="AB137">
        <v>641.22</v>
      </c>
      <c r="AC137">
        <v>0</v>
      </c>
      <c r="AD137">
        <v>1</v>
      </c>
      <c r="AE137">
        <v>1</v>
      </c>
      <c r="AF137" t="s">
        <v>3</v>
      </c>
      <c r="AG137">
        <v>16.64</v>
      </c>
      <c r="AH137">
        <v>2</v>
      </c>
      <c r="AI137">
        <v>94188249</v>
      </c>
      <c r="AJ137">
        <v>137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</row>
    <row r="138" spans="1:44" x14ac:dyDescent="0.2">
      <c r="A138">
        <f>ROW(Source!A108)</f>
        <v>108</v>
      </c>
      <c r="B138">
        <v>94188254</v>
      </c>
      <c r="C138">
        <v>94188248</v>
      </c>
      <c r="D138">
        <v>87304103</v>
      </c>
      <c r="E138">
        <v>1</v>
      </c>
      <c r="F138">
        <v>1</v>
      </c>
      <c r="G138">
        <v>1</v>
      </c>
      <c r="H138">
        <v>3</v>
      </c>
      <c r="I138" t="s">
        <v>530</v>
      </c>
      <c r="J138" t="s">
        <v>531</v>
      </c>
      <c r="K138" t="s">
        <v>532</v>
      </c>
      <c r="L138">
        <v>1383</v>
      </c>
      <c r="N138">
        <v>1013</v>
      </c>
      <c r="O138" t="s">
        <v>533</v>
      </c>
      <c r="P138" t="s">
        <v>533</v>
      </c>
      <c r="Q138">
        <v>1</v>
      </c>
      <c r="X138">
        <v>6.8760000000000003</v>
      </c>
      <c r="Y138">
        <v>6.78</v>
      </c>
      <c r="Z138">
        <v>0</v>
      </c>
      <c r="AA138">
        <v>0</v>
      </c>
      <c r="AB138">
        <v>0</v>
      </c>
      <c r="AC138">
        <v>0</v>
      </c>
      <c r="AD138">
        <v>1</v>
      </c>
      <c r="AE138">
        <v>0</v>
      </c>
      <c r="AF138" t="s">
        <v>3</v>
      </c>
      <c r="AG138">
        <v>6.8760000000000003</v>
      </c>
      <c r="AH138">
        <v>2</v>
      </c>
      <c r="AI138">
        <v>94188250</v>
      </c>
      <c r="AJ138">
        <v>138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</row>
    <row r="139" spans="1:44" x14ac:dyDescent="0.2">
      <c r="A139">
        <f>ROW(Source!A108)</f>
        <v>108</v>
      </c>
      <c r="B139">
        <v>94188255</v>
      </c>
      <c r="C139">
        <v>94188248</v>
      </c>
      <c r="D139">
        <v>87305971</v>
      </c>
      <c r="E139">
        <v>1</v>
      </c>
      <c r="F139">
        <v>1</v>
      </c>
      <c r="G139">
        <v>1</v>
      </c>
      <c r="H139">
        <v>3</v>
      </c>
      <c r="I139" t="s">
        <v>534</v>
      </c>
      <c r="J139" t="s">
        <v>535</v>
      </c>
      <c r="K139" t="s">
        <v>536</v>
      </c>
      <c r="L139">
        <v>1425</v>
      </c>
      <c r="N139">
        <v>1013</v>
      </c>
      <c r="O139" t="s">
        <v>537</v>
      </c>
      <c r="P139" t="s">
        <v>537</v>
      </c>
      <c r="Q139">
        <v>1</v>
      </c>
      <c r="X139">
        <v>6.7</v>
      </c>
      <c r="Y139">
        <v>88.86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0</v>
      </c>
      <c r="AF139" t="s">
        <v>3</v>
      </c>
      <c r="AG139">
        <v>6.7</v>
      </c>
      <c r="AH139">
        <v>2</v>
      </c>
      <c r="AI139">
        <v>94188251</v>
      </c>
      <c r="AJ139">
        <v>139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</row>
    <row r="140" spans="1:44" x14ac:dyDescent="0.2">
      <c r="A140">
        <f>ROW(Source!A108)</f>
        <v>108</v>
      </c>
      <c r="B140">
        <v>94188256</v>
      </c>
      <c r="C140">
        <v>94188248</v>
      </c>
      <c r="D140">
        <v>87232701</v>
      </c>
      <c r="E140">
        <v>117</v>
      </c>
      <c r="F140">
        <v>1</v>
      </c>
      <c r="G140">
        <v>1</v>
      </c>
      <c r="H140">
        <v>3</v>
      </c>
      <c r="I140" t="s">
        <v>624</v>
      </c>
      <c r="J140" t="s">
        <v>3</v>
      </c>
      <c r="K140" t="s">
        <v>625</v>
      </c>
      <c r="L140">
        <v>1301</v>
      </c>
      <c r="N140">
        <v>1003</v>
      </c>
      <c r="O140" t="s">
        <v>106</v>
      </c>
      <c r="P140" t="s">
        <v>106</v>
      </c>
      <c r="Q140">
        <v>1</v>
      </c>
      <c r="X140">
        <v>105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 t="s">
        <v>3</v>
      </c>
      <c r="AG140">
        <v>105</v>
      </c>
      <c r="AH140">
        <v>3</v>
      </c>
      <c r="AI140">
        <v>-1</v>
      </c>
      <c r="AJ140" t="s">
        <v>3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</row>
    <row r="141" spans="1:44" x14ac:dyDescent="0.2">
      <c r="A141">
        <f>ROW(Source!A145)</f>
        <v>145</v>
      </c>
      <c r="B141">
        <v>94189558</v>
      </c>
      <c r="C141">
        <v>94189557</v>
      </c>
      <c r="D141">
        <v>87229757</v>
      </c>
      <c r="E141">
        <v>117</v>
      </c>
      <c r="F141">
        <v>1</v>
      </c>
      <c r="G141">
        <v>1</v>
      </c>
      <c r="H141">
        <v>1</v>
      </c>
      <c r="I141" t="s">
        <v>547</v>
      </c>
      <c r="J141" t="s">
        <v>3</v>
      </c>
      <c r="K141" t="s">
        <v>548</v>
      </c>
      <c r="L141">
        <v>1191</v>
      </c>
      <c r="N141">
        <v>1013</v>
      </c>
      <c r="O141" t="s">
        <v>428</v>
      </c>
      <c r="P141" t="s">
        <v>428</v>
      </c>
      <c r="Q141">
        <v>1</v>
      </c>
      <c r="X141">
        <v>26.3</v>
      </c>
      <c r="Y141">
        <v>0</v>
      </c>
      <c r="Z141">
        <v>0</v>
      </c>
      <c r="AA141">
        <v>0</v>
      </c>
      <c r="AB141">
        <v>657.42</v>
      </c>
      <c r="AC141">
        <v>0</v>
      </c>
      <c r="AD141">
        <v>1</v>
      </c>
      <c r="AE141">
        <v>1</v>
      </c>
      <c r="AF141" t="s">
        <v>3</v>
      </c>
      <c r="AG141">
        <v>26.3</v>
      </c>
      <c r="AH141">
        <v>2</v>
      </c>
      <c r="AI141">
        <v>94189558</v>
      </c>
      <c r="AJ141">
        <v>141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</row>
    <row r="142" spans="1:44" x14ac:dyDescent="0.2">
      <c r="A142">
        <f>ROW(Source!A145)</f>
        <v>145</v>
      </c>
      <c r="B142">
        <v>94189559</v>
      </c>
      <c r="C142">
        <v>94189557</v>
      </c>
      <c r="D142">
        <v>87229949</v>
      </c>
      <c r="E142">
        <v>117</v>
      </c>
      <c r="F142">
        <v>1</v>
      </c>
      <c r="G142">
        <v>1</v>
      </c>
      <c r="H142">
        <v>1</v>
      </c>
      <c r="I142" t="s">
        <v>429</v>
      </c>
      <c r="J142" t="s">
        <v>3</v>
      </c>
      <c r="K142" t="s">
        <v>430</v>
      </c>
      <c r="L142">
        <v>1191</v>
      </c>
      <c r="N142">
        <v>1013</v>
      </c>
      <c r="O142" t="s">
        <v>428</v>
      </c>
      <c r="P142" t="s">
        <v>428</v>
      </c>
      <c r="Q142">
        <v>1</v>
      </c>
      <c r="X142">
        <v>0.16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2</v>
      </c>
      <c r="AF142" t="s">
        <v>3</v>
      </c>
      <c r="AG142">
        <v>0.16</v>
      </c>
      <c r="AH142">
        <v>2</v>
      </c>
      <c r="AI142">
        <v>94189559</v>
      </c>
      <c r="AJ142">
        <v>142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</row>
    <row r="143" spans="1:44" x14ac:dyDescent="0.2">
      <c r="A143">
        <f>ROW(Source!A145)</f>
        <v>145</v>
      </c>
      <c r="B143">
        <v>94189560</v>
      </c>
      <c r="C143">
        <v>94189557</v>
      </c>
      <c r="D143">
        <v>87236625</v>
      </c>
      <c r="E143">
        <v>1</v>
      </c>
      <c r="F143">
        <v>1</v>
      </c>
      <c r="G143">
        <v>1</v>
      </c>
      <c r="H143">
        <v>2</v>
      </c>
      <c r="I143" t="s">
        <v>431</v>
      </c>
      <c r="J143" t="s">
        <v>432</v>
      </c>
      <c r="K143" t="s">
        <v>433</v>
      </c>
      <c r="L143">
        <v>1368</v>
      </c>
      <c r="N143">
        <v>1011</v>
      </c>
      <c r="O143" t="s">
        <v>434</v>
      </c>
      <c r="P143" t="s">
        <v>434</v>
      </c>
      <c r="Q143">
        <v>1</v>
      </c>
      <c r="X143">
        <v>0.1</v>
      </c>
      <c r="Y143">
        <v>0</v>
      </c>
      <c r="Z143">
        <v>37.32</v>
      </c>
      <c r="AA143">
        <v>649.24</v>
      </c>
      <c r="AB143">
        <v>0</v>
      </c>
      <c r="AC143">
        <v>0</v>
      </c>
      <c r="AD143">
        <v>1</v>
      </c>
      <c r="AE143">
        <v>0</v>
      </c>
      <c r="AF143" t="s">
        <v>3</v>
      </c>
      <c r="AG143">
        <v>0.1</v>
      </c>
      <c r="AH143">
        <v>2</v>
      </c>
      <c r="AI143">
        <v>94189560</v>
      </c>
      <c r="AJ143">
        <v>143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</row>
    <row r="144" spans="1:44" x14ac:dyDescent="0.2">
      <c r="A144">
        <f>ROW(Source!A145)</f>
        <v>145</v>
      </c>
      <c r="B144">
        <v>94189561</v>
      </c>
      <c r="C144">
        <v>94189557</v>
      </c>
      <c r="D144">
        <v>87237333</v>
      </c>
      <c r="E144">
        <v>1</v>
      </c>
      <c r="F144">
        <v>1</v>
      </c>
      <c r="G144">
        <v>1</v>
      </c>
      <c r="H144">
        <v>2</v>
      </c>
      <c r="I144" t="s">
        <v>463</v>
      </c>
      <c r="J144" t="s">
        <v>464</v>
      </c>
      <c r="K144" t="s">
        <v>465</v>
      </c>
      <c r="L144">
        <v>1368</v>
      </c>
      <c r="N144">
        <v>1011</v>
      </c>
      <c r="O144" t="s">
        <v>434</v>
      </c>
      <c r="P144" t="s">
        <v>434</v>
      </c>
      <c r="Q144">
        <v>1</v>
      </c>
      <c r="X144">
        <v>0.06</v>
      </c>
      <c r="Y144">
        <v>0</v>
      </c>
      <c r="Z144">
        <v>544.91999999999996</v>
      </c>
      <c r="AA144">
        <v>731.08</v>
      </c>
      <c r="AB144">
        <v>0</v>
      </c>
      <c r="AC144">
        <v>0</v>
      </c>
      <c r="AD144">
        <v>1</v>
      </c>
      <c r="AE144">
        <v>0</v>
      </c>
      <c r="AF144" t="s">
        <v>3</v>
      </c>
      <c r="AG144">
        <v>0.06</v>
      </c>
      <c r="AH144">
        <v>2</v>
      </c>
      <c r="AI144">
        <v>94189561</v>
      </c>
      <c r="AJ144">
        <v>144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</row>
    <row r="145" spans="1:44" x14ac:dyDescent="0.2">
      <c r="A145">
        <f>ROW(Source!A145)</f>
        <v>145</v>
      </c>
      <c r="B145">
        <v>94189562</v>
      </c>
      <c r="C145">
        <v>94189557</v>
      </c>
      <c r="D145">
        <v>87304091</v>
      </c>
      <c r="E145">
        <v>1</v>
      </c>
      <c r="F145">
        <v>1</v>
      </c>
      <c r="G145">
        <v>1</v>
      </c>
      <c r="H145">
        <v>3</v>
      </c>
      <c r="I145" t="s">
        <v>467</v>
      </c>
      <c r="J145" t="s">
        <v>468</v>
      </c>
      <c r="K145" t="s">
        <v>469</v>
      </c>
      <c r="L145">
        <v>1339</v>
      </c>
      <c r="N145">
        <v>1007</v>
      </c>
      <c r="O145" t="s">
        <v>34</v>
      </c>
      <c r="P145" t="s">
        <v>34</v>
      </c>
      <c r="Q145">
        <v>1</v>
      </c>
      <c r="X145">
        <v>0.4</v>
      </c>
      <c r="Y145">
        <v>35.71</v>
      </c>
      <c r="Z145">
        <v>0</v>
      </c>
      <c r="AA145">
        <v>0</v>
      </c>
      <c r="AB145">
        <v>0</v>
      </c>
      <c r="AC145">
        <v>0</v>
      </c>
      <c r="AD145">
        <v>1</v>
      </c>
      <c r="AE145">
        <v>0</v>
      </c>
      <c r="AF145" t="s">
        <v>3</v>
      </c>
      <c r="AG145">
        <v>0.4</v>
      </c>
      <c r="AH145">
        <v>2</v>
      </c>
      <c r="AI145">
        <v>94189562</v>
      </c>
      <c r="AJ145">
        <v>145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</row>
    <row r="146" spans="1:44" x14ac:dyDescent="0.2">
      <c r="A146">
        <f>ROW(Source!A145)</f>
        <v>145</v>
      </c>
      <c r="B146">
        <v>94189563</v>
      </c>
      <c r="C146">
        <v>94189557</v>
      </c>
      <c r="D146">
        <v>87304388</v>
      </c>
      <c r="E146">
        <v>1</v>
      </c>
      <c r="F146">
        <v>1</v>
      </c>
      <c r="G146">
        <v>1</v>
      </c>
      <c r="H146">
        <v>3</v>
      </c>
      <c r="I146" t="s">
        <v>558</v>
      </c>
      <c r="J146" t="s">
        <v>559</v>
      </c>
      <c r="K146" t="s">
        <v>560</v>
      </c>
      <c r="L146">
        <v>1371</v>
      </c>
      <c r="N146">
        <v>1013</v>
      </c>
      <c r="O146" t="s">
        <v>279</v>
      </c>
      <c r="P146" t="s">
        <v>279</v>
      </c>
      <c r="Q146">
        <v>1</v>
      </c>
      <c r="X146">
        <v>3.2</v>
      </c>
      <c r="Y146">
        <v>18.59</v>
      </c>
      <c r="Z146">
        <v>0</v>
      </c>
      <c r="AA146">
        <v>0</v>
      </c>
      <c r="AB146">
        <v>0</v>
      </c>
      <c r="AC146">
        <v>0</v>
      </c>
      <c r="AD146">
        <v>1</v>
      </c>
      <c r="AE146">
        <v>0</v>
      </c>
      <c r="AF146" t="s">
        <v>3</v>
      </c>
      <c r="AG146">
        <v>3.2</v>
      </c>
      <c r="AH146">
        <v>2</v>
      </c>
      <c r="AI146">
        <v>94189563</v>
      </c>
      <c r="AJ146">
        <v>146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</row>
    <row r="147" spans="1:44" x14ac:dyDescent="0.2">
      <c r="A147">
        <f>ROW(Source!A145)</f>
        <v>145</v>
      </c>
      <c r="B147">
        <v>94189564</v>
      </c>
      <c r="C147">
        <v>94189557</v>
      </c>
      <c r="D147">
        <v>87304588</v>
      </c>
      <c r="E147">
        <v>1</v>
      </c>
      <c r="F147">
        <v>1</v>
      </c>
      <c r="G147">
        <v>1</v>
      </c>
      <c r="H147">
        <v>3</v>
      </c>
      <c r="I147" t="s">
        <v>561</v>
      </c>
      <c r="J147" t="s">
        <v>562</v>
      </c>
      <c r="K147" t="s">
        <v>563</v>
      </c>
      <c r="L147">
        <v>1348</v>
      </c>
      <c r="N147">
        <v>1009</v>
      </c>
      <c r="O147" t="s">
        <v>30</v>
      </c>
      <c r="P147" t="s">
        <v>30</v>
      </c>
      <c r="Q147">
        <v>1000</v>
      </c>
      <c r="X147">
        <v>1.2E-2</v>
      </c>
      <c r="Y147">
        <v>3616.92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0</v>
      </c>
      <c r="AF147" t="s">
        <v>3</v>
      </c>
      <c r="AG147">
        <v>1.2E-2</v>
      </c>
      <c r="AH147">
        <v>2</v>
      </c>
      <c r="AI147">
        <v>94189564</v>
      </c>
      <c r="AJ147">
        <v>147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</row>
    <row r="148" spans="1:44" x14ac:dyDescent="0.2">
      <c r="A148">
        <f>ROW(Source!A145)</f>
        <v>145</v>
      </c>
      <c r="B148">
        <v>94189565</v>
      </c>
      <c r="C148">
        <v>94189557</v>
      </c>
      <c r="D148">
        <v>87304694</v>
      </c>
      <c r="E148">
        <v>1</v>
      </c>
      <c r="F148">
        <v>1</v>
      </c>
      <c r="G148">
        <v>1</v>
      </c>
      <c r="H148">
        <v>3</v>
      </c>
      <c r="I148" t="s">
        <v>564</v>
      </c>
      <c r="J148" t="s">
        <v>565</v>
      </c>
      <c r="K148" t="s">
        <v>566</v>
      </c>
      <c r="L148">
        <v>1346</v>
      </c>
      <c r="N148">
        <v>1009</v>
      </c>
      <c r="O148" t="s">
        <v>96</v>
      </c>
      <c r="P148" t="s">
        <v>96</v>
      </c>
      <c r="Q148">
        <v>1</v>
      </c>
      <c r="X148">
        <v>2.64</v>
      </c>
      <c r="Y148">
        <v>2507.62</v>
      </c>
      <c r="Z148">
        <v>0</v>
      </c>
      <c r="AA148">
        <v>0</v>
      </c>
      <c r="AB148">
        <v>0</v>
      </c>
      <c r="AC148">
        <v>0</v>
      </c>
      <c r="AD148">
        <v>1</v>
      </c>
      <c r="AE148">
        <v>0</v>
      </c>
      <c r="AF148" t="s">
        <v>3</v>
      </c>
      <c r="AG148">
        <v>2.64</v>
      </c>
      <c r="AH148">
        <v>2</v>
      </c>
      <c r="AI148">
        <v>94189565</v>
      </c>
      <c r="AJ148">
        <v>148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</row>
    <row r="149" spans="1:44" x14ac:dyDescent="0.2">
      <c r="A149">
        <f>ROW(Source!A145)</f>
        <v>145</v>
      </c>
      <c r="B149">
        <v>94189566</v>
      </c>
      <c r="C149">
        <v>94189557</v>
      </c>
      <c r="D149">
        <v>87306387</v>
      </c>
      <c r="E149">
        <v>1</v>
      </c>
      <c r="F149">
        <v>1</v>
      </c>
      <c r="G149">
        <v>1</v>
      </c>
      <c r="H149">
        <v>3</v>
      </c>
      <c r="I149" t="s">
        <v>567</v>
      </c>
      <c r="J149" t="s">
        <v>568</v>
      </c>
      <c r="K149" t="s">
        <v>569</v>
      </c>
      <c r="L149">
        <v>1327</v>
      </c>
      <c r="N149">
        <v>1005</v>
      </c>
      <c r="O149" t="s">
        <v>60</v>
      </c>
      <c r="P149" t="s">
        <v>60</v>
      </c>
      <c r="Q149">
        <v>1</v>
      </c>
      <c r="X149">
        <v>0.8</v>
      </c>
      <c r="Y149">
        <v>531.44000000000005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0</v>
      </c>
      <c r="AF149" t="s">
        <v>3</v>
      </c>
      <c r="AG149">
        <v>0.8</v>
      </c>
      <c r="AH149">
        <v>2</v>
      </c>
      <c r="AI149">
        <v>94189566</v>
      </c>
      <c r="AJ149">
        <v>149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</row>
    <row r="150" spans="1:44" x14ac:dyDescent="0.2">
      <c r="A150">
        <f>ROW(Source!A145)</f>
        <v>145</v>
      </c>
      <c r="B150">
        <v>94189567</v>
      </c>
      <c r="C150">
        <v>94189557</v>
      </c>
      <c r="D150">
        <v>87322323</v>
      </c>
      <c r="E150">
        <v>1</v>
      </c>
      <c r="F150">
        <v>1</v>
      </c>
      <c r="G150">
        <v>1</v>
      </c>
      <c r="H150">
        <v>3</v>
      </c>
      <c r="I150" t="s">
        <v>570</v>
      </c>
      <c r="J150" t="s">
        <v>571</v>
      </c>
      <c r="K150" t="s">
        <v>572</v>
      </c>
      <c r="L150">
        <v>1346</v>
      </c>
      <c r="N150">
        <v>1009</v>
      </c>
      <c r="O150" t="s">
        <v>96</v>
      </c>
      <c r="P150" t="s">
        <v>96</v>
      </c>
      <c r="Q150">
        <v>1</v>
      </c>
      <c r="X150">
        <v>2.4300000000000002</v>
      </c>
      <c r="Y150">
        <v>93.01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 t="s">
        <v>3</v>
      </c>
      <c r="AG150">
        <v>2.4300000000000002</v>
      </c>
      <c r="AH150">
        <v>2</v>
      </c>
      <c r="AI150">
        <v>94189567</v>
      </c>
      <c r="AJ150">
        <v>150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</row>
    <row r="151" spans="1:44" x14ac:dyDescent="0.2">
      <c r="A151">
        <f>ROW(Source!A145)</f>
        <v>145</v>
      </c>
      <c r="B151">
        <v>94189568</v>
      </c>
      <c r="C151">
        <v>94189557</v>
      </c>
      <c r="D151">
        <v>87233646</v>
      </c>
      <c r="E151">
        <v>117</v>
      </c>
      <c r="F151">
        <v>1</v>
      </c>
      <c r="G151">
        <v>1</v>
      </c>
      <c r="H151">
        <v>3</v>
      </c>
      <c r="I151" t="s">
        <v>628</v>
      </c>
      <c r="J151" t="s">
        <v>3</v>
      </c>
      <c r="K151" t="s">
        <v>629</v>
      </c>
      <c r="L151">
        <v>1348</v>
      </c>
      <c r="N151">
        <v>1009</v>
      </c>
      <c r="O151" t="s">
        <v>30</v>
      </c>
      <c r="P151" t="s">
        <v>30</v>
      </c>
      <c r="Q151">
        <v>1000</v>
      </c>
      <c r="X151">
        <v>6.7000000000000004E-2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 t="s">
        <v>3</v>
      </c>
      <c r="AG151">
        <v>6.7000000000000004E-2</v>
      </c>
      <c r="AH151">
        <v>3</v>
      </c>
      <c r="AI151">
        <v>-1</v>
      </c>
      <c r="AJ151" t="s">
        <v>3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</row>
    <row r="152" spans="1:44" x14ac:dyDescent="0.2">
      <c r="A152">
        <f>ROW(Source!A145)</f>
        <v>145</v>
      </c>
      <c r="B152">
        <v>94189569</v>
      </c>
      <c r="C152">
        <v>94189557</v>
      </c>
      <c r="D152">
        <v>87323233</v>
      </c>
      <c r="E152">
        <v>1</v>
      </c>
      <c r="F152">
        <v>1</v>
      </c>
      <c r="G152">
        <v>1</v>
      </c>
      <c r="H152">
        <v>3</v>
      </c>
      <c r="I152" t="s">
        <v>573</v>
      </c>
      <c r="J152" t="s">
        <v>574</v>
      </c>
      <c r="K152" t="s">
        <v>575</v>
      </c>
      <c r="L152">
        <v>1348</v>
      </c>
      <c r="N152">
        <v>1009</v>
      </c>
      <c r="O152" t="s">
        <v>30</v>
      </c>
      <c r="P152" t="s">
        <v>30</v>
      </c>
      <c r="Q152">
        <v>1000</v>
      </c>
      <c r="X152">
        <v>6.4000000000000003E-3</v>
      </c>
      <c r="Y152">
        <v>25237.94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0</v>
      </c>
      <c r="AF152" t="s">
        <v>3</v>
      </c>
      <c r="AG152">
        <v>6.4000000000000003E-3</v>
      </c>
      <c r="AH152">
        <v>2</v>
      </c>
      <c r="AI152">
        <v>94189569</v>
      </c>
      <c r="AJ152">
        <v>152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2">
      <c r="A153">
        <f>ROW(Source!A147)</f>
        <v>147</v>
      </c>
      <c r="B153">
        <v>94189580</v>
      </c>
      <c r="C153">
        <v>94189579</v>
      </c>
      <c r="D153">
        <v>90155048</v>
      </c>
      <c r="E153">
        <v>118</v>
      </c>
      <c r="F153">
        <v>1</v>
      </c>
      <c r="G153">
        <v>1</v>
      </c>
      <c r="H153">
        <v>1</v>
      </c>
      <c r="I153" t="s">
        <v>426</v>
      </c>
      <c r="J153" t="s">
        <v>3</v>
      </c>
      <c r="K153" t="s">
        <v>427</v>
      </c>
      <c r="L153">
        <v>1191</v>
      </c>
      <c r="N153">
        <v>1013</v>
      </c>
      <c r="O153" t="s">
        <v>428</v>
      </c>
      <c r="P153" t="s">
        <v>428</v>
      </c>
      <c r="Q153">
        <v>1</v>
      </c>
      <c r="X153">
        <v>78.739999999999995</v>
      </c>
      <c r="Y153">
        <v>0</v>
      </c>
      <c r="Z153">
        <v>0</v>
      </c>
      <c r="AA153">
        <v>0</v>
      </c>
      <c r="AB153">
        <v>638.33000000000004</v>
      </c>
      <c r="AC153">
        <v>0</v>
      </c>
      <c r="AD153">
        <v>1</v>
      </c>
      <c r="AE153">
        <v>1</v>
      </c>
      <c r="AF153" t="s">
        <v>3</v>
      </c>
      <c r="AG153">
        <v>78.739999999999995</v>
      </c>
      <c r="AH153">
        <v>2</v>
      </c>
      <c r="AI153">
        <v>94189580</v>
      </c>
      <c r="AJ153">
        <v>153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</row>
    <row r="154" spans="1:44" x14ac:dyDescent="0.2">
      <c r="A154">
        <f>ROW(Source!A147)</f>
        <v>147</v>
      </c>
      <c r="B154">
        <v>94189581</v>
      </c>
      <c r="C154">
        <v>94189579</v>
      </c>
      <c r="D154">
        <v>90155259</v>
      </c>
      <c r="E154">
        <v>118</v>
      </c>
      <c r="F154">
        <v>1</v>
      </c>
      <c r="G154">
        <v>1</v>
      </c>
      <c r="H154">
        <v>1</v>
      </c>
      <c r="I154" t="s">
        <v>429</v>
      </c>
      <c r="J154" t="s">
        <v>3</v>
      </c>
      <c r="K154" t="s">
        <v>430</v>
      </c>
      <c r="L154">
        <v>1191</v>
      </c>
      <c r="N154">
        <v>1013</v>
      </c>
      <c r="O154" t="s">
        <v>428</v>
      </c>
      <c r="P154" t="s">
        <v>428</v>
      </c>
      <c r="Q154">
        <v>1</v>
      </c>
      <c r="X154">
        <v>0.79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1</v>
      </c>
      <c r="AE154">
        <v>2</v>
      </c>
      <c r="AF154" t="s">
        <v>3</v>
      </c>
      <c r="AG154">
        <v>0.79</v>
      </c>
      <c r="AH154">
        <v>2</v>
      </c>
      <c r="AI154">
        <v>94189581</v>
      </c>
      <c r="AJ154">
        <v>154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</row>
    <row r="155" spans="1:44" x14ac:dyDescent="0.2">
      <c r="A155">
        <f>ROW(Source!A147)</f>
        <v>147</v>
      </c>
      <c r="B155">
        <v>94189582</v>
      </c>
      <c r="C155">
        <v>94189579</v>
      </c>
      <c r="D155">
        <v>90281903</v>
      </c>
      <c r="E155">
        <v>1</v>
      </c>
      <c r="F155">
        <v>1</v>
      </c>
      <c r="G155">
        <v>1</v>
      </c>
      <c r="H155">
        <v>2</v>
      </c>
      <c r="I155" t="s">
        <v>431</v>
      </c>
      <c r="J155" t="s">
        <v>432</v>
      </c>
      <c r="K155" t="s">
        <v>433</v>
      </c>
      <c r="L155">
        <v>1368</v>
      </c>
      <c r="N155">
        <v>1011</v>
      </c>
      <c r="O155" t="s">
        <v>434</v>
      </c>
      <c r="P155" t="s">
        <v>434</v>
      </c>
      <c r="Q155">
        <v>1</v>
      </c>
      <c r="X155">
        <v>0.79</v>
      </c>
      <c r="Y155">
        <v>0</v>
      </c>
      <c r="Z155">
        <v>37.32</v>
      </c>
      <c r="AA155">
        <v>649.24</v>
      </c>
      <c r="AB155">
        <v>0</v>
      </c>
      <c r="AC155">
        <v>0</v>
      </c>
      <c r="AD155">
        <v>1</v>
      </c>
      <c r="AE155">
        <v>0</v>
      </c>
      <c r="AF155" t="s">
        <v>3</v>
      </c>
      <c r="AG155">
        <v>0.79</v>
      </c>
      <c r="AH155">
        <v>2</v>
      </c>
      <c r="AI155">
        <v>94189582</v>
      </c>
      <c r="AJ155">
        <v>155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</row>
    <row r="156" spans="1:44" x14ac:dyDescent="0.2">
      <c r="A156">
        <f>ROW(Source!A147)</f>
        <v>147</v>
      </c>
      <c r="B156">
        <v>94189583</v>
      </c>
      <c r="C156">
        <v>94189579</v>
      </c>
      <c r="D156">
        <v>90161318</v>
      </c>
      <c r="E156">
        <v>118</v>
      </c>
      <c r="F156">
        <v>1</v>
      </c>
      <c r="G156">
        <v>1</v>
      </c>
      <c r="H156">
        <v>3</v>
      </c>
      <c r="I156" t="s">
        <v>28</v>
      </c>
      <c r="J156" t="s">
        <v>3</v>
      </c>
      <c r="K156" t="s">
        <v>29</v>
      </c>
      <c r="L156">
        <v>1348</v>
      </c>
      <c r="N156">
        <v>1009</v>
      </c>
      <c r="O156" t="s">
        <v>30</v>
      </c>
      <c r="P156" t="s">
        <v>30</v>
      </c>
      <c r="Q156">
        <v>1000</v>
      </c>
      <c r="X156">
        <v>4.3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 t="s">
        <v>3</v>
      </c>
      <c r="AG156">
        <v>4.3</v>
      </c>
      <c r="AH156">
        <v>2</v>
      </c>
      <c r="AI156">
        <v>94189583</v>
      </c>
      <c r="AJ156">
        <v>156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</row>
    <row r="157" spans="1:44" x14ac:dyDescent="0.2">
      <c r="A157">
        <f>ROW(Source!A149)</f>
        <v>149</v>
      </c>
      <c r="B157">
        <v>94189785</v>
      </c>
      <c r="C157">
        <v>94189784</v>
      </c>
      <c r="D157">
        <v>90155018</v>
      </c>
      <c r="E157">
        <v>118</v>
      </c>
      <c r="F157">
        <v>1</v>
      </c>
      <c r="G157">
        <v>1</v>
      </c>
      <c r="H157">
        <v>1</v>
      </c>
      <c r="I157" t="s">
        <v>576</v>
      </c>
      <c r="J157" t="s">
        <v>3</v>
      </c>
      <c r="K157" t="s">
        <v>577</v>
      </c>
      <c r="L157">
        <v>1191</v>
      </c>
      <c r="N157">
        <v>1013</v>
      </c>
      <c r="O157" t="s">
        <v>428</v>
      </c>
      <c r="P157" t="s">
        <v>428</v>
      </c>
      <c r="Q157">
        <v>1</v>
      </c>
      <c r="X157">
        <v>16.079999999999998</v>
      </c>
      <c r="Y157">
        <v>0</v>
      </c>
      <c r="Z157">
        <v>0</v>
      </c>
      <c r="AA157">
        <v>0</v>
      </c>
      <c r="AB157">
        <v>594.67999999999995</v>
      </c>
      <c r="AC157">
        <v>0</v>
      </c>
      <c r="AD157">
        <v>1</v>
      </c>
      <c r="AE157">
        <v>1</v>
      </c>
      <c r="AF157" t="s">
        <v>3</v>
      </c>
      <c r="AG157">
        <v>16.079999999999998</v>
      </c>
      <c r="AH157">
        <v>2</v>
      </c>
      <c r="AI157">
        <v>94189785</v>
      </c>
      <c r="AJ157">
        <v>157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</row>
    <row r="158" spans="1:44" x14ac:dyDescent="0.2">
      <c r="A158">
        <f>ROW(Source!A149)</f>
        <v>149</v>
      </c>
      <c r="B158">
        <v>94189786</v>
      </c>
      <c r="C158">
        <v>94189784</v>
      </c>
      <c r="D158">
        <v>90155259</v>
      </c>
      <c r="E158">
        <v>118</v>
      </c>
      <c r="F158">
        <v>1</v>
      </c>
      <c r="G158">
        <v>1</v>
      </c>
      <c r="H158">
        <v>1</v>
      </c>
      <c r="I158" t="s">
        <v>429</v>
      </c>
      <c r="J158" t="s">
        <v>3</v>
      </c>
      <c r="K158" t="s">
        <v>430</v>
      </c>
      <c r="L158">
        <v>1191</v>
      </c>
      <c r="N158">
        <v>1013</v>
      </c>
      <c r="O158" t="s">
        <v>428</v>
      </c>
      <c r="P158" t="s">
        <v>428</v>
      </c>
      <c r="Q158">
        <v>1</v>
      </c>
      <c r="X158">
        <v>0.01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1</v>
      </c>
      <c r="AE158">
        <v>2</v>
      </c>
      <c r="AF158" t="s">
        <v>3</v>
      </c>
      <c r="AG158">
        <v>0.01</v>
      </c>
      <c r="AH158">
        <v>2</v>
      </c>
      <c r="AI158">
        <v>94189786</v>
      </c>
      <c r="AJ158">
        <v>158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</row>
    <row r="159" spans="1:44" x14ac:dyDescent="0.2">
      <c r="A159">
        <f>ROW(Source!A149)</f>
        <v>149</v>
      </c>
      <c r="B159">
        <v>94189787</v>
      </c>
      <c r="C159">
        <v>94189784</v>
      </c>
      <c r="D159">
        <v>90281903</v>
      </c>
      <c r="E159">
        <v>1</v>
      </c>
      <c r="F159">
        <v>1</v>
      </c>
      <c r="G159">
        <v>1</v>
      </c>
      <c r="H159">
        <v>2</v>
      </c>
      <c r="I159" t="s">
        <v>431</v>
      </c>
      <c r="J159" t="s">
        <v>432</v>
      </c>
      <c r="K159" t="s">
        <v>433</v>
      </c>
      <c r="L159">
        <v>1368</v>
      </c>
      <c r="N159">
        <v>1011</v>
      </c>
      <c r="O159" t="s">
        <v>434</v>
      </c>
      <c r="P159" t="s">
        <v>434</v>
      </c>
      <c r="Q159">
        <v>1</v>
      </c>
      <c r="X159">
        <v>1.4E-2</v>
      </c>
      <c r="Y159">
        <v>0</v>
      </c>
      <c r="Z159">
        <v>37.32</v>
      </c>
      <c r="AA159">
        <v>649.24</v>
      </c>
      <c r="AB159">
        <v>0</v>
      </c>
      <c r="AC159">
        <v>0</v>
      </c>
      <c r="AD159">
        <v>1</v>
      </c>
      <c r="AE159">
        <v>0</v>
      </c>
      <c r="AF159" t="s">
        <v>3</v>
      </c>
      <c r="AG159">
        <v>1.4E-2</v>
      </c>
      <c r="AH159">
        <v>2</v>
      </c>
      <c r="AI159">
        <v>94189787</v>
      </c>
      <c r="AJ159">
        <v>159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</row>
    <row r="160" spans="1:44" x14ac:dyDescent="0.2">
      <c r="A160">
        <f>ROW(Source!A149)</f>
        <v>149</v>
      </c>
      <c r="B160">
        <v>94189788</v>
      </c>
      <c r="C160">
        <v>94189784</v>
      </c>
      <c r="D160">
        <v>90161318</v>
      </c>
      <c r="E160">
        <v>118</v>
      </c>
      <c r="F160">
        <v>1</v>
      </c>
      <c r="G160">
        <v>1</v>
      </c>
      <c r="H160">
        <v>3</v>
      </c>
      <c r="I160" t="s">
        <v>28</v>
      </c>
      <c r="J160" t="s">
        <v>3</v>
      </c>
      <c r="K160" t="s">
        <v>29</v>
      </c>
      <c r="L160">
        <v>1348</v>
      </c>
      <c r="N160">
        <v>1009</v>
      </c>
      <c r="O160" t="s">
        <v>30</v>
      </c>
      <c r="P160" t="s">
        <v>30</v>
      </c>
      <c r="Q160">
        <v>1000</v>
      </c>
      <c r="X160">
        <v>0.12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 t="s">
        <v>3</v>
      </c>
      <c r="AG160">
        <v>0.12</v>
      </c>
      <c r="AH160">
        <v>2</v>
      </c>
      <c r="AI160">
        <v>94189788</v>
      </c>
      <c r="AJ160">
        <v>160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</row>
    <row r="161" spans="1:44" x14ac:dyDescent="0.2">
      <c r="A161">
        <f>ROW(Source!A151)</f>
        <v>151</v>
      </c>
      <c r="B161">
        <v>94189677</v>
      </c>
      <c r="C161">
        <v>94189676</v>
      </c>
      <c r="D161">
        <v>87229759</v>
      </c>
      <c r="E161">
        <v>117</v>
      </c>
      <c r="F161">
        <v>1</v>
      </c>
      <c r="G161">
        <v>1</v>
      </c>
      <c r="H161">
        <v>1</v>
      </c>
      <c r="I161" t="s">
        <v>522</v>
      </c>
      <c r="J161" t="s">
        <v>3</v>
      </c>
      <c r="K161" t="s">
        <v>523</v>
      </c>
      <c r="L161">
        <v>1191</v>
      </c>
      <c r="N161">
        <v>1013</v>
      </c>
      <c r="O161" t="s">
        <v>428</v>
      </c>
      <c r="P161" t="s">
        <v>428</v>
      </c>
      <c r="Q161">
        <v>1</v>
      </c>
      <c r="X161">
        <v>310.42</v>
      </c>
      <c r="Y161">
        <v>0</v>
      </c>
      <c r="Z161">
        <v>0</v>
      </c>
      <c r="AA161">
        <v>0</v>
      </c>
      <c r="AB161">
        <v>665.61</v>
      </c>
      <c r="AC161">
        <v>0</v>
      </c>
      <c r="AD161">
        <v>1</v>
      </c>
      <c r="AE161">
        <v>1</v>
      </c>
      <c r="AF161" t="s">
        <v>243</v>
      </c>
      <c r="AG161">
        <v>356.983</v>
      </c>
      <c r="AH161">
        <v>2</v>
      </c>
      <c r="AI161">
        <v>94189677</v>
      </c>
      <c r="AJ161">
        <v>161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</row>
    <row r="162" spans="1:44" x14ac:dyDescent="0.2">
      <c r="A162">
        <f>ROW(Source!A151)</f>
        <v>151</v>
      </c>
      <c r="B162">
        <v>94189678</v>
      </c>
      <c r="C162">
        <v>94189676</v>
      </c>
      <c r="D162">
        <v>87229949</v>
      </c>
      <c r="E162">
        <v>117</v>
      </c>
      <c r="F162">
        <v>1</v>
      </c>
      <c r="G162">
        <v>1</v>
      </c>
      <c r="H162">
        <v>1</v>
      </c>
      <c r="I162" t="s">
        <v>429</v>
      </c>
      <c r="J162" t="s">
        <v>3</v>
      </c>
      <c r="K162" t="s">
        <v>430</v>
      </c>
      <c r="L162">
        <v>1191</v>
      </c>
      <c r="N162">
        <v>1013</v>
      </c>
      <c r="O162" t="s">
        <v>428</v>
      </c>
      <c r="P162" t="s">
        <v>428</v>
      </c>
      <c r="Q162">
        <v>1</v>
      </c>
      <c r="X162">
        <v>1.73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1</v>
      </c>
      <c r="AE162">
        <v>2</v>
      </c>
      <c r="AF162" t="s">
        <v>242</v>
      </c>
      <c r="AG162">
        <v>2.1625000000000001</v>
      </c>
      <c r="AH162">
        <v>2</v>
      </c>
      <c r="AI162">
        <v>94189678</v>
      </c>
      <c r="AJ162">
        <v>162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</row>
    <row r="163" spans="1:44" x14ac:dyDescent="0.2">
      <c r="A163">
        <f>ROW(Source!A151)</f>
        <v>151</v>
      </c>
      <c r="B163">
        <v>94189679</v>
      </c>
      <c r="C163">
        <v>94189676</v>
      </c>
      <c r="D163">
        <v>87236385</v>
      </c>
      <c r="E163">
        <v>1</v>
      </c>
      <c r="F163">
        <v>1</v>
      </c>
      <c r="G163">
        <v>1</v>
      </c>
      <c r="H163">
        <v>2</v>
      </c>
      <c r="I163" t="s">
        <v>524</v>
      </c>
      <c r="J163" t="s">
        <v>525</v>
      </c>
      <c r="K163" t="s">
        <v>526</v>
      </c>
      <c r="L163">
        <v>1368</v>
      </c>
      <c r="N163">
        <v>1011</v>
      </c>
      <c r="O163" t="s">
        <v>434</v>
      </c>
      <c r="P163" t="s">
        <v>434</v>
      </c>
      <c r="Q163">
        <v>1</v>
      </c>
      <c r="X163">
        <v>0.02</v>
      </c>
      <c r="Y163">
        <v>0</v>
      </c>
      <c r="Z163">
        <v>251.77</v>
      </c>
      <c r="AA163">
        <v>982.04</v>
      </c>
      <c r="AB163">
        <v>0</v>
      </c>
      <c r="AC163">
        <v>0</v>
      </c>
      <c r="AD163">
        <v>1</v>
      </c>
      <c r="AE163">
        <v>0</v>
      </c>
      <c r="AF163" t="s">
        <v>242</v>
      </c>
      <c r="AG163">
        <v>2.5000000000000001E-2</v>
      </c>
      <c r="AH163">
        <v>2</v>
      </c>
      <c r="AI163">
        <v>94189679</v>
      </c>
      <c r="AJ163">
        <v>163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</row>
    <row r="164" spans="1:44" x14ac:dyDescent="0.2">
      <c r="A164">
        <f>ROW(Source!A151)</f>
        <v>151</v>
      </c>
      <c r="B164">
        <v>94189680</v>
      </c>
      <c r="C164">
        <v>94189676</v>
      </c>
      <c r="D164">
        <v>87236438</v>
      </c>
      <c r="E164">
        <v>1</v>
      </c>
      <c r="F164">
        <v>1</v>
      </c>
      <c r="G164">
        <v>1</v>
      </c>
      <c r="H164">
        <v>2</v>
      </c>
      <c r="I164" t="s">
        <v>453</v>
      </c>
      <c r="J164" t="s">
        <v>454</v>
      </c>
      <c r="K164" t="s">
        <v>455</v>
      </c>
      <c r="L164">
        <v>1368</v>
      </c>
      <c r="N164">
        <v>1011</v>
      </c>
      <c r="O164" t="s">
        <v>434</v>
      </c>
      <c r="P164" t="s">
        <v>434</v>
      </c>
      <c r="Q164">
        <v>1</v>
      </c>
      <c r="X164">
        <v>0.01</v>
      </c>
      <c r="Y164">
        <v>0</v>
      </c>
      <c r="Z164">
        <v>1585.56</v>
      </c>
      <c r="AA164">
        <v>982.04</v>
      </c>
      <c r="AB164">
        <v>0</v>
      </c>
      <c r="AC164">
        <v>0</v>
      </c>
      <c r="AD164">
        <v>1</v>
      </c>
      <c r="AE164">
        <v>0</v>
      </c>
      <c r="AF164" t="s">
        <v>242</v>
      </c>
      <c r="AG164">
        <v>1.2500000000000001E-2</v>
      </c>
      <c r="AH164">
        <v>2</v>
      </c>
      <c r="AI164">
        <v>94189680</v>
      </c>
      <c r="AJ164">
        <v>164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</row>
    <row r="165" spans="1:44" x14ac:dyDescent="0.2">
      <c r="A165">
        <f>ROW(Source!A151)</f>
        <v>151</v>
      </c>
      <c r="B165">
        <v>94189681</v>
      </c>
      <c r="C165">
        <v>94189676</v>
      </c>
      <c r="D165">
        <v>87236730</v>
      </c>
      <c r="E165">
        <v>1</v>
      </c>
      <c r="F165">
        <v>1</v>
      </c>
      <c r="G165">
        <v>1</v>
      </c>
      <c r="H165">
        <v>2</v>
      </c>
      <c r="I165" t="s">
        <v>527</v>
      </c>
      <c r="J165" t="s">
        <v>528</v>
      </c>
      <c r="K165" t="s">
        <v>529</v>
      </c>
      <c r="L165">
        <v>1368</v>
      </c>
      <c r="N165">
        <v>1011</v>
      </c>
      <c r="O165" t="s">
        <v>434</v>
      </c>
      <c r="P165" t="s">
        <v>434</v>
      </c>
      <c r="Q165">
        <v>1</v>
      </c>
      <c r="X165">
        <v>1.69</v>
      </c>
      <c r="Y165">
        <v>0</v>
      </c>
      <c r="Z165">
        <v>2.31</v>
      </c>
      <c r="AA165">
        <v>649.24</v>
      </c>
      <c r="AB165">
        <v>0</v>
      </c>
      <c r="AC165">
        <v>0</v>
      </c>
      <c r="AD165">
        <v>1</v>
      </c>
      <c r="AE165">
        <v>0</v>
      </c>
      <c r="AF165" t="s">
        <v>242</v>
      </c>
      <c r="AG165">
        <v>2.1124999999999998</v>
      </c>
      <c r="AH165">
        <v>2</v>
      </c>
      <c r="AI165">
        <v>94189681</v>
      </c>
      <c r="AJ165">
        <v>165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</row>
    <row r="166" spans="1:44" x14ac:dyDescent="0.2">
      <c r="A166">
        <f>ROW(Source!A151)</f>
        <v>151</v>
      </c>
      <c r="B166">
        <v>94189682</v>
      </c>
      <c r="C166">
        <v>94189676</v>
      </c>
      <c r="D166">
        <v>87237333</v>
      </c>
      <c r="E166">
        <v>1</v>
      </c>
      <c r="F166">
        <v>1</v>
      </c>
      <c r="G166">
        <v>1</v>
      </c>
      <c r="H166">
        <v>2</v>
      </c>
      <c r="I166" t="s">
        <v>463</v>
      </c>
      <c r="J166" t="s">
        <v>464</v>
      </c>
      <c r="K166" t="s">
        <v>465</v>
      </c>
      <c r="L166">
        <v>1368</v>
      </c>
      <c r="N166">
        <v>1011</v>
      </c>
      <c r="O166" t="s">
        <v>434</v>
      </c>
      <c r="P166" t="s">
        <v>434</v>
      </c>
      <c r="Q166">
        <v>1</v>
      </c>
      <c r="X166">
        <v>0.01</v>
      </c>
      <c r="Y166">
        <v>0</v>
      </c>
      <c r="Z166">
        <v>544.91999999999996</v>
      </c>
      <c r="AA166">
        <v>731.08</v>
      </c>
      <c r="AB166">
        <v>0</v>
      </c>
      <c r="AC166">
        <v>0</v>
      </c>
      <c r="AD166">
        <v>1</v>
      </c>
      <c r="AE166">
        <v>0</v>
      </c>
      <c r="AF166" t="s">
        <v>242</v>
      </c>
      <c r="AG166">
        <v>1.2500000000000001E-2</v>
      </c>
      <c r="AH166">
        <v>2</v>
      </c>
      <c r="AI166">
        <v>94189682</v>
      </c>
      <c r="AJ166">
        <v>166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</row>
    <row r="167" spans="1:44" x14ac:dyDescent="0.2">
      <c r="A167">
        <f>ROW(Source!A151)</f>
        <v>151</v>
      </c>
      <c r="B167">
        <v>94189683</v>
      </c>
      <c r="C167">
        <v>94189676</v>
      </c>
      <c r="D167">
        <v>87304091</v>
      </c>
      <c r="E167">
        <v>1</v>
      </c>
      <c r="F167">
        <v>1</v>
      </c>
      <c r="G167">
        <v>1</v>
      </c>
      <c r="H167">
        <v>3</v>
      </c>
      <c r="I167" t="s">
        <v>467</v>
      </c>
      <c r="J167" t="s">
        <v>468</v>
      </c>
      <c r="K167" t="s">
        <v>469</v>
      </c>
      <c r="L167">
        <v>1339</v>
      </c>
      <c r="N167">
        <v>1007</v>
      </c>
      <c r="O167" t="s">
        <v>34</v>
      </c>
      <c r="P167" t="s">
        <v>34</v>
      </c>
      <c r="Q167">
        <v>1</v>
      </c>
      <c r="X167">
        <v>0.44</v>
      </c>
      <c r="Y167">
        <v>35.71</v>
      </c>
      <c r="Z167">
        <v>0</v>
      </c>
      <c r="AA167">
        <v>0</v>
      </c>
      <c r="AB167">
        <v>0</v>
      </c>
      <c r="AC167">
        <v>0</v>
      </c>
      <c r="AD167">
        <v>1</v>
      </c>
      <c r="AE167">
        <v>0</v>
      </c>
      <c r="AF167" t="s">
        <v>3</v>
      </c>
      <c r="AG167">
        <v>0.44</v>
      </c>
      <c r="AH167">
        <v>2</v>
      </c>
      <c r="AI167">
        <v>94189683</v>
      </c>
      <c r="AJ167">
        <v>167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</row>
    <row r="168" spans="1:44" x14ac:dyDescent="0.2">
      <c r="A168">
        <f>ROW(Source!A151)</f>
        <v>151</v>
      </c>
      <c r="B168">
        <v>94189684</v>
      </c>
      <c r="C168">
        <v>94189676</v>
      </c>
      <c r="D168">
        <v>87304103</v>
      </c>
      <c r="E168">
        <v>1</v>
      </c>
      <c r="F168">
        <v>1</v>
      </c>
      <c r="G168">
        <v>1</v>
      </c>
      <c r="H168">
        <v>3</v>
      </c>
      <c r="I168" t="s">
        <v>530</v>
      </c>
      <c r="J168" t="s">
        <v>531</v>
      </c>
      <c r="K168" t="s">
        <v>532</v>
      </c>
      <c r="L168">
        <v>1383</v>
      </c>
      <c r="N168">
        <v>1013</v>
      </c>
      <c r="O168" t="s">
        <v>533</v>
      </c>
      <c r="P168" t="s">
        <v>533</v>
      </c>
      <c r="Q168">
        <v>1</v>
      </c>
      <c r="X168">
        <v>3.2500000000000001E-2</v>
      </c>
      <c r="Y168">
        <v>6.92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0</v>
      </c>
      <c r="AF168" t="s">
        <v>3</v>
      </c>
      <c r="AG168">
        <v>3.2500000000000001E-2</v>
      </c>
      <c r="AH168">
        <v>2</v>
      </c>
      <c r="AI168">
        <v>94189684</v>
      </c>
      <c r="AJ168">
        <v>168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</row>
    <row r="169" spans="1:44" x14ac:dyDescent="0.2">
      <c r="A169">
        <f>ROW(Source!A151)</f>
        <v>151</v>
      </c>
      <c r="B169">
        <v>94189685</v>
      </c>
      <c r="C169">
        <v>94189676</v>
      </c>
      <c r="D169">
        <v>87308126</v>
      </c>
      <c r="E169">
        <v>1</v>
      </c>
      <c r="F169">
        <v>1</v>
      </c>
      <c r="G169">
        <v>1</v>
      </c>
      <c r="H169">
        <v>3</v>
      </c>
      <c r="I169" t="s">
        <v>261</v>
      </c>
      <c r="J169" t="s">
        <v>263</v>
      </c>
      <c r="K169" t="s">
        <v>262</v>
      </c>
      <c r="L169">
        <v>1348</v>
      </c>
      <c r="N169">
        <v>1009</v>
      </c>
      <c r="O169" t="s">
        <v>30</v>
      </c>
      <c r="P169" t="s">
        <v>30</v>
      </c>
      <c r="Q169">
        <v>1000</v>
      </c>
      <c r="X169">
        <v>1.2999999999999999E-2</v>
      </c>
      <c r="Y169">
        <v>73889</v>
      </c>
      <c r="Z169">
        <v>0</v>
      </c>
      <c r="AA169">
        <v>0</v>
      </c>
      <c r="AB169">
        <v>0</v>
      </c>
      <c r="AC169">
        <v>0</v>
      </c>
      <c r="AD169">
        <v>1</v>
      </c>
      <c r="AE169">
        <v>0</v>
      </c>
      <c r="AF169" t="s">
        <v>3</v>
      </c>
      <c r="AG169">
        <v>1.2999999999999999E-2</v>
      </c>
      <c r="AH169">
        <v>2</v>
      </c>
      <c r="AI169">
        <v>94189685</v>
      </c>
      <c r="AJ169">
        <v>169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</row>
    <row r="170" spans="1:44" x14ac:dyDescent="0.2">
      <c r="A170">
        <f>ROW(Source!A151)</f>
        <v>151</v>
      </c>
      <c r="B170">
        <v>94189686</v>
      </c>
      <c r="C170">
        <v>94189676</v>
      </c>
      <c r="D170">
        <v>87231917</v>
      </c>
      <c r="E170">
        <v>117</v>
      </c>
      <c r="F170">
        <v>1</v>
      </c>
      <c r="G170">
        <v>1</v>
      </c>
      <c r="H170">
        <v>3</v>
      </c>
      <c r="I170" t="s">
        <v>618</v>
      </c>
      <c r="J170" t="s">
        <v>3</v>
      </c>
      <c r="K170" t="s">
        <v>619</v>
      </c>
      <c r="L170">
        <v>1327</v>
      </c>
      <c r="N170">
        <v>1005</v>
      </c>
      <c r="O170" t="s">
        <v>60</v>
      </c>
      <c r="P170" t="s">
        <v>60</v>
      </c>
      <c r="Q170">
        <v>1</v>
      </c>
      <c r="X170">
        <v>102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 t="s">
        <v>3</v>
      </c>
      <c r="AG170">
        <v>102</v>
      </c>
      <c r="AH170">
        <v>3</v>
      </c>
      <c r="AI170">
        <v>-1</v>
      </c>
      <c r="AJ170" t="s">
        <v>3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</row>
    <row r="171" spans="1:44" x14ac:dyDescent="0.2">
      <c r="A171">
        <f>ROW(Source!A151)</f>
        <v>151</v>
      </c>
      <c r="B171">
        <v>94189687</v>
      </c>
      <c r="C171">
        <v>94189676</v>
      </c>
      <c r="D171">
        <v>87232912</v>
      </c>
      <c r="E171">
        <v>117</v>
      </c>
      <c r="F171">
        <v>1</v>
      </c>
      <c r="G171">
        <v>1</v>
      </c>
      <c r="H171">
        <v>3</v>
      </c>
      <c r="I171" t="s">
        <v>620</v>
      </c>
      <c r="J171" t="s">
        <v>3</v>
      </c>
      <c r="K171" t="s">
        <v>621</v>
      </c>
      <c r="L171">
        <v>1339</v>
      </c>
      <c r="N171">
        <v>1007</v>
      </c>
      <c r="O171" t="s">
        <v>34</v>
      </c>
      <c r="P171" t="s">
        <v>34</v>
      </c>
      <c r="Q171">
        <v>1</v>
      </c>
      <c r="X171">
        <v>0.01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 t="s">
        <v>3</v>
      </c>
      <c r="AG171">
        <v>0.01</v>
      </c>
      <c r="AH171">
        <v>3</v>
      </c>
      <c r="AI171">
        <v>-1</v>
      </c>
      <c r="AJ171" t="s">
        <v>3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</row>
    <row r="172" spans="1:44" x14ac:dyDescent="0.2">
      <c r="A172">
        <f>ROW(Source!A151)</f>
        <v>151</v>
      </c>
      <c r="B172">
        <v>94189688</v>
      </c>
      <c r="C172">
        <v>94189676</v>
      </c>
      <c r="D172">
        <v>87233517</v>
      </c>
      <c r="E172">
        <v>117</v>
      </c>
      <c r="F172">
        <v>1</v>
      </c>
      <c r="G172">
        <v>1</v>
      </c>
      <c r="H172">
        <v>3</v>
      </c>
      <c r="I172" t="s">
        <v>622</v>
      </c>
      <c r="J172" t="s">
        <v>3</v>
      </c>
      <c r="K172" t="s">
        <v>623</v>
      </c>
      <c r="L172">
        <v>1348</v>
      </c>
      <c r="N172">
        <v>1009</v>
      </c>
      <c r="O172" t="s">
        <v>30</v>
      </c>
      <c r="P172" t="s">
        <v>30</v>
      </c>
      <c r="Q172">
        <v>1000</v>
      </c>
      <c r="X172">
        <v>1.2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 t="s">
        <v>3</v>
      </c>
      <c r="AG172">
        <v>1.2</v>
      </c>
      <c r="AH172">
        <v>3</v>
      </c>
      <c r="AI172">
        <v>-1</v>
      </c>
      <c r="AJ172" t="s">
        <v>3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</row>
    <row r="173" spans="1:44" x14ac:dyDescent="0.2">
      <c r="A173">
        <f>ROW(Source!A151)</f>
        <v>151</v>
      </c>
      <c r="B173">
        <v>94189689</v>
      </c>
      <c r="C173">
        <v>94189676</v>
      </c>
      <c r="D173">
        <v>87233684</v>
      </c>
      <c r="E173">
        <v>117</v>
      </c>
      <c r="F173">
        <v>1</v>
      </c>
      <c r="G173">
        <v>1</v>
      </c>
      <c r="H173">
        <v>3</v>
      </c>
      <c r="I173" t="s">
        <v>254</v>
      </c>
      <c r="J173" t="s">
        <v>3</v>
      </c>
      <c r="K173" t="s">
        <v>255</v>
      </c>
      <c r="L173">
        <v>1348</v>
      </c>
      <c r="N173">
        <v>1009</v>
      </c>
      <c r="O173" t="s">
        <v>30</v>
      </c>
      <c r="P173" t="s">
        <v>30</v>
      </c>
      <c r="Q173">
        <v>1000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1</v>
      </c>
      <c r="AD173">
        <v>0</v>
      </c>
      <c r="AE173">
        <v>0</v>
      </c>
      <c r="AF173" t="s">
        <v>3</v>
      </c>
      <c r="AG173">
        <v>0</v>
      </c>
      <c r="AH173">
        <v>2</v>
      </c>
      <c r="AI173">
        <v>94189689</v>
      </c>
      <c r="AJ173">
        <v>173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</row>
    <row r="174" spans="1:44" x14ac:dyDescent="0.2">
      <c r="A174">
        <f>ROW(Source!A156)</f>
        <v>156</v>
      </c>
      <c r="B174">
        <v>94190004</v>
      </c>
      <c r="C174">
        <v>94190003</v>
      </c>
      <c r="D174">
        <v>87229773</v>
      </c>
      <c r="E174">
        <v>117</v>
      </c>
      <c r="F174">
        <v>1</v>
      </c>
      <c r="G174">
        <v>1</v>
      </c>
      <c r="H174">
        <v>1</v>
      </c>
      <c r="I174" t="s">
        <v>578</v>
      </c>
      <c r="J174" t="s">
        <v>3</v>
      </c>
      <c r="K174" t="s">
        <v>579</v>
      </c>
      <c r="L174">
        <v>1191</v>
      </c>
      <c r="N174">
        <v>1013</v>
      </c>
      <c r="O174" t="s">
        <v>428</v>
      </c>
      <c r="P174" t="s">
        <v>428</v>
      </c>
      <c r="Q174">
        <v>1</v>
      </c>
      <c r="X174">
        <v>29.41</v>
      </c>
      <c r="Y174">
        <v>0</v>
      </c>
      <c r="Z174">
        <v>0</v>
      </c>
      <c r="AA174">
        <v>0</v>
      </c>
      <c r="AB174">
        <v>714.71</v>
      </c>
      <c r="AC174">
        <v>0</v>
      </c>
      <c r="AD174">
        <v>1</v>
      </c>
      <c r="AE174">
        <v>1</v>
      </c>
      <c r="AF174" t="s">
        <v>243</v>
      </c>
      <c r="AG174">
        <v>33.8215</v>
      </c>
      <c r="AH174">
        <v>2</v>
      </c>
      <c r="AI174">
        <v>94190004</v>
      </c>
      <c r="AJ174">
        <v>174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</row>
    <row r="175" spans="1:44" x14ac:dyDescent="0.2">
      <c r="A175">
        <f>ROW(Source!A156)</f>
        <v>156</v>
      </c>
      <c r="B175">
        <v>94190005</v>
      </c>
      <c r="C175">
        <v>94190003</v>
      </c>
      <c r="D175">
        <v>87229949</v>
      </c>
      <c r="E175">
        <v>117</v>
      </c>
      <c r="F175">
        <v>1</v>
      </c>
      <c r="G175">
        <v>1</v>
      </c>
      <c r="H175">
        <v>1</v>
      </c>
      <c r="I175" t="s">
        <v>429</v>
      </c>
      <c r="J175" t="s">
        <v>3</v>
      </c>
      <c r="K175" t="s">
        <v>430</v>
      </c>
      <c r="L175">
        <v>1191</v>
      </c>
      <c r="N175">
        <v>1013</v>
      </c>
      <c r="O175" t="s">
        <v>428</v>
      </c>
      <c r="P175" t="s">
        <v>428</v>
      </c>
      <c r="Q175">
        <v>1</v>
      </c>
      <c r="X175">
        <v>0.31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1</v>
      </c>
      <c r="AE175">
        <v>2</v>
      </c>
      <c r="AF175" t="s">
        <v>242</v>
      </c>
      <c r="AG175">
        <v>0.38750000000000001</v>
      </c>
      <c r="AH175">
        <v>2</v>
      </c>
      <c r="AI175">
        <v>94190005</v>
      </c>
      <c r="AJ175">
        <v>175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</row>
    <row r="176" spans="1:44" x14ac:dyDescent="0.2">
      <c r="A176">
        <f>ROW(Source!A156)</f>
        <v>156</v>
      </c>
      <c r="B176">
        <v>94190006</v>
      </c>
      <c r="C176">
        <v>94190003</v>
      </c>
      <c r="D176">
        <v>87236625</v>
      </c>
      <c r="E176">
        <v>1</v>
      </c>
      <c r="F176">
        <v>1</v>
      </c>
      <c r="G176">
        <v>1</v>
      </c>
      <c r="H176">
        <v>2</v>
      </c>
      <c r="I176" t="s">
        <v>431</v>
      </c>
      <c r="J176" t="s">
        <v>432</v>
      </c>
      <c r="K176" t="s">
        <v>433</v>
      </c>
      <c r="L176">
        <v>1368</v>
      </c>
      <c r="N176">
        <v>1011</v>
      </c>
      <c r="O176" t="s">
        <v>434</v>
      </c>
      <c r="P176" t="s">
        <v>434</v>
      </c>
      <c r="Q176">
        <v>1</v>
      </c>
      <c r="X176">
        <v>0.01</v>
      </c>
      <c r="Y176">
        <v>0</v>
      </c>
      <c r="Z176">
        <v>37.32</v>
      </c>
      <c r="AA176">
        <v>649.24</v>
      </c>
      <c r="AB176">
        <v>0</v>
      </c>
      <c r="AC176">
        <v>0</v>
      </c>
      <c r="AD176">
        <v>1</v>
      </c>
      <c r="AE176">
        <v>0</v>
      </c>
      <c r="AF176" t="s">
        <v>242</v>
      </c>
      <c r="AG176">
        <v>1.2500000000000001E-2</v>
      </c>
      <c r="AH176">
        <v>2</v>
      </c>
      <c r="AI176">
        <v>94190006</v>
      </c>
      <c r="AJ176">
        <v>176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</row>
    <row r="177" spans="1:44" x14ac:dyDescent="0.2">
      <c r="A177">
        <f>ROW(Source!A156)</f>
        <v>156</v>
      </c>
      <c r="B177">
        <v>94190007</v>
      </c>
      <c r="C177">
        <v>94190003</v>
      </c>
      <c r="D177">
        <v>87237333</v>
      </c>
      <c r="E177">
        <v>1</v>
      </c>
      <c r="F177">
        <v>1</v>
      </c>
      <c r="G177">
        <v>1</v>
      </c>
      <c r="H177">
        <v>2</v>
      </c>
      <c r="I177" t="s">
        <v>463</v>
      </c>
      <c r="J177" t="s">
        <v>464</v>
      </c>
      <c r="K177" t="s">
        <v>465</v>
      </c>
      <c r="L177">
        <v>1368</v>
      </c>
      <c r="N177">
        <v>1011</v>
      </c>
      <c r="O177" t="s">
        <v>434</v>
      </c>
      <c r="P177" t="s">
        <v>434</v>
      </c>
      <c r="Q177">
        <v>1</v>
      </c>
      <c r="X177">
        <v>0.3</v>
      </c>
      <c r="Y177">
        <v>0</v>
      </c>
      <c r="Z177">
        <v>544.91999999999996</v>
      </c>
      <c r="AA177">
        <v>731.08</v>
      </c>
      <c r="AB177">
        <v>0</v>
      </c>
      <c r="AC177">
        <v>0</v>
      </c>
      <c r="AD177">
        <v>1</v>
      </c>
      <c r="AE177">
        <v>0</v>
      </c>
      <c r="AF177" t="s">
        <v>242</v>
      </c>
      <c r="AG177">
        <v>0.375</v>
      </c>
      <c r="AH177">
        <v>2</v>
      </c>
      <c r="AI177">
        <v>94190007</v>
      </c>
      <c r="AJ177">
        <v>177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</row>
    <row r="178" spans="1:44" x14ac:dyDescent="0.2">
      <c r="A178">
        <f>ROW(Source!A156)</f>
        <v>156</v>
      </c>
      <c r="B178">
        <v>94190008</v>
      </c>
      <c r="C178">
        <v>94190003</v>
      </c>
      <c r="D178">
        <v>87304091</v>
      </c>
      <c r="E178">
        <v>1</v>
      </c>
      <c r="F178">
        <v>1</v>
      </c>
      <c r="G178">
        <v>1</v>
      </c>
      <c r="H178">
        <v>3</v>
      </c>
      <c r="I178" t="s">
        <v>467</v>
      </c>
      <c r="J178" t="s">
        <v>468</v>
      </c>
      <c r="K178" t="s">
        <v>469</v>
      </c>
      <c r="L178">
        <v>1339</v>
      </c>
      <c r="N178">
        <v>1007</v>
      </c>
      <c r="O178" t="s">
        <v>34</v>
      </c>
      <c r="P178" t="s">
        <v>34</v>
      </c>
      <c r="Q178">
        <v>1</v>
      </c>
      <c r="X178">
        <v>0.01</v>
      </c>
      <c r="Y178">
        <v>35.71</v>
      </c>
      <c r="Z178">
        <v>0</v>
      </c>
      <c r="AA178">
        <v>0</v>
      </c>
      <c r="AB178">
        <v>0</v>
      </c>
      <c r="AC178">
        <v>0</v>
      </c>
      <c r="AD178">
        <v>1</v>
      </c>
      <c r="AE178">
        <v>0</v>
      </c>
      <c r="AF178" t="s">
        <v>3</v>
      </c>
      <c r="AG178">
        <v>0.01</v>
      </c>
      <c r="AH178">
        <v>2</v>
      </c>
      <c r="AI178">
        <v>94190008</v>
      </c>
      <c r="AJ178">
        <v>178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</row>
    <row r="179" spans="1:44" x14ac:dyDescent="0.2">
      <c r="A179">
        <f>ROW(Source!A156)</f>
        <v>156</v>
      </c>
      <c r="B179">
        <v>94190009</v>
      </c>
      <c r="C179">
        <v>94190003</v>
      </c>
      <c r="D179">
        <v>87304103</v>
      </c>
      <c r="E179">
        <v>1</v>
      </c>
      <c r="F179">
        <v>1</v>
      </c>
      <c r="G179">
        <v>1</v>
      </c>
      <c r="H179">
        <v>3</v>
      </c>
      <c r="I179" t="s">
        <v>530</v>
      </c>
      <c r="J179" t="s">
        <v>531</v>
      </c>
      <c r="K179" t="s">
        <v>532</v>
      </c>
      <c r="L179">
        <v>1383</v>
      </c>
      <c r="N179">
        <v>1013</v>
      </c>
      <c r="O179" t="s">
        <v>533</v>
      </c>
      <c r="P179" t="s">
        <v>533</v>
      </c>
      <c r="Q179">
        <v>1</v>
      </c>
      <c r="X179">
        <v>0.09</v>
      </c>
      <c r="Y179">
        <v>6.92</v>
      </c>
      <c r="Z179">
        <v>0</v>
      </c>
      <c r="AA179">
        <v>0</v>
      </c>
      <c r="AB179">
        <v>0</v>
      </c>
      <c r="AC179">
        <v>0</v>
      </c>
      <c r="AD179">
        <v>1</v>
      </c>
      <c r="AE179">
        <v>0</v>
      </c>
      <c r="AF179" t="s">
        <v>3</v>
      </c>
      <c r="AG179">
        <v>0.09</v>
      </c>
      <c r="AH179">
        <v>2</v>
      </c>
      <c r="AI179">
        <v>94190009</v>
      </c>
      <c r="AJ179">
        <v>179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</row>
    <row r="180" spans="1:44" x14ac:dyDescent="0.2">
      <c r="A180">
        <f>ROW(Source!A156)</f>
        <v>156</v>
      </c>
      <c r="B180">
        <v>94190010</v>
      </c>
      <c r="C180">
        <v>94190003</v>
      </c>
      <c r="D180">
        <v>87231193</v>
      </c>
      <c r="E180">
        <v>117</v>
      </c>
      <c r="F180">
        <v>1</v>
      </c>
      <c r="G180">
        <v>1</v>
      </c>
      <c r="H180">
        <v>3</v>
      </c>
      <c r="I180" t="s">
        <v>630</v>
      </c>
      <c r="J180" t="s">
        <v>3</v>
      </c>
      <c r="K180" t="s">
        <v>631</v>
      </c>
      <c r="L180">
        <v>1348</v>
      </c>
      <c r="N180">
        <v>1009</v>
      </c>
      <c r="O180" t="s">
        <v>30</v>
      </c>
      <c r="P180" t="s">
        <v>30</v>
      </c>
      <c r="Q180">
        <v>1000</v>
      </c>
      <c r="X180">
        <v>0.01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 t="s">
        <v>3</v>
      </c>
      <c r="AG180">
        <v>0.01</v>
      </c>
      <c r="AH180">
        <v>3</v>
      </c>
      <c r="AI180">
        <v>-1</v>
      </c>
      <c r="AJ180" t="s">
        <v>3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</row>
    <row r="181" spans="1:44" x14ac:dyDescent="0.2">
      <c r="A181">
        <f>ROW(Source!A156)</f>
        <v>156</v>
      </c>
      <c r="B181">
        <v>94190011</v>
      </c>
      <c r="C181">
        <v>94190003</v>
      </c>
      <c r="D181">
        <v>87231919</v>
      </c>
      <c r="E181">
        <v>117</v>
      </c>
      <c r="F181">
        <v>1</v>
      </c>
      <c r="G181">
        <v>1</v>
      </c>
      <c r="H181">
        <v>3</v>
      </c>
      <c r="I181" t="s">
        <v>618</v>
      </c>
      <c r="J181" t="s">
        <v>3</v>
      </c>
      <c r="K181" t="s">
        <v>632</v>
      </c>
      <c r="L181">
        <v>1327</v>
      </c>
      <c r="N181">
        <v>1005</v>
      </c>
      <c r="O181" t="s">
        <v>60</v>
      </c>
      <c r="P181" t="s">
        <v>60</v>
      </c>
      <c r="Q181">
        <v>1</v>
      </c>
      <c r="X181">
        <v>10.199999999999999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 t="s">
        <v>3</v>
      </c>
      <c r="AG181">
        <v>10.199999999999999</v>
      </c>
      <c r="AH181">
        <v>3</v>
      </c>
      <c r="AI181">
        <v>-1</v>
      </c>
      <c r="AJ181" t="s">
        <v>3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</row>
    <row r="182" spans="1:44" x14ac:dyDescent="0.2">
      <c r="A182">
        <f>ROW(Source!A156)</f>
        <v>156</v>
      </c>
      <c r="B182">
        <v>94190012</v>
      </c>
      <c r="C182">
        <v>94190003</v>
      </c>
      <c r="D182">
        <v>87233517</v>
      </c>
      <c r="E182">
        <v>117</v>
      </c>
      <c r="F182">
        <v>1</v>
      </c>
      <c r="G182">
        <v>1</v>
      </c>
      <c r="H182">
        <v>3</v>
      </c>
      <c r="I182" t="s">
        <v>622</v>
      </c>
      <c r="J182" t="s">
        <v>3</v>
      </c>
      <c r="K182" t="s">
        <v>623</v>
      </c>
      <c r="L182">
        <v>1348</v>
      </c>
      <c r="N182">
        <v>1009</v>
      </c>
      <c r="O182" t="s">
        <v>30</v>
      </c>
      <c r="P182" t="s">
        <v>30</v>
      </c>
      <c r="Q182">
        <v>1000</v>
      </c>
      <c r="X182">
        <v>0.04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 t="s">
        <v>3</v>
      </c>
      <c r="AG182">
        <v>0.04</v>
      </c>
      <c r="AH182">
        <v>3</v>
      </c>
      <c r="AI182">
        <v>-1</v>
      </c>
      <c r="AJ182" t="s">
        <v>3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</row>
    <row r="183" spans="1:44" x14ac:dyDescent="0.2">
      <c r="A183">
        <f>ROW(Source!A195)</f>
        <v>195</v>
      </c>
      <c r="B183">
        <v>94189771</v>
      </c>
      <c r="C183">
        <v>94189758</v>
      </c>
      <c r="D183">
        <v>37069580</v>
      </c>
      <c r="E183">
        <v>117</v>
      </c>
      <c r="F183">
        <v>1</v>
      </c>
      <c r="G183">
        <v>1</v>
      </c>
      <c r="H183">
        <v>1</v>
      </c>
      <c r="I183" t="s">
        <v>547</v>
      </c>
      <c r="J183" t="s">
        <v>3</v>
      </c>
      <c r="K183" t="s">
        <v>548</v>
      </c>
      <c r="L183">
        <v>1191</v>
      </c>
      <c r="N183">
        <v>1013</v>
      </c>
      <c r="O183" t="s">
        <v>428</v>
      </c>
      <c r="P183" t="s">
        <v>428</v>
      </c>
      <c r="Q183">
        <v>1</v>
      </c>
      <c r="X183">
        <v>26.3</v>
      </c>
      <c r="Y183">
        <v>0</v>
      </c>
      <c r="Z183">
        <v>0</v>
      </c>
      <c r="AA183">
        <v>0</v>
      </c>
      <c r="AB183">
        <v>657.42</v>
      </c>
      <c r="AC183">
        <v>0</v>
      </c>
      <c r="AD183">
        <v>1</v>
      </c>
      <c r="AE183">
        <v>1</v>
      </c>
      <c r="AF183" t="s">
        <v>3</v>
      </c>
      <c r="AG183">
        <v>26.3</v>
      </c>
      <c r="AH183">
        <v>2</v>
      </c>
      <c r="AI183">
        <v>94189759</v>
      </c>
      <c r="AJ183">
        <v>183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</row>
    <row r="184" spans="1:44" x14ac:dyDescent="0.2">
      <c r="A184">
        <f>ROW(Source!A195)</f>
        <v>195</v>
      </c>
      <c r="B184">
        <v>94189772</v>
      </c>
      <c r="C184">
        <v>94189758</v>
      </c>
      <c r="D184">
        <v>37064876</v>
      </c>
      <c r="E184">
        <v>117</v>
      </c>
      <c r="F184">
        <v>1</v>
      </c>
      <c r="G184">
        <v>1</v>
      </c>
      <c r="H184">
        <v>1</v>
      </c>
      <c r="I184" t="s">
        <v>429</v>
      </c>
      <c r="J184" t="s">
        <v>3</v>
      </c>
      <c r="K184" t="s">
        <v>430</v>
      </c>
      <c r="L184">
        <v>1191</v>
      </c>
      <c r="N184">
        <v>1013</v>
      </c>
      <c r="O184" t="s">
        <v>428</v>
      </c>
      <c r="P184" t="s">
        <v>428</v>
      </c>
      <c r="Q184">
        <v>1</v>
      </c>
      <c r="X184">
        <v>0.16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1</v>
      </c>
      <c r="AE184">
        <v>2</v>
      </c>
      <c r="AF184" t="s">
        <v>3</v>
      </c>
      <c r="AG184">
        <v>0.16</v>
      </c>
      <c r="AH184">
        <v>2</v>
      </c>
      <c r="AI184">
        <v>94189760</v>
      </c>
      <c r="AJ184">
        <v>184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</row>
    <row r="185" spans="1:44" x14ac:dyDescent="0.2">
      <c r="A185">
        <f>ROW(Source!A195)</f>
        <v>195</v>
      </c>
      <c r="B185">
        <v>94189773</v>
      </c>
      <c r="C185">
        <v>94189758</v>
      </c>
      <c r="D185">
        <v>87236625</v>
      </c>
      <c r="E185">
        <v>1</v>
      </c>
      <c r="F185">
        <v>1</v>
      </c>
      <c r="G185">
        <v>1</v>
      </c>
      <c r="H185">
        <v>2</v>
      </c>
      <c r="I185" t="s">
        <v>431</v>
      </c>
      <c r="J185" t="s">
        <v>432</v>
      </c>
      <c r="K185" t="s">
        <v>433</v>
      </c>
      <c r="L185">
        <v>1368</v>
      </c>
      <c r="N185">
        <v>1011</v>
      </c>
      <c r="O185" t="s">
        <v>434</v>
      </c>
      <c r="P185" t="s">
        <v>434</v>
      </c>
      <c r="Q185">
        <v>1</v>
      </c>
      <c r="X185">
        <v>0.1</v>
      </c>
      <c r="Y185">
        <v>0</v>
      </c>
      <c r="Z185">
        <v>37.32</v>
      </c>
      <c r="AA185">
        <v>649.24</v>
      </c>
      <c r="AB185">
        <v>0</v>
      </c>
      <c r="AC185">
        <v>0</v>
      </c>
      <c r="AD185">
        <v>1</v>
      </c>
      <c r="AE185">
        <v>0</v>
      </c>
      <c r="AF185" t="s">
        <v>3</v>
      </c>
      <c r="AG185">
        <v>0.1</v>
      </c>
      <c r="AH185">
        <v>2</v>
      </c>
      <c r="AI185">
        <v>94189761</v>
      </c>
      <c r="AJ185">
        <v>185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</row>
    <row r="186" spans="1:44" x14ac:dyDescent="0.2">
      <c r="A186">
        <f>ROW(Source!A195)</f>
        <v>195</v>
      </c>
      <c r="B186">
        <v>94189774</v>
      </c>
      <c r="C186">
        <v>94189758</v>
      </c>
      <c r="D186">
        <v>87237333</v>
      </c>
      <c r="E186">
        <v>1</v>
      </c>
      <c r="F186">
        <v>1</v>
      </c>
      <c r="G186">
        <v>1</v>
      </c>
      <c r="H186">
        <v>2</v>
      </c>
      <c r="I186" t="s">
        <v>463</v>
      </c>
      <c r="J186" t="s">
        <v>464</v>
      </c>
      <c r="K186" t="s">
        <v>465</v>
      </c>
      <c r="L186">
        <v>1368</v>
      </c>
      <c r="N186">
        <v>1011</v>
      </c>
      <c r="O186" t="s">
        <v>434</v>
      </c>
      <c r="P186" t="s">
        <v>434</v>
      </c>
      <c r="Q186">
        <v>1</v>
      </c>
      <c r="X186">
        <v>0.06</v>
      </c>
      <c r="Y186">
        <v>0</v>
      </c>
      <c r="Z186">
        <v>544.91999999999996</v>
      </c>
      <c r="AA186">
        <v>731.08</v>
      </c>
      <c r="AB186">
        <v>0</v>
      </c>
      <c r="AC186">
        <v>0</v>
      </c>
      <c r="AD186">
        <v>1</v>
      </c>
      <c r="AE186">
        <v>0</v>
      </c>
      <c r="AF186" t="s">
        <v>3</v>
      </c>
      <c r="AG186">
        <v>0.06</v>
      </c>
      <c r="AH186">
        <v>2</v>
      </c>
      <c r="AI186">
        <v>94189762</v>
      </c>
      <c r="AJ186">
        <v>186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</row>
    <row r="187" spans="1:44" x14ac:dyDescent="0.2">
      <c r="A187">
        <f>ROW(Source!A195)</f>
        <v>195</v>
      </c>
      <c r="B187">
        <v>94189775</v>
      </c>
      <c r="C187">
        <v>94189758</v>
      </c>
      <c r="D187">
        <v>87304091</v>
      </c>
      <c r="E187">
        <v>1</v>
      </c>
      <c r="F187">
        <v>1</v>
      </c>
      <c r="G187">
        <v>1</v>
      </c>
      <c r="H187">
        <v>3</v>
      </c>
      <c r="I187" t="s">
        <v>467</v>
      </c>
      <c r="J187" t="s">
        <v>468</v>
      </c>
      <c r="K187" t="s">
        <v>469</v>
      </c>
      <c r="L187">
        <v>1339</v>
      </c>
      <c r="N187">
        <v>1007</v>
      </c>
      <c r="O187" t="s">
        <v>34</v>
      </c>
      <c r="P187" t="s">
        <v>34</v>
      </c>
      <c r="Q187">
        <v>1</v>
      </c>
      <c r="X187">
        <v>0.4</v>
      </c>
      <c r="Y187">
        <v>35.71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0</v>
      </c>
      <c r="AF187" t="s">
        <v>3</v>
      </c>
      <c r="AG187">
        <v>0.4</v>
      </c>
      <c r="AH187">
        <v>2</v>
      </c>
      <c r="AI187">
        <v>94189763</v>
      </c>
      <c r="AJ187">
        <v>187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</row>
    <row r="188" spans="1:44" x14ac:dyDescent="0.2">
      <c r="A188">
        <f>ROW(Source!A195)</f>
        <v>195</v>
      </c>
      <c r="B188">
        <v>94189776</v>
      </c>
      <c r="C188">
        <v>94189758</v>
      </c>
      <c r="D188">
        <v>87304388</v>
      </c>
      <c r="E188">
        <v>1</v>
      </c>
      <c r="F188">
        <v>1</v>
      </c>
      <c r="G188">
        <v>1</v>
      </c>
      <c r="H188">
        <v>3</v>
      </c>
      <c r="I188" t="s">
        <v>558</v>
      </c>
      <c r="J188" t="s">
        <v>559</v>
      </c>
      <c r="K188" t="s">
        <v>560</v>
      </c>
      <c r="L188">
        <v>1371</v>
      </c>
      <c r="N188">
        <v>1013</v>
      </c>
      <c r="O188" t="s">
        <v>279</v>
      </c>
      <c r="P188" t="s">
        <v>279</v>
      </c>
      <c r="Q188">
        <v>1</v>
      </c>
      <c r="X188">
        <v>3.2</v>
      </c>
      <c r="Y188">
        <v>18.59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0</v>
      </c>
      <c r="AF188" t="s">
        <v>3</v>
      </c>
      <c r="AG188">
        <v>3.2</v>
      </c>
      <c r="AH188">
        <v>2</v>
      </c>
      <c r="AI188">
        <v>94189764</v>
      </c>
      <c r="AJ188">
        <v>188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</row>
    <row r="189" spans="1:44" x14ac:dyDescent="0.2">
      <c r="A189">
        <f>ROW(Source!A195)</f>
        <v>195</v>
      </c>
      <c r="B189">
        <v>94189777</v>
      </c>
      <c r="C189">
        <v>94189758</v>
      </c>
      <c r="D189">
        <v>87304588</v>
      </c>
      <c r="E189">
        <v>1</v>
      </c>
      <c r="F189">
        <v>1</v>
      </c>
      <c r="G189">
        <v>1</v>
      </c>
      <c r="H189">
        <v>3</v>
      </c>
      <c r="I189" t="s">
        <v>561</v>
      </c>
      <c r="J189" t="s">
        <v>562</v>
      </c>
      <c r="K189" t="s">
        <v>563</v>
      </c>
      <c r="L189">
        <v>1348</v>
      </c>
      <c r="N189">
        <v>1009</v>
      </c>
      <c r="O189" t="s">
        <v>30</v>
      </c>
      <c r="P189" t="s">
        <v>30</v>
      </c>
      <c r="Q189">
        <v>1000</v>
      </c>
      <c r="X189">
        <v>1.2E-2</v>
      </c>
      <c r="Y189">
        <v>3616.92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 t="s">
        <v>3</v>
      </c>
      <c r="AG189">
        <v>1.2E-2</v>
      </c>
      <c r="AH189">
        <v>2</v>
      </c>
      <c r="AI189">
        <v>94189765</v>
      </c>
      <c r="AJ189">
        <v>189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</row>
    <row r="190" spans="1:44" x14ac:dyDescent="0.2">
      <c r="A190">
        <f>ROW(Source!A195)</f>
        <v>195</v>
      </c>
      <c r="B190">
        <v>94189778</v>
      </c>
      <c r="C190">
        <v>94189758</v>
      </c>
      <c r="D190">
        <v>87304694</v>
      </c>
      <c r="E190">
        <v>1</v>
      </c>
      <c r="F190">
        <v>1</v>
      </c>
      <c r="G190">
        <v>1</v>
      </c>
      <c r="H190">
        <v>3</v>
      </c>
      <c r="I190" t="s">
        <v>564</v>
      </c>
      <c r="J190" t="s">
        <v>565</v>
      </c>
      <c r="K190" t="s">
        <v>566</v>
      </c>
      <c r="L190">
        <v>1346</v>
      </c>
      <c r="N190">
        <v>1009</v>
      </c>
      <c r="O190" t="s">
        <v>96</v>
      </c>
      <c r="P190" t="s">
        <v>96</v>
      </c>
      <c r="Q190">
        <v>1</v>
      </c>
      <c r="X190">
        <v>2.64</v>
      </c>
      <c r="Y190">
        <v>2507.62</v>
      </c>
      <c r="Z190">
        <v>0</v>
      </c>
      <c r="AA190">
        <v>0</v>
      </c>
      <c r="AB190">
        <v>0</v>
      </c>
      <c r="AC190">
        <v>0</v>
      </c>
      <c r="AD190">
        <v>1</v>
      </c>
      <c r="AE190">
        <v>0</v>
      </c>
      <c r="AF190" t="s">
        <v>3</v>
      </c>
      <c r="AG190">
        <v>2.64</v>
      </c>
      <c r="AH190">
        <v>2</v>
      </c>
      <c r="AI190">
        <v>94189766</v>
      </c>
      <c r="AJ190">
        <v>190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</row>
    <row r="191" spans="1:44" x14ac:dyDescent="0.2">
      <c r="A191">
        <f>ROW(Source!A195)</f>
        <v>195</v>
      </c>
      <c r="B191">
        <v>94189779</v>
      </c>
      <c r="C191">
        <v>94189758</v>
      </c>
      <c r="D191">
        <v>87306387</v>
      </c>
      <c r="E191">
        <v>1</v>
      </c>
      <c r="F191">
        <v>1</v>
      </c>
      <c r="G191">
        <v>1</v>
      </c>
      <c r="H191">
        <v>3</v>
      </c>
      <c r="I191" t="s">
        <v>567</v>
      </c>
      <c r="J191" t="s">
        <v>568</v>
      </c>
      <c r="K191" t="s">
        <v>569</v>
      </c>
      <c r="L191">
        <v>1327</v>
      </c>
      <c r="N191">
        <v>1005</v>
      </c>
      <c r="O191" t="s">
        <v>60</v>
      </c>
      <c r="P191" t="s">
        <v>60</v>
      </c>
      <c r="Q191">
        <v>1</v>
      </c>
      <c r="X191">
        <v>0.8</v>
      </c>
      <c r="Y191">
        <v>531.44000000000005</v>
      </c>
      <c r="Z191">
        <v>0</v>
      </c>
      <c r="AA191">
        <v>0</v>
      </c>
      <c r="AB191">
        <v>0</v>
      </c>
      <c r="AC191">
        <v>0</v>
      </c>
      <c r="AD191">
        <v>1</v>
      </c>
      <c r="AE191">
        <v>0</v>
      </c>
      <c r="AF191" t="s">
        <v>3</v>
      </c>
      <c r="AG191">
        <v>0.8</v>
      </c>
      <c r="AH191">
        <v>2</v>
      </c>
      <c r="AI191">
        <v>94189767</v>
      </c>
      <c r="AJ191">
        <v>191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</row>
    <row r="192" spans="1:44" x14ac:dyDescent="0.2">
      <c r="A192">
        <f>ROW(Source!A195)</f>
        <v>195</v>
      </c>
      <c r="B192">
        <v>94189780</v>
      </c>
      <c r="C192">
        <v>94189758</v>
      </c>
      <c r="D192">
        <v>87322323</v>
      </c>
      <c r="E192">
        <v>1</v>
      </c>
      <c r="F192">
        <v>1</v>
      </c>
      <c r="G192">
        <v>1</v>
      </c>
      <c r="H192">
        <v>3</v>
      </c>
      <c r="I192" t="s">
        <v>570</v>
      </c>
      <c r="J192" t="s">
        <v>571</v>
      </c>
      <c r="K192" t="s">
        <v>572</v>
      </c>
      <c r="L192">
        <v>1346</v>
      </c>
      <c r="N192">
        <v>1009</v>
      </c>
      <c r="O192" t="s">
        <v>96</v>
      </c>
      <c r="P192" t="s">
        <v>96</v>
      </c>
      <c r="Q192">
        <v>1</v>
      </c>
      <c r="X192">
        <v>2.4300000000000002</v>
      </c>
      <c r="Y192">
        <v>93.01</v>
      </c>
      <c r="Z192">
        <v>0</v>
      </c>
      <c r="AA192">
        <v>0</v>
      </c>
      <c r="AB192">
        <v>0</v>
      </c>
      <c r="AC192">
        <v>0</v>
      </c>
      <c r="AD192">
        <v>1</v>
      </c>
      <c r="AE192">
        <v>0</v>
      </c>
      <c r="AF192" t="s">
        <v>3</v>
      </c>
      <c r="AG192">
        <v>2.4300000000000002</v>
      </c>
      <c r="AH192">
        <v>2</v>
      </c>
      <c r="AI192">
        <v>94189768</v>
      </c>
      <c r="AJ192">
        <v>192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</row>
    <row r="193" spans="1:44" x14ac:dyDescent="0.2">
      <c r="A193">
        <f>ROW(Source!A195)</f>
        <v>195</v>
      </c>
      <c r="B193">
        <v>94189781</v>
      </c>
      <c r="C193">
        <v>94189758</v>
      </c>
      <c r="D193">
        <v>87233646</v>
      </c>
      <c r="E193">
        <v>117</v>
      </c>
      <c r="F193">
        <v>1</v>
      </c>
      <c r="G193">
        <v>1</v>
      </c>
      <c r="H193">
        <v>3</v>
      </c>
      <c r="I193" t="s">
        <v>628</v>
      </c>
      <c r="J193" t="s">
        <v>3</v>
      </c>
      <c r="K193" t="s">
        <v>629</v>
      </c>
      <c r="L193">
        <v>1348</v>
      </c>
      <c r="N193">
        <v>1009</v>
      </c>
      <c r="O193" t="s">
        <v>30</v>
      </c>
      <c r="P193" t="s">
        <v>30</v>
      </c>
      <c r="Q193">
        <v>1000</v>
      </c>
      <c r="X193">
        <v>6.7000000000000004E-2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 t="s">
        <v>3</v>
      </c>
      <c r="AG193">
        <v>6.7000000000000004E-2</v>
      </c>
      <c r="AH193">
        <v>3</v>
      </c>
      <c r="AI193">
        <v>-1</v>
      </c>
      <c r="AJ193" t="s">
        <v>3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</row>
    <row r="194" spans="1:44" x14ac:dyDescent="0.2">
      <c r="A194">
        <f>ROW(Source!A195)</f>
        <v>195</v>
      </c>
      <c r="B194">
        <v>94189782</v>
      </c>
      <c r="C194">
        <v>94189758</v>
      </c>
      <c r="D194">
        <v>87323233</v>
      </c>
      <c r="E194">
        <v>1</v>
      </c>
      <c r="F194">
        <v>1</v>
      </c>
      <c r="G194">
        <v>1</v>
      </c>
      <c r="H194">
        <v>3</v>
      </c>
      <c r="I194" t="s">
        <v>573</v>
      </c>
      <c r="J194" t="s">
        <v>574</v>
      </c>
      <c r="K194" t="s">
        <v>575</v>
      </c>
      <c r="L194">
        <v>1348</v>
      </c>
      <c r="N194">
        <v>1009</v>
      </c>
      <c r="O194" t="s">
        <v>30</v>
      </c>
      <c r="P194" t="s">
        <v>30</v>
      </c>
      <c r="Q194">
        <v>1000</v>
      </c>
      <c r="X194">
        <v>6.4000000000000003E-3</v>
      </c>
      <c r="Y194">
        <v>25237.94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0</v>
      </c>
      <c r="AF194" t="s">
        <v>3</v>
      </c>
      <c r="AG194">
        <v>6.4000000000000003E-3</v>
      </c>
      <c r="AH194">
        <v>2</v>
      </c>
      <c r="AI194">
        <v>94189770</v>
      </c>
      <c r="AJ194">
        <v>194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</row>
    <row r="195" spans="1:44" x14ac:dyDescent="0.2">
      <c r="A195">
        <f>ROW(Source!A197)</f>
        <v>197</v>
      </c>
      <c r="B195">
        <v>94190027</v>
      </c>
      <c r="C195">
        <v>94190022</v>
      </c>
      <c r="D195">
        <v>37064998</v>
      </c>
      <c r="E195">
        <v>118</v>
      </c>
      <c r="F195">
        <v>1</v>
      </c>
      <c r="G195">
        <v>1</v>
      </c>
      <c r="H195">
        <v>1</v>
      </c>
      <c r="I195" t="s">
        <v>576</v>
      </c>
      <c r="J195" t="s">
        <v>3</v>
      </c>
      <c r="K195" t="s">
        <v>577</v>
      </c>
      <c r="L195">
        <v>1191</v>
      </c>
      <c r="N195">
        <v>1013</v>
      </c>
      <c r="O195" t="s">
        <v>428</v>
      </c>
      <c r="P195" t="s">
        <v>428</v>
      </c>
      <c r="Q195">
        <v>1</v>
      </c>
      <c r="X195">
        <v>16.079999999999998</v>
      </c>
      <c r="Y195">
        <v>0</v>
      </c>
      <c r="Z195">
        <v>0</v>
      </c>
      <c r="AA195">
        <v>0</v>
      </c>
      <c r="AB195">
        <v>594.67999999999995</v>
      </c>
      <c r="AC195">
        <v>0</v>
      </c>
      <c r="AD195">
        <v>1</v>
      </c>
      <c r="AE195">
        <v>1</v>
      </c>
      <c r="AF195" t="s">
        <v>3</v>
      </c>
      <c r="AG195">
        <v>16.079999999999998</v>
      </c>
      <c r="AH195">
        <v>2</v>
      </c>
      <c r="AI195">
        <v>94190023</v>
      </c>
      <c r="AJ195">
        <v>195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</row>
    <row r="196" spans="1:44" x14ac:dyDescent="0.2">
      <c r="A196">
        <f>ROW(Source!A197)</f>
        <v>197</v>
      </c>
      <c r="B196">
        <v>94190028</v>
      </c>
      <c r="C196">
        <v>94190022</v>
      </c>
      <c r="D196">
        <v>37064876</v>
      </c>
      <c r="E196">
        <v>118</v>
      </c>
      <c r="F196">
        <v>1</v>
      </c>
      <c r="G196">
        <v>1</v>
      </c>
      <c r="H196">
        <v>1</v>
      </c>
      <c r="I196" t="s">
        <v>429</v>
      </c>
      <c r="J196" t="s">
        <v>3</v>
      </c>
      <c r="K196" t="s">
        <v>430</v>
      </c>
      <c r="L196">
        <v>1191</v>
      </c>
      <c r="N196">
        <v>1013</v>
      </c>
      <c r="O196" t="s">
        <v>428</v>
      </c>
      <c r="P196" t="s">
        <v>428</v>
      </c>
      <c r="Q196">
        <v>1</v>
      </c>
      <c r="X196">
        <v>0.01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2</v>
      </c>
      <c r="AF196" t="s">
        <v>3</v>
      </c>
      <c r="AG196">
        <v>0.01</v>
      </c>
      <c r="AH196">
        <v>2</v>
      </c>
      <c r="AI196">
        <v>94190024</v>
      </c>
      <c r="AJ196">
        <v>196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</row>
    <row r="197" spans="1:44" x14ac:dyDescent="0.2">
      <c r="A197">
        <f>ROW(Source!A197)</f>
        <v>197</v>
      </c>
      <c r="B197">
        <v>94190029</v>
      </c>
      <c r="C197">
        <v>94190022</v>
      </c>
      <c r="D197">
        <v>90281903</v>
      </c>
      <c r="E197">
        <v>1</v>
      </c>
      <c r="F197">
        <v>1</v>
      </c>
      <c r="G197">
        <v>1</v>
      </c>
      <c r="H197">
        <v>2</v>
      </c>
      <c r="I197" t="s">
        <v>431</v>
      </c>
      <c r="J197" t="s">
        <v>432</v>
      </c>
      <c r="K197" t="s">
        <v>433</v>
      </c>
      <c r="L197">
        <v>1368</v>
      </c>
      <c r="N197">
        <v>1011</v>
      </c>
      <c r="O197" t="s">
        <v>434</v>
      </c>
      <c r="P197" t="s">
        <v>434</v>
      </c>
      <c r="Q197">
        <v>1</v>
      </c>
      <c r="X197">
        <v>1.4E-2</v>
      </c>
      <c r="Y197">
        <v>0</v>
      </c>
      <c r="Z197">
        <v>37.32</v>
      </c>
      <c r="AA197">
        <v>649.24</v>
      </c>
      <c r="AB197">
        <v>0</v>
      </c>
      <c r="AC197">
        <v>0</v>
      </c>
      <c r="AD197">
        <v>1</v>
      </c>
      <c r="AE197">
        <v>0</v>
      </c>
      <c r="AF197" t="s">
        <v>3</v>
      </c>
      <c r="AG197">
        <v>1.4E-2</v>
      </c>
      <c r="AH197">
        <v>2</v>
      </c>
      <c r="AI197">
        <v>94190025</v>
      </c>
      <c r="AJ197">
        <v>197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</row>
    <row r="198" spans="1:44" x14ac:dyDescent="0.2">
      <c r="A198">
        <f>ROW(Source!A197)</f>
        <v>197</v>
      </c>
      <c r="B198">
        <v>94190030</v>
      </c>
      <c r="C198">
        <v>94190022</v>
      </c>
      <c r="D198">
        <v>90161318</v>
      </c>
      <c r="E198">
        <v>118</v>
      </c>
      <c r="F198">
        <v>1</v>
      </c>
      <c r="G198">
        <v>1</v>
      </c>
      <c r="H198">
        <v>3</v>
      </c>
      <c r="I198" t="s">
        <v>28</v>
      </c>
      <c r="J198" t="s">
        <v>3</v>
      </c>
      <c r="K198" t="s">
        <v>29</v>
      </c>
      <c r="L198">
        <v>1348</v>
      </c>
      <c r="N198">
        <v>1009</v>
      </c>
      <c r="O198" t="s">
        <v>30</v>
      </c>
      <c r="P198" t="s">
        <v>30</v>
      </c>
      <c r="Q198">
        <v>1000</v>
      </c>
      <c r="X198">
        <v>0.12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 t="s">
        <v>3</v>
      </c>
      <c r="AG198">
        <v>0.12</v>
      </c>
      <c r="AH198">
        <v>2</v>
      </c>
      <c r="AI198">
        <v>94190026</v>
      </c>
      <c r="AJ198">
        <v>198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</row>
    <row r="199" spans="1:44" x14ac:dyDescent="0.2">
      <c r="A199">
        <f>ROW(Source!A199)</f>
        <v>199</v>
      </c>
      <c r="B199">
        <v>94190042</v>
      </c>
      <c r="C199">
        <v>94190032</v>
      </c>
      <c r="D199">
        <v>37064878</v>
      </c>
      <c r="E199">
        <v>117</v>
      </c>
      <c r="F199">
        <v>1</v>
      </c>
      <c r="G199">
        <v>1</v>
      </c>
      <c r="H199">
        <v>1</v>
      </c>
      <c r="I199" t="s">
        <v>578</v>
      </c>
      <c r="J199" t="s">
        <v>3</v>
      </c>
      <c r="K199" t="s">
        <v>579</v>
      </c>
      <c r="L199">
        <v>1191</v>
      </c>
      <c r="N199">
        <v>1013</v>
      </c>
      <c r="O199" t="s">
        <v>428</v>
      </c>
      <c r="P199" t="s">
        <v>428</v>
      </c>
      <c r="Q199">
        <v>1</v>
      </c>
      <c r="X199">
        <v>29.41</v>
      </c>
      <c r="Y199">
        <v>0</v>
      </c>
      <c r="Z199">
        <v>0</v>
      </c>
      <c r="AA199">
        <v>0</v>
      </c>
      <c r="AB199">
        <v>714.71</v>
      </c>
      <c r="AC199">
        <v>0</v>
      </c>
      <c r="AD199">
        <v>1</v>
      </c>
      <c r="AE199">
        <v>1</v>
      </c>
      <c r="AF199" t="s">
        <v>243</v>
      </c>
      <c r="AG199">
        <v>33.8215</v>
      </c>
      <c r="AH199">
        <v>2</v>
      </c>
      <c r="AI199">
        <v>94190033</v>
      </c>
      <c r="AJ199">
        <v>199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</row>
    <row r="200" spans="1:44" x14ac:dyDescent="0.2">
      <c r="A200">
        <f>ROW(Source!A199)</f>
        <v>199</v>
      </c>
      <c r="B200">
        <v>94190043</v>
      </c>
      <c r="C200">
        <v>94190032</v>
      </c>
      <c r="D200">
        <v>37064876</v>
      </c>
      <c r="E200">
        <v>117</v>
      </c>
      <c r="F200">
        <v>1</v>
      </c>
      <c r="G200">
        <v>1</v>
      </c>
      <c r="H200">
        <v>1</v>
      </c>
      <c r="I200" t="s">
        <v>429</v>
      </c>
      <c r="J200" t="s">
        <v>3</v>
      </c>
      <c r="K200" t="s">
        <v>430</v>
      </c>
      <c r="L200">
        <v>1191</v>
      </c>
      <c r="N200">
        <v>1013</v>
      </c>
      <c r="O200" t="s">
        <v>428</v>
      </c>
      <c r="P200" t="s">
        <v>428</v>
      </c>
      <c r="Q200">
        <v>1</v>
      </c>
      <c r="X200">
        <v>0.31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</v>
      </c>
      <c r="AE200">
        <v>2</v>
      </c>
      <c r="AF200" t="s">
        <v>242</v>
      </c>
      <c r="AG200">
        <v>0.38750000000000001</v>
      </c>
      <c r="AH200">
        <v>2</v>
      </c>
      <c r="AI200">
        <v>94190034</v>
      </c>
      <c r="AJ200">
        <v>200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</row>
    <row r="201" spans="1:44" x14ac:dyDescent="0.2">
      <c r="A201">
        <f>ROW(Source!A199)</f>
        <v>199</v>
      </c>
      <c r="B201">
        <v>94190044</v>
      </c>
      <c r="C201">
        <v>94190032</v>
      </c>
      <c r="D201">
        <v>87236625</v>
      </c>
      <c r="E201">
        <v>1</v>
      </c>
      <c r="F201">
        <v>1</v>
      </c>
      <c r="G201">
        <v>1</v>
      </c>
      <c r="H201">
        <v>2</v>
      </c>
      <c r="I201" t="s">
        <v>431</v>
      </c>
      <c r="J201" t="s">
        <v>432</v>
      </c>
      <c r="K201" t="s">
        <v>433</v>
      </c>
      <c r="L201">
        <v>1368</v>
      </c>
      <c r="N201">
        <v>1011</v>
      </c>
      <c r="O201" t="s">
        <v>434</v>
      </c>
      <c r="P201" t="s">
        <v>434</v>
      </c>
      <c r="Q201">
        <v>1</v>
      </c>
      <c r="X201">
        <v>0.01</v>
      </c>
      <c r="Y201">
        <v>0</v>
      </c>
      <c r="Z201">
        <v>37.32</v>
      </c>
      <c r="AA201">
        <v>649.24</v>
      </c>
      <c r="AB201">
        <v>0</v>
      </c>
      <c r="AC201">
        <v>0</v>
      </c>
      <c r="AD201">
        <v>1</v>
      </c>
      <c r="AE201">
        <v>0</v>
      </c>
      <c r="AF201" t="s">
        <v>242</v>
      </c>
      <c r="AG201">
        <v>1.2500000000000001E-2</v>
      </c>
      <c r="AH201">
        <v>2</v>
      </c>
      <c r="AI201">
        <v>94190035</v>
      </c>
      <c r="AJ201">
        <v>201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</row>
    <row r="202" spans="1:44" x14ac:dyDescent="0.2">
      <c r="A202">
        <f>ROW(Source!A199)</f>
        <v>199</v>
      </c>
      <c r="B202">
        <v>94190045</v>
      </c>
      <c r="C202">
        <v>94190032</v>
      </c>
      <c r="D202">
        <v>87237333</v>
      </c>
      <c r="E202">
        <v>1</v>
      </c>
      <c r="F202">
        <v>1</v>
      </c>
      <c r="G202">
        <v>1</v>
      </c>
      <c r="H202">
        <v>2</v>
      </c>
      <c r="I202" t="s">
        <v>463</v>
      </c>
      <c r="J202" t="s">
        <v>464</v>
      </c>
      <c r="K202" t="s">
        <v>465</v>
      </c>
      <c r="L202">
        <v>1368</v>
      </c>
      <c r="N202">
        <v>1011</v>
      </c>
      <c r="O202" t="s">
        <v>434</v>
      </c>
      <c r="P202" t="s">
        <v>434</v>
      </c>
      <c r="Q202">
        <v>1</v>
      </c>
      <c r="X202">
        <v>0.3</v>
      </c>
      <c r="Y202">
        <v>0</v>
      </c>
      <c r="Z202">
        <v>544.91999999999996</v>
      </c>
      <c r="AA202">
        <v>731.08</v>
      </c>
      <c r="AB202">
        <v>0</v>
      </c>
      <c r="AC202">
        <v>0</v>
      </c>
      <c r="AD202">
        <v>1</v>
      </c>
      <c r="AE202">
        <v>0</v>
      </c>
      <c r="AF202" t="s">
        <v>242</v>
      </c>
      <c r="AG202">
        <v>0.375</v>
      </c>
      <c r="AH202">
        <v>2</v>
      </c>
      <c r="AI202">
        <v>94190036</v>
      </c>
      <c r="AJ202">
        <v>202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</row>
    <row r="203" spans="1:44" x14ac:dyDescent="0.2">
      <c r="A203">
        <f>ROW(Source!A199)</f>
        <v>199</v>
      </c>
      <c r="B203">
        <v>94190046</v>
      </c>
      <c r="C203">
        <v>94190032</v>
      </c>
      <c r="D203">
        <v>87304091</v>
      </c>
      <c r="E203">
        <v>1</v>
      </c>
      <c r="F203">
        <v>1</v>
      </c>
      <c r="G203">
        <v>1</v>
      </c>
      <c r="H203">
        <v>3</v>
      </c>
      <c r="I203" t="s">
        <v>467</v>
      </c>
      <c r="J203" t="s">
        <v>468</v>
      </c>
      <c r="K203" t="s">
        <v>469</v>
      </c>
      <c r="L203">
        <v>1339</v>
      </c>
      <c r="N203">
        <v>1007</v>
      </c>
      <c r="O203" t="s">
        <v>34</v>
      </c>
      <c r="P203" t="s">
        <v>34</v>
      </c>
      <c r="Q203">
        <v>1</v>
      </c>
      <c r="X203">
        <v>0.01</v>
      </c>
      <c r="Y203">
        <v>35.71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0</v>
      </c>
      <c r="AF203" t="s">
        <v>3</v>
      </c>
      <c r="AG203">
        <v>0.01</v>
      </c>
      <c r="AH203">
        <v>2</v>
      </c>
      <c r="AI203">
        <v>94190037</v>
      </c>
      <c r="AJ203">
        <v>203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</row>
    <row r="204" spans="1:44" x14ac:dyDescent="0.2">
      <c r="A204">
        <f>ROW(Source!A199)</f>
        <v>199</v>
      </c>
      <c r="B204">
        <v>94190047</v>
      </c>
      <c r="C204">
        <v>94190032</v>
      </c>
      <c r="D204">
        <v>87304103</v>
      </c>
      <c r="E204">
        <v>1</v>
      </c>
      <c r="F204">
        <v>1</v>
      </c>
      <c r="G204">
        <v>1</v>
      </c>
      <c r="H204">
        <v>3</v>
      </c>
      <c r="I204" t="s">
        <v>530</v>
      </c>
      <c r="J204" t="s">
        <v>531</v>
      </c>
      <c r="K204" t="s">
        <v>532</v>
      </c>
      <c r="L204">
        <v>1383</v>
      </c>
      <c r="N204">
        <v>1013</v>
      </c>
      <c r="O204" t="s">
        <v>533</v>
      </c>
      <c r="P204" t="s">
        <v>533</v>
      </c>
      <c r="Q204">
        <v>1</v>
      </c>
      <c r="X204">
        <v>0.09</v>
      </c>
      <c r="Y204">
        <v>6.92</v>
      </c>
      <c r="Z204">
        <v>0</v>
      </c>
      <c r="AA204">
        <v>0</v>
      </c>
      <c r="AB204">
        <v>0</v>
      </c>
      <c r="AC204">
        <v>0</v>
      </c>
      <c r="AD204">
        <v>1</v>
      </c>
      <c r="AE204">
        <v>0</v>
      </c>
      <c r="AF204" t="s">
        <v>3</v>
      </c>
      <c r="AG204">
        <v>0.09</v>
      </c>
      <c r="AH204">
        <v>2</v>
      </c>
      <c r="AI204">
        <v>94190038</v>
      </c>
      <c r="AJ204">
        <v>204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</row>
    <row r="205" spans="1:44" x14ac:dyDescent="0.2">
      <c r="A205">
        <f>ROW(Source!A199)</f>
        <v>199</v>
      </c>
      <c r="B205">
        <v>94190048</v>
      </c>
      <c r="C205">
        <v>94190032</v>
      </c>
      <c r="D205">
        <v>87231193</v>
      </c>
      <c r="E205">
        <v>117</v>
      </c>
      <c r="F205">
        <v>1</v>
      </c>
      <c r="G205">
        <v>1</v>
      </c>
      <c r="H205">
        <v>3</v>
      </c>
      <c r="I205" t="s">
        <v>630</v>
      </c>
      <c r="J205" t="s">
        <v>3</v>
      </c>
      <c r="K205" t="s">
        <v>631</v>
      </c>
      <c r="L205">
        <v>1348</v>
      </c>
      <c r="N205">
        <v>1009</v>
      </c>
      <c r="O205" t="s">
        <v>30</v>
      </c>
      <c r="P205" t="s">
        <v>30</v>
      </c>
      <c r="Q205">
        <v>1000</v>
      </c>
      <c r="X205">
        <v>0.01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 t="s">
        <v>3</v>
      </c>
      <c r="AG205">
        <v>0.01</v>
      </c>
      <c r="AH205">
        <v>3</v>
      </c>
      <c r="AI205">
        <v>-1</v>
      </c>
      <c r="AJ205" t="s">
        <v>3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</row>
    <row r="206" spans="1:44" x14ac:dyDescent="0.2">
      <c r="A206">
        <f>ROW(Source!A199)</f>
        <v>199</v>
      </c>
      <c r="B206">
        <v>94190049</v>
      </c>
      <c r="C206">
        <v>94190032</v>
      </c>
      <c r="D206">
        <v>87231919</v>
      </c>
      <c r="E206">
        <v>117</v>
      </c>
      <c r="F206">
        <v>1</v>
      </c>
      <c r="G206">
        <v>1</v>
      </c>
      <c r="H206">
        <v>3</v>
      </c>
      <c r="I206" t="s">
        <v>618</v>
      </c>
      <c r="J206" t="s">
        <v>3</v>
      </c>
      <c r="K206" t="s">
        <v>632</v>
      </c>
      <c r="L206">
        <v>1327</v>
      </c>
      <c r="N206">
        <v>1005</v>
      </c>
      <c r="O206" t="s">
        <v>60</v>
      </c>
      <c r="P206" t="s">
        <v>60</v>
      </c>
      <c r="Q206">
        <v>1</v>
      </c>
      <c r="X206">
        <v>10.199999999999999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 t="s">
        <v>3</v>
      </c>
      <c r="AG206">
        <v>10.199999999999999</v>
      </c>
      <c r="AH206">
        <v>3</v>
      </c>
      <c r="AI206">
        <v>-1</v>
      </c>
      <c r="AJ206" t="s">
        <v>3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</row>
    <row r="207" spans="1:44" x14ac:dyDescent="0.2">
      <c r="A207">
        <f>ROW(Source!A199)</f>
        <v>199</v>
      </c>
      <c r="B207">
        <v>94190050</v>
      </c>
      <c r="C207">
        <v>94190032</v>
      </c>
      <c r="D207">
        <v>87233517</v>
      </c>
      <c r="E207">
        <v>117</v>
      </c>
      <c r="F207">
        <v>1</v>
      </c>
      <c r="G207">
        <v>1</v>
      </c>
      <c r="H207">
        <v>3</v>
      </c>
      <c r="I207" t="s">
        <v>622</v>
      </c>
      <c r="J207" t="s">
        <v>3</v>
      </c>
      <c r="K207" t="s">
        <v>623</v>
      </c>
      <c r="L207">
        <v>1348</v>
      </c>
      <c r="N207">
        <v>1009</v>
      </c>
      <c r="O207" t="s">
        <v>30</v>
      </c>
      <c r="P207" t="s">
        <v>30</v>
      </c>
      <c r="Q207">
        <v>1000</v>
      </c>
      <c r="X207">
        <v>0.04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 t="s">
        <v>3</v>
      </c>
      <c r="AG207">
        <v>0.04</v>
      </c>
      <c r="AH207">
        <v>3</v>
      </c>
      <c r="AI207">
        <v>-1</v>
      </c>
      <c r="AJ207" t="s">
        <v>3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</row>
    <row r="208" spans="1:44" x14ac:dyDescent="0.2">
      <c r="A208">
        <f>ROW(Source!A203)</f>
        <v>203</v>
      </c>
      <c r="B208">
        <v>94190062</v>
      </c>
      <c r="C208">
        <v>94190061</v>
      </c>
      <c r="D208">
        <v>87229755</v>
      </c>
      <c r="E208">
        <v>117</v>
      </c>
      <c r="F208">
        <v>1</v>
      </c>
      <c r="G208">
        <v>1</v>
      </c>
      <c r="H208">
        <v>1</v>
      </c>
      <c r="I208" t="s">
        <v>436</v>
      </c>
      <c r="J208" t="s">
        <v>3</v>
      </c>
      <c r="K208" t="s">
        <v>437</v>
      </c>
      <c r="L208">
        <v>1191</v>
      </c>
      <c r="N208">
        <v>1013</v>
      </c>
      <c r="O208" t="s">
        <v>428</v>
      </c>
      <c r="P208" t="s">
        <v>428</v>
      </c>
      <c r="Q208">
        <v>1</v>
      </c>
      <c r="X208">
        <v>16.64</v>
      </c>
      <c r="Y208">
        <v>0</v>
      </c>
      <c r="Z208">
        <v>0</v>
      </c>
      <c r="AA208">
        <v>0</v>
      </c>
      <c r="AB208">
        <v>649.24</v>
      </c>
      <c r="AC208">
        <v>0</v>
      </c>
      <c r="AD208">
        <v>1</v>
      </c>
      <c r="AE208">
        <v>1</v>
      </c>
      <c r="AF208" t="s">
        <v>243</v>
      </c>
      <c r="AG208">
        <v>19.135999999999999</v>
      </c>
      <c r="AH208">
        <v>2</v>
      </c>
      <c r="AI208">
        <v>94190062</v>
      </c>
      <c r="AJ208">
        <v>208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</row>
    <row r="209" spans="1:44" x14ac:dyDescent="0.2">
      <c r="A209">
        <f>ROW(Source!A203)</f>
        <v>203</v>
      </c>
      <c r="B209">
        <v>94190063</v>
      </c>
      <c r="C209">
        <v>94190061</v>
      </c>
      <c r="D209">
        <v>87304103</v>
      </c>
      <c r="E209">
        <v>1</v>
      </c>
      <c r="F209">
        <v>1</v>
      </c>
      <c r="G209">
        <v>1</v>
      </c>
      <c r="H209">
        <v>3</v>
      </c>
      <c r="I209" t="s">
        <v>530</v>
      </c>
      <c r="J209" t="s">
        <v>531</v>
      </c>
      <c r="K209" t="s">
        <v>532</v>
      </c>
      <c r="L209">
        <v>1383</v>
      </c>
      <c r="N209">
        <v>1013</v>
      </c>
      <c r="O209" t="s">
        <v>533</v>
      </c>
      <c r="P209" t="s">
        <v>533</v>
      </c>
      <c r="Q209">
        <v>1</v>
      </c>
      <c r="X209">
        <v>6.8760000000000003</v>
      </c>
      <c r="Y209">
        <v>6.92</v>
      </c>
      <c r="Z209">
        <v>0</v>
      </c>
      <c r="AA209">
        <v>0</v>
      </c>
      <c r="AB209">
        <v>0</v>
      </c>
      <c r="AC209">
        <v>0</v>
      </c>
      <c r="AD209">
        <v>1</v>
      </c>
      <c r="AE209">
        <v>0</v>
      </c>
      <c r="AF209" t="s">
        <v>3</v>
      </c>
      <c r="AG209">
        <v>6.8760000000000003</v>
      </c>
      <c r="AH209">
        <v>2</v>
      </c>
      <c r="AI209">
        <v>94190063</v>
      </c>
      <c r="AJ209">
        <v>209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</row>
    <row r="210" spans="1:44" x14ac:dyDescent="0.2">
      <c r="A210">
        <f>ROW(Source!A203)</f>
        <v>203</v>
      </c>
      <c r="B210">
        <v>94190064</v>
      </c>
      <c r="C210">
        <v>94190061</v>
      </c>
      <c r="D210">
        <v>87305971</v>
      </c>
      <c r="E210">
        <v>1</v>
      </c>
      <c r="F210">
        <v>1</v>
      </c>
      <c r="G210">
        <v>1</v>
      </c>
      <c r="H210">
        <v>3</v>
      </c>
      <c r="I210" t="s">
        <v>534</v>
      </c>
      <c r="J210" t="s">
        <v>535</v>
      </c>
      <c r="K210" t="s">
        <v>536</v>
      </c>
      <c r="L210">
        <v>1425</v>
      </c>
      <c r="N210">
        <v>1013</v>
      </c>
      <c r="O210" t="s">
        <v>537</v>
      </c>
      <c r="P210" t="s">
        <v>537</v>
      </c>
      <c r="Q210">
        <v>1</v>
      </c>
      <c r="X210">
        <v>6.7</v>
      </c>
      <c r="Y210">
        <v>88.86</v>
      </c>
      <c r="Z210">
        <v>0</v>
      </c>
      <c r="AA210">
        <v>0</v>
      </c>
      <c r="AB210">
        <v>0</v>
      </c>
      <c r="AC210">
        <v>0</v>
      </c>
      <c r="AD210">
        <v>1</v>
      </c>
      <c r="AE210">
        <v>0</v>
      </c>
      <c r="AF210" t="s">
        <v>3</v>
      </c>
      <c r="AG210">
        <v>6.7</v>
      </c>
      <c r="AH210">
        <v>2</v>
      </c>
      <c r="AI210">
        <v>94190064</v>
      </c>
      <c r="AJ210">
        <v>210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</row>
    <row r="211" spans="1:44" x14ac:dyDescent="0.2">
      <c r="A211">
        <f>ROW(Source!A203)</f>
        <v>203</v>
      </c>
      <c r="B211">
        <v>94190065</v>
      </c>
      <c r="C211">
        <v>94190061</v>
      </c>
      <c r="D211">
        <v>87232701</v>
      </c>
      <c r="E211">
        <v>117</v>
      </c>
      <c r="F211">
        <v>1</v>
      </c>
      <c r="G211">
        <v>1</v>
      </c>
      <c r="H211">
        <v>3</v>
      </c>
      <c r="I211" t="s">
        <v>624</v>
      </c>
      <c r="J211" t="s">
        <v>3</v>
      </c>
      <c r="K211" t="s">
        <v>625</v>
      </c>
      <c r="L211">
        <v>1301</v>
      </c>
      <c r="N211">
        <v>1003</v>
      </c>
      <c r="O211" t="s">
        <v>106</v>
      </c>
      <c r="P211" t="s">
        <v>106</v>
      </c>
      <c r="Q211">
        <v>1</v>
      </c>
      <c r="X211">
        <v>105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 t="s">
        <v>3</v>
      </c>
      <c r="AG211">
        <v>105</v>
      </c>
      <c r="AH211">
        <v>3</v>
      </c>
      <c r="AI211">
        <v>-1</v>
      </c>
      <c r="AJ211" t="s">
        <v>3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</row>
    <row r="212" spans="1:44" x14ac:dyDescent="0.2">
      <c r="A212">
        <f>ROW(Source!A307)</f>
        <v>307</v>
      </c>
      <c r="B212">
        <v>94191234</v>
      </c>
      <c r="C212">
        <v>94191231</v>
      </c>
      <c r="D212">
        <v>37064998</v>
      </c>
      <c r="E212">
        <v>118</v>
      </c>
      <c r="F212">
        <v>1</v>
      </c>
      <c r="G212">
        <v>1</v>
      </c>
      <c r="H212">
        <v>1</v>
      </c>
      <c r="I212" t="s">
        <v>576</v>
      </c>
      <c r="J212" t="s">
        <v>3</v>
      </c>
      <c r="K212" t="s">
        <v>577</v>
      </c>
      <c r="L212">
        <v>1191</v>
      </c>
      <c r="N212">
        <v>1013</v>
      </c>
      <c r="O212" t="s">
        <v>428</v>
      </c>
      <c r="P212" t="s">
        <v>428</v>
      </c>
      <c r="Q212">
        <v>1</v>
      </c>
      <c r="X212">
        <v>3.77</v>
      </c>
      <c r="Y212">
        <v>0</v>
      </c>
      <c r="Z212">
        <v>0</v>
      </c>
      <c r="AA212">
        <v>0</v>
      </c>
      <c r="AB212">
        <v>594.67999999999995</v>
      </c>
      <c r="AC212">
        <v>0</v>
      </c>
      <c r="AD212">
        <v>1</v>
      </c>
      <c r="AE212">
        <v>1</v>
      </c>
      <c r="AF212" t="s">
        <v>3</v>
      </c>
      <c r="AG212">
        <v>3.77</v>
      </c>
      <c r="AH212">
        <v>2</v>
      </c>
      <c r="AI212">
        <v>94191232</v>
      </c>
      <c r="AJ212">
        <v>212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</row>
    <row r="213" spans="1:44" x14ac:dyDescent="0.2">
      <c r="A213">
        <f>ROW(Source!A307)</f>
        <v>307</v>
      </c>
      <c r="B213">
        <v>94191235</v>
      </c>
      <c r="C213">
        <v>94191231</v>
      </c>
      <c r="D213">
        <v>90161318</v>
      </c>
      <c r="E213">
        <v>118</v>
      </c>
      <c r="F213">
        <v>1</v>
      </c>
      <c r="G213">
        <v>1</v>
      </c>
      <c r="H213">
        <v>3</v>
      </c>
      <c r="I213" t="s">
        <v>28</v>
      </c>
      <c r="J213" t="s">
        <v>3</v>
      </c>
      <c r="K213" t="s">
        <v>29</v>
      </c>
      <c r="L213">
        <v>1348</v>
      </c>
      <c r="N213">
        <v>1009</v>
      </c>
      <c r="O213" t="s">
        <v>30</v>
      </c>
      <c r="P213" t="s">
        <v>30</v>
      </c>
      <c r="Q213">
        <v>1000</v>
      </c>
      <c r="X213">
        <v>0.11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 t="s">
        <v>3</v>
      </c>
      <c r="AG213">
        <v>0.11</v>
      </c>
      <c r="AH213">
        <v>2</v>
      </c>
      <c r="AI213">
        <v>94191233</v>
      </c>
      <c r="AJ213">
        <v>213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</row>
    <row r="214" spans="1:44" x14ac:dyDescent="0.2">
      <c r="A214">
        <f>ROW(Source!A309)</f>
        <v>309</v>
      </c>
      <c r="B214">
        <v>94190315</v>
      </c>
      <c r="C214">
        <v>94190314</v>
      </c>
      <c r="D214">
        <v>87229715</v>
      </c>
      <c r="E214">
        <v>117</v>
      </c>
      <c r="F214">
        <v>1</v>
      </c>
      <c r="G214">
        <v>1</v>
      </c>
      <c r="H214">
        <v>1</v>
      </c>
      <c r="I214" t="s">
        <v>576</v>
      </c>
      <c r="J214" t="s">
        <v>3</v>
      </c>
      <c r="K214" t="s">
        <v>577</v>
      </c>
      <c r="L214">
        <v>1191</v>
      </c>
      <c r="N214">
        <v>1013</v>
      </c>
      <c r="O214" t="s">
        <v>428</v>
      </c>
      <c r="P214" t="s">
        <v>428</v>
      </c>
      <c r="Q214">
        <v>1</v>
      </c>
      <c r="X214">
        <v>14.9</v>
      </c>
      <c r="Y214">
        <v>0</v>
      </c>
      <c r="Z214">
        <v>0</v>
      </c>
      <c r="AA214">
        <v>0</v>
      </c>
      <c r="AB214">
        <v>594.67999999999995</v>
      </c>
      <c r="AC214">
        <v>0</v>
      </c>
      <c r="AD214">
        <v>1</v>
      </c>
      <c r="AE214">
        <v>1</v>
      </c>
      <c r="AF214" t="s">
        <v>3</v>
      </c>
      <c r="AG214">
        <v>14.9</v>
      </c>
      <c r="AH214">
        <v>2</v>
      </c>
      <c r="AI214">
        <v>94190315</v>
      </c>
      <c r="AJ214">
        <v>214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</row>
    <row r="215" spans="1:44" x14ac:dyDescent="0.2">
      <c r="A215">
        <f>ROW(Source!A309)</f>
        <v>309</v>
      </c>
      <c r="B215">
        <v>94190316</v>
      </c>
      <c r="C215">
        <v>94190314</v>
      </c>
      <c r="D215">
        <v>87235788</v>
      </c>
      <c r="E215">
        <v>117</v>
      </c>
      <c r="F215">
        <v>1</v>
      </c>
      <c r="G215">
        <v>1</v>
      </c>
      <c r="H215">
        <v>3</v>
      </c>
      <c r="I215" t="s">
        <v>28</v>
      </c>
      <c r="J215" t="s">
        <v>3</v>
      </c>
      <c r="K215" t="s">
        <v>29</v>
      </c>
      <c r="L215">
        <v>1348</v>
      </c>
      <c r="N215">
        <v>1009</v>
      </c>
      <c r="O215" t="s">
        <v>30</v>
      </c>
      <c r="P215" t="s">
        <v>30</v>
      </c>
      <c r="Q215">
        <v>1000</v>
      </c>
      <c r="X215">
        <v>1.92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 t="s">
        <v>3</v>
      </c>
      <c r="AG215">
        <v>1.92</v>
      </c>
      <c r="AH215">
        <v>2</v>
      </c>
      <c r="AI215">
        <v>94190316</v>
      </c>
      <c r="AJ215">
        <v>215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</row>
    <row r="216" spans="1:44" x14ac:dyDescent="0.2">
      <c r="A216">
        <f>ROW(Source!A311)</f>
        <v>311</v>
      </c>
      <c r="B216">
        <v>94191219</v>
      </c>
      <c r="C216">
        <v>94191218</v>
      </c>
      <c r="D216">
        <v>87229737</v>
      </c>
      <c r="E216">
        <v>117</v>
      </c>
      <c r="F216">
        <v>1</v>
      </c>
      <c r="G216">
        <v>1</v>
      </c>
      <c r="H216">
        <v>1</v>
      </c>
      <c r="I216" t="s">
        <v>580</v>
      </c>
      <c r="J216" t="s">
        <v>3</v>
      </c>
      <c r="K216" t="s">
        <v>581</v>
      </c>
      <c r="L216">
        <v>1191</v>
      </c>
      <c r="N216">
        <v>1013</v>
      </c>
      <c r="O216" t="s">
        <v>428</v>
      </c>
      <c r="P216" t="s">
        <v>428</v>
      </c>
      <c r="Q216">
        <v>1</v>
      </c>
      <c r="X216">
        <v>31.79</v>
      </c>
      <c r="Y216">
        <v>0</v>
      </c>
      <c r="Z216">
        <v>0</v>
      </c>
      <c r="AA216">
        <v>0</v>
      </c>
      <c r="AB216">
        <v>621.96</v>
      </c>
      <c r="AC216">
        <v>0</v>
      </c>
      <c r="AD216">
        <v>1</v>
      </c>
      <c r="AE216">
        <v>1</v>
      </c>
      <c r="AF216" t="s">
        <v>243</v>
      </c>
      <c r="AG216">
        <v>36.558499999999995</v>
      </c>
      <c r="AH216">
        <v>2</v>
      </c>
      <c r="AI216">
        <v>94191219</v>
      </c>
      <c r="AJ216">
        <v>216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</row>
    <row r="217" spans="1:44" x14ac:dyDescent="0.2">
      <c r="A217">
        <f>ROW(Source!A311)</f>
        <v>311</v>
      </c>
      <c r="B217">
        <v>94191220</v>
      </c>
      <c r="C217">
        <v>94191218</v>
      </c>
      <c r="D217">
        <v>87229949</v>
      </c>
      <c r="E217">
        <v>117</v>
      </c>
      <c r="F217">
        <v>1</v>
      </c>
      <c r="G217">
        <v>1</v>
      </c>
      <c r="H217">
        <v>1</v>
      </c>
      <c r="I217" t="s">
        <v>429</v>
      </c>
      <c r="J217" t="s">
        <v>3</v>
      </c>
      <c r="K217" t="s">
        <v>430</v>
      </c>
      <c r="L217">
        <v>1191</v>
      </c>
      <c r="N217">
        <v>1013</v>
      </c>
      <c r="O217" t="s">
        <v>428</v>
      </c>
      <c r="P217" t="s">
        <v>428</v>
      </c>
      <c r="Q217">
        <v>1</v>
      </c>
      <c r="X217">
        <v>7.18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2</v>
      </c>
      <c r="AF217" t="s">
        <v>242</v>
      </c>
      <c r="AG217">
        <v>8.9749999999999996</v>
      </c>
      <c r="AH217">
        <v>2</v>
      </c>
      <c r="AI217">
        <v>94191220</v>
      </c>
      <c r="AJ217">
        <v>217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</row>
    <row r="218" spans="1:44" x14ac:dyDescent="0.2">
      <c r="A218">
        <f>ROW(Source!A311)</f>
        <v>311</v>
      </c>
      <c r="B218">
        <v>94191221</v>
      </c>
      <c r="C218">
        <v>94191218</v>
      </c>
      <c r="D218">
        <v>87236625</v>
      </c>
      <c r="E218">
        <v>1</v>
      </c>
      <c r="F218">
        <v>1</v>
      </c>
      <c r="G218">
        <v>1</v>
      </c>
      <c r="H218">
        <v>2</v>
      </c>
      <c r="I218" t="s">
        <v>431</v>
      </c>
      <c r="J218" t="s">
        <v>432</v>
      </c>
      <c r="K218" t="s">
        <v>433</v>
      </c>
      <c r="L218">
        <v>1368</v>
      </c>
      <c r="N218">
        <v>1011</v>
      </c>
      <c r="O218" t="s">
        <v>434</v>
      </c>
      <c r="P218" t="s">
        <v>434</v>
      </c>
      <c r="Q218">
        <v>1</v>
      </c>
      <c r="X218">
        <v>0.13</v>
      </c>
      <c r="Y218">
        <v>0</v>
      </c>
      <c r="Z218">
        <v>37.32</v>
      </c>
      <c r="AA218">
        <v>649.24</v>
      </c>
      <c r="AB218">
        <v>0</v>
      </c>
      <c r="AC218">
        <v>0</v>
      </c>
      <c r="AD218">
        <v>1</v>
      </c>
      <c r="AE218">
        <v>0</v>
      </c>
      <c r="AF218" t="s">
        <v>242</v>
      </c>
      <c r="AG218">
        <v>0.16250000000000001</v>
      </c>
      <c r="AH218">
        <v>2</v>
      </c>
      <c r="AI218">
        <v>94191221</v>
      </c>
      <c r="AJ218">
        <v>218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</row>
    <row r="219" spans="1:44" x14ac:dyDescent="0.2">
      <c r="A219">
        <f>ROW(Source!A311)</f>
        <v>311</v>
      </c>
      <c r="B219">
        <v>94191222</v>
      </c>
      <c r="C219">
        <v>94191218</v>
      </c>
      <c r="D219">
        <v>87237333</v>
      </c>
      <c r="E219">
        <v>1</v>
      </c>
      <c r="F219">
        <v>1</v>
      </c>
      <c r="G219">
        <v>1</v>
      </c>
      <c r="H219">
        <v>2</v>
      </c>
      <c r="I219" t="s">
        <v>463</v>
      </c>
      <c r="J219" t="s">
        <v>464</v>
      </c>
      <c r="K219" t="s">
        <v>465</v>
      </c>
      <c r="L219">
        <v>1368</v>
      </c>
      <c r="N219">
        <v>1011</v>
      </c>
      <c r="O219" t="s">
        <v>434</v>
      </c>
      <c r="P219" t="s">
        <v>434</v>
      </c>
      <c r="Q219">
        <v>1</v>
      </c>
      <c r="X219">
        <v>0.35</v>
      </c>
      <c r="Y219">
        <v>0</v>
      </c>
      <c r="Z219">
        <v>544.91999999999996</v>
      </c>
      <c r="AA219">
        <v>731.08</v>
      </c>
      <c r="AB219">
        <v>0</v>
      </c>
      <c r="AC219">
        <v>0</v>
      </c>
      <c r="AD219">
        <v>1</v>
      </c>
      <c r="AE219">
        <v>0</v>
      </c>
      <c r="AF219" t="s">
        <v>242</v>
      </c>
      <c r="AG219">
        <v>0.4375</v>
      </c>
      <c r="AH219">
        <v>2</v>
      </c>
      <c r="AI219">
        <v>94191222</v>
      </c>
      <c r="AJ219">
        <v>219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</row>
    <row r="220" spans="1:44" x14ac:dyDescent="0.2">
      <c r="A220">
        <f>ROW(Source!A311)</f>
        <v>311</v>
      </c>
      <c r="B220">
        <v>94191223</v>
      </c>
      <c r="C220">
        <v>94191218</v>
      </c>
      <c r="D220">
        <v>87237541</v>
      </c>
      <c r="E220">
        <v>1</v>
      </c>
      <c r="F220">
        <v>1</v>
      </c>
      <c r="G220">
        <v>1</v>
      </c>
      <c r="H220">
        <v>2</v>
      </c>
      <c r="I220" t="s">
        <v>582</v>
      </c>
      <c r="J220" t="s">
        <v>583</v>
      </c>
      <c r="K220" t="s">
        <v>584</v>
      </c>
      <c r="L220">
        <v>1368</v>
      </c>
      <c r="N220">
        <v>1011</v>
      </c>
      <c r="O220" t="s">
        <v>434</v>
      </c>
      <c r="P220" t="s">
        <v>434</v>
      </c>
      <c r="Q220">
        <v>1</v>
      </c>
      <c r="X220">
        <v>6.7</v>
      </c>
      <c r="Y220">
        <v>0</v>
      </c>
      <c r="Z220">
        <v>378.6</v>
      </c>
      <c r="AA220">
        <v>731.08</v>
      </c>
      <c r="AB220">
        <v>0</v>
      </c>
      <c r="AC220">
        <v>0</v>
      </c>
      <c r="AD220">
        <v>1</v>
      </c>
      <c r="AE220">
        <v>0</v>
      </c>
      <c r="AF220" t="s">
        <v>242</v>
      </c>
      <c r="AG220">
        <v>8.375</v>
      </c>
      <c r="AH220">
        <v>2</v>
      </c>
      <c r="AI220">
        <v>94191223</v>
      </c>
      <c r="AJ220">
        <v>220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</row>
    <row r="221" spans="1:44" x14ac:dyDescent="0.2">
      <c r="A221">
        <f>ROW(Source!A311)</f>
        <v>311</v>
      </c>
      <c r="B221">
        <v>94191224</v>
      </c>
      <c r="C221">
        <v>94191218</v>
      </c>
      <c r="D221">
        <v>87304103</v>
      </c>
      <c r="E221">
        <v>1</v>
      </c>
      <c r="F221">
        <v>1</v>
      </c>
      <c r="G221">
        <v>1</v>
      </c>
      <c r="H221">
        <v>3</v>
      </c>
      <c r="I221" t="s">
        <v>530</v>
      </c>
      <c r="J221" t="s">
        <v>531</v>
      </c>
      <c r="K221" t="s">
        <v>532</v>
      </c>
      <c r="L221">
        <v>1383</v>
      </c>
      <c r="N221">
        <v>1013</v>
      </c>
      <c r="O221" t="s">
        <v>533</v>
      </c>
      <c r="P221" t="s">
        <v>533</v>
      </c>
      <c r="Q221">
        <v>1</v>
      </c>
      <c r="X221">
        <v>10.119999999999999</v>
      </c>
      <c r="Y221">
        <v>6.92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0</v>
      </c>
      <c r="AF221" t="s">
        <v>3</v>
      </c>
      <c r="AG221">
        <v>10.119999999999999</v>
      </c>
      <c r="AH221">
        <v>2</v>
      </c>
      <c r="AI221">
        <v>94191224</v>
      </c>
      <c r="AJ221">
        <v>221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</row>
    <row r="222" spans="1:44" x14ac:dyDescent="0.2">
      <c r="A222">
        <f>ROW(Source!A311)</f>
        <v>311</v>
      </c>
      <c r="B222">
        <v>94191225</v>
      </c>
      <c r="C222">
        <v>94191218</v>
      </c>
      <c r="D222">
        <v>87305949</v>
      </c>
      <c r="E222">
        <v>1</v>
      </c>
      <c r="F222">
        <v>1</v>
      </c>
      <c r="G222">
        <v>1</v>
      </c>
      <c r="H222">
        <v>3</v>
      </c>
      <c r="I222" t="s">
        <v>585</v>
      </c>
      <c r="J222" t="s">
        <v>586</v>
      </c>
      <c r="K222" t="s">
        <v>587</v>
      </c>
      <c r="L222">
        <v>1346</v>
      </c>
      <c r="N222">
        <v>1009</v>
      </c>
      <c r="O222" t="s">
        <v>96</v>
      </c>
      <c r="P222" t="s">
        <v>96</v>
      </c>
      <c r="Q222">
        <v>1</v>
      </c>
      <c r="X222">
        <v>1.8</v>
      </c>
      <c r="Y222">
        <v>114.9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0</v>
      </c>
      <c r="AF222" t="s">
        <v>3</v>
      </c>
      <c r="AG222">
        <v>1.8</v>
      </c>
      <c r="AH222">
        <v>2</v>
      </c>
      <c r="AI222">
        <v>94191225</v>
      </c>
      <c r="AJ222">
        <v>222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</row>
    <row r="223" spans="1:44" x14ac:dyDescent="0.2">
      <c r="A223">
        <f>ROW(Source!A311)</f>
        <v>311</v>
      </c>
      <c r="B223">
        <v>94191226</v>
      </c>
      <c r="C223">
        <v>94191218</v>
      </c>
      <c r="D223">
        <v>87315443</v>
      </c>
      <c r="E223">
        <v>1</v>
      </c>
      <c r="F223">
        <v>1</v>
      </c>
      <c r="G223">
        <v>1</v>
      </c>
      <c r="H223">
        <v>3</v>
      </c>
      <c r="I223" t="s">
        <v>588</v>
      </c>
      <c r="J223" t="s">
        <v>589</v>
      </c>
      <c r="K223" t="s">
        <v>590</v>
      </c>
      <c r="L223">
        <v>1339</v>
      </c>
      <c r="N223">
        <v>1007</v>
      </c>
      <c r="O223" t="s">
        <v>34</v>
      </c>
      <c r="P223" t="s">
        <v>34</v>
      </c>
      <c r="Q223">
        <v>1</v>
      </c>
      <c r="X223">
        <v>1.24</v>
      </c>
      <c r="Y223">
        <v>30892.33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0</v>
      </c>
      <c r="AF223" t="s">
        <v>3</v>
      </c>
      <c r="AG223">
        <v>1.24</v>
      </c>
      <c r="AH223">
        <v>2</v>
      </c>
      <c r="AI223">
        <v>94191226</v>
      </c>
      <c r="AJ223">
        <v>224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</row>
    <row r="224" spans="1:44" x14ac:dyDescent="0.2">
      <c r="A224">
        <f>ROW(Source!A313)</f>
        <v>313</v>
      </c>
      <c r="B224">
        <v>94192468</v>
      </c>
      <c r="C224">
        <v>94192461</v>
      </c>
      <c r="D224">
        <v>37065248</v>
      </c>
      <c r="E224">
        <v>116</v>
      </c>
      <c r="F224">
        <v>1</v>
      </c>
      <c r="G224">
        <v>1</v>
      </c>
      <c r="H224">
        <v>1</v>
      </c>
      <c r="I224" t="s">
        <v>436</v>
      </c>
      <c r="J224" t="s">
        <v>3</v>
      </c>
      <c r="K224" t="s">
        <v>437</v>
      </c>
      <c r="L224">
        <v>1191</v>
      </c>
      <c r="N224">
        <v>1013</v>
      </c>
      <c r="O224" t="s">
        <v>428</v>
      </c>
      <c r="P224" t="s">
        <v>428</v>
      </c>
      <c r="Q224">
        <v>1</v>
      </c>
      <c r="X224">
        <v>22.55</v>
      </c>
      <c r="Y224">
        <v>0</v>
      </c>
      <c r="Z224">
        <v>0</v>
      </c>
      <c r="AA224">
        <v>0</v>
      </c>
      <c r="AB224">
        <v>649.24</v>
      </c>
      <c r="AC224">
        <v>0</v>
      </c>
      <c r="AD224">
        <v>1</v>
      </c>
      <c r="AE224">
        <v>1</v>
      </c>
      <c r="AF224" t="s">
        <v>243</v>
      </c>
      <c r="AG224">
        <v>25.932499999999997</v>
      </c>
      <c r="AH224">
        <v>2</v>
      </c>
      <c r="AI224">
        <v>94192462</v>
      </c>
      <c r="AJ224">
        <v>225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</row>
    <row r="225" spans="1:44" x14ac:dyDescent="0.2">
      <c r="A225">
        <f>ROW(Source!A313)</f>
        <v>313</v>
      </c>
      <c r="B225">
        <v>94192469</v>
      </c>
      <c r="C225">
        <v>94192461</v>
      </c>
      <c r="D225">
        <v>37064876</v>
      </c>
      <c r="E225">
        <v>116</v>
      </c>
      <c r="F225">
        <v>1</v>
      </c>
      <c r="G225">
        <v>1</v>
      </c>
      <c r="H225">
        <v>1</v>
      </c>
      <c r="I225" t="s">
        <v>429</v>
      </c>
      <c r="J225" t="s">
        <v>3</v>
      </c>
      <c r="K225" t="s">
        <v>430</v>
      </c>
      <c r="L225">
        <v>1191</v>
      </c>
      <c r="N225">
        <v>1013</v>
      </c>
      <c r="O225" t="s">
        <v>428</v>
      </c>
      <c r="P225" t="s">
        <v>428</v>
      </c>
      <c r="Q225">
        <v>1</v>
      </c>
      <c r="X225">
        <v>0.1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2</v>
      </c>
      <c r="AF225" t="s">
        <v>242</v>
      </c>
      <c r="AG225">
        <v>0.125</v>
      </c>
      <c r="AH225">
        <v>2</v>
      </c>
      <c r="AI225">
        <v>94192463</v>
      </c>
      <c r="AJ225">
        <v>226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</row>
    <row r="226" spans="1:44" x14ac:dyDescent="0.2">
      <c r="A226">
        <f>ROW(Source!A313)</f>
        <v>313</v>
      </c>
      <c r="B226">
        <v>94192470</v>
      </c>
      <c r="C226">
        <v>94192461</v>
      </c>
      <c r="D226">
        <v>84464742</v>
      </c>
      <c r="E226">
        <v>1</v>
      </c>
      <c r="F226">
        <v>1</v>
      </c>
      <c r="G226">
        <v>1</v>
      </c>
      <c r="H226">
        <v>2</v>
      </c>
      <c r="I226" t="s">
        <v>463</v>
      </c>
      <c r="J226" t="s">
        <v>464</v>
      </c>
      <c r="K226" t="s">
        <v>465</v>
      </c>
      <c r="L226">
        <v>1368</v>
      </c>
      <c r="N226">
        <v>1011</v>
      </c>
      <c r="O226" t="s">
        <v>434</v>
      </c>
      <c r="P226" t="s">
        <v>434</v>
      </c>
      <c r="Q226">
        <v>1</v>
      </c>
      <c r="X226">
        <v>0.1</v>
      </c>
      <c r="Y226">
        <v>0</v>
      </c>
      <c r="Z226">
        <v>544.91999999999996</v>
      </c>
      <c r="AA226">
        <v>731.08</v>
      </c>
      <c r="AB226">
        <v>0</v>
      </c>
      <c r="AC226">
        <v>0</v>
      </c>
      <c r="AD226">
        <v>1</v>
      </c>
      <c r="AE226">
        <v>0</v>
      </c>
      <c r="AF226" t="s">
        <v>242</v>
      </c>
      <c r="AG226">
        <v>0.125</v>
      </c>
      <c r="AH226">
        <v>2</v>
      </c>
      <c r="AI226">
        <v>94192464</v>
      </c>
      <c r="AJ226">
        <v>227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</row>
    <row r="227" spans="1:44" x14ac:dyDescent="0.2">
      <c r="A227">
        <f>ROW(Source!A313)</f>
        <v>313</v>
      </c>
      <c r="B227">
        <v>94192471</v>
      </c>
      <c r="C227">
        <v>94192461</v>
      </c>
      <c r="D227">
        <v>84414641</v>
      </c>
      <c r="E227">
        <v>1</v>
      </c>
      <c r="F227">
        <v>1</v>
      </c>
      <c r="G227">
        <v>1</v>
      </c>
      <c r="H227">
        <v>3</v>
      </c>
      <c r="I227" t="s">
        <v>530</v>
      </c>
      <c r="J227" t="s">
        <v>531</v>
      </c>
      <c r="K227" t="s">
        <v>532</v>
      </c>
      <c r="L227">
        <v>1383</v>
      </c>
      <c r="N227">
        <v>1013</v>
      </c>
      <c r="O227" t="s">
        <v>533</v>
      </c>
      <c r="P227" t="s">
        <v>533</v>
      </c>
      <c r="Q227">
        <v>1</v>
      </c>
      <c r="X227">
        <v>0.58099999999999996</v>
      </c>
      <c r="Y227">
        <v>6.92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0</v>
      </c>
      <c r="AF227" t="s">
        <v>3</v>
      </c>
      <c r="AG227">
        <v>0.58099999999999996</v>
      </c>
      <c r="AH227">
        <v>2</v>
      </c>
      <c r="AI227">
        <v>94192465</v>
      </c>
      <c r="AJ227">
        <v>228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</row>
    <row r="228" spans="1:44" x14ac:dyDescent="0.2">
      <c r="A228">
        <f>ROW(Source!A313)</f>
        <v>313</v>
      </c>
      <c r="B228">
        <v>94192472</v>
      </c>
      <c r="C228">
        <v>94192461</v>
      </c>
      <c r="D228">
        <v>84345791</v>
      </c>
      <c r="E228">
        <v>116</v>
      </c>
      <c r="F228">
        <v>1</v>
      </c>
      <c r="G228">
        <v>1</v>
      </c>
      <c r="H228">
        <v>3</v>
      </c>
      <c r="I228" t="s">
        <v>633</v>
      </c>
      <c r="J228" t="s">
        <v>3</v>
      </c>
      <c r="K228" t="s">
        <v>634</v>
      </c>
      <c r="L228">
        <v>1327</v>
      </c>
      <c r="N228">
        <v>1005</v>
      </c>
      <c r="O228" t="s">
        <v>60</v>
      </c>
      <c r="P228" t="s">
        <v>60</v>
      </c>
      <c r="Q228">
        <v>1</v>
      </c>
      <c r="X228">
        <v>102.5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 t="s">
        <v>3</v>
      </c>
      <c r="AG228">
        <v>102.5</v>
      </c>
      <c r="AH228">
        <v>3</v>
      </c>
      <c r="AI228">
        <v>-1</v>
      </c>
      <c r="AJ228" t="s">
        <v>3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</row>
    <row r="229" spans="1:44" x14ac:dyDescent="0.2">
      <c r="A229">
        <f>ROW(Source!A313)</f>
        <v>313</v>
      </c>
      <c r="B229">
        <v>94192473</v>
      </c>
      <c r="C229">
        <v>94192461</v>
      </c>
      <c r="D229">
        <v>84426339</v>
      </c>
      <c r="E229">
        <v>1</v>
      </c>
      <c r="F229">
        <v>1</v>
      </c>
      <c r="G229">
        <v>1</v>
      </c>
      <c r="H229">
        <v>3</v>
      </c>
      <c r="I229" t="s">
        <v>592</v>
      </c>
      <c r="J229" t="s">
        <v>593</v>
      </c>
      <c r="K229" t="s">
        <v>594</v>
      </c>
      <c r="L229">
        <v>1330</v>
      </c>
      <c r="N229">
        <v>1005</v>
      </c>
      <c r="O229" t="s">
        <v>595</v>
      </c>
      <c r="P229" t="s">
        <v>595</v>
      </c>
      <c r="Q229">
        <v>10</v>
      </c>
      <c r="X229">
        <v>10.5</v>
      </c>
      <c r="Y229">
        <v>108.36</v>
      </c>
      <c r="Z229">
        <v>0</v>
      </c>
      <c r="AA229">
        <v>0</v>
      </c>
      <c r="AB229">
        <v>0</v>
      </c>
      <c r="AC229">
        <v>0</v>
      </c>
      <c r="AD229">
        <v>1</v>
      </c>
      <c r="AE229">
        <v>0</v>
      </c>
      <c r="AF229" t="s">
        <v>3</v>
      </c>
      <c r="AG229">
        <v>10.5</v>
      </c>
      <c r="AH229">
        <v>2</v>
      </c>
      <c r="AI229">
        <v>94192466</v>
      </c>
      <c r="AJ229">
        <v>229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</row>
    <row r="230" spans="1:44" x14ac:dyDescent="0.2">
      <c r="A230">
        <f>ROW(Source!A315)</f>
        <v>315</v>
      </c>
      <c r="B230">
        <v>94192641</v>
      </c>
      <c r="C230">
        <v>94192475</v>
      </c>
      <c r="D230">
        <v>90155086</v>
      </c>
      <c r="E230">
        <v>118</v>
      </c>
      <c r="F230">
        <v>1</v>
      </c>
      <c r="G230">
        <v>1</v>
      </c>
      <c r="H230">
        <v>1</v>
      </c>
      <c r="I230" t="s">
        <v>596</v>
      </c>
      <c r="J230" t="s">
        <v>3</v>
      </c>
      <c r="K230" t="s">
        <v>597</v>
      </c>
      <c r="L230">
        <v>1191</v>
      </c>
      <c r="N230">
        <v>1013</v>
      </c>
      <c r="O230" t="s">
        <v>428</v>
      </c>
      <c r="P230" t="s">
        <v>428</v>
      </c>
      <c r="Q230">
        <v>1</v>
      </c>
      <c r="X230">
        <v>9.01</v>
      </c>
      <c r="Y230">
        <v>0</v>
      </c>
      <c r="Z230">
        <v>0</v>
      </c>
      <c r="AA230">
        <v>0</v>
      </c>
      <c r="AB230">
        <v>741.99</v>
      </c>
      <c r="AC230">
        <v>0</v>
      </c>
      <c r="AD230">
        <v>1</v>
      </c>
      <c r="AE230">
        <v>1</v>
      </c>
      <c r="AF230" t="s">
        <v>243</v>
      </c>
      <c r="AG230">
        <v>10.361499999999999</v>
      </c>
      <c r="AH230">
        <v>2</v>
      </c>
      <c r="AI230">
        <v>94192641</v>
      </c>
      <c r="AJ230">
        <v>231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</row>
    <row r="231" spans="1:44" x14ac:dyDescent="0.2">
      <c r="A231">
        <f>ROW(Source!A315)</f>
        <v>315</v>
      </c>
      <c r="B231">
        <v>94192642</v>
      </c>
      <c r="C231">
        <v>94192475</v>
      </c>
      <c r="D231">
        <v>90155259</v>
      </c>
      <c r="E231">
        <v>118</v>
      </c>
      <c r="F231">
        <v>1</v>
      </c>
      <c r="G231">
        <v>1</v>
      </c>
      <c r="H231">
        <v>1</v>
      </c>
      <c r="I231" t="s">
        <v>429</v>
      </c>
      <c r="J231" t="s">
        <v>3</v>
      </c>
      <c r="K231" t="s">
        <v>430</v>
      </c>
      <c r="L231">
        <v>1191</v>
      </c>
      <c r="N231">
        <v>1013</v>
      </c>
      <c r="O231" t="s">
        <v>428</v>
      </c>
      <c r="P231" t="s">
        <v>428</v>
      </c>
      <c r="Q231">
        <v>1</v>
      </c>
      <c r="X231">
        <v>0.04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1</v>
      </c>
      <c r="AE231">
        <v>2</v>
      </c>
      <c r="AF231" t="s">
        <v>242</v>
      </c>
      <c r="AG231">
        <v>0.05</v>
      </c>
      <c r="AH231">
        <v>2</v>
      </c>
      <c r="AI231">
        <v>94192642</v>
      </c>
      <c r="AJ231">
        <v>232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</row>
    <row r="232" spans="1:44" x14ac:dyDescent="0.2">
      <c r="A232">
        <f>ROW(Source!A315)</f>
        <v>315</v>
      </c>
      <c r="B232">
        <v>94192643</v>
      </c>
      <c r="C232">
        <v>94192475</v>
      </c>
      <c r="D232">
        <v>90281903</v>
      </c>
      <c r="E232">
        <v>1</v>
      </c>
      <c r="F232">
        <v>1</v>
      </c>
      <c r="G232">
        <v>1</v>
      </c>
      <c r="H232">
        <v>2</v>
      </c>
      <c r="I232" t="s">
        <v>431</v>
      </c>
      <c r="J232" t="s">
        <v>432</v>
      </c>
      <c r="K232" t="s">
        <v>433</v>
      </c>
      <c r="L232">
        <v>1368</v>
      </c>
      <c r="N232">
        <v>1011</v>
      </c>
      <c r="O232" t="s">
        <v>434</v>
      </c>
      <c r="P232" t="s">
        <v>434</v>
      </c>
      <c r="Q232">
        <v>1</v>
      </c>
      <c r="X232">
        <v>5.0000000000000001E-3</v>
      </c>
      <c r="Y232">
        <v>0</v>
      </c>
      <c r="Z232">
        <v>37.32</v>
      </c>
      <c r="AA232">
        <v>649.24</v>
      </c>
      <c r="AB232">
        <v>0</v>
      </c>
      <c r="AC232">
        <v>0</v>
      </c>
      <c r="AD232">
        <v>1</v>
      </c>
      <c r="AE232">
        <v>0</v>
      </c>
      <c r="AF232" t="s">
        <v>242</v>
      </c>
      <c r="AG232">
        <v>6.2500000000000003E-3</v>
      </c>
      <c r="AH232">
        <v>2</v>
      </c>
      <c r="AI232">
        <v>94192643</v>
      </c>
      <c r="AJ232">
        <v>233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</row>
    <row r="233" spans="1:44" x14ac:dyDescent="0.2">
      <c r="A233">
        <f>ROW(Source!A315)</f>
        <v>315</v>
      </c>
      <c r="B233">
        <v>94192644</v>
      </c>
      <c r="C233">
        <v>94192475</v>
      </c>
      <c r="D233">
        <v>90282618</v>
      </c>
      <c r="E233">
        <v>1</v>
      </c>
      <c r="F233">
        <v>1</v>
      </c>
      <c r="G233">
        <v>1</v>
      </c>
      <c r="H233">
        <v>2</v>
      </c>
      <c r="I233" t="s">
        <v>463</v>
      </c>
      <c r="J233" t="s">
        <v>464</v>
      </c>
      <c r="K233" t="s">
        <v>465</v>
      </c>
      <c r="L233">
        <v>1368</v>
      </c>
      <c r="N233">
        <v>1011</v>
      </c>
      <c r="O233" t="s">
        <v>434</v>
      </c>
      <c r="P233" t="s">
        <v>434</v>
      </c>
      <c r="Q233">
        <v>1</v>
      </c>
      <c r="X233">
        <v>0.03</v>
      </c>
      <c r="Y233">
        <v>0</v>
      </c>
      <c r="Z233">
        <v>544.91999999999996</v>
      </c>
      <c r="AA233">
        <v>731.08</v>
      </c>
      <c r="AB233">
        <v>0</v>
      </c>
      <c r="AC233">
        <v>0</v>
      </c>
      <c r="AD233">
        <v>1</v>
      </c>
      <c r="AE233">
        <v>0</v>
      </c>
      <c r="AF233" t="s">
        <v>242</v>
      </c>
      <c r="AG233">
        <v>3.7499999999999999E-2</v>
      </c>
      <c r="AH233">
        <v>2</v>
      </c>
      <c r="AI233">
        <v>94192644</v>
      </c>
      <c r="AJ233">
        <v>234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</row>
    <row r="234" spans="1:44" x14ac:dyDescent="0.2">
      <c r="A234">
        <f>ROW(Source!A315)</f>
        <v>315</v>
      </c>
      <c r="B234">
        <v>94192645</v>
      </c>
      <c r="C234">
        <v>94192475</v>
      </c>
      <c r="D234">
        <v>90158523</v>
      </c>
      <c r="E234">
        <v>118</v>
      </c>
      <c r="F234">
        <v>1</v>
      </c>
      <c r="G234">
        <v>1</v>
      </c>
      <c r="H234">
        <v>3</v>
      </c>
      <c r="I234" t="s">
        <v>635</v>
      </c>
      <c r="J234" t="s">
        <v>3</v>
      </c>
      <c r="K234" t="s">
        <v>636</v>
      </c>
      <c r="L234">
        <v>1301</v>
      </c>
      <c r="N234">
        <v>1003</v>
      </c>
      <c r="O234" t="s">
        <v>106</v>
      </c>
      <c r="P234" t="s">
        <v>106</v>
      </c>
      <c r="Q234">
        <v>1</v>
      </c>
      <c r="X234">
        <v>101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 t="s">
        <v>3</v>
      </c>
      <c r="AG234">
        <v>101</v>
      </c>
      <c r="AH234">
        <v>3</v>
      </c>
      <c r="AI234">
        <v>-1</v>
      </c>
      <c r="AJ234" t="s">
        <v>3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</row>
    <row r="235" spans="1:44" x14ac:dyDescent="0.2">
      <c r="A235">
        <f>ROW(Source!A315)</f>
        <v>315</v>
      </c>
      <c r="B235">
        <v>94192646</v>
      </c>
      <c r="C235">
        <v>94192475</v>
      </c>
      <c r="D235">
        <v>90251084</v>
      </c>
      <c r="E235">
        <v>1</v>
      </c>
      <c r="F235">
        <v>1</v>
      </c>
      <c r="G235">
        <v>1</v>
      </c>
      <c r="H235">
        <v>3</v>
      </c>
      <c r="I235" t="s">
        <v>598</v>
      </c>
      <c r="J235" t="s">
        <v>599</v>
      </c>
      <c r="K235" t="s">
        <v>600</v>
      </c>
      <c r="L235">
        <v>1346</v>
      </c>
      <c r="N235">
        <v>1009</v>
      </c>
      <c r="O235" t="s">
        <v>96</v>
      </c>
      <c r="P235" t="s">
        <v>96</v>
      </c>
      <c r="Q235">
        <v>1</v>
      </c>
      <c r="X235">
        <v>5.15</v>
      </c>
      <c r="Y235">
        <v>113.39</v>
      </c>
      <c r="Z235">
        <v>0</v>
      </c>
      <c r="AA235">
        <v>0</v>
      </c>
      <c r="AB235">
        <v>0</v>
      </c>
      <c r="AC235">
        <v>0</v>
      </c>
      <c r="AD235">
        <v>1</v>
      </c>
      <c r="AE235">
        <v>0</v>
      </c>
      <c r="AF235" t="s">
        <v>3</v>
      </c>
      <c r="AG235">
        <v>5.15</v>
      </c>
      <c r="AH235">
        <v>2</v>
      </c>
      <c r="AI235">
        <v>94192646</v>
      </c>
      <c r="AJ235">
        <v>235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</row>
    <row r="236" spans="1:44" x14ac:dyDescent="0.2">
      <c r="A236">
        <f>ROW(Source!A354)</f>
        <v>354</v>
      </c>
      <c r="B236">
        <v>94238527</v>
      </c>
      <c r="C236">
        <v>94238526</v>
      </c>
      <c r="D236">
        <v>87229801</v>
      </c>
      <c r="E236">
        <v>117</v>
      </c>
      <c r="F236">
        <v>1</v>
      </c>
      <c r="G236">
        <v>1</v>
      </c>
      <c r="H236">
        <v>1</v>
      </c>
      <c r="I236" t="s">
        <v>602</v>
      </c>
      <c r="J236" t="s">
        <v>3</v>
      </c>
      <c r="K236" t="s">
        <v>603</v>
      </c>
      <c r="L236">
        <v>1191</v>
      </c>
      <c r="N236">
        <v>1013</v>
      </c>
      <c r="O236" t="s">
        <v>428</v>
      </c>
      <c r="P236" t="s">
        <v>428</v>
      </c>
      <c r="Q236">
        <v>1</v>
      </c>
      <c r="X236">
        <v>62.91</v>
      </c>
      <c r="Y236">
        <v>0</v>
      </c>
      <c r="Z236">
        <v>0</v>
      </c>
      <c r="AA236">
        <v>0</v>
      </c>
      <c r="AB236">
        <v>807.46</v>
      </c>
      <c r="AC236">
        <v>0</v>
      </c>
      <c r="AD236">
        <v>1</v>
      </c>
      <c r="AE236">
        <v>1</v>
      </c>
      <c r="AF236" t="s">
        <v>3</v>
      </c>
      <c r="AG236">
        <v>62.91</v>
      </c>
      <c r="AH236">
        <v>2</v>
      </c>
      <c r="AI236">
        <v>94238527</v>
      </c>
      <c r="AJ236">
        <v>237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</row>
    <row r="237" spans="1:44" x14ac:dyDescent="0.2">
      <c r="A237">
        <f>ROW(Source!A354)</f>
        <v>354</v>
      </c>
      <c r="B237">
        <v>94238528</v>
      </c>
      <c r="C237">
        <v>94238526</v>
      </c>
      <c r="D237">
        <v>87229949</v>
      </c>
      <c r="E237">
        <v>117</v>
      </c>
      <c r="F237">
        <v>1</v>
      </c>
      <c r="G237">
        <v>1</v>
      </c>
      <c r="H237">
        <v>1</v>
      </c>
      <c r="I237" t="s">
        <v>429</v>
      </c>
      <c r="J237" t="s">
        <v>3</v>
      </c>
      <c r="K237" t="s">
        <v>430</v>
      </c>
      <c r="L237">
        <v>1191</v>
      </c>
      <c r="N237">
        <v>1013</v>
      </c>
      <c r="O237" t="s">
        <v>428</v>
      </c>
      <c r="P237" t="s">
        <v>428</v>
      </c>
      <c r="Q237">
        <v>1</v>
      </c>
      <c r="X237">
        <v>6.21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1</v>
      </c>
      <c r="AE237">
        <v>2</v>
      </c>
      <c r="AF237" t="s">
        <v>3</v>
      </c>
      <c r="AG237">
        <v>6.21</v>
      </c>
      <c r="AH237">
        <v>2</v>
      </c>
      <c r="AI237">
        <v>94238528</v>
      </c>
      <c r="AJ237">
        <v>238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</row>
    <row r="238" spans="1:44" x14ac:dyDescent="0.2">
      <c r="A238">
        <f>ROW(Source!A354)</f>
        <v>354</v>
      </c>
      <c r="B238">
        <v>94238529</v>
      </c>
      <c r="C238">
        <v>94238526</v>
      </c>
      <c r="D238">
        <v>87236625</v>
      </c>
      <c r="E238">
        <v>1</v>
      </c>
      <c r="F238">
        <v>1</v>
      </c>
      <c r="G238">
        <v>1</v>
      </c>
      <c r="H238">
        <v>2</v>
      </c>
      <c r="I238" t="s">
        <v>431</v>
      </c>
      <c r="J238" t="s">
        <v>432</v>
      </c>
      <c r="K238" t="s">
        <v>433</v>
      </c>
      <c r="L238">
        <v>1368</v>
      </c>
      <c r="N238">
        <v>1011</v>
      </c>
      <c r="O238" t="s">
        <v>434</v>
      </c>
      <c r="P238" t="s">
        <v>434</v>
      </c>
      <c r="Q238">
        <v>1</v>
      </c>
      <c r="X238">
        <v>0.56999999999999995</v>
      </c>
      <c r="Y238">
        <v>0</v>
      </c>
      <c r="Z238">
        <v>37.32</v>
      </c>
      <c r="AA238">
        <v>649.24</v>
      </c>
      <c r="AB238">
        <v>0</v>
      </c>
      <c r="AC238">
        <v>0</v>
      </c>
      <c r="AD238">
        <v>1</v>
      </c>
      <c r="AE238">
        <v>0</v>
      </c>
      <c r="AF238" t="s">
        <v>3</v>
      </c>
      <c r="AG238">
        <v>0.56999999999999995</v>
      </c>
      <c r="AH238">
        <v>2</v>
      </c>
      <c r="AI238">
        <v>94238529</v>
      </c>
      <c r="AJ238">
        <v>239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</row>
    <row r="239" spans="1:44" x14ac:dyDescent="0.2">
      <c r="A239">
        <f>ROW(Source!A354)</f>
        <v>354</v>
      </c>
      <c r="B239">
        <v>94238530</v>
      </c>
      <c r="C239">
        <v>94238526</v>
      </c>
      <c r="D239">
        <v>87236730</v>
      </c>
      <c r="E239">
        <v>1</v>
      </c>
      <c r="F239">
        <v>1</v>
      </c>
      <c r="G239">
        <v>1</v>
      </c>
      <c r="H239">
        <v>2</v>
      </c>
      <c r="I239" t="s">
        <v>527</v>
      </c>
      <c r="J239" t="s">
        <v>528</v>
      </c>
      <c r="K239" t="s">
        <v>529</v>
      </c>
      <c r="L239">
        <v>1368</v>
      </c>
      <c r="N239">
        <v>1011</v>
      </c>
      <c r="O239" t="s">
        <v>434</v>
      </c>
      <c r="P239" t="s">
        <v>434</v>
      </c>
      <c r="Q239">
        <v>1</v>
      </c>
      <c r="X239">
        <v>5.64</v>
      </c>
      <c r="Y239">
        <v>0</v>
      </c>
      <c r="Z239">
        <v>2.31</v>
      </c>
      <c r="AA239">
        <v>649.24</v>
      </c>
      <c r="AB239">
        <v>0</v>
      </c>
      <c r="AC239">
        <v>0</v>
      </c>
      <c r="AD239">
        <v>1</v>
      </c>
      <c r="AE239">
        <v>0</v>
      </c>
      <c r="AF239" t="s">
        <v>3</v>
      </c>
      <c r="AG239">
        <v>5.64</v>
      </c>
      <c r="AH239">
        <v>2</v>
      </c>
      <c r="AI239">
        <v>94238530</v>
      </c>
      <c r="AJ239">
        <v>240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</row>
    <row r="240" spans="1:44" x14ac:dyDescent="0.2">
      <c r="A240">
        <f>ROW(Source!A354)</f>
        <v>354</v>
      </c>
      <c r="B240">
        <v>94238531</v>
      </c>
      <c r="C240">
        <v>94238526</v>
      </c>
      <c r="D240">
        <v>87304091</v>
      </c>
      <c r="E240">
        <v>1</v>
      </c>
      <c r="F240">
        <v>1</v>
      </c>
      <c r="G240">
        <v>1</v>
      </c>
      <c r="H240">
        <v>3</v>
      </c>
      <c r="I240" t="s">
        <v>467</v>
      </c>
      <c r="J240" t="s">
        <v>468</v>
      </c>
      <c r="K240" t="s">
        <v>469</v>
      </c>
      <c r="L240">
        <v>1339</v>
      </c>
      <c r="N240">
        <v>1007</v>
      </c>
      <c r="O240" t="s">
        <v>34</v>
      </c>
      <c r="P240" t="s">
        <v>34</v>
      </c>
      <c r="Q240">
        <v>1</v>
      </c>
      <c r="X240">
        <v>0.41</v>
      </c>
      <c r="Y240">
        <v>35.71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0</v>
      </c>
      <c r="AF240" t="s">
        <v>3</v>
      </c>
      <c r="AG240">
        <v>0.41</v>
      </c>
      <c r="AH240">
        <v>2</v>
      </c>
      <c r="AI240">
        <v>94238531</v>
      </c>
      <c r="AJ240">
        <v>241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</row>
    <row r="241" spans="1:44" x14ac:dyDescent="0.2">
      <c r="A241">
        <f>ROW(Source!A354)</f>
        <v>354</v>
      </c>
      <c r="B241">
        <v>94238532</v>
      </c>
      <c r="C241">
        <v>94238526</v>
      </c>
      <c r="D241">
        <v>87306387</v>
      </c>
      <c r="E241">
        <v>1</v>
      </c>
      <c r="F241">
        <v>1</v>
      </c>
      <c r="G241">
        <v>1</v>
      </c>
      <c r="H241">
        <v>3</v>
      </c>
      <c r="I241" t="s">
        <v>567</v>
      </c>
      <c r="J241" t="s">
        <v>568</v>
      </c>
      <c r="K241" t="s">
        <v>569</v>
      </c>
      <c r="L241">
        <v>1327</v>
      </c>
      <c r="N241">
        <v>1005</v>
      </c>
      <c r="O241" t="s">
        <v>60</v>
      </c>
      <c r="P241" t="s">
        <v>60</v>
      </c>
      <c r="Q241">
        <v>1</v>
      </c>
      <c r="X241">
        <v>2</v>
      </c>
      <c r="Y241">
        <v>531.44000000000005</v>
      </c>
      <c r="Z241">
        <v>0</v>
      </c>
      <c r="AA241">
        <v>0</v>
      </c>
      <c r="AB241">
        <v>0</v>
      </c>
      <c r="AC241">
        <v>0</v>
      </c>
      <c r="AD241">
        <v>1</v>
      </c>
      <c r="AE241">
        <v>0</v>
      </c>
      <c r="AF241" t="s">
        <v>3</v>
      </c>
      <c r="AG241">
        <v>2</v>
      </c>
      <c r="AH241">
        <v>2</v>
      </c>
      <c r="AI241">
        <v>94238532</v>
      </c>
      <c r="AJ241">
        <v>242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</row>
    <row r="242" spans="1:44" x14ac:dyDescent="0.2">
      <c r="A242">
        <f>ROW(Source!A354)</f>
        <v>354</v>
      </c>
      <c r="B242">
        <v>94238533</v>
      </c>
      <c r="C242">
        <v>94238526</v>
      </c>
      <c r="D242">
        <v>87231189</v>
      </c>
      <c r="E242">
        <v>117</v>
      </c>
      <c r="F242">
        <v>1</v>
      </c>
      <c r="G242">
        <v>1</v>
      </c>
      <c r="H242">
        <v>3</v>
      </c>
      <c r="I242" t="s">
        <v>630</v>
      </c>
      <c r="J242" t="s">
        <v>3</v>
      </c>
      <c r="K242" t="s">
        <v>637</v>
      </c>
      <c r="L242">
        <v>1348</v>
      </c>
      <c r="N242">
        <v>1009</v>
      </c>
      <c r="O242" t="s">
        <v>30</v>
      </c>
      <c r="P242" t="s">
        <v>30</v>
      </c>
      <c r="Q242">
        <v>1000</v>
      </c>
      <c r="X242">
        <v>0.54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 t="s">
        <v>3</v>
      </c>
      <c r="AG242">
        <v>0.54</v>
      </c>
      <c r="AH242">
        <v>3</v>
      </c>
      <c r="AI242">
        <v>-1</v>
      </c>
      <c r="AJ242" t="s">
        <v>3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</row>
    <row r="243" spans="1:44" x14ac:dyDescent="0.2">
      <c r="A243">
        <f>ROW(Source!A354)</f>
        <v>354</v>
      </c>
      <c r="B243">
        <v>94238534</v>
      </c>
      <c r="C243">
        <v>94238526</v>
      </c>
      <c r="D243">
        <v>87322628</v>
      </c>
      <c r="E243">
        <v>1</v>
      </c>
      <c r="F243">
        <v>1</v>
      </c>
      <c r="G243">
        <v>1</v>
      </c>
      <c r="H243">
        <v>3</v>
      </c>
      <c r="I243" t="s">
        <v>604</v>
      </c>
      <c r="J243" t="s">
        <v>605</v>
      </c>
      <c r="K243" t="s">
        <v>606</v>
      </c>
      <c r="L243">
        <v>1348</v>
      </c>
      <c r="N243">
        <v>1009</v>
      </c>
      <c r="O243" t="s">
        <v>30</v>
      </c>
      <c r="P243" t="s">
        <v>30</v>
      </c>
      <c r="Q243">
        <v>1000</v>
      </c>
      <c r="X243">
        <v>0.01</v>
      </c>
      <c r="Y243">
        <v>215084.63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0</v>
      </c>
      <c r="AF243" t="s">
        <v>3</v>
      </c>
      <c r="AG243">
        <v>0.01</v>
      </c>
      <c r="AH243">
        <v>2</v>
      </c>
      <c r="AI243">
        <v>94238534</v>
      </c>
      <c r="AJ243">
        <v>244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</row>
    <row r="244" spans="1:44" x14ac:dyDescent="0.2">
      <c r="A244">
        <f>ROW(Source!A356)</f>
        <v>356</v>
      </c>
      <c r="B244">
        <v>94238911</v>
      </c>
      <c r="C244">
        <v>94238910</v>
      </c>
      <c r="D244">
        <v>87229757</v>
      </c>
      <c r="E244">
        <v>117</v>
      </c>
      <c r="F244">
        <v>1</v>
      </c>
      <c r="G244">
        <v>1</v>
      </c>
      <c r="H244">
        <v>1</v>
      </c>
      <c r="I244" t="s">
        <v>547</v>
      </c>
      <c r="J244" t="s">
        <v>3</v>
      </c>
      <c r="K244" t="s">
        <v>548</v>
      </c>
      <c r="L244">
        <v>1191</v>
      </c>
      <c r="N244">
        <v>1013</v>
      </c>
      <c r="O244" t="s">
        <v>428</v>
      </c>
      <c r="P244" t="s">
        <v>428</v>
      </c>
      <c r="Q244">
        <v>1</v>
      </c>
      <c r="X244">
        <v>11.6</v>
      </c>
      <c r="Y244">
        <v>0</v>
      </c>
      <c r="Z244">
        <v>0</v>
      </c>
      <c r="AA244">
        <v>0</v>
      </c>
      <c r="AB244">
        <v>657.42</v>
      </c>
      <c r="AC244">
        <v>0</v>
      </c>
      <c r="AD244">
        <v>1</v>
      </c>
      <c r="AE244">
        <v>1</v>
      </c>
      <c r="AF244" t="s">
        <v>3</v>
      </c>
      <c r="AG244">
        <v>11.6</v>
      </c>
      <c r="AH244">
        <v>2</v>
      </c>
      <c r="AI244">
        <v>94238911</v>
      </c>
      <c r="AJ244">
        <v>245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</row>
    <row r="245" spans="1:44" x14ac:dyDescent="0.2">
      <c r="A245">
        <f>ROW(Source!A356)</f>
        <v>356</v>
      </c>
      <c r="B245">
        <v>94238912</v>
      </c>
      <c r="C245">
        <v>94238910</v>
      </c>
      <c r="D245">
        <v>87229949</v>
      </c>
      <c r="E245">
        <v>117</v>
      </c>
      <c r="F245">
        <v>1</v>
      </c>
      <c r="G245">
        <v>1</v>
      </c>
      <c r="H245">
        <v>1</v>
      </c>
      <c r="I245" t="s">
        <v>429</v>
      </c>
      <c r="J245" t="s">
        <v>3</v>
      </c>
      <c r="K245" t="s">
        <v>430</v>
      </c>
      <c r="L245">
        <v>1191</v>
      </c>
      <c r="N245">
        <v>1013</v>
      </c>
      <c r="O245" t="s">
        <v>428</v>
      </c>
      <c r="P245" t="s">
        <v>428</v>
      </c>
      <c r="Q245">
        <v>1</v>
      </c>
      <c r="X245">
        <v>0.08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1</v>
      </c>
      <c r="AE245">
        <v>2</v>
      </c>
      <c r="AF245" t="s">
        <v>3</v>
      </c>
      <c r="AG245">
        <v>0.08</v>
      </c>
      <c r="AH245">
        <v>2</v>
      </c>
      <c r="AI245">
        <v>94238912</v>
      </c>
      <c r="AJ245">
        <v>246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</row>
    <row r="246" spans="1:44" x14ac:dyDescent="0.2">
      <c r="A246">
        <f>ROW(Source!A356)</f>
        <v>356</v>
      </c>
      <c r="B246">
        <v>94238913</v>
      </c>
      <c r="C246">
        <v>94238910</v>
      </c>
      <c r="D246">
        <v>87236577</v>
      </c>
      <c r="E246">
        <v>1</v>
      </c>
      <c r="F246">
        <v>1</v>
      </c>
      <c r="G246">
        <v>1</v>
      </c>
      <c r="H246">
        <v>2</v>
      </c>
      <c r="I246" t="s">
        <v>538</v>
      </c>
      <c r="J246" t="s">
        <v>539</v>
      </c>
      <c r="K246" t="s">
        <v>540</v>
      </c>
      <c r="L246">
        <v>1368</v>
      </c>
      <c r="N246">
        <v>1011</v>
      </c>
      <c r="O246" t="s">
        <v>434</v>
      </c>
      <c r="P246" t="s">
        <v>434</v>
      </c>
      <c r="Q246">
        <v>1</v>
      </c>
      <c r="X246">
        <v>0.09</v>
      </c>
      <c r="Y246">
        <v>0</v>
      </c>
      <c r="Z246">
        <v>6.62</v>
      </c>
      <c r="AA246">
        <v>0</v>
      </c>
      <c r="AB246">
        <v>0</v>
      </c>
      <c r="AC246">
        <v>0</v>
      </c>
      <c r="AD246">
        <v>1</v>
      </c>
      <c r="AE246">
        <v>0</v>
      </c>
      <c r="AF246" t="s">
        <v>3</v>
      </c>
      <c r="AG246">
        <v>0.09</v>
      </c>
      <c r="AH246">
        <v>2</v>
      </c>
      <c r="AI246">
        <v>94238913</v>
      </c>
      <c r="AJ246">
        <v>247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</row>
    <row r="247" spans="1:44" x14ac:dyDescent="0.2">
      <c r="A247">
        <f>ROW(Source!A356)</f>
        <v>356</v>
      </c>
      <c r="B247">
        <v>94238914</v>
      </c>
      <c r="C247">
        <v>94238910</v>
      </c>
      <c r="D247">
        <v>87237333</v>
      </c>
      <c r="E247">
        <v>1</v>
      </c>
      <c r="F247">
        <v>1</v>
      </c>
      <c r="G247">
        <v>1</v>
      </c>
      <c r="H247">
        <v>2</v>
      </c>
      <c r="I247" t="s">
        <v>463</v>
      </c>
      <c r="J247" t="s">
        <v>464</v>
      </c>
      <c r="K247" t="s">
        <v>465</v>
      </c>
      <c r="L247">
        <v>1368</v>
      </c>
      <c r="N247">
        <v>1011</v>
      </c>
      <c r="O247" t="s">
        <v>434</v>
      </c>
      <c r="P247" t="s">
        <v>434</v>
      </c>
      <c r="Q247">
        <v>1</v>
      </c>
      <c r="X247">
        <v>0.08</v>
      </c>
      <c r="Y247">
        <v>0</v>
      </c>
      <c r="Z247">
        <v>544.91999999999996</v>
      </c>
      <c r="AA247">
        <v>731.08</v>
      </c>
      <c r="AB247">
        <v>0</v>
      </c>
      <c r="AC247">
        <v>0</v>
      </c>
      <c r="AD247">
        <v>1</v>
      </c>
      <c r="AE247">
        <v>0</v>
      </c>
      <c r="AF247" t="s">
        <v>3</v>
      </c>
      <c r="AG247">
        <v>0.08</v>
      </c>
      <c r="AH247">
        <v>2</v>
      </c>
      <c r="AI247">
        <v>94238914</v>
      </c>
      <c r="AJ247">
        <v>248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</row>
    <row r="248" spans="1:44" x14ac:dyDescent="0.2">
      <c r="A248">
        <f>ROW(Source!A356)</f>
        <v>356</v>
      </c>
      <c r="B248">
        <v>94238915</v>
      </c>
      <c r="C248">
        <v>94238910</v>
      </c>
      <c r="D248">
        <v>87237544</v>
      </c>
      <c r="E248">
        <v>1</v>
      </c>
      <c r="F248">
        <v>1</v>
      </c>
      <c r="G248">
        <v>1</v>
      </c>
      <c r="H248">
        <v>2</v>
      </c>
      <c r="I248" t="s">
        <v>549</v>
      </c>
      <c r="J248" t="s">
        <v>550</v>
      </c>
      <c r="K248" t="s">
        <v>551</v>
      </c>
      <c r="L248">
        <v>1368</v>
      </c>
      <c r="N248">
        <v>1011</v>
      </c>
      <c r="O248" t="s">
        <v>434</v>
      </c>
      <c r="P248" t="s">
        <v>434</v>
      </c>
      <c r="Q248">
        <v>1</v>
      </c>
      <c r="X248">
        <v>5.2</v>
      </c>
      <c r="Y248">
        <v>0</v>
      </c>
      <c r="Z248">
        <v>11.85</v>
      </c>
      <c r="AA248">
        <v>0</v>
      </c>
      <c r="AB248">
        <v>0</v>
      </c>
      <c r="AC248">
        <v>0</v>
      </c>
      <c r="AD248">
        <v>1</v>
      </c>
      <c r="AE248">
        <v>0</v>
      </c>
      <c r="AF248" t="s">
        <v>3</v>
      </c>
      <c r="AG248">
        <v>5.2</v>
      </c>
      <c r="AH248">
        <v>2</v>
      </c>
      <c r="AI248">
        <v>94238915</v>
      </c>
      <c r="AJ248">
        <v>249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</row>
    <row r="249" spans="1:44" x14ac:dyDescent="0.2">
      <c r="A249">
        <f>ROW(Source!A356)</f>
        <v>356</v>
      </c>
      <c r="B249">
        <v>94238916</v>
      </c>
      <c r="C249">
        <v>94238910</v>
      </c>
      <c r="D249">
        <v>87237890</v>
      </c>
      <c r="E249">
        <v>1</v>
      </c>
      <c r="F249">
        <v>1</v>
      </c>
      <c r="G249">
        <v>1</v>
      </c>
      <c r="H249">
        <v>2</v>
      </c>
      <c r="I249" t="s">
        <v>552</v>
      </c>
      <c r="J249" t="s">
        <v>553</v>
      </c>
      <c r="K249" t="s">
        <v>554</v>
      </c>
      <c r="L249">
        <v>1368</v>
      </c>
      <c r="N249">
        <v>1011</v>
      </c>
      <c r="O249" t="s">
        <v>434</v>
      </c>
      <c r="P249" t="s">
        <v>434</v>
      </c>
      <c r="Q249">
        <v>1</v>
      </c>
      <c r="X249">
        <v>10.4</v>
      </c>
      <c r="Y249">
        <v>0</v>
      </c>
      <c r="Z249">
        <v>4.5199999999999996</v>
      </c>
      <c r="AA249">
        <v>0</v>
      </c>
      <c r="AB249">
        <v>0</v>
      </c>
      <c r="AC249">
        <v>0</v>
      </c>
      <c r="AD249">
        <v>1</v>
      </c>
      <c r="AE249">
        <v>0</v>
      </c>
      <c r="AF249" t="s">
        <v>3</v>
      </c>
      <c r="AG249">
        <v>10.4</v>
      </c>
      <c r="AH249">
        <v>2</v>
      </c>
      <c r="AI249">
        <v>94238916</v>
      </c>
      <c r="AJ249">
        <v>250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</row>
    <row r="250" spans="1:44" x14ac:dyDescent="0.2">
      <c r="A250">
        <f>ROW(Source!A356)</f>
        <v>356</v>
      </c>
      <c r="B250">
        <v>94238917</v>
      </c>
      <c r="C250">
        <v>94238910</v>
      </c>
      <c r="D250">
        <v>87306751</v>
      </c>
      <c r="E250">
        <v>1</v>
      </c>
      <c r="F250">
        <v>1</v>
      </c>
      <c r="G250">
        <v>1</v>
      </c>
      <c r="H250">
        <v>3</v>
      </c>
      <c r="I250" t="s">
        <v>519</v>
      </c>
      <c r="J250" t="s">
        <v>520</v>
      </c>
      <c r="K250" t="s">
        <v>521</v>
      </c>
      <c r="L250">
        <v>1346</v>
      </c>
      <c r="N250">
        <v>1009</v>
      </c>
      <c r="O250" t="s">
        <v>96</v>
      </c>
      <c r="P250" t="s">
        <v>96</v>
      </c>
      <c r="Q250">
        <v>1</v>
      </c>
      <c r="X250">
        <v>0.41</v>
      </c>
      <c r="Y250">
        <v>56.11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 t="s">
        <v>3</v>
      </c>
      <c r="AG250">
        <v>0.41</v>
      </c>
      <c r="AH250">
        <v>2</v>
      </c>
      <c r="AI250">
        <v>94238917</v>
      </c>
      <c r="AJ250">
        <v>251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</row>
    <row r="251" spans="1:44" x14ac:dyDescent="0.2">
      <c r="A251">
        <f>ROW(Source!A356)</f>
        <v>356</v>
      </c>
      <c r="B251">
        <v>94238918</v>
      </c>
      <c r="C251">
        <v>94238910</v>
      </c>
      <c r="D251">
        <v>87233697</v>
      </c>
      <c r="E251">
        <v>117</v>
      </c>
      <c r="F251">
        <v>1</v>
      </c>
      <c r="G251">
        <v>1</v>
      </c>
      <c r="H251">
        <v>3</v>
      </c>
      <c r="I251" t="s">
        <v>626</v>
      </c>
      <c r="J251" t="s">
        <v>3</v>
      </c>
      <c r="K251" t="s">
        <v>627</v>
      </c>
      <c r="L251">
        <v>1348</v>
      </c>
      <c r="N251">
        <v>1009</v>
      </c>
      <c r="O251" t="s">
        <v>30</v>
      </c>
      <c r="P251" t="s">
        <v>30</v>
      </c>
      <c r="Q251">
        <v>1000</v>
      </c>
      <c r="X251">
        <v>5.3800000000000001E-2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 t="s">
        <v>3</v>
      </c>
      <c r="AG251">
        <v>5.3800000000000001E-2</v>
      </c>
      <c r="AH251">
        <v>3</v>
      </c>
      <c r="AI251">
        <v>-1</v>
      </c>
      <c r="AJ251" t="s">
        <v>3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</row>
    <row r="252" spans="1:44" x14ac:dyDescent="0.2">
      <c r="A252">
        <f>ROW(Source!A356)</f>
        <v>356</v>
      </c>
      <c r="B252">
        <v>94238919</v>
      </c>
      <c r="C252">
        <v>94238910</v>
      </c>
      <c r="D252">
        <v>87323217</v>
      </c>
      <c r="E252">
        <v>1</v>
      </c>
      <c r="F252">
        <v>1</v>
      </c>
      <c r="G252">
        <v>1</v>
      </c>
      <c r="H252">
        <v>3</v>
      </c>
      <c r="I252" t="s">
        <v>555</v>
      </c>
      <c r="J252" t="s">
        <v>556</v>
      </c>
      <c r="K252" t="s">
        <v>557</v>
      </c>
      <c r="L252">
        <v>1346</v>
      </c>
      <c r="N252">
        <v>1009</v>
      </c>
      <c r="O252" t="s">
        <v>96</v>
      </c>
      <c r="P252" t="s">
        <v>96</v>
      </c>
      <c r="Q252">
        <v>1</v>
      </c>
      <c r="X252">
        <v>1.6</v>
      </c>
      <c r="Y252">
        <v>60.6</v>
      </c>
      <c r="Z252">
        <v>0</v>
      </c>
      <c r="AA252">
        <v>0</v>
      </c>
      <c r="AB252">
        <v>0</v>
      </c>
      <c r="AC252">
        <v>0</v>
      </c>
      <c r="AD252">
        <v>1</v>
      </c>
      <c r="AE252">
        <v>0</v>
      </c>
      <c r="AF252" t="s">
        <v>3</v>
      </c>
      <c r="AG252">
        <v>1.6</v>
      </c>
      <c r="AH252">
        <v>2</v>
      </c>
      <c r="AI252">
        <v>94238919</v>
      </c>
      <c r="AJ252">
        <v>253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</row>
    <row r="253" spans="1:44" x14ac:dyDescent="0.2">
      <c r="A253">
        <f>ROW(Source!A358)</f>
        <v>358</v>
      </c>
      <c r="B253">
        <v>94238967</v>
      </c>
      <c r="C253">
        <v>94238966</v>
      </c>
      <c r="D253">
        <v>87229761</v>
      </c>
      <c r="E253">
        <v>117</v>
      </c>
      <c r="F253">
        <v>1</v>
      </c>
      <c r="G253">
        <v>1</v>
      </c>
      <c r="H253">
        <v>1</v>
      </c>
      <c r="I253" t="s">
        <v>607</v>
      </c>
      <c r="J253" t="s">
        <v>3</v>
      </c>
      <c r="K253" t="s">
        <v>608</v>
      </c>
      <c r="L253">
        <v>1191</v>
      </c>
      <c r="N253">
        <v>1013</v>
      </c>
      <c r="O253" t="s">
        <v>428</v>
      </c>
      <c r="P253" t="s">
        <v>428</v>
      </c>
      <c r="Q253">
        <v>1</v>
      </c>
      <c r="X253">
        <v>142.65</v>
      </c>
      <c r="Y253">
        <v>0</v>
      </c>
      <c r="Z253">
        <v>0</v>
      </c>
      <c r="AA253">
        <v>0</v>
      </c>
      <c r="AB253">
        <v>673.79</v>
      </c>
      <c r="AC253">
        <v>0</v>
      </c>
      <c r="AD253">
        <v>1</v>
      </c>
      <c r="AE253">
        <v>1</v>
      </c>
      <c r="AF253" t="s">
        <v>3</v>
      </c>
      <c r="AG253">
        <v>142.65</v>
      </c>
      <c r="AH253">
        <v>2</v>
      </c>
      <c r="AI253">
        <v>94238967</v>
      </c>
      <c r="AJ253">
        <v>254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</row>
    <row r="254" spans="1:44" x14ac:dyDescent="0.2">
      <c r="A254">
        <f>ROW(Source!A358)</f>
        <v>358</v>
      </c>
      <c r="B254">
        <v>94238968</v>
      </c>
      <c r="C254">
        <v>94238966</v>
      </c>
      <c r="D254">
        <v>87229949</v>
      </c>
      <c r="E254">
        <v>117</v>
      </c>
      <c r="F254">
        <v>1</v>
      </c>
      <c r="G254">
        <v>1</v>
      </c>
      <c r="H254">
        <v>1</v>
      </c>
      <c r="I254" t="s">
        <v>429</v>
      </c>
      <c r="J254" t="s">
        <v>3</v>
      </c>
      <c r="K254" t="s">
        <v>430</v>
      </c>
      <c r="L254">
        <v>1191</v>
      </c>
      <c r="N254">
        <v>1013</v>
      </c>
      <c r="O254" t="s">
        <v>428</v>
      </c>
      <c r="P254" t="s">
        <v>428</v>
      </c>
      <c r="Q254">
        <v>1</v>
      </c>
      <c r="X254">
        <v>1.67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1</v>
      </c>
      <c r="AE254">
        <v>2</v>
      </c>
      <c r="AF254" t="s">
        <v>3</v>
      </c>
      <c r="AG254">
        <v>1.67</v>
      </c>
      <c r="AH254">
        <v>2</v>
      </c>
      <c r="AI254">
        <v>94238968</v>
      </c>
      <c r="AJ254">
        <v>255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</row>
    <row r="255" spans="1:44" x14ac:dyDescent="0.2">
      <c r="A255">
        <f>ROW(Source!A358)</f>
        <v>358</v>
      </c>
      <c r="B255">
        <v>94238969</v>
      </c>
      <c r="C255">
        <v>94238966</v>
      </c>
      <c r="D255">
        <v>87236608</v>
      </c>
      <c r="E255">
        <v>1</v>
      </c>
      <c r="F255">
        <v>1</v>
      </c>
      <c r="G255">
        <v>1</v>
      </c>
      <c r="H255">
        <v>2</v>
      </c>
      <c r="I255" t="s">
        <v>541</v>
      </c>
      <c r="J255" t="s">
        <v>542</v>
      </c>
      <c r="K255" t="s">
        <v>543</v>
      </c>
      <c r="L255">
        <v>1368</v>
      </c>
      <c r="N255">
        <v>1011</v>
      </c>
      <c r="O255" t="s">
        <v>434</v>
      </c>
      <c r="P255" t="s">
        <v>434</v>
      </c>
      <c r="Q255">
        <v>1</v>
      </c>
      <c r="X255">
        <v>1</v>
      </c>
      <c r="Y255">
        <v>0</v>
      </c>
      <c r="Z255">
        <v>603.94000000000005</v>
      </c>
      <c r="AA255">
        <v>731.08</v>
      </c>
      <c r="AB255">
        <v>0</v>
      </c>
      <c r="AC255">
        <v>0</v>
      </c>
      <c r="AD255">
        <v>1</v>
      </c>
      <c r="AE255">
        <v>0</v>
      </c>
      <c r="AF255" t="s">
        <v>3</v>
      </c>
      <c r="AG255">
        <v>1</v>
      </c>
      <c r="AH255">
        <v>2</v>
      </c>
      <c r="AI255">
        <v>94238969</v>
      </c>
      <c r="AJ255">
        <v>256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</row>
    <row r="256" spans="1:44" x14ac:dyDescent="0.2">
      <c r="A256">
        <f>ROW(Source!A358)</f>
        <v>358</v>
      </c>
      <c r="B256">
        <v>94238970</v>
      </c>
      <c r="C256">
        <v>94238966</v>
      </c>
      <c r="D256">
        <v>87236625</v>
      </c>
      <c r="E256">
        <v>1</v>
      </c>
      <c r="F256">
        <v>1</v>
      </c>
      <c r="G256">
        <v>1</v>
      </c>
      <c r="H256">
        <v>2</v>
      </c>
      <c r="I256" t="s">
        <v>431</v>
      </c>
      <c r="J256" t="s">
        <v>432</v>
      </c>
      <c r="K256" t="s">
        <v>433</v>
      </c>
      <c r="L256">
        <v>1368</v>
      </c>
      <c r="N256">
        <v>1011</v>
      </c>
      <c r="O256" t="s">
        <v>434</v>
      </c>
      <c r="P256" t="s">
        <v>434</v>
      </c>
      <c r="Q256">
        <v>1</v>
      </c>
      <c r="X256">
        <v>0.67</v>
      </c>
      <c r="Y256">
        <v>0</v>
      </c>
      <c r="Z256">
        <v>37.32</v>
      </c>
      <c r="AA256">
        <v>649.24</v>
      </c>
      <c r="AB256">
        <v>0</v>
      </c>
      <c r="AC256">
        <v>0</v>
      </c>
      <c r="AD256">
        <v>1</v>
      </c>
      <c r="AE256">
        <v>0</v>
      </c>
      <c r="AF256" t="s">
        <v>3</v>
      </c>
      <c r="AG256">
        <v>0.67</v>
      </c>
      <c r="AH256">
        <v>2</v>
      </c>
      <c r="AI256">
        <v>94238970</v>
      </c>
      <c r="AJ256">
        <v>257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</row>
    <row r="257" spans="1:44" x14ac:dyDescent="0.2">
      <c r="A257">
        <f>ROW(Source!A358)</f>
        <v>358</v>
      </c>
      <c r="B257">
        <v>94238971</v>
      </c>
      <c r="C257">
        <v>94238966</v>
      </c>
      <c r="D257">
        <v>87304091</v>
      </c>
      <c r="E257">
        <v>1</v>
      </c>
      <c r="F257">
        <v>1</v>
      </c>
      <c r="G257">
        <v>1</v>
      </c>
      <c r="H257">
        <v>3</v>
      </c>
      <c r="I257" t="s">
        <v>467</v>
      </c>
      <c r="J257" t="s">
        <v>468</v>
      </c>
      <c r="K257" t="s">
        <v>469</v>
      </c>
      <c r="L257">
        <v>1339</v>
      </c>
      <c r="N257">
        <v>1007</v>
      </c>
      <c r="O257" t="s">
        <v>34</v>
      </c>
      <c r="P257" t="s">
        <v>34</v>
      </c>
      <c r="Q257">
        <v>1</v>
      </c>
      <c r="X257">
        <v>0.35</v>
      </c>
      <c r="Y257">
        <v>35.71</v>
      </c>
      <c r="Z257">
        <v>0</v>
      </c>
      <c r="AA257">
        <v>0</v>
      </c>
      <c r="AB257">
        <v>0</v>
      </c>
      <c r="AC257">
        <v>0</v>
      </c>
      <c r="AD257">
        <v>1</v>
      </c>
      <c r="AE257">
        <v>0</v>
      </c>
      <c r="AF257" t="s">
        <v>3</v>
      </c>
      <c r="AG257">
        <v>0.35</v>
      </c>
      <c r="AH257">
        <v>2</v>
      </c>
      <c r="AI257">
        <v>94238971</v>
      </c>
      <c r="AJ257">
        <v>258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</row>
    <row r="258" spans="1:44" x14ac:dyDescent="0.2">
      <c r="A258">
        <f>ROW(Source!A358)</f>
        <v>358</v>
      </c>
      <c r="B258">
        <v>94238972</v>
      </c>
      <c r="C258">
        <v>94238966</v>
      </c>
      <c r="D258">
        <v>87308053</v>
      </c>
      <c r="E258">
        <v>1</v>
      </c>
      <c r="F258">
        <v>1</v>
      </c>
      <c r="G258">
        <v>1</v>
      </c>
      <c r="H258">
        <v>3</v>
      </c>
      <c r="I258" t="s">
        <v>544</v>
      </c>
      <c r="J258" t="s">
        <v>545</v>
      </c>
      <c r="K258" t="s">
        <v>546</v>
      </c>
      <c r="L258">
        <v>1339</v>
      </c>
      <c r="N258">
        <v>1007</v>
      </c>
      <c r="O258" t="s">
        <v>34</v>
      </c>
      <c r="P258" t="s">
        <v>34</v>
      </c>
      <c r="Q258">
        <v>1</v>
      </c>
      <c r="X258">
        <v>2.2000000000000002</v>
      </c>
      <c r="Y258">
        <v>3392.36</v>
      </c>
      <c r="Z258">
        <v>0</v>
      </c>
      <c r="AA258">
        <v>0</v>
      </c>
      <c r="AB258">
        <v>0</v>
      </c>
      <c r="AC258">
        <v>0</v>
      </c>
      <c r="AD258">
        <v>1</v>
      </c>
      <c r="AE258">
        <v>0</v>
      </c>
      <c r="AF258" t="s">
        <v>3</v>
      </c>
      <c r="AG258">
        <v>2.2000000000000002</v>
      </c>
      <c r="AH258">
        <v>2</v>
      </c>
      <c r="AI258">
        <v>94238972</v>
      </c>
      <c r="AJ258">
        <v>259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</row>
    <row r="259" spans="1:44" x14ac:dyDescent="0.2">
      <c r="A259">
        <f>ROW(Source!A358)</f>
        <v>358</v>
      </c>
      <c r="B259">
        <v>94238973</v>
      </c>
      <c r="C259">
        <v>94238966</v>
      </c>
      <c r="D259">
        <v>87235788</v>
      </c>
      <c r="E259">
        <v>117</v>
      </c>
      <c r="F259">
        <v>1</v>
      </c>
      <c r="G259">
        <v>1</v>
      </c>
      <c r="H259">
        <v>3</v>
      </c>
      <c r="I259" t="s">
        <v>28</v>
      </c>
      <c r="J259" t="s">
        <v>3</v>
      </c>
      <c r="K259" t="s">
        <v>29</v>
      </c>
      <c r="L259">
        <v>1348</v>
      </c>
      <c r="N259">
        <v>1009</v>
      </c>
      <c r="O259" t="s">
        <v>30</v>
      </c>
      <c r="P259" t="s">
        <v>30</v>
      </c>
      <c r="Q259">
        <v>1000</v>
      </c>
      <c r="X259">
        <v>3.38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 t="s">
        <v>3</v>
      </c>
      <c r="AG259">
        <v>3.38</v>
      </c>
      <c r="AH259">
        <v>2</v>
      </c>
      <c r="AI259">
        <v>94238973</v>
      </c>
      <c r="AJ259">
        <v>260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</row>
    <row r="260" spans="1:44" x14ac:dyDescent="0.2">
      <c r="A260">
        <f>ROW(Source!A360)</f>
        <v>360</v>
      </c>
      <c r="B260">
        <v>94239006</v>
      </c>
      <c r="C260">
        <v>94238993</v>
      </c>
      <c r="D260">
        <v>37069580</v>
      </c>
      <c r="E260">
        <v>117</v>
      </c>
      <c r="F260">
        <v>1</v>
      </c>
      <c r="G260">
        <v>1</v>
      </c>
      <c r="H260">
        <v>1</v>
      </c>
      <c r="I260" t="s">
        <v>547</v>
      </c>
      <c r="J260" t="s">
        <v>3</v>
      </c>
      <c r="K260" t="s">
        <v>548</v>
      </c>
      <c r="L260">
        <v>1191</v>
      </c>
      <c r="N260">
        <v>1013</v>
      </c>
      <c r="O260" t="s">
        <v>428</v>
      </c>
      <c r="P260" t="s">
        <v>428</v>
      </c>
      <c r="Q260">
        <v>1</v>
      </c>
      <c r="X260">
        <v>18.899999999999999</v>
      </c>
      <c r="Y260">
        <v>0</v>
      </c>
      <c r="Z260">
        <v>0</v>
      </c>
      <c r="AA260">
        <v>0</v>
      </c>
      <c r="AB260">
        <v>657.42</v>
      </c>
      <c r="AC260">
        <v>0</v>
      </c>
      <c r="AD260">
        <v>1</v>
      </c>
      <c r="AE260">
        <v>1</v>
      </c>
      <c r="AF260" t="s">
        <v>3</v>
      </c>
      <c r="AG260">
        <v>18.899999999999999</v>
      </c>
      <c r="AH260">
        <v>2</v>
      </c>
      <c r="AI260">
        <v>94238994</v>
      </c>
      <c r="AJ260">
        <v>261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</row>
    <row r="261" spans="1:44" x14ac:dyDescent="0.2">
      <c r="A261">
        <f>ROW(Source!A360)</f>
        <v>360</v>
      </c>
      <c r="B261">
        <v>94239007</v>
      </c>
      <c r="C261">
        <v>94238993</v>
      </c>
      <c r="D261">
        <v>37064876</v>
      </c>
      <c r="E261">
        <v>117</v>
      </c>
      <c r="F261">
        <v>1</v>
      </c>
      <c r="G261">
        <v>1</v>
      </c>
      <c r="H261">
        <v>1</v>
      </c>
      <c r="I261" t="s">
        <v>429</v>
      </c>
      <c r="J261" t="s">
        <v>3</v>
      </c>
      <c r="K261" t="s">
        <v>430</v>
      </c>
      <c r="L261">
        <v>1191</v>
      </c>
      <c r="N261">
        <v>1013</v>
      </c>
      <c r="O261" t="s">
        <v>428</v>
      </c>
      <c r="P261" t="s">
        <v>428</v>
      </c>
      <c r="Q261">
        <v>1</v>
      </c>
      <c r="X261">
        <v>0.16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1</v>
      </c>
      <c r="AE261">
        <v>2</v>
      </c>
      <c r="AF261" t="s">
        <v>3</v>
      </c>
      <c r="AG261">
        <v>0.16</v>
      </c>
      <c r="AH261">
        <v>2</v>
      </c>
      <c r="AI261">
        <v>94238995</v>
      </c>
      <c r="AJ261">
        <v>262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</row>
    <row r="262" spans="1:44" x14ac:dyDescent="0.2">
      <c r="A262">
        <f>ROW(Source!A360)</f>
        <v>360</v>
      </c>
      <c r="B262">
        <v>94239008</v>
      </c>
      <c r="C262">
        <v>94238993</v>
      </c>
      <c r="D262">
        <v>87236625</v>
      </c>
      <c r="E262">
        <v>1</v>
      </c>
      <c r="F262">
        <v>1</v>
      </c>
      <c r="G262">
        <v>1</v>
      </c>
      <c r="H262">
        <v>2</v>
      </c>
      <c r="I262" t="s">
        <v>431</v>
      </c>
      <c r="J262" t="s">
        <v>432</v>
      </c>
      <c r="K262" t="s">
        <v>433</v>
      </c>
      <c r="L262">
        <v>1368</v>
      </c>
      <c r="N262">
        <v>1011</v>
      </c>
      <c r="O262" t="s">
        <v>434</v>
      </c>
      <c r="P262" t="s">
        <v>434</v>
      </c>
      <c r="Q262">
        <v>1</v>
      </c>
      <c r="X262">
        <v>0.1</v>
      </c>
      <c r="Y262">
        <v>0</v>
      </c>
      <c r="Z262">
        <v>37.32</v>
      </c>
      <c r="AA262">
        <v>649.24</v>
      </c>
      <c r="AB262">
        <v>0</v>
      </c>
      <c r="AC262">
        <v>0</v>
      </c>
      <c r="AD262">
        <v>1</v>
      </c>
      <c r="AE262">
        <v>0</v>
      </c>
      <c r="AF262" t="s">
        <v>3</v>
      </c>
      <c r="AG262">
        <v>0.1</v>
      </c>
      <c r="AH262">
        <v>2</v>
      </c>
      <c r="AI262">
        <v>94238996</v>
      </c>
      <c r="AJ262">
        <v>263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</row>
    <row r="263" spans="1:44" x14ac:dyDescent="0.2">
      <c r="A263">
        <f>ROW(Source!A360)</f>
        <v>360</v>
      </c>
      <c r="B263">
        <v>94239009</v>
      </c>
      <c r="C263">
        <v>94238993</v>
      </c>
      <c r="D263">
        <v>87237333</v>
      </c>
      <c r="E263">
        <v>1</v>
      </c>
      <c r="F263">
        <v>1</v>
      </c>
      <c r="G263">
        <v>1</v>
      </c>
      <c r="H263">
        <v>2</v>
      </c>
      <c r="I263" t="s">
        <v>463</v>
      </c>
      <c r="J263" t="s">
        <v>464</v>
      </c>
      <c r="K263" t="s">
        <v>465</v>
      </c>
      <c r="L263">
        <v>1368</v>
      </c>
      <c r="N263">
        <v>1011</v>
      </c>
      <c r="O263" t="s">
        <v>434</v>
      </c>
      <c r="P263" t="s">
        <v>434</v>
      </c>
      <c r="Q263">
        <v>1</v>
      </c>
      <c r="X263">
        <v>0.06</v>
      </c>
      <c r="Y263">
        <v>0</v>
      </c>
      <c r="Z263">
        <v>544.91999999999996</v>
      </c>
      <c r="AA263">
        <v>731.08</v>
      </c>
      <c r="AB263">
        <v>0</v>
      </c>
      <c r="AC263">
        <v>0</v>
      </c>
      <c r="AD263">
        <v>1</v>
      </c>
      <c r="AE263">
        <v>0</v>
      </c>
      <c r="AF263" t="s">
        <v>3</v>
      </c>
      <c r="AG263">
        <v>0.06</v>
      </c>
      <c r="AH263">
        <v>2</v>
      </c>
      <c r="AI263">
        <v>94238997</v>
      </c>
      <c r="AJ263">
        <v>264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</row>
    <row r="264" spans="1:44" x14ac:dyDescent="0.2">
      <c r="A264">
        <f>ROW(Source!A360)</f>
        <v>360</v>
      </c>
      <c r="B264">
        <v>94239010</v>
      </c>
      <c r="C264">
        <v>94238993</v>
      </c>
      <c r="D264">
        <v>87304091</v>
      </c>
      <c r="E264">
        <v>1</v>
      </c>
      <c r="F264">
        <v>1</v>
      </c>
      <c r="G264">
        <v>1</v>
      </c>
      <c r="H264">
        <v>3</v>
      </c>
      <c r="I264" t="s">
        <v>467</v>
      </c>
      <c r="J264" t="s">
        <v>468</v>
      </c>
      <c r="K264" t="s">
        <v>469</v>
      </c>
      <c r="L264">
        <v>1339</v>
      </c>
      <c r="N264">
        <v>1007</v>
      </c>
      <c r="O264" t="s">
        <v>34</v>
      </c>
      <c r="P264" t="s">
        <v>34</v>
      </c>
      <c r="Q264">
        <v>1</v>
      </c>
      <c r="X264">
        <v>0.34</v>
      </c>
      <c r="Y264">
        <v>35.71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0</v>
      </c>
      <c r="AF264" t="s">
        <v>3</v>
      </c>
      <c r="AG264">
        <v>0.34</v>
      </c>
      <c r="AH264">
        <v>2</v>
      </c>
      <c r="AI264">
        <v>94238998</v>
      </c>
      <c r="AJ264">
        <v>265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</row>
    <row r="265" spans="1:44" x14ac:dyDescent="0.2">
      <c r="A265">
        <f>ROW(Source!A360)</f>
        <v>360</v>
      </c>
      <c r="B265">
        <v>94239011</v>
      </c>
      <c r="C265">
        <v>94238993</v>
      </c>
      <c r="D265">
        <v>87304388</v>
      </c>
      <c r="E265">
        <v>1</v>
      </c>
      <c r="F265">
        <v>1</v>
      </c>
      <c r="G265">
        <v>1</v>
      </c>
      <c r="H265">
        <v>3</v>
      </c>
      <c r="I265" t="s">
        <v>558</v>
      </c>
      <c r="J265" t="s">
        <v>559</v>
      </c>
      <c r="K265" t="s">
        <v>560</v>
      </c>
      <c r="L265">
        <v>1371</v>
      </c>
      <c r="N265">
        <v>1013</v>
      </c>
      <c r="O265" t="s">
        <v>279</v>
      </c>
      <c r="P265" t="s">
        <v>279</v>
      </c>
      <c r="Q265">
        <v>1</v>
      </c>
      <c r="X265">
        <v>2.4</v>
      </c>
      <c r="Y265">
        <v>18.59</v>
      </c>
      <c r="Z265">
        <v>0</v>
      </c>
      <c r="AA265">
        <v>0</v>
      </c>
      <c r="AB265">
        <v>0</v>
      </c>
      <c r="AC265">
        <v>0</v>
      </c>
      <c r="AD265">
        <v>1</v>
      </c>
      <c r="AE265">
        <v>0</v>
      </c>
      <c r="AF265" t="s">
        <v>3</v>
      </c>
      <c r="AG265">
        <v>2.4</v>
      </c>
      <c r="AH265">
        <v>2</v>
      </c>
      <c r="AI265">
        <v>94238999</v>
      </c>
      <c r="AJ265">
        <v>266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</row>
    <row r="266" spans="1:44" x14ac:dyDescent="0.2">
      <c r="A266">
        <f>ROW(Source!A360)</f>
        <v>360</v>
      </c>
      <c r="B266">
        <v>94239012</v>
      </c>
      <c r="C266">
        <v>94238993</v>
      </c>
      <c r="D266">
        <v>87304588</v>
      </c>
      <c r="E266">
        <v>1</v>
      </c>
      <c r="F266">
        <v>1</v>
      </c>
      <c r="G266">
        <v>1</v>
      </c>
      <c r="H266">
        <v>3</v>
      </c>
      <c r="I266" t="s">
        <v>561</v>
      </c>
      <c r="J266" t="s">
        <v>562</v>
      </c>
      <c r="K266" t="s">
        <v>563</v>
      </c>
      <c r="L266">
        <v>1348</v>
      </c>
      <c r="N266">
        <v>1009</v>
      </c>
      <c r="O266" t="s">
        <v>30</v>
      </c>
      <c r="P266" t="s">
        <v>30</v>
      </c>
      <c r="Q266">
        <v>1000</v>
      </c>
      <c r="X266">
        <v>4.1000000000000003E-3</v>
      </c>
      <c r="Y266">
        <v>3616.92</v>
      </c>
      <c r="Z266">
        <v>0</v>
      </c>
      <c r="AA266">
        <v>0</v>
      </c>
      <c r="AB266">
        <v>0</v>
      </c>
      <c r="AC266">
        <v>0</v>
      </c>
      <c r="AD266">
        <v>1</v>
      </c>
      <c r="AE266">
        <v>0</v>
      </c>
      <c r="AF266" t="s">
        <v>3</v>
      </c>
      <c r="AG266">
        <v>4.1000000000000003E-3</v>
      </c>
      <c r="AH266">
        <v>2</v>
      </c>
      <c r="AI266">
        <v>94239000</v>
      </c>
      <c r="AJ266">
        <v>267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</row>
    <row r="267" spans="1:44" x14ac:dyDescent="0.2">
      <c r="A267">
        <f>ROW(Source!A360)</f>
        <v>360</v>
      </c>
      <c r="B267">
        <v>94239013</v>
      </c>
      <c r="C267">
        <v>94238993</v>
      </c>
      <c r="D267">
        <v>87304694</v>
      </c>
      <c r="E267">
        <v>1</v>
      </c>
      <c r="F267">
        <v>1</v>
      </c>
      <c r="G267">
        <v>1</v>
      </c>
      <c r="H267">
        <v>3</v>
      </c>
      <c r="I267" t="s">
        <v>564</v>
      </c>
      <c r="J267" t="s">
        <v>565</v>
      </c>
      <c r="K267" t="s">
        <v>566</v>
      </c>
      <c r="L267">
        <v>1346</v>
      </c>
      <c r="N267">
        <v>1009</v>
      </c>
      <c r="O267" t="s">
        <v>96</v>
      </c>
      <c r="P267" t="s">
        <v>96</v>
      </c>
      <c r="Q267">
        <v>1</v>
      </c>
      <c r="X267">
        <v>2.64</v>
      </c>
      <c r="Y267">
        <v>2507.62</v>
      </c>
      <c r="Z267">
        <v>0</v>
      </c>
      <c r="AA267">
        <v>0</v>
      </c>
      <c r="AB267">
        <v>0</v>
      </c>
      <c r="AC267">
        <v>0</v>
      </c>
      <c r="AD267">
        <v>1</v>
      </c>
      <c r="AE267">
        <v>0</v>
      </c>
      <c r="AF267" t="s">
        <v>3</v>
      </c>
      <c r="AG267">
        <v>2.64</v>
      </c>
      <c r="AH267">
        <v>2</v>
      </c>
      <c r="AI267">
        <v>94239001</v>
      </c>
      <c r="AJ267">
        <v>268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</row>
    <row r="268" spans="1:44" x14ac:dyDescent="0.2">
      <c r="A268">
        <f>ROW(Source!A360)</f>
        <v>360</v>
      </c>
      <c r="B268">
        <v>94239014</v>
      </c>
      <c r="C268">
        <v>94238993</v>
      </c>
      <c r="D268">
        <v>87306387</v>
      </c>
      <c r="E268">
        <v>1</v>
      </c>
      <c r="F268">
        <v>1</v>
      </c>
      <c r="G268">
        <v>1</v>
      </c>
      <c r="H268">
        <v>3</v>
      </c>
      <c r="I268" t="s">
        <v>567</v>
      </c>
      <c r="J268" t="s">
        <v>568</v>
      </c>
      <c r="K268" t="s">
        <v>569</v>
      </c>
      <c r="L268">
        <v>1327</v>
      </c>
      <c r="N268">
        <v>1005</v>
      </c>
      <c r="O268" t="s">
        <v>60</v>
      </c>
      <c r="P268" t="s">
        <v>60</v>
      </c>
      <c r="Q268">
        <v>1</v>
      </c>
      <c r="X268">
        <v>0.8</v>
      </c>
      <c r="Y268">
        <v>531.44000000000005</v>
      </c>
      <c r="Z268">
        <v>0</v>
      </c>
      <c r="AA268">
        <v>0</v>
      </c>
      <c r="AB268">
        <v>0</v>
      </c>
      <c r="AC268">
        <v>0</v>
      </c>
      <c r="AD268">
        <v>1</v>
      </c>
      <c r="AE268">
        <v>0</v>
      </c>
      <c r="AF268" t="s">
        <v>3</v>
      </c>
      <c r="AG268">
        <v>0.8</v>
      </c>
      <c r="AH268">
        <v>2</v>
      </c>
      <c r="AI268">
        <v>94239002</v>
      </c>
      <c r="AJ268">
        <v>269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</row>
    <row r="269" spans="1:44" x14ac:dyDescent="0.2">
      <c r="A269">
        <f>ROW(Source!A360)</f>
        <v>360</v>
      </c>
      <c r="B269">
        <v>94239015</v>
      </c>
      <c r="C269">
        <v>94238993</v>
      </c>
      <c r="D269">
        <v>87322323</v>
      </c>
      <c r="E269">
        <v>1</v>
      </c>
      <c r="F269">
        <v>1</v>
      </c>
      <c r="G269">
        <v>1</v>
      </c>
      <c r="H269">
        <v>3</v>
      </c>
      <c r="I269" t="s">
        <v>570</v>
      </c>
      <c r="J269" t="s">
        <v>571</v>
      </c>
      <c r="K269" t="s">
        <v>572</v>
      </c>
      <c r="L269">
        <v>1346</v>
      </c>
      <c r="N269">
        <v>1009</v>
      </c>
      <c r="O269" t="s">
        <v>96</v>
      </c>
      <c r="P269" t="s">
        <v>96</v>
      </c>
      <c r="Q269">
        <v>1</v>
      </c>
      <c r="X269">
        <v>1.43</v>
      </c>
      <c r="Y269">
        <v>93.01</v>
      </c>
      <c r="Z269">
        <v>0</v>
      </c>
      <c r="AA269">
        <v>0</v>
      </c>
      <c r="AB269">
        <v>0</v>
      </c>
      <c r="AC269">
        <v>0</v>
      </c>
      <c r="AD269">
        <v>1</v>
      </c>
      <c r="AE269">
        <v>0</v>
      </c>
      <c r="AF269" t="s">
        <v>3</v>
      </c>
      <c r="AG269">
        <v>1.43</v>
      </c>
      <c r="AH269">
        <v>2</v>
      </c>
      <c r="AI269">
        <v>94239003</v>
      </c>
      <c r="AJ269">
        <v>270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</row>
    <row r="270" spans="1:44" x14ac:dyDescent="0.2">
      <c r="A270">
        <f>ROW(Source!A360)</f>
        <v>360</v>
      </c>
      <c r="B270">
        <v>94239016</v>
      </c>
      <c r="C270">
        <v>94238993</v>
      </c>
      <c r="D270">
        <v>87233646</v>
      </c>
      <c r="E270">
        <v>117</v>
      </c>
      <c r="F270">
        <v>1</v>
      </c>
      <c r="G270">
        <v>1</v>
      </c>
      <c r="H270">
        <v>3</v>
      </c>
      <c r="I270" t="s">
        <v>628</v>
      </c>
      <c r="J270" t="s">
        <v>3</v>
      </c>
      <c r="K270" t="s">
        <v>629</v>
      </c>
      <c r="L270">
        <v>1348</v>
      </c>
      <c r="N270">
        <v>1009</v>
      </c>
      <c r="O270" t="s">
        <v>30</v>
      </c>
      <c r="P270" t="s">
        <v>30</v>
      </c>
      <c r="Q270">
        <v>1000</v>
      </c>
      <c r="X270">
        <v>6.3E-2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 t="s">
        <v>3</v>
      </c>
      <c r="AG270">
        <v>6.3E-2</v>
      </c>
      <c r="AH270">
        <v>3</v>
      </c>
      <c r="AI270">
        <v>-1</v>
      </c>
      <c r="AJ270" t="s">
        <v>3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</row>
    <row r="271" spans="1:44" x14ac:dyDescent="0.2">
      <c r="A271">
        <f>ROW(Source!A360)</f>
        <v>360</v>
      </c>
      <c r="B271">
        <v>94239017</v>
      </c>
      <c r="C271">
        <v>94238993</v>
      </c>
      <c r="D271">
        <v>87323233</v>
      </c>
      <c r="E271">
        <v>1</v>
      </c>
      <c r="F271">
        <v>1</v>
      </c>
      <c r="G271">
        <v>1</v>
      </c>
      <c r="H271">
        <v>3</v>
      </c>
      <c r="I271" t="s">
        <v>573</v>
      </c>
      <c r="J271" t="s">
        <v>574</v>
      </c>
      <c r="K271" t="s">
        <v>575</v>
      </c>
      <c r="L271">
        <v>1348</v>
      </c>
      <c r="N271">
        <v>1009</v>
      </c>
      <c r="O271" t="s">
        <v>30</v>
      </c>
      <c r="P271" t="s">
        <v>30</v>
      </c>
      <c r="Q271">
        <v>1000</v>
      </c>
      <c r="X271">
        <v>5.1000000000000004E-3</v>
      </c>
      <c r="Y271">
        <v>25237.94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0</v>
      </c>
      <c r="AF271" t="s">
        <v>3</v>
      </c>
      <c r="AG271">
        <v>5.1000000000000004E-3</v>
      </c>
      <c r="AH271">
        <v>2</v>
      </c>
      <c r="AI271">
        <v>94239005</v>
      </c>
      <c r="AJ271">
        <v>272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21" x14ac:dyDescent="0.2">
      <c r="A1">
        <v>151</v>
      </c>
      <c r="B1">
        <v>1</v>
      </c>
      <c r="C1" t="s">
        <v>3</v>
      </c>
      <c r="D1" t="s">
        <v>3</v>
      </c>
      <c r="E1" t="s">
        <v>242</v>
      </c>
      <c r="F1" t="s">
        <v>242</v>
      </c>
      <c r="G1" t="s">
        <v>243</v>
      </c>
      <c r="H1" t="s">
        <v>3</v>
      </c>
      <c r="I1" t="s">
        <v>243</v>
      </c>
      <c r="J1" t="s">
        <v>242</v>
      </c>
      <c r="K1" t="s">
        <v>3</v>
      </c>
      <c r="L1" t="s">
        <v>244</v>
      </c>
      <c r="M1" t="s">
        <v>245</v>
      </c>
      <c r="N1" t="s">
        <v>3</v>
      </c>
      <c r="O1" t="s">
        <v>242</v>
      </c>
      <c r="P1" t="s">
        <v>3</v>
      </c>
      <c r="Q1" t="s">
        <v>3</v>
      </c>
      <c r="R1" t="s">
        <v>3</v>
      </c>
      <c r="S1" t="s">
        <v>638</v>
      </c>
      <c r="T1" t="s">
        <v>680</v>
      </c>
      <c r="U1" t="s">
        <v>639</v>
      </c>
    </row>
    <row r="2" spans="1:21" x14ac:dyDescent="0.2">
      <c r="A2">
        <v>156</v>
      </c>
      <c r="B2">
        <v>1</v>
      </c>
      <c r="C2" t="s">
        <v>3</v>
      </c>
      <c r="D2" t="s">
        <v>3</v>
      </c>
      <c r="E2" t="s">
        <v>242</v>
      </c>
      <c r="F2" t="s">
        <v>242</v>
      </c>
      <c r="G2" t="s">
        <v>243</v>
      </c>
      <c r="H2" t="s">
        <v>3</v>
      </c>
      <c r="I2" t="s">
        <v>243</v>
      </c>
      <c r="J2" t="s">
        <v>242</v>
      </c>
      <c r="K2" t="s">
        <v>3</v>
      </c>
      <c r="L2" t="s">
        <v>244</v>
      </c>
      <c r="M2" t="s">
        <v>245</v>
      </c>
      <c r="N2" t="s">
        <v>3</v>
      </c>
      <c r="O2" t="s">
        <v>242</v>
      </c>
      <c r="P2" t="s">
        <v>3</v>
      </c>
      <c r="Q2" t="s">
        <v>3</v>
      </c>
      <c r="R2" t="s">
        <v>3</v>
      </c>
      <c r="S2" t="s">
        <v>638</v>
      </c>
      <c r="T2" t="s">
        <v>680</v>
      </c>
      <c r="U2" t="s">
        <v>639</v>
      </c>
    </row>
    <row r="3" spans="1:21" x14ac:dyDescent="0.2">
      <c r="A3">
        <v>199</v>
      </c>
      <c r="B3">
        <v>1</v>
      </c>
      <c r="C3" t="s">
        <v>3</v>
      </c>
      <c r="D3" t="s">
        <v>3</v>
      </c>
      <c r="E3" t="s">
        <v>242</v>
      </c>
      <c r="F3" t="s">
        <v>242</v>
      </c>
      <c r="G3" t="s">
        <v>243</v>
      </c>
      <c r="H3" t="s">
        <v>3</v>
      </c>
      <c r="I3" t="s">
        <v>243</v>
      </c>
      <c r="J3" t="s">
        <v>242</v>
      </c>
      <c r="K3" t="s">
        <v>3</v>
      </c>
      <c r="L3" t="s">
        <v>244</v>
      </c>
      <c r="M3" t="s">
        <v>245</v>
      </c>
      <c r="N3" t="s">
        <v>3</v>
      </c>
      <c r="O3" t="s">
        <v>242</v>
      </c>
      <c r="P3" t="s">
        <v>3</v>
      </c>
      <c r="Q3" t="s">
        <v>3</v>
      </c>
      <c r="R3" t="s">
        <v>3</v>
      </c>
      <c r="S3" t="s">
        <v>638</v>
      </c>
      <c r="T3" t="s">
        <v>680</v>
      </c>
      <c r="U3" t="s">
        <v>639</v>
      </c>
    </row>
    <row r="4" spans="1:21" x14ac:dyDescent="0.2">
      <c r="A4">
        <v>203</v>
      </c>
      <c r="B4">
        <v>1</v>
      </c>
      <c r="C4" t="s">
        <v>3</v>
      </c>
      <c r="D4" t="s">
        <v>3</v>
      </c>
      <c r="E4" t="s">
        <v>242</v>
      </c>
      <c r="F4" t="s">
        <v>242</v>
      </c>
      <c r="G4" t="s">
        <v>243</v>
      </c>
      <c r="H4" t="s">
        <v>3</v>
      </c>
      <c r="I4" t="s">
        <v>243</v>
      </c>
      <c r="J4" t="s">
        <v>242</v>
      </c>
      <c r="K4" t="s">
        <v>3</v>
      </c>
      <c r="L4" t="s">
        <v>244</v>
      </c>
      <c r="M4" t="s">
        <v>245</v>
      </c>
      <c r="N4" t="s">
        <v>3</v>
      </c>
      <c r="O4" t="s">
        <v>242</v>
      </c>
      <c r="P4" t="s">
        <v>3</v>
      </c>
      <c r="Q4" t="s">
        <v>3</v>
      </c>
      <c r="R4" t="s">
        <v>3</v>
      </c>
      <c r="S4" t="s">
        <v>638</v>
      </c>
      <c r="T4" t="s">
        <v>680</v>
      </c>
      <c r="U4" t="s">
        <v>639</v>
      </c>
    </row>
    <row r="5" spans="1:21" x14ac:dyDescent="0.2">
      <c r="A5">
        <v>311</v>
      </c>
      <c r="B5">
        <v>1</v>
      </c>
      <c r="C5" t="s">
        <v>3</v>
      </c>
      <c r="D5" t="s">
        <v>3</v>
      </c>
      <c r="E5" t="s">
        <v>242</v>
      </c>
      <c r="F5" t="s">
        <v>242</v>
      </c>
      <c r="G5" t="s">
        <v>243</v>
      </c>
      <c r="H5" t="s">
        <v>3</v>
      </c>
      <c r="I5" t="s">
        <v>243</v>
      </c>
      <c r="J5" t="s">
        <v>242</v>
      </c>
      <c r="K5" t="s">
        <v>3</v>
      </c>
      <c r="L5" t="s">
        <v>244</v>
      </c>
      <c r="M5" t="s">
        <v>245</v>
      </c>
      <c r="N5" t="s">
        <v>3</v>
      </c>
      <c r="O5" t="s">
        <v>242</v>
      </c>
      <c r="P5" t="s">
        <v>3</v>
      </c>
      <c r="Q5" t="s">
        <v>3</v>
      </c>
      <c r="R5" t="s">
        <v>3</v>
      </c>
      <c r="S5" t="s">
        <v>638</v>
      </c>
      <c r="T5" t="s">
        <v>680</v>
      </c>
      <c r="U5" t="s">
        <v>639</v>
      </c>
    </row>
    <row r="6" spans="1:21" x14ac:dyDescent="0.2">
      <c r="A6">
        <v>313</v>
      </c>
      <c r="B6">
        <v>1</v>
      </c>
      <c r="C6" t="s">
        <v>3</v>
      </c>
      <c r="D6" t="s">
        <v>3</v>
      </c>
      <c r="E6" t="s">
        <v>242</v>
      </c>
      <c r="F6" t="s">
        <v>242</v>
      </c>
      <c r="G6" t="s">
        <v>243</v>
      </c>
      <c r="H6" t="s">
        <v>3</v>
      </c>
      <c r="I6" t="s">
        <v>243</v>
      </c>
      <c r="J6" t="s">
        <v>242</v>
      </c>
      <c r="K6" t="s">
        <v>3</v>
      </c>
      <c r="L6" t="s">
        <v>244</v>
      </c>
      <c r="M6" t="s">
        <v>245</v>
      </c>
      <c r="N6" t="s">
        <v>3</v>
      </c>
      <c r="O6" t="s">
        <v>242</v>
      </c>
      <c r="P6" t="s">
        <v>3</v>
      </c>
      <c r="Q6" t="s">
        <v>3</v>
      </c>
      <c r="R6" t="s">
        <v>3</v>
      </c>
      <c r="S6" t="s">
        <v>638</v>
      </c>
      <c r="T6" t="s">
        <v>680</v>
      </c>
      <c r="U6" t="s">
        <v>639</v>
      </c>
    </row>
    <row r="7" spans="1:21" x14ac:dyDescent="0.2">
      <c r="A7">
        <v>315</v>
      </c>
      <c r="B7">
        <v>1</v>
      </c>
      <c r="C7" t="s">
        <v>3</v>
      </c>
      <c r="D7" t="s">
        <v>3</v>
      </c>
      <c r="E7" t="s">
        <v>242</v>
      </c>
      <c r="F7" t="s">
        <v>242</v>
      </c>
      <c r="G7" t="s">
        <v>243</v>
      </c>
      <c r="H7" t="s">
        <v>3</v>
      </c>
      <c r="I7" t="s">
        <v>243</v>
      </c>
      <c r="J7" t="s">
        <v>242</v>
      </c>
      <c r="K7" t="s">
        <v>3</v>
      </c>
      <c r="L7" t="s">
        <v>244</v>
      </c>
      <c r="M7" t="s">
        <v>245</v>
      </c>
      <c r="N7" t="s">
        <v>3</v>
      </c>
      <c r="O7" t="s">
        <v>242</v>
      </c>
      <c r="P7" t="s">
        <v>3</v>
      </c>
      <c r="Q7" t="s">
        <v>3</v>
      </c>
      <c r="R7" t="s">
        <v>3</v>
      </c>
      <c r="S7" t="s">
        <v>638</v>
      </c>
      <c r="T7" t="s">
        <v>680</v>
      </c>
      <c r="U7" t="s">
        <v>639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0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21931</v>
      </c>
      <c r="M1">
        <v>10</v>
      </c>
      <c r="N1">
        <v>12</v>
      </c>
      <c r="O1">
        <v>1</v>
      </c>
      <c r="P1">
        <v>0</v>
      </c>
      <c r="Q1">
        <v>4</v>
      </c>
    </row>
    <row r="12" spans="1:103" x14ac:dyDescent="0.2">
      <c r="F12" t="str">
        <f>Source!F12</f>
        <v>Новый объект</v>
      </c>
      <c r="G12" t="str">
        <f>Source!G12</f>
        <v>крыльца, цоколь, ФОК, пом 308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  <row r="14" spans="1:103" x14ac:dyDescent="0.2">
      <c r="E14" t="s">
        <v>640</v>
      </c>
      <c r="AD14">
        <v>4</v>
      </c>
    </row>
    <row r="15" spans="1:103" x14ac:dyDescent="0.2">
      <c r="B15" t="s">
        <v>641</v>
      </c>
      <c r="C15">
        <v>1</v>
      </c>
      <c r="D15" t="s">
        <v>307</v>
      </c>
      <c r="E15" t="s">
        <v>642</v>
      </c>
      <c r="F15" t="s">
        <v>643</v>
      </c>
      <c r="G15" t="s">
        <v>60</v>
      </c>
      <c r="H15">
        <v>2131.15</v>
      </c>
      <c r="I15">
        <v>2600</v>
      </c>
      <c r="J15">
        <v>63.93</v>
      </c>
      <c r="K15">
        <v>2195.08</v>
      </c>
      <c r="L15">
        <v>22</v>
      </c>
      <c r="M15">
        <v>46210</v>
      </c>
      <c r="N15">
        <v>2</v>
      </c>
      <c r="O15" t="s">
        <v>644</v>
      </c>
      <c r="P15" t="s">
        <v>645</v>
      </c>
      <c r="Q15" t="s">
        <v>646</v>
      </c>
      <c r="R15" t="s">
        <v>647</v>
      </c>
      <c r="S15" t="s">
        <v>3</v>
      </c>
      <c r="T15" t="s">
        <v>648</v>
      </c>
      <c r="U15">
        <v>0</v>
      </c>
      <c r="V15">
        <v>0</v>
      </c>
      <c r="W15">
        <v>0</v>
      </c>
      <c r="X15">
        <v>0</v>
      </c>
      <c r="Y15" t="s">
        <v>3</v>
      </c>
      <c r="Z15" t="s">
        <v>3</v>
      </c>
      <c r="AA15">
        <v>3</v>
      </c>
      <c r="AB15" t="s">
        <v>3</v>
      </c>
      <c r="AC15">
        <v>2131.15</v>
      </c>
      <c r="AD15">
        <v>1</v>
      </c>
      <c r="AE15">
        <v>0</v>
      </c>
      <c r="AF15">
        <v>1</v>
      </c>
      <c r="AG15">
        <v>3</v>
      </c>
      <c r="AH15" t="s">
        <v>60</v>
      </c>
      <c r="AI15" t="s">
        <v>308</v>
      </c>
      <c r="AJ15">
        <v>46211.416932870372</v>
      </c>
      <c r="AK15">
        <v>94192573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 t="s">
        <v>3</v>
      </c>
      <c r="AT15">
        <v>0</v>
      </c>
      <c r="AU15">
        <v>0</v>
      </c>
    </row>
    <row r="16" spans="1:103" x14ac:dyDescent="0.2">
      <c r="B16" t="s">
        <v>649</v>
      </c>
      <c r="C16">
        <v>0</v>
      </c>
      <c r="D16" t="s">
        <v>650</v>
      </c>
      <c r="E16" t="s">
        <v>642</v>
      </c>
      <c r="F16" t="s">
        <v>643</v>
      </c>
      <c r="G16" t="s">
        <v>60</v>
      </c>
      <c r="H16">
        <v>2540.16</v>
      </c>
      <c r="I16">
        <v>3099</v>
      </c>
      <c r="J16">
        <v>76.2</v>
      </c>
      <c r="K16">
        <v>2616.36</v>
      </c>
      <c r="L16">
        <v>22</v>
      </c>
      <c r="M16">
        <v>46211</v>
      </c>
      <c r="N16">
        <v>2</v>
      </c>
      <c r="O16" t="s">
        <v>651</v>
      </c>
      <c r="P16" t="s">
        <v>652</v>
      </c>
      <c r="Q16" t="s">
        <v>653</v>
      </c>
      <c r="R16" t="s">
        <v>654</v>
      </c>
      <c r="S16" t="s">
        <v>3</v>
      </c>
      <c r="T16" t="s">
        <v>655</v>
      </c>
      <c r="U16">
        <v>0</v>
      </c>
      <c r="V16">
        <v>0</v>
      </c>
      <c r="W16">
        <v>0</v>
      </c>
      <c r="X16">
        <v>0</v>
      </c>
      <c r="Y16" t="s">
        <v>3</v>
      </c>
      <c r="Z16" t="s">
        <v>3</v>
      </c>
      <c r="AA16">
        <v>3</v>
      </c>
      <c r="AB16" t="s">
        <v>3</v>
      </c>
      <c r="AC16">
        <v>2540.16</v>
      </c>
      <c r="AD16">
        <v>1</v>
      </c>
      <c r="AE16">
        <v>0</v>
      </c>
      <c r="AF16">
        <v>1</v>
      </c>
      <c r="AG16">
        <v>3</v>
      </c>
      <c r="AH16" t="s">
        <v>60</v>
      </c>
      <c r="AI16" t="s">
        <v>308</v>
      </c>
      <c r="AJ16">
        <v>46211.416932870372</v>
      </c>
      <c r="AK16">
        <v>94192573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 t="s">
        <v>3</v>
      </c>
      <c r="AT16">
        <v>0</v>
      </c>
      <c r="AU16">
        <v>0</v>
      </c>
    </row>
    <row r="17" spans="2:47" x14ac:dyDescent="0.2">
      <c r="B17" t="s">
        <v>656</v>
      </c>
      <c r="C17">
        <v>0</v>
      </c>
      <c r="D17" t="s">
        <v>657</v>
      </c>
      <c r="E17" t="s">
        <v>642</v>
      </c>
      <c r="F17" t="s">
        <v>643</v>
      </c>
      <c r="G17" t="s">
        <v>60</v>
      </c>
      <c r="H17">
        <v>2434.4299999999998</v>
      </c>
      <c r="I17">
        <v>2970</v>
      </c>
      <c r="J17">
        <v>73.03</v>
      </c>
      <c r="K17">
        <v>2507.46</v>
      </c>
      <c r="L17">
        <v>22</v>
      </c>
      <c r="M17">
        <v>46210</v>
      </c>
      <c r="N17">
        <v>2</v>
      </c>
      <c r="O17" t="s">
        <v>658</v>
      </c>
      <c r="P17" t="s">
        <v>659</v>
      </c>
      <c r="Q17" t="s">
        <v>660</v>
      </c>
      <c r="R17" t="s">
        <v>661</v>
      </c>
      <c r="S17" t="s">
        <v>3</v>
      </c>
      <c r="T17" t="s">
        <v>648</v>
      </c>
      <c r="U17">
        <v>0</v>
      </c>
      <c r="V17">
        <v>0</v>
      </c>
      <c r="W17">
        <v>0</v>
      </c>
      <c r="X17">
        <v>0</v>
      </c>
      <c r="Y17" t="s">
        <v>3</v>
      </c>
      <c r="Z17" t="s">
        <v>3</v>
      </c>
      <c r="AA17">
        <v>3</v>
      </c>
      <c r="AB17" t="s">
        <v>3</v>
      </c>
      <c r="AC17">
        <v>2434.4299999999998</v>
      </c>
      <c r="AD17">
        <v>1</v>
      </c>
      <c r="AE17">
        <v>0</v>
      </c>
      <c r="AF17">
        <v>1</v>
      </c>
      <c r="AG17">
        <v>3</v>
      </c>
      <c r="AH17" t="s">
        <v>60</v>
      </c>
      <c r="AI17" t="s">
        <v>308</v>
      </c>
      <c r="AJ17">
        <v>46211.416932870372</v>
      </c>
      <c r="AK17">
        <v>94192573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 t="s">
        <v>3</v>
      </c>
      <c r="AT17">
        <v>0</v>
      </c>
      <c r="AU17">
        <v>0</v>
      </c>
    </row>
    <row r="18" spans="2:47" x14ac:dyDescent="0.2">
      <c r="B18" t="s">
        <v>662</v>
      </c>
      <c r="C18">
        <v>1</v>
      </c>
      <c r="D18" t="s">
        <v>316</v>
      </c>
      <c r="E18" t="s">
        <v>663</v>
      </c>
      <c r="F18" t="s">
        <v>643</v>
      </c>
      <c r="G18" t="s">
        <v>3</v>
      </c>
      <c r="H18">
        <v>950</v>
      </c>
      <c r="I18">
        <v>1159</v>
      </c>
      <c r="J18">
        <v>28.5</v>
      </c>
      <c r="K18">
        <v>978.5</v>
      </c>
      <c r="L18">
        <v>22</v>
      </c>
      <c r="M18">
        <v>46211</v>
      </c>
      <c r="N18">
        <v>2</v>
      </c>
      <c r="O18" t="s">
        <v>664</v>
      </c>
      <c r="P18" t="s">
        <v>665</v>
      </c>
      <c r="Q18" t="s">
        <v>666</v>
      </c>
      <c r="R18" t="s">
        <v>654</v>
      </c>
      <c r="S18" t="s">
        <v>3</v>
      </c>
      <c r="T18" t="s">
        <v>655</v>
      </c>
      <c r="U18">
        <v>0</v>
      </c>
      <c r="V18">
        <v>0</v>
      </c>
      <c r="W18">
        <v>0</v>
      </c>
      <c r="X18">
        <v>0</v>
      </c>
      <c r="Y18" t="s">
        <v>3</v>
      </c>
      <c r="Z18" t="s">
        <v>3</v>
      </c>
      <c r="AA18">
        <v>3</v>
      </c>
      <c r="AB18" t="s">
        <v>3</v>
      </c>
      <c r="AC18">
        <v>950</v>
      </c>
      <c r="AD18">
        <v>1</v>
      </c>
      <c r="AE18">
        <v>0</v>
      </c>
      <c r="AF18">
        <v>1</v>
      </c>
      <c r="AG18">
        <v>3</v>
      </c>
      <c r="AH18" t="s">
        <v>318</v>
      </c>
      <c r="AI18" t="s">
        <v>317</v>
      </c>
      <c r="AJ18">
        <v>46211.454942129632</v>
      </c>
      <c r="AK18">
        <v>94192671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 t="s">
        <v>3</v>
      </c>
      <c r="AT18">
        <v>0</v>
      </c>
      <c r="AU18">
        <v>0</v>
      </c>
    </row>
    <row r="19" spans="2:47" x14ac:dyDescent="0.2">
      <c r="B19" t="s">
        <v>667</v>
      </c>
      <c r="C19">
        <v>0</v>
      </c>
      <c r="D19" t="s">
        <v>668</v>
      </c>
      <c r="E19" t="s">
        <v>663</v>
      </c>
      <c r="F19" t="s">
        <v>643</v>
      </c>
      <c r="G19" t="s">
        <v>3</v>
      </c>
      <c r="H19">
        <v>2263.9299999999998</v>
      </c>
      <c r="I19">
        <v>2762</v>
      </c>
      <c r="J19">
        <v>0</v>
      </c>
      <c r="K19">
        <v>2263.9299999999998</v>
      </c>
      <c r="L19">
        <v>22</v>
      </c>
      <c r="M19">
        <v>46211</v>
      </c>
      <c r="N19">
        <v>2</v>
      </c>
      <c r="O19" t="s">
        <v>669</v>
      </c>
      <c r="P19" t="s">
        <v>670</v>
      </c>
      <c r="Q19" t="s">
        <v>671</v>
      </c>
      <c r="R19" t="s">
        <v>672</v>
      </c>
      <c r="S19" t="s">
        <v>3</v>
      </c>
      <c r="T19" t="s">
        <v>655</v>
      </c>
      <c r="U19">
        <v>0</v>
      </c>
      <c r="V19">
        <v>0</v>
      </c>
      <c r="W19">
        <v>0</v>
      </c>
      <c r="X19">
        <v>0</v>
      </c>
      <c r="Y19" t="s">
        <v>3</v>
      </c>
      <c r="Z19" t="s">
        <v>3</v>
      </c>
      <c r="AA19">
        <v>0</v>
      </c>
      <c r="AB19" t="s">
        <v>3</v>
      </c>
      <c r="AC19">
        <v>2263.9299999999998</v>
      </c>
      <c r="AD19">
        <v>1</v>
      </c>
      <c r="AE19">
        <v>0</v>
      </c>
      <c r="AF19">
        <v>1</v>
      </c>
      <c r="AG19">
        <v>3</v>
      </c>
      <c r="AH19" t="s">
        <v>318</v>
      </c>
      <c r="AI19" t="s">
        <v>317</v>
      </c>
      <c r="AJ19">
        <v>46211.454942129632</v>
      </c>
      <c r="AK19">
        <v>94192671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 t="s">
        <v>3</v>
      </c>
      <c r="AT19">
        <v>0</v>
      </c>
      <c r="AU19">
        <v>0</v>
      </c>
    </row>
    <row r="20" spans="2:47" x14ac:dyDescent="0.2">
      <c r="B20" t="s">
        <v>673</v>
      </c>
      <c r="C20">
        <v>0</v>
      </c>
      <c r="D20" t="s">
        <v>674</v>
      </c>
      <c r="E20" t="s">
        <v>663</v>
      </c>
      <c r="F20" t="s">
        <v>643</v>
      </c>
      <c r="G20" t="s">
        <v>3</v>
      </c>
      <c r="H20">
        <v>2490.98</v>
      </c>
      <c r="I20">
        <v>3039</v>
      </c>
      <c r="J20">
        <v>0</v>
      </c>
      <c r="K20">
        <v>2490.98</v>
      </c>
      <c r="L20">
        <v>22</v>
      </c>
      <c r="M20">
        <v>46211</v>
      </c>
      <c r="N20">
        <v>2</v>
      </c>
      <c r="O20" t="s">
        <v>675</v>
      </c>
      <c r="P20" t="s">
        <v>676</v>
      </c>
      <c r="Q20" t="s">
        <v>677</v>
      </c>
      <c r="R20" t="s">
        <v>678</v>
      </c>
      <c r="S20" t="s">
        <v>3</v>
      </c>
      <c r="T20" t="s">
        <v>655</v>
      </c>
      <c r="U20">
        <v>0</v>
      </c>
      <c r="V20">
        <v>0</v>
      </c>
      <c r="W20">
        <v>0</v>
      </c>
      <c r="X20">
        <v>0</v>
      </c>
      <c r="Y20" t="s">
        <v>3</v>
      </c>
      <c r="Z20" t="s">
        <v>3</v>
      </c>
      <c r="AA20">
        <v>0</v>
      </c>
      <c r="AB20" t="s">
        <v>3</v>
      </c>
      <c r="AC20">
        <v>2490.98</v>
      </c>
      <c r="AD20">
        <v>1</v>
      </c>
      <c r="AE20">
        <v>0</v>
      </c>
      <c r="AF20">
        <v>1</v>
      </c>
      <c r="AG20">
        <v>3</v>
      </c>
      <c r="AH20" t="s">
        <v>318</v>
      </c>
      <c r="AI20" t="s">
        <v>317</v>
      </c>
      <c r="AJ20">
        <v>46211.454942129632</v>
      </c>
      <c r="AK20">
        <v>94192671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t="s">
        <v>3</v>
      </c>
      <c r="AT20">
        <v>0</v>
      </c>
      <c r="AU20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Смета по ФСНБ 421+557прРИМ</vt:lpstr>
      <vt:lpstr>Дефектная ведомость</vt:lpstr>
      <vt:lpstr>Source</vt:lpstr>
      <vt:lpstr>SourceObSm</vt:lpstr>
      <vt:lpstr>SmtRes</vt:lpstr>
      <vt:lpstr>EtalonRes</vt:lpstr>
      <vt:lpstr>SrcPoprs</vt:lpstr>
      <vt:lpstr>SrcKA</vt:lpstr>
      <vt:lpstr>'Дефектная ведомость'!Заголовки_для_печати</vt:lpstr>
      <vt:lpstr>'Смета по ФСНБ 421+557прРИМ'!Заголовки_для_печати</vt:lpstr>
      <vt:lpstr>'Дефектная ведомость'!Область_печати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Николаевна ЕН. Кедрова</cp:lastModifiedBy>
  <dcterms:created xsi:type="dcterms:W3CDTF">2026-07-16T07:39:44Z</dcterms:created>
  <dcterms:modified xsi:type="dcterms:W3CDTF">2026-07-22T09:26:30Z</dcterms:modified>
</cp:coreProperties>
</file>