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3250" windowHeight="10740" activeTab="1"/>
  </bookViews>
  <sheets>
    <sheet name="Начальные данные" sheetId="3" r:id="rId1"/>
    <sheet name="3 поставщика" sheetId="5" r:id="rId2"/>
    <sheet name="4 поставщика" sheetId="4" r:id="rId3"/>
    <sheet name="5 поставщиков" sheetId="2" r:id="rId4"/>
  </sheets>
  <definedNames>
    <definedName name="_xlnm.Print_Titles" localSheetId="1">'3 поставщика'!$6:$6</definedName>
    <definedName name="_xlnm.Print_Titles" localSheetId="2">'4 поставщика'!$13:$13</definedName>
    <definedName name="_xlnm.Print_Titles" localSheetId="3">'5 поставщиков'!$13:$13</definedName>
    <definedName name="_xlnm.Print_Area" localSheetId="1">'3 поставщика'!$A$1:$Q$14</definedName>
  </definedNames>
  <calcPr calcId="124519" fullCalcOnLoad="1" refMode="R1C1"/>
</workbook>
</file>

<file path=xl/calcChain.xml><?xml version="1.0" encoding="utf-8"?>
<calcChain xmlns="http://schemas.openxmlformats.org/spreadsheetml/2006/main">
  <c r="B2" i="5"/>
  <c r="O7"/>
  <c r="P7" s="1"/>
  <c r="Q7" s="1"/>
  <c r="Q8" s="1"/>
  <c r="B9" s="1"/>
  <c r="L7"/>
  <c r="M7" s="1"/>
  <c r="N7" s="1"/>
  <c r="N8" s="1"/>
  <c r="B10" s="1"/>
  <c r="I5"/>
  <c r="H5"/>
  <c r="G5"/>
  <c r="N19" i="2"/>
  <c r="Q15"/>
  <c r="R15"/>
  <c r="S15"/>
  <c r="N15"/>
  <c r="O15"/>
  <c r="P15"/>
  <c r="B15"/>
  <c r="Q16"/>
  <c r="R16"/>
  <c r="S16"/>
  <c r="N16"/>
  <c r="O16"/>
  <c r="P16"/>
  <c r="B16"/>
  <c r="Q17"/>
  <c r="R17"/>
  <c r="S17"/>
  <c r="N17"/>
  <c r="O17"/>
  <c r="P17"/>
  <c r="B17"/>
  <c r="Q18"/>
  <c r="R18"/>
  <c r="S18"/>
  <c r="N18"/>
  <c r="O18"/>
  <c r="P18"/>
  <c r="B18"/>
  <c r="Q19"/>
  <c r="R19"/>
  <c r="S19"/>
  <c r="O19"/>
  <c r="P19"/>
  <c r="B19"/>
  <c r="Q20"/>
  <c r="R20"/>
  <c r="S20"/>
  <c r="N20"/>
  <c r="O20"/>
  <c r="P20"/>
  <c r="B20"/>
  <c r="Q21"/>
  <c r="R21"/>
  <c r="S21"/>
  <c r="N21"/>
  <c r="O21"/>
  <c r="P21"/>
  <c r="B21"/>
  <c r="Q22"/>
  <c r="R22"/>
  <c r="S22"/>
  <c r="N22"/>
  <c r="O22"/>
  <c r="P22"/>
  <c r="B22"/>
  <c r="Q23"/>
  <c r="R23"/>
  <c r="S23"/>
  <c r="N23"/>
  <c r="O23"/>
  <c r="P23"/>
  <c r="B23"/>
  <c r="Q24"/>
  <c r="R24"/>
  <c r="S24"/>
  <c r="N24"/>
  <c r="O24"/>
  <c r="P24"/>
  <c r="B24"/>
  <c r="Q25"/>
  <c r="R25"/>
  <c r="S25"/>
  <c r="N25"/>
  <c r="O25"/>
  <c r="P25"/>
  <c r="B25"/>
  <c r="Q26"/>
  <c r="R26"/>
  <c r="S26"/>
  <c r="N26"/>
  <c r="O26"/>
  <c r="P26"/>
  <c r="B26"/>
  <c r="Q27"/>
  <c r="R27"/>
  <c r="S27"/>
  <c r="N27"/>
  <c r="O27"/>
  <c r="P27"/>
  <c r="B27"/>
  <c r="Q28"/>
  <c r="R28"/>
  <c r="S28"/>
  <c r="N28"/>
  <c r="O28"/>
  <c r="P28"/>
  <c r="B28"/>
  <c r="Q29"/>
  <c r="R29"/>
  <c r="S29"/>
  <c r="N29"/>
  <c r="O29"/>
  <c r="P29"/>
  <c r="B29"/>
  <c r="Q30"/>
  <c r="R30"/>
  <c r="S30"/>
  <c r="N30"/>
  <c r="O30"/>
  <c r="P30"/>
  <c r="B30"/>
  <c r="Q31"/>
  <c r="R31"/>
  <c r="S31"/>
  <c r="N31"/>
  <c r="O31"/>
  <c r="P31"/>
  <c r="B31"/>
  <c r="Q32"/>
  <c r="R32"/>
  <c r="S32"/>
  <c r="N32"/>
  <c r="O32"/>
  <c r="P32"/>
  <c r="B32"/>
  <c r="Q33"/>
  <c r="R33"/>
  <c r="S33"/>
  <c r="N33"/>
  <c r="O33"/>
  <c r="P33"/>
  <c r="B33"/>
  <c r="Q34"/>
  <c r="R34"/>
  <c r="S34"/>
  <c r="N34"/>
  <c r="O34"/>
  <c r="P34"/>
  <c r="B34"/>
  <c r="Q35"/>
  <c r="R35"/>
  <c r="S35"/>
  <c r="N35"/>
  <c r="O35"/>
  <c r="P35"/>
  <c r="B35"/>
  <c r="Q36"/>
  <c r="R36"/>
  <c r="S36"/>
  <c r="N36"/>
  <c r="O36"/>
  <c r="P36"/>
  <c r="B36"/>
  <c r="Q37"/>
  <c r="R37"/>
  <c r="S37"/>
  <c r="N37"/>
  <c r="O37"/>
  <c r="P37"/>
  <c r="B37"/>
  <c r="Q38"/>
  <c r="R38"/>
  <c r="S38"/>
  <c r="N38"/>
  <c r="O38"/>
  <c r="P38"/>
  <c r="B38"/>
  <c r="Q39"/>
  <c r="R39"/>
  <c r="S39"/>
  <c r="N39"/>
  <c r="O39"/>
  <c r="P39"/>
  <c r="B39"/>
  <c r="R6"/>
  <c r="Q6" i="4"/>
  <c r="B40" i="2"/>
  <c r="B14"/>
  <c r="B15" i="4"/>
  <c r="B14"/>
  <c r="A4" i="5"/>
  <c r="A11" i="2"/>
  <c r="A11" i="4"/>
  <c r="Q14" i="2"/>
  <c r="R14"/>
  <c r="S14"/>
  <c r="N14"/>
  <c r="O14"/>
  <c r="P14"/>
  <c r="M14" i="4"/>
  <c r="N14"/>
  <c r="O14"/>
  <c r="O16"/>
  <c r="B18"/>
  <c r="P14"/>
  <c r="Q14"/>
  <c r="R14"/>
  <c r="R16"/>
  <c r="B17"/>
  <c r="P15"/>
  <c r="Q15"/>
  <c r="R15"/>
  <c r="Q40" i="2"/>
  <c r="R40"/>
  <c r="S40"/>
  <c r="J22" i="4"/>
  <c r="J20"/>
  <c r="M15"/>
  <c r="N15"/>
  <c r="O15"/>
  <c r="J12"/>
  <c r="I12"/>
  <c r="H12"/>
  <c r="G12"/>
  <c r="B10"/>
  <c r="B10" i="2"/>
  <c r="J47"/>
  <c r="J45"/>
  <c r="N40"/>
  <c r="O40"/>
  <c r="P40"/>
  <c r="K12"/>
  <c r="J12"/>
  <c r="I12"/>
  <c r="H12"/>
  <c r="G12"/>
  <c r="P41"/>
  <c r="B43"/>
  <c r="S41"/>
  <c r="B42"/>
</calcChain>
</file>

<file path=xl/sharedStrings.xml><?xml version="1.0" encoding="utf-8"?>
<sst xmlns="http://schemas.openxmlformats.org/spreadsheetml/2006/main" count="210" uniqueCount="77">
  <si>
    <t>"____"_______________</t>
  </si>
  <si>
    <t>дата</t>
  </si>
  <si>
    <t>№</t>
  </si>
  <si>
    <t>Наименование предмета контракта</t>
  </si>
  <si>
    <t>Существенные условия исполнения контракта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</si>
  <si>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</si>
  <si>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</si>
  <si>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</si>
  <si>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</si>
  <si>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</si>
  <si>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</si>
  <si>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</si>
  <si>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>Среднее квадратичное отклонение</t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</si>
  <si>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</si>
  <si>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</si>
  <si>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Н(М)ЦК, ЦКЕП контракта с учетом округления цены за единицу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</si>
  <si>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b/>
        <i/>
        <sz val="10"/>
        <color indexed="8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</si>
  <si>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t>-</t>
  </si>
  <si>
    <t>подпись</t>
  </si>
  <si>
    <t>Составил:</t>
  </si>
  <si>
    <t>Проверил:</t>
  </si>
  <si>
    <t>Количество поставщиков</t>
  </si>
  <si>
    <t>Количество наименований предмета контракта</t>
  </si>
  <si>
    <t>Наименование поставщика № 1</t>
  </si>
  <si>
    <t>Наименование поставщика № 2</t>
  </si>
  <si>
    <t>Наименование поставщика № 3</t>
  </si>
  <si>
    <t>Наименование поставщика № 4</t>
  </si>
  <si>
    <t>Наименование поставщика № 5</t>
  </si>
  <si>
    <t>Наименование предмета контракта ("Расчет стоимости контракта на…")</t>
  </si>
  <si>
    <t>Расчет составил (И.О. Фамилия)</t>
  </si>
  <si>
    <t>Расчет проверил (И.О. Фамилия)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</si>
  <si>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</si>
  <si>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Ед.изм.</t>
  </si>
  <si>
    <t xml:space="preserve">     УТВЕРЖДАЮ            </t>
  </si>
  <si>
    <r>
      <t>ПРИЛОЖЕНИЕ № 2 к аукционной документации</t>
    </r>
    <r>
      <rPr>
        <b/>
        <sz val="10"/>
        <color indexed="8"/>
        <rFont val="Times New Roman"/>
        <family val="1"/>
        <charset val="204"/>
      </rPr>
      <t xml:space="preserve">
</t>
    </r>
  </si>
  <si>
    <t>Заместитель начальника ФГКУ"Специальное</t>
  </si>
  <si>
    <t>управление ФПС № 2 МЧС России"</t>
  </si>
  <si>
    <t>полковник внутренней службы</t>
  </si>
  <si>
    <t>___________В.В. Дерышев</t>
  </si>
  <si>
    <t>Тиски параллельные</t>
  </si>
  <si>
    <t>Выпрямитель для зарядки аккумуляторов</t>
  </si>
  <si>
    <t>Прибор для замера давления в шинах</t>
  </si>
  <si>
    <t>Набор съемников для ремонта ГАЗ,ЗИЛ,КАМАЗ</t>
  </si>
  <si>
    <t>Ножовка слесарная</t>
  </si>
  <si>
    <t>Рукоятка динамометрическая</t>
  </si>
  <si>
    <t>Кувалда малая 6 кг</t>
  </si>
  <si>
    <t>Выколотки латунные (набор)</t>
  </si>
  <si>
    <t>Пассатижи малые</t>
  </si>
  <si>
    <t>Пассатижи большие, газовые</t>
  </si>
  <si>
    <t>Тиски ручные</t>
  </si>
  <si>
    <t>Отвертки разные</t>
  </si>
  <si>
    <t>Метчики ручные и плашки (лерки), набор</t>
  </si>
  <si>
    <t>Перки по дереву разные</t>
  </si>
  <si>
    <t>Клещи столярные</t>
  </si>
  <si>
    <t>Ножовка столярная</t>
  </si>
  <si>
    <t>Топор плотницкий</t>
  </si>
  <si>
    <t>Стамески столярные (набор)</t>
  </si>
  <si>
    <t>Молоток деревянный</t>
  </si>
  <si>
    <t>Шерхебель столярный</t>
  </si>
  <si>
    <t>Рубанок столярный</t>
  </si>
  <si>
    <t>Щупы пластинчатые от 0,05 до 1,0мм</t>
  </si>
  <si>
    <t>Пневматический краско -распылитель (краскопульт)</t>
  </si>
  <si>
    <t>Вулканизатор электрический</t>
  </si>
  <si>
    <t>Компрессометр для карбюраторных двигателей</t>
  </si>
  <si>
    <t>Компрессометр для дизельных двигателей</t>
  </si>
  <si>
    <t>Стетоскоп для прослушивания работы двигателей</t>
  </si>
  <si>
    <t>ед.</t>
  </si>
  <si>
    <t xml:space="preserve">Так как выделенных ЛБО недостаточно для выбора НМЦК в размере 144605,34 руб., принимаем за НМЦК закупки минимально предложенную Исполнителями цену 139940,00 руб. </t>
  </si>
  <si>
    <t>согласно техническму заданию</t>
  </si>
  <si>
    <t>О.Н. Касмынина</t>
  </si>
  <si>
    <t>Наименование предмета контракта (тип или эквивалент)</t>
  </si>
  <si>
    <t>усл.ед.</t>
  </si>
  <si>
    <t>услуги утилизации</t>
  </si>
  <si>
    <t>ООО "СибУЦ"</t>
  </si>
  <si>
    <t>ООО "УТИЛ24"</t>
  </si>
  <si>
    <t>ООО "СибВторРесурс"</t>
  </si>
  <si>
    <t>Услиги утилизации ПРОД имущества</t>
  </si>
</sst>
</file>

<file path=xl/styles.xml><?xml version="1.0" encoding="utf-8"?>
<styleSheet xmlns="http://schemas.openxmlformats.org/spreadsheetml/2006/main">
  <numFmts count="3">
    <numFmt numFmtId="172" formatCode="0.00000"/>
    <numFmt numFmtId="173" formatCode="0.0000"/>
    <numFmt numFmtId="182" formatCode="#,##0.00_р_."/>
  </numFmts>
  <fonts count="3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8"/>
      <name val="Calibri"/>
      <family val="2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23" fillId="0" borderId="0"/>
  </cellStyleXfs>
  <cellXfs count="1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7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173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shrinkToFit="1"/>
    </xf>
    <xf numFmtId="0" fontId="9" fillId="0" borderId="0" xfId="0" applyFont="1" applyAlignment="1" applyProtection="1">
      <alignment vertical="top" wrapText="1" shrinkToFit="1"/>
      <protection locked="0"/>
    </xf>
    <xf numFmtId="0" fontId="9" fillId="0" borderId="0" xfId="0" applyFont="1" applyAlignment="1">
      <alignment vertical="top" shrinkToFit="1"/>
    </xf>
    <xf numFmtId="0" fontId="8" fillId="0" borderId="0" xfId="0" applyFont="1" applyAlignment="1">
      <alignment shrinkToFit="1"/>
    </xf>
    <xf numFmtId="0" fontId="8" fillId="0" borderId="0" xfId="0" applyFont="1" applyAlignment="1" applyProtection="1">
      <alignment horizontal="left" vertical="top" wrapText="1" shrinkToFit="1"/>
      <protection locked="0"/>
    </xf>
    <xf numFmtId="0" fontId="8" fillId="0" borderId="0" xfId="0" applyFont="1" applyFill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Border="1" applyAlignment="1">
      <alignment horizontal="center" shrinkToFit="1"/>
    </xf>
    <xf numFmtId="2" fontId="3" fillId="0" borderId="0" xfId="0" applyNumberFormat="1" applyFont="1" applyBorder="1" applyAlignment="1">
      <alignment vertical="center"/>
    </xf>
    <xf numFmtId="0" fontId="2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shrinkToFit="1"/>
    </xf>
    <xf numFmtId="0" fontId="4" fillId="0" borderId="0" xfId="0" applyFont="1" applyBorder="1"/>
    <xf numFmtId="0" fontId="10" fillId="0" borderId="0" xfId="0" applyFont="1" applyBorder="1" applyAlignment="1">
      <alignment horizontal="center" vertical="top" shrinkToFit="1"/>
    </xf>
    <xf numFmtId="0" fontId="9" fillId="0" borderId="0" xfId="0" applyFont="1" applyBorder="1" applyAlignment="1">
      <alignment vertical="top" shrinkToFit="1"/>
    </xf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8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left" vertical="center"/>
    </xf>
    <xf numFmtId="2" fontId="8" fillId="0" borderId="0" xfId="0" applyNumberFormat="1" applyFont="1" applyFill="1" applyAlignment="1" applyProtection="1">
      <alignment vertical="center" shrinkToFit="1"/>
      <protection locked="0"/>
    </xf>
    <xf numFmtId="1" fontId="8" fillId="0" borderId="0" xfId="0" applyNumberFormat="1" applyFont="1" applyFill="1" applyAlignment="1" applyProtection="1">
      <alignment vertical="center" shrinkToFi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182" fontId="1" fillId="0" borderId="2" xfId="0" applyNumberFormat="1" applyFont="1" applyFill="1" applyBorder="1" applyAlignment="1">
      <alignment horizontal="center" vertical="center" wrapText="1"/>
    </xf>
    <xf numFmtId="182" fontId="1" fillId="0" borderId="2" xfId="0" applyNumberFormat="1" applyFont="1" applyBorder="1" applyAlignment="1">
      <alignment horizontal="center" vertical="center" wrapText="1"/>
    </xf>
    <xf numFmtId="2" fontId="11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16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/>
    </xf>
    <xf numFmtId="0" fontId="18" fillId="0" borderId="0" xfId="0" applyFont="1" applyFill="1" applyAlignment="1" applyProtection="1">
      <alignment vertical="center"/>
      <protection locked="0"/>
    </xf>
    <xf numFmtId="0" fontId="19" fillId="0" borderId="0" xfId="0" applyFont="1" applyAlignment="1">
      <alignment horizontal="center" vertical="center" shrinkToFit="1"/>
    </xf>
    <xf numFmtId="0" fontId="20" fillId="0" borderId="0" xfId="0" applyFont="1" applyAlignment="1" applyProtection="1">
      <alignment wrapText="1" shrinkToFit="1"/>
      <protection locked="0"/>
    </xf>
    <xf numFmtId="0" fontId="19" fillId="0" borderId="0" xfId="0" applyFont="1" applyAlignment="1" applyProtection="1">
      <alignment wrapText="1" shrinkToFit="1"/>
      <protection locked="0"/>
    </xf>
    <xf numFmtId="173" fontId="19" fillId="0" borderId="0" xfId="0" applyNumberFormat="1" applyFont="1" applyFill="1" applyAlignment="1" applyProtection="1">
      <alignment horizontal="center" vertical="center" shrinkToFit="1"/>
      <protection locked="0"/>
    </xf>
    <xf numFmtId="0" fontId="19" fillId="0" borderId="0" xfId="0" applyFont="1" applyFill="1" applyAlignment="1" applyProtection="1">
      <alignment vertical="center" shrinkToFit="1"/>
      <protection locked="0"/>
    </xf>
    <xf numFmtId="173" fontId="19" fillId="0" borderId="0" xfId="0" applyNumberFormat="1" applyFont="1" applyFill="1" applyAlignment="1" applyProtection="1">
      <alignment horizontal="center" vertical="center" shrinkToFit="1"/>
    </xf>
    <xf numFmtId="0" fontId="18" fillId="0" borderId="0" xfId="0" applyFont="1"/>
    <xf numFmtId="0" fontId="22" fillId="0" borderId="0" xfId="0" applyFont="1"/>
    <xf numFmtId="0" fontId="24" fillId="0" borderId="5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2" fontId="25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shrinkToFit="1"/>
    </xf>
    <xf numFmtId="0" fontId="8" fillId="0" borderId="0" xfId="0" applyFont="1" applyBorder="1" applyAlignment="1">
      <alignment horizontal="left" vertical="center" wrapText="1" shrinkToFit="1"/>
    </xf>
    <xf numFmtId="2" fontId="3" fillId="0" borderId="0" xfId="0" applyNumberFormat="1" applyFont="1" applyBorder="1" applyAlignment="1">
      <alignment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Border="1" applyAlignment="1">
      <alignment vertical="center"/>
    </xf>
    <xf numFmtId="2" fontId="27" fillId="0" borderId="2" xfId="0" applyNumberFormat="1" applyFont="1" applyBorder="1" applyAlignment="1">
      <alignment vertical="center" wrapText="1"/>
    </xf>
    <xf numFmtId="2" fontId="27" fillId="0" borderId="2" xfId="0" applyNumberFormat="1" applyFont="1" applyBorder="1" applyAlignment="1">
      <alignment horizontal="center" vertical="center" wrapText="1"/>
    </xf>
    <xf numFmtId="172" fontId="27" fillId="0" borderId="2" xfId="0" applyNumberFormat="1" applyFont="1" applyBorder="1" applyAlignment="1">
      <alignment horizontal="center" vertical="center"/>
    </xf>
    <xf numFmtId="2" fontId="27" fillId="0" borderId="2" xfId="0" applyNumberFormat="1" applyFont="1" applyBorder="1" applyAlignment="1">
      <alignment horizontal="center" vertical="center"/>
    </xf>
    <xf numFmtId="2" fontId="26" fillId="0" borderId="2" xfId="0" applyNumberFormat="1" applyFont="1" applyBorder="1" applyAlignment="1">
      <alignment horizontal="center" vertical="center" wrapText="1"/>
    </xf>
    <xf numFmtId="173" fontId="26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/>
    <xf numFmtId="0" fontId="14" fillId="0" borderId="2" xfId="0" applyNumberFormat="1" applyFont="1" applyFill="1" applyBorder="1" applyAlignment="1">
      <alignment horizontal="left" vertical="center" wrapText="1"/>
    </xf>
    <xf numFmtId="0" fontId="27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2" fontId="14" fillId="0" borderId="2" xfId="0" applyNumberFormat="1" applyFont="1" applyFill="1" applyBorder="1" applyAlignment="1">
      <alignment horizontal="center" vertical="center"/>
    </xf>
    <xf numFmtId="0" fontId="19" fillId="0" borderId="0" xfId="0" applyFont="1" applyFill="1" applyAlignment="1" applyProtection="1">
      <alignment horizontal="left" vertical="center" shrinkToFit="1"/>
      <protection locked="0"/>
    </xf>
    <xf numFmtId="0" fontId="30" fillId="0" borderId="0" xfId="0" applyFont="1" applyFill="1" applyBorder="1" applyAlignment="1">
      <alignment horizontal="left" vertical="top" wrapText="1" shrinkToFi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shrinkToFit="1"/>
    </xf>
    <xf numFmtId="0" fontId="19" fillId="0" borderId="0" xfId="0" applyFont="1" applyAlignment="1" applyProtection="1">
      <alignment horizontal="left" vertical="top" wrapText="1" shrinkToFit="1"/>
      <protection locked="0"/>
    </xf>
    <xf numFmtId="0" fontId="19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9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2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_Приложение 23-25 экспл, регистр, техосмотр" xfId="2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1.wmf"/><Relationship Id="rId1" Type="http://schemas.openxmlformats.org/officeDocument/2006/relationships/image" Target="../media/image4.wmf"/><Relationship Id="rId4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4</xdr:row>
      <xdr:rowOff>952500</xdr:rowOff>
    </xdr:from>
    <xdr:to>
      <xdr:col>14</xdr:col>
      <xdr:colOff>0</xdr:colOff>
      <xdr:row>4</xdr:row>
      <xdr:rowOff>1304925</xdr:rowOff>
    </xdr:to>
    <xdr:pic>
      <xdr:nvPicPr>
        <xdr:cNvPr id="28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87175" y="2828925"/>
          <a:ext cx="942975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12</xdr:col>
      <xdr:colOff>19050</xdr:colOff>
      <xdr:row>4</xdr:row>
      <xdr:rowOff>495300</xdr:rowOff>
    </xdr:from>
    <xdr:to>
      <xdr:col>12</xdr:col>
      <xdr:colOff>828675</xdr:colOff>
      <xdr:row>4</xdr:row>
      <xdr:rowOff>933450</xdr:rowOff>
    </xdr:to>
    <xdr:pic>
      <xdr:nvPicPr>
        <xdr:cNvPr id="28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706100" y="2371725"/>
          <a:ext cx="809625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104775</xdr:colOff>
      <xdr:row>4</xdr:row>
      <xdr:rowOff>1600200</xdr:rowOff>
    </xdr:from>
    <xdr:to>
      <xdr:col>14</xdr:col>
      <xdr:colOff>1590675</xdr:colOff>
      <xdr:row>4</xdr:row>
      <xdr:rowOff>1971675</xdr:rowOff>
    </xdr:to>
    <xdr:pic>
      <xdr:nvPicPr>
        <xdr:cNvPr id="287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734925" y="3448050"/>
          <a:ext cx="1485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409575</xdr:colOff>
      <xdr:row>4</xdr:row>
      <xdr:rowOff>1304925</xdr:rowOff>
    </xdr:from>
    <xdr:to>
      <xdr:col>14</xdr:col>
      <xdr:colOff>561975</xdr:colOff>
      <xdr:row>4</xdr:row>
      <xdr:rowOff>1533525</xdr:rowOff>
    </xdr:to>
    <xdr:pic>
      <xdr:nvPicPr>
        <xdr:cNvPr id="2874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3039725" y="318135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409575</xdr:colOff>
      <xdr:row>11</xdr:row>
      <xdr:rowOff>1304925</xdr:rowOff>
    </xdr:from>
    <xdr:to>
      <xdr:col>15</xdr:col>
      <xdr:colOff>542925</xdr:colOff>
      <xdr:row>11</xdr:row>
      <xdr:rowOff>1504950</xdr:rowOff>
    </xdr:to>
    <xdr:pic>
      <xdr:nvPicPr>
        <xdr:cNvPr id="2976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858750" y="4086225"/>
          <a:ext cx="133350" cy="2000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114300</xdr:colOff>
      <xdr:row>11</xdr:row>
      <xdr:rowOff>1038225</xdr:rowOff>
    </xdr:from>
    <xdr:to>
      <xdr:col>14</xdr:col>
      <xdr:colOff>790575</xdr:colOff>
      <xdr:row>11</xdr:row>
      <xdr:rowOff>1295400</xdr:rowOff>
    </xdr:to>
    <xdr:pic>
      <xdr:nvPicPr>
        <xdr:cNvPr id="297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610975" y="3819525"/>
          <a:ext cx="6762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104775</xdr:colOff>
      <xdr:row>11</xdr:row>
      <xdr:rowOff>561975</xdr:rowOff>
    </xdr:from>
    <xdr:to>
      <xdr:col>13</xdr:col>
      <xdr:colOff>847725</xdr:colOff>
      <xdr:row>11</xdr:row>
      <xdr:rowOff>885825</xdr:rowOff>
    </xdr:to>
    <xdr:pic>
      <xdr:nvPicPr>
        <xdr:cNvPr id="297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572750" y="3343275"/>
          <a:ext cx="74295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15</xdr:col>
      <xdr:colOff>295275</xdr:colOff>
      <xdr:row>11</xdr:row>
      <xdr:rowOff>1552575</xdr:rowOff>
    </xdr:from>
    <xdr:to>
      <xdr:col>15</xdr:col>
      <xdr:colOff>1533525</xdr:colOff>
      <xdr:row>11</xdr:row>
      <xdr:rowOff>1847850</xdr:rowOff>
    </xdr:to>
    <xdr:pic>
      <xdr:nvPicPr>
        <xdr:cNvPr id="2976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744450" y="4333875"/>
          <a:ext cx="1238250" cy="2952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11</xdr:row>
      <xdr:rowOff>1047750</xdr:rowOff>
    </xdr:from>
    <xdr:to>
      <xdr:col>15</xdr:col>
      <xdr:colOff>809625</xdr:colOff>
      <xdr:row>11</xdr:row>
      <xdr:rowOff>1304925</xdr:rowOff>
    </xdr:to>
    <xdr:pic>
      <xdr:nvPicPr>
        <xdr:cNvPr id="30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58475" y="3829050"/>
          <a:ext cx="685800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95250</xdr:colOff>
      <xdr:row>11</xdr:row>
      <xdr:rowOff>552450</xdr:rowOff>
    </xdr:from>
    <xdr:to>
      <xdr:col>14</xdr:col>
      <xdr:colOff>847725</xdr:colOff>
      <xdr:row>11</xdr:row>
      <xdr:rowOff>885825</xdr:rowOff>
    </xdr:to>
    <xdr:pic>
      <xdr:nvPicPr>
        <xdr:cNvPr id="30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601200" y="3333750"/>
          <a:ext cx="752475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16</xdr:col>
      <xdr:colOff>276225</xdr:colOff>
      <xdr:row>11</xdr:row>
      <xdr:rowOff>1543050</xdr:rowOff>
    </xdr:from>
    <xdr:to>
      <xdr:col>16</xdr:col>
      <xdr:colOff>1533525</xdr:colOff>
      <xdr:row>11</xdr:row>
      <xdr:rowOff>1847850</xdr:rowOff>
    </xdr:to>
    <xdr:pic>
      <xdr:nvPicPr>
        <xdr:cNvPr id="3079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763375" y="4324350"/>
          <a:ext cx="1257300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16</xdr:col>
      <xdr:colOff>438150</xdr:colOff>
      <xdr:row>11</xdr:row>
      <xdr:rowOff>1343025</xdr:rowOff>
    </xdr:from>
    <xdr:to>
      <xdr:col>16</xdr:col>
      <xdr:colOff>561975</xdr:colOff>
      <xdr:row>11</xdr:row>
      <xdr:rowOff>1524000</xdr:rowOff>
    </xdr:to>
    <xdr:pic>
      <xdr:nvPicPr>
        <xdr:cNvPr id="3079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925300" y="4124325"/>
          <a:ext cx="123825" cy="1809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4:B13"/>
  <sheetViews>
    <sheetView workbookViewId="0">
      <selection activeCell="B11" sqref="B11"/>
    </sheetView>
  </sheetViews>
  <sheetFormatPr defaultRowHeight="18.75" customHeight="1"/>
  <cols>
    <col min="1" max="1" width="35.140625" customWidth="1"/>
    <col min="2" max="2" width="43.7109375" customWidth="1"/>
  </cols>
  <sheetData>
    <row r="4" spans="1:2" s="44" customFormat="1" ht="31.5" customHeight="1">
      <c r="A4" s="63" t="s">
        <v>28</v>
      </c>
      <c r="B4" s="88" t="s">
        <v>72</v>
      </c>
    </row>
    <row r="5" spans="1:2" s="44" customFormat="1" ht="35.25" customHeight="1">
      <c r="A5" s="63" t="s">
        <v>22</v>
      </c>
      <c r="B5" s="64">
        <v>1</v>
      </c>
    </row>
    <row r="6" spans="1:2" s="44" customFormat="1" ht="18.75" customHeight="1">
      <c r="A6" s="65" t="s">
        <v>23</v>
      </c>
      <c r="B6" s="64" t="s">
        <v>73</v>
      </c>
    </row>
    <row r="7" spans="1:2" s="44" customFormat="1" ht="18.75" customHeight="1">
      <c r="A7" s="65" t="s">
        <v>24</v>
      </c>
      <c r="B7" s="64" t="s">
        <v>74</v>
      </c>
    </row>
    <row r="8" spans="1:2" s="44" customFormat="1" ht="18.75" customHeight="1">
      <c r="A8" s="65" t="s">
        <v>25</v>
      </c>
      <c r="B8" s="64" t="s">
        <v>75</v>
      </c>
    </row>
    <row r="9" spans="1:2" s="44" customFormat="1" ht="18.75" customHeight="1">
      <c r="A9" s="65" t="s">
        <v>26</v>
      </c>
      <c r="B9" s="64"/>
    </row>
    <row r="10" spans="1:2" s="44" customFormat="1" ht="18.75" customHeight="1">
      <c r="A10" s="65" t="s">
        <v>27</v>
      </c>
      <c r="B10" s="64"/>
    </row>
    <row r="11" spans="1:2" s="44" customFormat="1" ht="18.75" customHeight="1">
      <c r="A11" s="65" t="s">
        <v>29</v>
      </c>
      <c r="B11" s="64" t="s">
        <v>69</v>
      </c>
    </row>
    <row r="12" spans="1:2" ht="18.75" customHeight="1">
      <c r="A12" s="66" t="s">
        <v>30</v>
      </c>
      <c r="B12" s="64" t="s">
        <v>69</v>
      </c>
    </row>
    <row r="13" spans="1:2" s="44" customFormat="1" ht="27.75" customHeight="1">
      <c r="A13" s="63" t="s">
        <v>21</v>
      </c>
      <c r="B13" s="64"/>
    </row>
  </sheetData>
  <phoneticPr fontId="21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X16"/>
  <sheetViews>
    <sheetView tabSelected="1" view="pageBreakPreview" topLeftCell="B1" zoomScale="75" zoomScaleNormal="75" zoomScaleSheetLayoutView="75" workbookViewId="0">
      <selection activeCell="H11" sqref="H11:Q11"/>
    </sheetView>
  </sheetViews>
  <sheetFormatPr defaultRowHeight="12.75"/>
  <cols>
    <col min="1" max="1" width="9.140625" style="1" hidden="1" customWidth="1"/>
    <col min="2" max="2" width="6.42578125" style="1" customWidth="1"/>
    <col min="3" max="3" width="55.140625" style="1" customWidth="1"/>
    <col min="4" max="4" width="13.7109375" style="1" customWidth="1"/>
    <col min="5" max="5" width="7.140625" style="45" customWidth="1"/>
    <col min="6" max="6" width="6.42578125" style="45" customWidth="1"/>
    <col min="7" max="7" width="12.7109375" style="1" customWidth="1"/>
    <col min="8" max="8" width="12.28515625" style="1" customWidth="1"/>
    <col min="9" max="9" width="12.5703125" style="1" customWidth="1"/>
    <col min="10" max="10" width="10" style="1" customWidth="1"/>
    <col min="11" max="11" width="9.140625" style="1" customWidth="1"/>
    <col min="12" max="13" width="14.7109375" style="1" customWidth="1"/>
    <col min="14" max="14" width="14.42578125" style="1" customWidth="1"/>
    <col min="15" max="15" width="25.5703125" style="1" customWidth="1"/>
    <col min="16" max="17" width="15.42578125" style="1" customWidth="1"/>
    <col min="18" max="16384" width="9.140625" style="1"/>
  </cols>
  <sheetData>
    <row r="1" spans="1:24" s="71" customFormat="1" ht="51.75" customHeight="1">
      <c r="B1" s="72"/>
      <c r="C1" s="73"/>
      <c r="D1" s="74"/>
      <c r="E1" s="75"/>
      <c r="F1" s="76"/>
      <c r="G1" s="77"/>
      <c r="H1" s="78"/>
      <c r="I1" s="78"/>
      <c r="J1" s="79"/>
      <c r="K1" s="79"/>
      <c r="L1" s="79"/>
      <c r="M1" s="30"/>
      <c r="N1" s="80"/>
      <c r="O1" s="94"/>
      <c r="P1" s="94"/>
      <c r="Q1" s="94"/>
    </row>
    <row r="2" spans="1:24" ht="46.5" customHeight="1">
      <c r="B2" s="115" t="str">
        <f>CONCATENATE("Обоснование начальной (максимальной) цены контракта, (НМЦК) на"," ",'Начальные данные'!B4," для нужд ФГКУ ""Специальное управление ФПС № 2 МЧС России""")</f>
        <v>Обоснование начальной (максимальной) цены контракта, (НМЦК) на услуги утилизации для нужд ФГКУ "Специальное управление ФПС № 2 МЧС России"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24" s="89" customFormat="1" ht="36.7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24">
      <c r="A4" s="1">
        <f>'Начальные данные'!B5</f>
        <v>1</v>
      </c>
      <c r="B4" s="116" t="s">
        <v>2</v>
      </c>
      <c r="C4" s="117" t="s">
        <v>70</v>
      </c>
      <c r="D4" s="119" t="s">
        <v>4</v>
      </c>
      <c r="E4" s="119" t="s">
        <v>32</v>
      </c>
      <c r="F4" s="119" t="s">
        <v>5</v>
      </c>
      <c r="G4" s="128" t="s">
        <v>6</v>
      </c>
      <c r="H4" s="129"/>
      <c r="I4" s="130"/>
      <c r="J4" s="128" t="s">
        <v>7</v>
      </c>
      <c r="K4" s="130"/>
      <c r="L4" s="131" t="s">
        <v>8</v>
      </c>
      <c r="M4" s="132"/>
      <c r="N4" s="133"/>
      <c r="O4" s="121" t="s">
        <v>9</v>
      </c>
      <c r="P4" s="122"/>
      <c r="Q4" s="123"/>
    </row>
    <row r="5" spans="1:24" ht="123.75" customHeight="1">
      <c r="B5" s="116"/>
      <c r="C5" s="118"/>
      <c r="D5" s="120"/>
      <c r="E5" s="120"/>
      <c r="F5" s="120"/>
      <c r="G5" s="111" t="str">
        <f>CONCATENATE("Поставщик № 1",CHAR(10),'Начальные данные'!$B6)</f>
        <v>Поставщик № 1
ООО "СибУЦ"</v>
      </c>
      <c r="H5" s="111" t="str">
        <f>CONCATENATE("Поставщик № 2",CHAR(10),'Начальные данные'!$B7)</f>
        <v>Поставщик № 2
ООО "УТИЛ24"</v>
      </c>
      <c r="I5" s="111" t="str">
        <f>CONCATENATE("Поставщик № 3",CHAR(10),'Начальные данные'!$B8)</f>
        <v>Поставщик № 3
ООО "СибВторРесурс"</v>
      </c>
      <c r="J5" s="4" t="s">
        <v>10</v>
      </c>
      <c r="K5" s="4" t="s">
        <v>11</v>
      </c>
      <c r="L5" s="4" t="s">
        <v>31</v>
      </c>
      <c r="M5" s="4" t="s">
        <v>12</v>
      </c>
      <c r="N5" s="13" t="s">
        <v>16</v>
      </c>
      <c r="O5" s="4" t="s">
        <v>13</v>
      </c>
      <c r="P5" s="4" t="s">
        <v>14</v>
      </c>
      <c r="Q5" s="4" t="s">
        <v>15</v>
      </c>
      <c r="U5" s="107"/>
      <c r="X5" s="108"/>
    </row>
    <row r="6" spans="1:24" s="58" customFormat="1" ht="14.25" customHeight="1">
      <c r="B6" s="56">
        <v>1</v>
      </c>
      <c r="C6" s="70">
        <v>2</v>
      </c>
      <c r="D6" s="56">
        <v>3</v>
      </c>
      <c r="E6" s="56">
        <v>4</v>
      </c>
      <c r="F6" s="56">
        <v>5</v>
      </c>
      <c r="G6" s="57">
        <v>6</v>
      </c>
      <c r="H6" s="57">
        <v>7</v>
      </c>
      <c r="I6" s="57">
        <v>8</v>
      </c>
      <c r="J6" s="57">
        <v>11</v>
      </c>
      <c r="K6" s="57">
        <v>12</v>
      </c>
      <c r="L6" s="57">
        <v>13</v>
      </c>
      <c r="M6" s="57">
        <v>14</v>
      </c>
      <c r="N6" s="55">
        <v>15</v>
      </c>
      <c r="O6" s="57">
        <v>16</v>
      </c>
      <c r="P6" s="57">
        <v>17</v>
      </c>
      <c r="Q6" s="57">
        <v>18</v>
      </c>
    </row>
    <row r="7" spans="1:24" s="2" customFormat="1" ht="47.25" customHeight="1">
      <c r="B7" s="54">
        <v>1</v>
      </c>
      <c r="C7" s="109" t="s">
        <v>76</v>
      </c>
      <c r="D7" s="110" t="s">
        <v>68</v>
      </c>
      <c r="E7" s="99" t="s">
        <v>71</v>
      </c>
      <c r="F7" s="98">
        <v>1</v>
      </c>
      <c r="G7" s="112">
        <v>35400</v>
      </c>
      <c r="H7" s="112">
        <v>40000</v>
      </c>
      <c r="I7" s="112">
        <v>44866.5</v>
      </c>
      <c r="J7" s="100"/>
      <c r="K7" s="101" t="s">
        <v>17</v>
      </c>
      <c r="L7" s="102">
        <f>ROUND(AVERAGE(G7:I7),2)</f>
        <v>40088.83</v>
      </c>
      <c r="M7" s="103">
        <f>SQRT(SUM(POWER(G7-L7,2),POWER(H7-L7,2),POWER(I7-L7,2))/(COLUMNS(G7:I7)-1))</f>
        <v>4733.8751655858023</v>
      </c>
      <c r="N7" s="104">
        <f>ROUND(M7/L7*100,2)</f>
        <v>11.81</v>
      </c>
      <c r="O7" s="105">
        <f>ROUND(SUM(G7:I7)/3,2)*F7</f>
        <v>40088.83</v>
      </c>
      <c r="P7" s="105">
        <f>ROUND(O7/F7,2)</f>
        <v>40088.83</v>
      </c>
      <c r="Q7" s="105">
        <f>ROUND(P7*F7,2)</f>
        <v>40088.83</v>
      </c>
      <c r="T7" s="107"/>
    </row>
    <row r="8" spans="1:24" s="2" customFormat="1" ht="15">
      <c r="B8" s="24"/>
      <c r="C8" s="25"/>
      <c r="D8" s="32"/>
      <c r="E8" s="26"/>
      <c r="F8" s="33"/>
      <c r="G8" s="27"/>
      <c r="H8" s="34"/>
      <c r="I8" s="34"/>
      <c r="J8" s="28"/>
      <c r="K8" s="28"/>
      <c r="L8" s="29"/>
      <c r="M8" s="30"/>
      <c r="N8" s="104">
        <f>AVERAGE(N7:N7)</f>
        <v>11.81</v>
      </c>
      <c r="O8" s="105"/>
      <c r="P8" s="106"/>
      <c r="Q8" s="105">
        <f>SUM(Q7:Q7)</f>
        <v>40088.83</v>
      </c>
      <c r="T8" s="107"/>
    </row>
    <row r="9" spans="1:24" s="35" customFormat="1" ht="15.75">
      <c r="B9" s="12" t="str">
        <f>CONCATENATE("В результате проведенного расчета Н(М)ЦК, ЦКЕП контракта составила: ",ROUND(Q8,2)," руб.")</f>
        <v>В результате проведенного расчета Н(М)ЦК, ЦКЕП контракта составила: 40088,83 руб.</v>
      </c>
      <c r="C9" s="12"/>
      <c r="D9" s="12"/>
      <c r="E9" s="12"/>
      <c r="F9" s="12"/>
      <c r="G9" s="12"/>
      <c r="J9" s="12"/>
      <c r="K9" s="12"/>
      <c r="L9" s="50"/>
      <c r="N9" s="23"/>
      <c r="O9" s="12"/>
      <c r="P9" s="12"/>
      <c r="Q9" s="36"/>
      <c r="T9" s="107"/>
    </row>
    <row r="10" spans="1:24" s="37" customFormat="1" ht="15.75">
      <c r="B10" s="135" t="str">
        <f>IF(N8&lt;33,CONCATENATE("Коэффициент вариации  (",ROUND(N8,2)," %) меньше 33 % - совокупность цен однородна."),CONCATENATE("Коэффициент вариации  (",ROUND(N8,2)," %) больше 33 % - совокупность цен неоднородна."))</f>
        <v>Коэффициент вариации  (11,81 %) меньше 33 % - совокупность цен однородна.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T10" s="107"/>
    </row>
    <row r="11" spans="1:24" s="37" customFormat="1" ht="37.5" customHeight="1">
      <c r="B11" s="96"/>
      <c r="C11" s="96"/>
      <c r="D11" s="96"/>
      <c r="E11" s="96"/>
      <c r="F11" s="96"/>
      <c r="G11" s="96"/>
      <c r="H11" s="134" t="s">
        <v>67</v>
      </c>
      <c r="I11" s="134"/>
      <c r="J11" s="134"/>
      <c r="K11" s="134"/>
      <c r="L11" s="134"/>
      <c r="M11" s="134"/>
      <c r="N11" s="134"/>
      <c r="O11" s="134"/>
      <c r="P11" s="134"/>
      <c r="Q11" s="134"/>
      <c r="T11" s="107"/>
    </row>
    <row r="12" spans="1:24" s="3" customFormat="1" ht="15.75" customHeight="1">
      <c r="B12" s="125"/>
      <c r="C12" s="125"/>
      <c r="D12" s="125"/>
      <c r="E12" s="46"/>
      <c r="F12" s="46"/>
      <c r="H12" s="97"/>
      <c r="I12" s="97"/>
      <c r="J12" s="97"/>
      <c r="K12" s="97"/>
      <c r="L12" s="97"/>
      <c r="M12" s="124"/>
      <c r="N12" s="124"/>
      <c r="O12" s="124"/>
      <c r="P12" s="124"/>
      <c r="Q12" s="97"/>
      <c r="T12" s="107"/>
    </row>
    <row r="13" spans="1:24" s="3" customFormat="1" ht="15.75">
      <c r="B13" s="95"/>
      <c r="C13" s="95"/>
      <c r="D13" s="95"/>
      <c r="E13" s="46"/>
      <c r="F13" s="46"/>
      <c r="G13" s="97"/>
      <c r="H13" s="97"/>
      <c r="I13" s="97"/>
      <c r="J13" s="97"/>
      <c r="K13" s="97"/>
      <c r="L13" s="97"/>
      <c r="M13" s="124"/>
      <c r="N13" s="124"/>
      <c r="O13" s="124"/>
      <c r="P13" s="124"/>
      <c r="Q13" s="97"/>
      <c r="T13" s="107"/>
    </row>
    <row r="14" spans="1:24" s="3" customFormat="1" ht="18.75">
      <c r="B14" s="17"/>
      <c r="C14" s="17"/>
      <c r="D14" s="17"/>
      <c r="E14" s="46"/>
      <c r="F14" s="48"/>
      <c r="L14" s="113"/>
      <c r="M14" s="113"/>
      <c r="N14" s="86"/>
      <c r="O14" s="86"/>
      <c r="P14" s="86"/>
      <c r="Q14" s="86"/>
    </row>
    <row r="15" spans="1:24" ht="15.75">
      <c r="L15" s="22"/>
      <c r="M15" s="17"/>
      <c r="N15" s="17"/>
      <c r="O15" s="17"/>
      <c r="P15" s="17"/>
      <c r="Q15" s="17"/>
    </row>
    <row r="16" spans="1:24" ht="15.75">
      <c r="G16" s="39"/>
      <c r="H16" s="39"/>
      <c r="I16" s="39"/>
      <c r="J16" s="39"/>
      <c r="K16" s="39"/>
      <c r="L16" s="40"/>
      <c r="M16" s="3"/>
      <c r="N16" s="17"/>
      <c r="O16" s="17"/>
      <c r="P16" s="17"/>
      <c r="Q16" s="17"/>
    </row>
  </sheetData>
  <sheetProtection selectLockedCells="1" selectUnlockedCells="1"/>
  <mergeCells count="16">
    <mergeCell ref="B10:Q10"/>
    <mergeCell ref="O4:Q4"/>
    <mergeCell ref="M12:P13"/>
    <mergeCell ref="B12:D12"/>
    <mergeCell ref="G4:I4"/>
    <mergeCell ref="J4:K4"/>
    <mergeCell ref="L4:N4"/>
    <mergeCell ref="H11:Q11"/>
    <mergeCell ref="L14:M14"/>
    <mergeCell ref="A3:Q3"/>
    <mergeCell ref="B2:Q2"/>
    <mergeCell ref="B4:B5"/>
    <mergeCell ref="C4:C5"/>
    <mergeCell ref="D4:D5"/>
    <mergeCell ref="E4:E5"/>
    <mergeCell ref="F4:F5"/>
  </mergeCells>
  <phoneticPr fontId="21" type="noConversion"/>
  <conditionalFormatting sqref="N1 N7:N8">
    <cfRule type="cellIs" dxfId="0" priority="29" stopIfTrue="1" operator="greaterThan">
      <formula>32.99</formula>
    </cfRule>
  </conditionalFormatting>
  <pageMargins left="1.25" right="0.51181102362204722" top="0.49" bottom="0.35433070866141736" header="0.31496062992125984" footer="0.51181102362204722"/>
  <pageSetup paperSize="9" scale="51" firstPageNumber="0" orientation="landscape" verticalDpi="300" r:id="rId1"/>
  <headerFooter differentFirst="1" alignWithMargins="0"/>
  <rowBreaks count="1" manualBreakCount="1">
    <brk id="10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30"/>
  <sheetViews>
    <sheetView topLeftCell="E10" zoomScale="75" zoomScaleNormal="75" workbookViewId="0">
      <selection activeCell="J20" sqref="J20"/>
    </sheetView>
  </sheetViews>
  <sheetFormatPr defaultRowHeight="12.75"/>
  <cols>
    <col min="1" max="1" width="0" style="1" hidden="1" customWidth="1"/>
    <col min="2" max="2" width="3.140625" style="1" customWidth="1"/>
    <col min="3" max="3" width="25.7109375" style="1" customWidth="1"/>
    <col min="4" max="4" width="25" style="1" customWidth="1"/>
    <col min="5" max="5" width="4.7109375" style="45" customWidth="1"/>
    <col min="6" max="6" width="4.85546875" style="45" customWidth="1"/>
    <col min="7" max="10" width="14.28515625" style="1" customWidth="1"/>
    <col min="11" max="11" width="10" style="1" customWidth="1"/>
    <col min="12" max="12" width="10.85546875" style="1" customWidth="1"/>
    <col min="13" max="13" width="15.5703125" style="1" customWidth="1"/>
    <col min="14" max="14" width="15.42578125" style="1" customWidth="1"/>
    <col min="15" max="15" width="14.28515625" style="1" customWidth="1"/>
    <col min="16" max="16" width="25.5703125" style="1" customWidth="1"/>
    <col min="17" max="18" width="12.5703125" style="1" customWidth="1"/>
    <col min="19" max="16384" width="9.140625" style="1"/>
  </cols>
  <sheetData>
    <row r="1" spans="1:18" s="3" customFormat="1" ht="15" customHeight="1">
      <c r="P1" s="137" t="s">
        <v>33</v>
      </c>
      <c r="Q1" s="137"/>
      <c r="R1" s="137"/>
    </row>
    <row r="2" spans="1:18" s="3" customFormat="1" ht="15" customHeight="1">
      <c r="P2" s="137" t="s">
        <v>35</v>
      </c>
      <c r="Q2" s="137"/>
      <c r="R2" s="137"/>
    </row>
    <row r="3" spans="1:18" s="3" customFormat="1" ht="15" customHeight="1">
      <c r="M3" s="68"/>
      <c r="P3" s="137" t="s">
        <v>36</v>
      </c>
      <c r="Q3" s="137"/>
      <c r="R3" s="137"/>
    </row>
    <row r="4" spans="1:18" s="3" customFormat="1" ht="15" customHeight="1">
      <c r="P4" s="138" t="s">
        <v>37</v>
      </c>
      <c r="Q4" s="138"/>
      <c r="R4" s="138"/>
    </row>
    <row r="5" spans="1:18" s="3" customFormat="1" ht="16.5" customHeight="1">
      <c r="P5" s="139" t="s">
        <v>38</v>
      </c>
      <c r="Q5" s="139"/>
      <c r="R5" s="139"/>
    </row>
    <row r="6" spans="1:18" s="3" customFormat="1" ht="16.5" customHeight="1">
      <c r="P6" s="68" t="s">
        <v>0</v>
      </c>
      <c r="Q6" s="69">
        <f ca="1">YEAR(TODAY())</f>
        <v>2026</v>
      </c>
      <c r="R6" s="68"/>
    </row>
    <row r="7" spans="1:18" s="3" customFormat="1" ht="15.75">
      <c r="N7" s="67"/>
      <c r="O7" s="67"/>
    </row>
    <row r="8" spans="1:18" ht="17.25" customHeight="1">
      <c r="E8" s="1"/>
      <c r="F8" s="1"/>
      <c r="O8" s="140" t="s">
        <v>34</v>
      </c>
      <c r="P8" s="140"/>
      <c r="Q8" s="140"/>
      <c r="R8" s="140"/>
    </row>
    <row r="9" spans="1:18" ht="17.25" customHeight="1">
      <c r="O9" s="136"/>
      <c r="P9" s="136"/>
      <c r="Q9" s="136"/>
    </row>
    <row r="10" spans="1:18" s="3" customFormat="1" ht="34.5" customHeight="1">
      <c r="B10" s="141" t="str">
        <f>CONCATENATE("Обоснование начальной (максимальной) цены контракта, цены контракта, заключаемого с единственным поставщиком (подрядчиком, исполнителем) (Н(М)ЦК, ЦКЕП) на"," ",'Начальные данные'!B4," для нужд ФГКУ ""Специальное управление ФПС № 2 МЧС России""")</f>
        <v>Обоснование начальной (максимальной) цены контракта, цены контракта, заключаемого с единственным поставщиком (подрядчиком, исполнителем) (Н(М)ЦК, ЦКЕП) на услуги утилизации для нужд ФГКУ "Специальное управление ФПС № 2 МЧС России"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</row>
    <row r="11" spans="1:18" ht="41.25" customHeight="1">
      <c r="A11" s="1">
        <f>'Начальные данные'!B5</f>
        <v>1</v>
      </c>
      <c r="B11" s="119" t="s">
        <v>2</v>
      </c>
      <c r="C11" s="119" t="s">
        <v>3</v>
      </c>
      <c r="D11" s="119" t="s">
        <v>4</v>
      </c>
      <c r="E11" s="119" t="s">
        <v>32</v>
      </c>
      <c r="F11" s="119" t="s">
        <v>5</v>
      </c>
      <c r="G11" s="128" t="s">
        <v>6</v>
      </c>
      <c r="H11" s="129"/>
      <c r="I11" s="129"/>
      <c r="J11" s="129"/>
      <c r="K11" s="145" t="s">
        <v>7</v>
      </c>
      <c r="L11" s="145"/>
      <c r="M11" s="146" t="s">
        <v>8</v>
      </c>
      <c r="N11" s="146"/>
      <c r="O11" s="146"/>
      <c r="P11" s="147" t="s">
        <v>9</v>
      </c>
      <c r="Q11" s="147"/>
      <c r="R11" s="147"/>
    </row>
    <row r="12" spans="1:18" ht="158.25" customHeight="1">
      <c r="B12" s="142"/>
      <c r="C12" s="143"/>
      <c r="D12" s="142"/>
      <c r="E12" s="144"/>
      <c r="F12" s="144"/>
      <c r="G12" s="4" t="str">
        <f>CONCATENATE("Поставщик № 1",CHAR(10),'Начальные данные'!$B6)</f>
        <v>Поставщик № 1
ООО "СибУЦ"</v>
      </c>
      <c r="H12" s="4" t="str">
        <f>CONCATENATE("Поставщик № 2",CHAR(10),'Начальные данные'!$B7)</f>
        <v>Поставщик № 2
ООО "УТИЛ24"</v>
      </c>
      <c r="I12" s="4" t="str">
        <f>CONCATENATE("Поставщик № 3",CHAR(10),'Начальные данные'!$B8)</f>
        <v>Поставщик № 3
ООО "СибВторРесурс"</v>
      </c>
      <c r="J12" s="4" t="str">
        <f>CONCATENATE("Поставщик № 4",CHAR(10),'Начальные данные'!$B9)</f>
        <v xml:space="preserve">Поставщик № 4
</v>
      </c>
      <c r="K12" s="4" t="s">
        <v>10</v>
      </c>
      <c r="L12" s="4" t="s">
        <v>11</v>
      </c>
      <c r="M12" s="4" t="s">
        <v>31</v>
      </c>
      <c r="N12" s="4" t="s">
        <v>12</v>
      </c>
      <c r="O12" s="13" t="s">
        <v>16</v>
      </c>
      <c r="P12" s="4" t="s">
        <v>13</v>
      </c>
      <c r="Q12" s="4" t="s">
        <v>14</v>
      </c>
      <c r="R12" s="4" t="s">
        <v>15</v>
      </c>
    </row>
    <row r="13" spans="1:18" s="58" customFormat="1" ht="12" customHeight="1">
      <c r="B13" s="56">
        <v>1</v>
      </c>
      <c r="C13" s="55">
        <v>2</v>
      </c>
      <c r="D13" s="56">
        <v>3</v>
      </c>
      <c r="E13" s="56">
        <v>4</v>
      </c>
      <c r="F13" s="56">
        <v>5</v>
      </c>
      <c r="G13" s="57">
        <v>6</v>
      </c>
      <c r="H13" s="57">
        <v>7</v>
      </c>
      <c r="I13" s="57">
        <v>8</v>
      </c>
      <c r="J13" s="57">
        <v>9</v>
      </c>
      <c r="K13" s="57">
        <v>11</v>
      </c>
      <c r="L13" s="57">
        <v>12</v>
      </c>
      <c r="M13" s="57">
        <v>13</v>
      </c>
      <c r="N13" s="57">
        <v>14</v>
      </c>
      <c r="O13" s="55">
        <v>15</v>
      </c>
      <c r="P13" s="57">
        <v>16</v>
      </c>
      <c r="Q13" s="57">
        <v>17</v>
      </c>
      <c r="R13" s="57">
        <v>18</v>
      </c>
    </row>
    <row r="14" spans="1:18" s="2" customFormat="1" ht="59.25" customHeight="1">
      <c r="B14" s="54">
        <f>ROW()-13</f>
        <v>1</v>
      </c>
      <c r="C14" s="59"/>
      <c r="D14" s="5"/>
      <c r="E14" s="6"/>
      <c r="F14" s="31"/>
      <c r="G14" s="62"/>
      <c r="H14" s="62"/>
      <c r="I14" s="62"/>
      <c r="J14" s="62"/>
      <c r="K14" s="7" t="s">
        <v>17</v>
      </c>
      <c r="L14" s="7" t="s">
        <v>17</v>
      </c>
      <c r="M14" s="7" t="e">
        <f>ROUND(AVERAGE(G14:J14),2)</f>
        <v>#DIV/0!</v>
      </c>
      <c r="N14" s="8" t="e">
        <f>SQRT(SUM(POWER(G14-M14,2),POWER(H14-M14,2),POWER(I14-M14,2),POWER(J14-M14,2))/(COLUMNS(G14:J14)-1))</f>
        <v>#DIV/0!</v>
      </c>
      <c r="O14" s="9" t="e">
        <f>ROUND(N14/M14*100,2)</f>
        <v>#DIV/0!</v>
      </c>
      <c r="P14" s="10">
        <f>ROUND(SUM(G14:J14)/4,2)*F14</f>
        <v>0</v>
      </c>
      <c r="Q14" s="10" t="e">
        <f>ROUND(P14/F14,2)</f>
        <v>#DIV/0!</v>
      </c>
      <c r="R14" s="10" t="e">
        <f>ROUND(Q14*F14,2)</f>
        <v>#DIV/0!</v>
      </c>
    </row>
    <row r="15" spans="1:18" s="2" customFormat="1" ht="59.25" customHeight="1">
      <c r="B15" s="54">
        <f>ROW()-13</f>
        <v>2</v>
      </c>
      <c r="C15" s="59"/>
      <c r="D15" s="5"/>
      <c r="E15" s="6"/>
      <c r="F15" s="31"/>
      <c r="G15" s="62"/>
      <c r="H15" s="62"/>
      <c r="I15" s="62"/>
      <c r="J15" s="62"/>
      <c r="K15" s="7" t="s">
        <v>17</v>
      </c>
      <c r="L15" s="7" t="s">
        <v>17</v>
      </c>
      <c r="M15" s="7" t="e">
        <f>ROUND(AVERAGE(G15:J15),2)</f>
        <v>#DIV/0!</v>
      </c>
      <c r="N15" s="8" t="e">
        <f>SQRT(SUM(POWER(G15-M15,2),POWER(H15-M15,2),POWER(I15-M15,2),POWER(J15-M15,2))/(COLUMNS(G15:J15)-1))</f>
        <v>#DIV/0!</v>
      </c>
      <c r="O15" s="9" t="e">
        <f>ROUND(N15/M15*100,2)</f>
        <v>#DIV/0!</v>
      </c>
      <c r="P15" s="10">
        <f>ROUND(SUM(G15:J15)/4,2)*F15</f>
        <v>0</v>
      </c>
      <c r="Q15" s="10" t="e">
        <f>ROUND(P15/F15,2)</f>
        <v>#DIV/0!</v>
      </c>
      <c r="R15" s="10" t="e">
        <f>ROUND(Q15*F15,2)</f>
        <v>#DIV/0!</v>
      </c>
    </row>
    <row r="16" spans="1:18" s="2" customFormat="1" ht="19.5" customHeight="1">
      <c r="B16" s="24"/>
      <c r="C16" s="25"/>
      <c r="D16" s="32"/>
      <c r="E16" s="26"/>
      <c r="F16" s="33"/>
      <c r="G16" s="27"/>
      <c r="H16" s="34"/>
      <c r="I16" s="34"/>
      <c r="J16" s="34"/>
      <c r="K16" s="28"/>
      <c r="L16" s="28"/>
      <c r="M16" s="29"/>
      <c r="N16" s="30"/>
      <c r="O16" s="38" t="e">
        <f>AVERAGE(O14:O15)</f>
        <v>#DIV/0!</v>
      </c>
      <c r="P16" s="10"/>
      <c r="Q16" s="11"/>
      <c r="R16" s="10" t="e">
        <f>SUM(R14:R15)</f>
        <v>#DIV/0!</v>
      </c>
    </row>
    <row r="17" spans="2:18" s="35" customFormat="1" ht="18" customHeight="1">
      <c r="B17" s="12" t="e">
        <f>CONCATENATE("В результате проведенного расчета Н(М)ЦК, ЦКЕП контракта составила: ",R16," руб.")</f>
        <v>#DIV/0!</v>
      </c>
      <c r="C17" s="12"/>
      <c r="D17" s="12"/>
      <c r="E17" s="12"/>
      <c r="F17" s="12"/>
      <c r="G17" s="12"/>
      <c r="J17" s="12"/>
      <c r="K17" s="12"/>
      <c r="L17" s="12"/>
      <c r="M17" s="50"/>
      <c r="O17" s="23"/>
      <c r="P17" s="12"/>
      <c r="Q17" s="12"/>
      <c r="R17" s="36"/>
    </row>
    <row r="18" spans="2:18" s="37" customFormat="1" ht="18" customHeight="1">
      <c r="B18" s="135" t="e">
        <f>IF(O16&lt;33,CONCATENATE("Коэффициент вариации  (",O16," %) меньше 33 % - совокупность цен однородна."),CONCATENATE("Коэффициент вариации  (",O16," %) больше 33 % - совокупность цен неоднородна."))</f>
        <v>#DIV/0!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</row>
    <row r="19" spans="2:18" s="3" customFormat="1" ht="18" customHeight="1">
      <c r="B19" s="125"/>
      <c r="C19" s="125"/>
      <c r="D19" s="125"/>
      <c r="E19" s="46"/>
      <c r="F19" s="4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s="81" customFormat="1" ht="18" customHeight="1">
      <c r="B20" s="126" t="s">
        <v>19</v>
      </c>
      <c r="C20" s="126"/>
      <c r="D20" s="126"/>
      <c r="E20" s="126"/>
      <c r="F20" s="82"/>
      <c r="G20" s="83"/>
      <c r="H20" s="84"/>
      <c r="I20" s="85"/>
      <c r="J20" s="87" t="str">
        <f>'Начальные данные'!B11</f>
        <v>О.Н. Касмынина</v>
      </c>
      <c r="K20" s="86"/>
      <c r="L20" s="86"/>
      <c r="M20" s="127"/>
      <c r="N20" s="127"/>
      <c r="O20" s="86"/>
      <c r="P20" s="86"/>
      <c r="Q20" s="86"/>
      <c r="R20" s="86"/>
    </row>
    <row r="21" spans="2:18" s="20" customFormat="1" ht="18" customHeight="1">
      <c r="B21" s="18"/>
      <c r="C21" s="18"/>
      <c r="D21" s="18"/>
      <c r="E21" s="47"/>
      <c r="F21" s="46"/>
      <c r="G21" s="14" t="s">
        <v>1</v>
      </c>
      <c r="H21" s="15"/>
      <c r="I21" s="14" t="s">
        <v>18</v>
      </c>
      <c r="J21" s="41"/>
      <c r="K21" s="21"/>
      <c r="L21" s="21"/>
      <c r="M21" s="22"/>
      <c r="N21" s="19"/>
      <c r="O21" s="53"/>
      <c r="P21" s="52"/>
      <c r="Q21" s="19"/>
      <c r="R21" s="19"/>
    </row>
    <row r="22" spans="2:18" s="81" customFormat="1" ht="18" customHeight="1">
      <c r="B22" s="126" t="s">
        <v>20</v>
      </c>
      <c r="C22" s="126"/>
      <c r="D22" s="126"/>
      <c r="E22" s="126"/>
      <c r="F22" s="82"/>
      <c r="G22" s="84"/>
      <c r="H22" s="84"/>
      <c r="I22" s="85"/>
      <c r="J22" s="87" t="str">
        <f>'Начальные данные'!B12</f>
        <v>О.Н. Касмынина</v>
      </c>
      <c r="K22" s="86"/>
      <c r="L22" s="86"/>
      <c r="M22" s="113"/>
      <c r="N22" s="113"/>
      <c r="O22" s="86"/>
      <c r="P22" s="86"/>
      <c r="Q22" s="86"/>
      <c r="R22" s="86"/>
    </row>
    <row r="23" spans="2:18" s="3" customFormat="1" ht="18" customHeight="1">
      <c r="B23" s="17"/>
      <c r="C23" s="17"/>
      <c r="D23" s="17"/>
      <c r="E23" s="46"/>
      <c r="F23" s="46"/>
      <c r="G23" s="14" t="s">
        <v>1</v>
      </c>
      <c r="H23" s="16"/>
      <c r="I23" s="14" t="s">
        <v>18</v>
      </c>
      <c r="J23" s="41"/>
      <c r="K23" s="17"/>
      <c r="L23" s="17"/>
      <c r="M23" s="22"/>
      <c r="N23" s="17"/>
      <c r="O23" s="17"/>
      <c r="P23" s="17"/>
      <c r="Q23" s="17"/>
      <c r="R23" s="17"/>
    </row>
    <row r="24" spans="2:18" s="3" customFormat="1" ht="18" customHeight="1">
      <c r="B24" s="17"/>
      <c r="C24" s="17"/>
      <c r="D24" s="17"/>
      <c r="E24" s="46"/>
      <c r="F24" s="48"/>
      <c r="G24" s="39"/>
      <c r="H24" s="39"/>
      <c r="I24" s="39"/>
      <c r="J24" s="39"/>
      <c r="K24" s="39"/>
      <c r="L24" s="39"/>
      <c r="M24" s="40"/>
      <c r="O24" s="17"/>
      <c r="P24" s="17"/>
      <c r="Q24" s="17"/>
      <c r="R24" s="17"/>
    </row>
    <row r="25" spans="2:18" s="3" customFormat="1" ht="18" customHeight="1">
      <c r="B25" s="17"/>
      <c r="C25" s="17"/>
      <c r="D25" s="17"/>
      <c r="E25" s="46"/>
      <c r="F25" s="48"/>
      <c r="G25" s="41"/>
      <c r="H25" s="42"/>
      <c r="I25" s="41"/>
      <c r="J25" s="41"/>
      <c r="K25" s="39"/>
      <c r="L25" s="39"/>
      <c r="M25" s="39"/>
      <c r="N25" s="17"/>
      <c r="O25" s="17"/>
      <c r="P25" s="17"/>
      <c r="Q25" s="17"/>
      <c r="R25" s="17"/>
    </row>
    <row r="26" spans="2:18" ht="18" customHeight="1">
      <c r="F26" s="49"/>
      <c r="G26" s="43"/>
      <c r="H26" s="43"/>
      <c r="I26" s="43"/>
      <c r="J26" s="43"/>
      <c r="K26" s="43"/>
      <c r="L26" s="43"/>
      <c r="M26" s="43"/>
    </row>
    <row r="27" spans="2:18" ht="18" customHeight="1"/>
    <row r="28" spans="2:18" ht="18" customHeight="1"/>
    <row r="29" spans="2:18" ht="18" customHeight="1"/>
    <row r="30" spans="2:18" ht="18" customHeight="1"/>
  </sheetData>
  <sheetProtection selectLockedCells="1" selectUnlockedCells="1"/>
  <mergeCells count="23">
    <mergeCell ref="B10:R10"/>
    <mergeCell ref="B11:B12"/>
    <mergeCell ref="C11:C12"/>
    <mergeCell ref="D11:D12"/>
    <mergeCell ref="E11:E12"/>
    <mergeCell ref="F11:F12"/>
    <mergeCell ref="G11:J11"/>
    <mergeCell ref="K11:L11"/>
    <mergeCell ref="M11:O11"/>
    <mergeCell ref="P11:R11"/>
    <mergeCell ref="B22:E22"/>
    <mergeCell ref="M22:N22"/>
    <mergeCell ref="B18:R18"/>
    <mergeCell ref="B19:D19"/>
    <mergeCell ref="B20:E20"/>
    <mergeCell ref="M20:N20"/>
    <mergeCell ref="O9:Q9"/>
    <mergeCell ref="P1:R1"/>
    <mergeCell ref="P2:R2"/>
    <mergeCell ref="P3:R3"/>
    <mergeCell ref="P4:R4"/>
    <mergeCell ref="P5:R5"/>
    <mergeCell ref="O8:R8"/>
  </mergeCells>
  <phoneticPr fontId="21" type="noConversion"/>
  <conditionalFormatting sqref="O14:O16">
    <cfRule type="cellIs" dxfId="2" priority="2" stopIfTrue="1" operator="greaterThan">
      <formula>32.99</formula>
    </cfRule>
  </conditionalFormatting>
  <pageMargins left="0.51181102362204722" right="0.51181102362204722" top="0.74803149606299213" bottom="0.74803149606299213" header="0.51181102362204722" footer="0.51181102362204722"/>
  <pageSetup paperSize="9" scale="57" firstPageNumber="0" fitToHeight="25" orientation="landscape" verticalDpi="300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S55"/>
  <sheetViews>
    <sheetView topLeftCell="B1" zoomScale="75" zoomScaleNormal="75" workbookViewId="0">
      <selection activeCell="G12" sqref="G12:I12"/>
    </sheetView>
  </sheetViews>
  <sheetFormatPr defaultRowHeight="12.75"/>
  <cols>
    <col min="1" max="1" width="0" style="1" hidden="1" customWidth="1"/>
    <col min="2" max="2" width="3.140625" style="1" customWidth="1"/>
    <col min="3" max="3" width="16" style="1" customWidth="1"/>
    <col min="4" max="4" width="13.42578125" style="1" customWidth="1"/>
    <col min="5" max="5" width="4.7109375" style="45" customWidth="1"/>
    <col min="6" max="6" width="4.85546875" style="45" customWidth="1"/>
    <col min="7" max="11" width="13.140625" style="1" customWidth="1"/>
    <col min="12" max="12" width="10" style="1" customWidth="1"/>
    <col min="13" max="13" width="9.140625" style="1" customWidth="1"/>
    <col min="14" max="14" width="15.5703125" style="1" customWidth="1"/>
    <col min="15" max="15" width="15.42578125" style="1" customWidth="1"/>
    <col min="16" max="16" width="14.28515625" style="1" customWidth="1"/>
    <col min="17" max="17" width="25.5703125" style="1" customWidth="1"/>
    <col min="18" max="19" width="12.42578125" style="1" customWidth="1"/>
    <col min="20" max="16384" width="9.140625" style="1"/>
  </cols>
  <sheetData>
    <row r="1" spans="1:19" s="3" customFormat="1" ht="15" customHeight="1">
      <c r="Q1" s="137" t="s">
        <v>33</v>
      </c>
      <c r="R1" s="137"/>
      <c r="S1" s="137"/>
    </row>
    <row r="2" spans="1:19" s="3" customFormat="1" ht="15" customHeight="1">
      <c r="Q2" s="137" t="s">
        <v>35</v>
      </c>
      <c r="R2" s="137"/>
      <c r="S2" s="137"/>
    </row>
    <row r="3" spans="1:19" s="3" customFormat="1" ht="15" customHeight="1">
      <c r="M3" s="68"/>
      <c r="Q3" s="137" t="s">
        <v>36</v>
      </c>
      <c r="R3" s="137"/>
      <c r="S3" s="137"/>
    </row>
    <row r="4" spans="1:19" s="3" customFormat="1" ht="15" customHeight="1">
      <c r="Q4" s="138" t="s">
        <v>37</v>
      </c>
      <c r="R4" s="138"/>
      <c r="S4" s="138"/>
    </row>
    <row r="5" spans="1:19" s="3" customFormat="1" ht="16.5" customHeight="1">
      <c r="Q5" s="139" t="s">
        <v>38</v>
      </c>
      <c r="R5" s="139"/>
      <c r="S5" s="139"/>
    </row>
    <row r="6" spans="1:19" s="3" customFormat="1" ht="16.5" customHeight="1">
      <c r="Q6" s="68" t="s">
        <v>0</v>
      </c>
      <c r="R6" s="69">
        <f ca="1">YEAR(TODAY())</f>
        <v>2026</v>
      </c>
      <c r="S6" s="68"/>
    </row>
    <row r="7" spans="1:19" s="3" customFormat="1" ht="15.75">
      <c r="N7" s="67"/>
      <c r="O7" s="67"/>
    </row>
    <row r="8" spans="1:19" ht="17.25" customHeight="1">
      <c r="E8" s="1"/>
      <c r="F8" s="1"/>
      <c r="P8" s="140" t="s">
        <v>34</v>
      </c>
      <c r="Q8" s="140"/>
      <c r="R8" s="140"/>
      <c r="S8" s="140"/>
    </row>
    <row r="9" spans="1:19" ht="17.25" customHeight="1">
      <c r="O9" s="136"/>
      <c r="P9" s="136"/>
      <c r="Q9" s="136"/>
    </row>
    <row r="10" spans="1:19" s="3" customFormat="1" ht="34.5" customHeight="1">
      <c r="B10" s="141" t="str">
        <f>CONCATENATE("Обоснование начальной (максимальной) цены контракта, цены контракта, заключаемого с единственным поставщиком (подрядчиком, исполнителем) (Н(М)ЦК, ЦКЕП) на"," ",'Начальные данные'!B4," для нужд ФГКУ ""Специальное управление ФПС № 2 МЧС России""")</f>
        <v>Обоснование начальной (максимальной) цены контракта, цены контракта, заключаемого с единственным поставщиком (подрядчиком, исполнителем) (Н(М)ЦК, ЦКЕП) на услуги утилизации для нужд ФГКУ "Специальное управление ФПС № 2 МЧС России"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</row>
    <row r="11" spans="1:19" ht="41.25" customHeight="1">
      <c r="A11" s="1">
        <f>'Начальные данные'!B5</f>
        <v>1</v>
      </c>
      <c r="B11" s="119" t="s">
        <v>2</v>
      </c>
      <c r="C11" s="119" t="s">
        <v>3</v>
      </c>
      <c r="D11" s="119" t="s">
        <v>4</v>
      </c>
      <c r="E11" s="119" t="s">
        <v>32</v>
      </c>
      <c r="F11" s="119" t="s">
        <v>5</v>
      </c>
      <c r="G11" s="128" t="s">
        <v>6</v>
      </c>
      <c r="H11" s="129"/>
      <c r="I11" s="129"/>
      <c r="J11" s="129"/>
      <c r="K11" s="130"/>
      <c r="L11" s="145" t="s">
        <v>7</v>
      </c>
      <c r="M11" s="145"/>
      <c r="N11" s="146" t="s">
        <v>8</v>
      </c>
      <c r="O11" s="146"/>
      <c r="P11" s="146"/>
      <c r="Q11" s="147" t="s">
        <v>9</v>
      </c>
      <c r="R11" s="147"/>
      <c r="S11" s="147"/>
    </row>
    <row r="12" spans="1:19" ht="158.25" customHeight="1">
      <c r="B12" s="142"/>
      <c r="C12" s="143"/>
      <c r="D12" s="142"/>
      <c r="E12" s="144"/>
      <c r="F12" s="144"/>
      <c r="G12" s="4" t="str">
        <f>CONCATENATE("Поставщик № 1",CHAR(10),'Начальные данные'!$B6)</f>
        <v>Поставщик № 1
ООО "СибУЦ"</v>
      </c>
      <c r="H12" s="4" t="str">
        <f>CONCATENATE("Поставщик № 2",CHAR(10),'Начальные данные'!$B7)</f>
        <v>Поставщик № 2
ООО "УТИЛ24"</v>
      </c>
      <c r="I12" s="4" t="str">
        <f>CONCATENATE("Поставщик № 3",CHAR(10),'Начальные данные'!$B8)</f>
        <v>Поставщик № 3
ООО "СибВторРесурс"</v>
      </c>
      <c r="J12" s="4" t="str">
        <f>CONCATENATE("Поставщик № 4",CHAR(10),'Начальные данные'!$B9)</f>
        <v xml:space="preserve">Поставщик № 4
</v>
      </c>
      <c r="K12" s="4" t="str">
        <f>CONCATENATE("Поставщик № 5",CHAR(10),'Начальные данные'!$B10)</f>
        <v xml:space="preserve">Поставщик № 5
</v>
      </c>
      <c r="L12" s="4" t="s">
        <v>10</v>
      </c>
      <c r="M12" s="4" t="s">
        <v>11</v>
      </c>
      <c r="N12" s="4" t="s">
        <v>31</v>
      </c>
      <c r="O12" s="4" t="s">
        <v>12</v>
      </c>
      <c r="P12" s="13" t="s">
        <v>16</v>
      </c>
      <c r="Q12" s="4" t="s">
        <v>13</v>
      </c>
      <c r="R12" s="4" t="s">
        <v>14</v>
      </c>
      <c r="S12" s="4" t="s">
        <v>15</v>
      </c>
    </row>
    <row r="13" spans="1:19" s="58" customFormat="1" ht="12" customHeight="1">
      <c r="B13" s="56">
        <v>1</v>
      </c>
      <c r="C13" s="55">
        <v>2</v>
      </c>
      <c r="D13" s="56">
        <v>3</v>
      </c>
      <c r="E13" s="56">
        <v>4</v>
      </c>
      <c r="F13" s="56">
        <v>5</v>
      </c>
      <c r="G13" s="57">
        <v>6</v>
      </c>
      <c r="H13" s="57">
        <v>7</v>
      </c>
      <c r="I13" s="57">
        <v>8</v>
      </c>
      <c r="J13" s="57">
        <v>9</v>
      </c>
      <c r="K13" s="57">
        <v>10</v>
      </c>
      <c r="L13" s="57">
        <v>11</v>
      </c>
      <c r="M13" s="57">
        <v>12</v>
      </c>
      <c r="N13" s="57">
        <v>13</v>
      </c>
      <c r="O13" s="57">
        <v>14</v>
      </c>
      <c r="P13" s="55">
        <v>15</v>
      </c>
      <c r="Q13" s="57">
        <v>16</v>
      </c>
      <c r="R13" s="57">
        <v>17</v>
      </c>
      <c r="S13" s="57">
        <v>18</v>
      </c>
    </row>
    <row r="14" spans="1:19" s="58" customFormat="1" ht="63" customHeight="1">
      <c r="B14" s="54">
        <f t="shared" ref="B14:B40" si="0">ROW()-13</f>
        <v>1</v>
      </c>
      <c r="C14" s="90" t="s">
        <v>39</v>
      </c>
      <c r="D14" s="5"/>
      <c r="E14" s="92" t="s">
        <v>66</v>
      </c>
      <c r="F14" s="92">
        <v>4</v>
      </c>
      <c r="G14" s="60">
        <v>4047</v>
      </c>
      <c r="H14" s="60">
        <v>3338</v>
      </c>
      <c r="I14" s="61">
        <v>3470</v>
      </c>
      <c r="J14" s="61">
        <v>4094</v>
      </c>
      <c r="K14" s="61">
        <v>4093</v>
      </c>
      <c r="L14" s="7" t="s">
        <v>17</v>
      </c>
      <c r="M14" s="7" t="s">
        <v>17</v>
      </c>
      <c r="N14" s="7">
        <f t="shared" ref="N14:N40" si="1">ROUND(AVERAGE(G14:K14),2)</f>
        <v>3808.4</v>
      </c>
      <c r="O14" s="8">
        <f t="shared" ref="O14:O40" si="2">SQRT(SUM(POWER(G14-N14,2),POWER(H14-N14,2),POWER(I14-N14,2),POWER(J14-N14,2),POWER(K14-N14,2))/(COLUMNS(G14:K14)-1))</f>
        <v>372.58730520510221</v>
      </c>
      <c r="P14" s="9">
        <f t="shared" ref="P14:P40" si="3">ROUND(O14/N14*100,2)</f>
        <v>9.7799999999999994</v>
      </c>
      <c r="Q14" s="10">
        <f t="shared" ref="Q14:Q40" si="4">ROUND(SUM(G14:K14)/5,2)*F14</f>
        <v>15233.6</v>
      </c>
      <c r="R14" s="10">
        <f t="shared" ref="R14:R40" si="5">ROUND(Q14/F14,2)</f>
        <v>3808.4</v>
      </c>
      <c r="S14" s="10">
        <f t="shared" ref="S14:S40" si="6">ROUND(R14*F14,2)</f>
        <v>15233.6</v>
      </c>
    </row>
    <row r="15" spans="1:19" s="58" customFormat="1" ht="63" customHeight="1">
      <c r="B15" s="54">
        <f t="shared" si="0"/>
        <v>2</v>
      </c>
      <c r="C15" s="90" t="s">
        <v>40</v>
      </c>
      <c r="D15" s="5"/>
      <c r="E15" s="92" t="s">
        <v>66</v>
      </c>
      <c r="F15" s="92">
        <v>4</v>
      </c>
      <c r="G15" s="60">
        <v>2650</v>
      </c>
      <c r="H15" s="60">
        <v>2199.25</v>
      </c>
      <c r="I15" s="61">
        <v>2550</v>
      </c>
      <c r="J15" s="61">
        <v>2360</v>
      </c>
      <c r="K15" s="61">
        <v>2650</v>
      </c>
      <c r="L15" s="7" t="s">
        <v>17</v>
      </c>
      <c r="M15" s="7" t="s">
        <v>17</v>
      </c>
      <c r="N15" s="7">
        <f t="shared" si="1"/>
        <v>2481.85</v>
      </c>
      <c r="O15" s="8">
        <f t="shared" si="2"/>
        <v>197.42305463141838</v>
      </c>
      <c r="P15" s="9">
        <f t="shared" si="3"/>
        <v>7.95</v>
      </c>
      <c r="Q15" s="10">
        <f t="shared" si="4"/>
        <v>9927.4</v>
      </c>
      <c r="R15" s="10">
        <f t="shared" si="5"/>
        <v>2481.85</v>
      </c>
      <c r="S15" s="10">
        <f t="shared" si="6"/>
        <v>9927.4</v>
      </c>
    </row>
    <row r="16" spans="1:19" s="58" customFormat="1" ht="63" customHeight="1">
      <c r="B16" s="54">
        <f t="shared" si="0"/>
        <v>3</v>
      </c>
      <c r="C16" s="90" t="s">
        <v>41</v>
      </c>
      <c r="D16" s="5"/>
      <c r="E16" s="92" t="s">
        <v>66</v>
      </c>
      <c r="F16" s="92">
        <v>4</v>
      </c>
      <c r="G16" s="60">
        <v>550</v>
      </c>
      <c r="H16" s="60">
        <v>800</v>
      </c>
      <c r="I16" s="61">
        <v>550</v>
      </c>
      <c r="J16" s="61">
        <v>850</v>
      </c>
      <c r="K16" s="61">
        <v>980</v>
      </c>
      <c r="L16" s="7" t="s">
        <v>17</v>
      </c>
      <c r="M16" s="7" t="s">
        <v>17</v>
      </c>
      <c r="N16" s="7">
        <f t="shared" si="1"/>
        <v>746</v>
      </c>
      <c r="O16" s="8">
        <f t="shared" si="2"/>
        <v>190.60430215501432</v>
      </c>
      <c r="P16" s="9">
        <f t="shared" si="3"/>
        <v>25.55</v>
      </c>
      <c r="Q16" s="10">
        <f t="shared" si="4"/>
        <v>2984</v>
      </c>
      <c r="R16" s="10">
        <f t="shared" si="5"/>
        <v>746</v>
      </c>
      <c r="S16" s="10">
        <f t="shared" si="6"/>
        <v>2984</v>
      </c>
    </row>
    <row r="17" spans="2:19" s="58" customFormat="1" ht="63" customHeight="1">
      <c r="B17" s="54">
        <f t="shared" si="0"/>
        <v>4</v>
      </c>
      <c r="C17" s="90" t="s">
        <v>42</v>
      </c>
      <c r="D17" s="5"/>
      <c r="E17" s="92" t="s">
        <v>66</v>
      </c>
      <c r="F17" s="92">
        <v>8</v>
      </c>
      <c r="G17" s="60">
        <v>5031</v>
      </c>
      <c r="H17" s="60">
        <v>5475</v>
      </c>
      <c r="I17" s="61">
        <v>5621</v>
      </c>
      <c r="J17" s="61">
        <v>5040</v>
      </c>
      <c r="K17" s="61">
        <v>5293</v>
      </c>
      <c r="L17" s="7" t="s">
        <v>17</v>
      </c>
      <c r="M17" s="7" t="s">
        <v>17</v>
      </c>
      <c r="N17" s="7">
        <f t="shared" si="1"/>
        <v>5292</v>
      </c>
      <c r="O17" s="8">
        <f t="shared" si="2"/>
        <v>261.41729093539317</v>
      </c>
      <c r="P17" s="9">
        <f t="shared" si="3"/>
        <v>4.9400000000000004</v>
      </c>
      <c r="Q17" s="10">
        <f t="shared" si="4"/>
        <v>42336</v>
      </c>
      <c r="R17" s="10">
        <f t="shared" si="5"/>
        <v>5292</v>
      </c>
      <c r="S17" s="10">
        <f t="shared" si="6"/>
        <v>42336</v>
      </c>
    </row>
    <row r="18" spans="2:19" s="58" customFormat="1" ht="63" customHeight="1">
      <c r="B18" s="54">
        <f t="shared" si="0"/>
        <v>5</v>
      </c>
      <c r="C18" s="90" t="s">
        <v>43</v>
      </c>
      <c r="D18" s="5"/>
      <c r="E18" s="92" t="s">
        <v>66</v>
      </c>
      <c r="F18" s="92">
        <v>6</v>
      </c>
      <c r="G18" s="60">
        <v>240</v>
      </c>
      <c r="H18" s="60">
        <v>223</v>
      </c>
      <c r="I18" s="61">
        <v>408</v>
      </c>
      <c r="J18" s="61">
        <v>351</v>
      </c>
      <c r="K18" s="61">
        <v>239</v>
      </c>
      <c r="L18" s="7" t="s">
        <v>17</v>
      </c>
      <c r="M18" s="7" t="s">
        <v>17</v>
      </c>
      <c r="N18" s="7">
        <f t="shared" si="1"/>
        <v>292.2</v>
      </c>
      <c r="O18" s="8">
        <f t="shared" si="2"/>
        <v>82.478482042287865</v>
      </c>
      <c r="P18" s="9">
        <f t="shared" si="3"/>
        <v>28.23</v>
      </c>
      <c r="Q18" s="10">
        <f t="shared" si="4"/>
        <v>1753.1999999999998</v>
      </c>
      <c r="R18" s="10">
        <f t="shared" si="5"/>
        <v>292.2</v>
      </c>
      <c r="S18" s="10">
        <f t="shared" si="6"/>
        <v>1753.2</v>
      </c>
    </row>
    <row r="19" spans="2:19" s="58" customFormat="1" ht="63" customHeight="1">
      <c r="B19" s="54">
        <f t="shared" si="0"/>
        <v>6</v>
      </c>
      <c r="C19" s="90" t="s">
        <v>44</v>
      </c>
      <c r="D19" s="5"/>
      <c r="E19" s="92" t="s">
        <v>66</v>
      </c>
      <c r="F19" s="92">
        <v>6</v>
      </c>
      <c r="G19" s="60">
        <v>4519</v>
      </c>
      <c r="H19" s="60">
        <v>4260</v>
      </c>
      <c r="I19" s="61">
        <v>3297</v>
      </c>
      <c r="J19" s="61">
        <v>6885</v>
      </c>
      <c r="K19" s="61">
        <v>2128</v>
      </c>
      <c r="L19" s="7" t="s">
        <v>17</v>
      </c>
      <c r="M19" s="7" t="s">
        <v>17</v>
      </c>
      <c r="N19" s="7">
        <f>ROUND(AVERAGE(G19:K19),2)</f>
        <v>4217.8</v>
      </c>
      <c r="O19" s="8">
        <f t="shared" si="2"/>
        <v>1762.2141470320796</v>
      </c>
      <c r="P19" s="9">
        <f>ROUND(O19/N19*100,2)</f>
        <v>41.78</v>
      </c>
      <c r="Q19" s="10">
        <f t="shared" si="4"/>
        <v>25306.800000000003</v>
      </c>
      <c r="R19" s="10">
        <f t="shared" si="5"/>
        <v>4217.8</v>
      </c>
      <c r="S19" s="10">
        <f t="shared" si="6"/>
        <v>25306.799999999999</v>
      </c>
    </row>
    <row r="20" spans="2:19" s="58" customFormat="1" ht="63" customHeight="1">
      <c r="B20" s="54">
        <f t="shared" si="0"/>
        <v>7</v>
      </c>
      <c r="C20" s="90" t="s">
        <v>45</v>
      </c>
      <c r="D20" s="5"/>
      <c r="E20" s="92" t="s">
        <v>66</v>
      </c>
      <c r="F20" s="92">
        <v>6</v>
      </c>
      <c r="G20" s="60">
        <v>1092</v>
      </c>
      <c r="H20" s="60">
        <v>2262</v>
      </c>
      <c r="I20" s="61">
        <v>2830</v>
      </c>
      <c r="J20" s="61">
        <v>1653.7</v>
      </c>
      <c r="K20" s="61">
        <v>1124</v>
      </c>
      <c r="L20" s="7" t="s">
        <v>17</v>
      </c>
      <c r="M20" s="7" t="s">
        <v>17</v>
      </c>
      <c r="N20" s="7">
        <f t="shared" si="1"/>
        <v>1792.34</v>
      </c>
      <c r="O20" s="8">
        <f t="shared" si="2"/>
        <v>750.61546613429164</v>
      </c>
      <c r="P20" s="9">
        <f t="shared" si="3"/>
        <v>41.88</v>
      </c>
      <c r="Q20" s="10">
        <f t="shared" si="4"/>
        <v>10754.039999999999</v>
      </c>
      <c r="R20" s="10">
        <f t="shared" si="5"/>
        <v>1792.34</v>
      </c>
      <c r="S20" s="10">
        <f t="shared" si="6"/>
        <v>10754.04</v>
      </c>
    </row>
    <row r="21" spans="2:19" s="58" customFormat="1" ht="63" customHeight="1">
      <c r="B21" s="54">
        <f t="shared" si="0"/>
        <v>8</v>
      </c>
      <c r="C21" s="91" t="s">
        <v>46</v>
      </c>
      <c r="D21" s="5"/>
      <c r="E21" s="92" t="s">
        <v>66</v>
      </c>
      <c r="F21" s="92">
        <v>8</v>
      </c>
      <c r="G21" s="60">
        <v>3490</v>
      </c>
      <c r="H21" s="60">
        <v>3490</v>
      </c>
      <c r="I21" s="61">
        <v>3490</v>
      </c>
      <c r="J21" s="61">
        <v>3490</v>
      </c>
      <c r="K21" s="61">
        <v>3490</v>
      </c>
      <c r="L21" s="7" t="s">
        <v>17</v>
      </c>
      <c r="M21" s="7" t="s">
        <v>17</v>
      </c>
      <c r="N21" s="7">
        <f t="shared" si="1"/>
        <v>3490</v>
      </c>
      <c r="O21" s="8">
        <f t="shared" si="2"/>
        <v>0</v>
      </c>
      <c r="P21" s="9">
        <f t="shared" si="3"/>
        <v>0</v>
      </c>
      <c r="Q21" s="10">
        <f t="shared" si="4"/>
        <v>27920</v>
      </c>
      <c r="R21" s="10">
        <f t="shared" si="5"/>
        <v>3490</v>
      </c>
      <c r="S21" s="10">
        <f t="shared" si="6"/>
        <v>27920</v>
      </c>
    </row>
    <row r="22" spans="2:19" s="58" customFormat="1" ht="63" customHeight="1">
      <c r="B22" s="54">
        <f t="shared" si="0"/>
        <v>9</v>
      </c>
      <c r="C22" s="90" t="s">
        <v>47</v>
      </c>
      <c r="D22" s="5"/>
      <c r="E22" s="92" t="s">
        <v>66</v>
      </c>
      <c r="F22" s="92">
        <v>1</v>
      </c>
      <c r="G22" s="60">
        <v>308</v>
      </c>
      <c r="H22" s="60">
        <v>474</v>
      </c>
      <c r="I22" s="61">
        <v>275</v>
      </c>
      <c r="J22" s="61">
        <v>348</v>
      </c>
      <c r="K22" s="61">
        <v>287</v>
      </c>
      <c r="L22" s="7" t="s">
        <v>17</v>
      </c>
      <c r="M22" s="7" t="s">
        <v>17</v>
      </c>
      <c r="N22" s="7">
        <f t="shared" si="1"/>
        <v>338.4</v>
      </c>
      <c r="O22" s="8">
        <f t="shared" si="2"/>
        <v>80.723602496419844</v>
      </c>
      <c r="P22" s="9">
        <f t="shared" si="3"/>
        <v>23.85</v>
      </c>
      <c r="Q22" s="10">
        <f t="shared" si="4"/>
        <v>338.4</v>
      </c>
      <c r="R22" s="10">
        <f t="shared" si="5"/>
        <v>338.4</v>
      </c>
      <c r="S22" s="10">
        <f t="shared" si="6"/>
        <v>338.4</v>
      </c>
    </row>
    <row r="23" spans="2:19" s="58" customFormat="1" ht="63" customHeight="1">
      <c r="B23" s="54">
        <f t="shared" si="0"/>
        <v>10</v>
      </c>
      <c r="C23" s="90" t="s">
        <v>48</v>
      </c>
      <c r="D23" s="5"/>
      <c r="E23" s="92" t="s">
        <v>66</v>
      </c>
      <c r="F23" s="92">
        <v>7</v>
      </c>
      <c r="G23" s="60">
        <v>373</v>
      </c>
      <c r="H23" s="60">
        <v>400</v>
      </c>
      <c r="I23" s="61">
        <v>945</v>
      </c>
      <c r="J23" s="61">
        <v>371</v>
      </c>
      <c r="K23" s="61">
        <v>710</v>
      </c>
      <c r="L23" s="7" t="s">
        <v>17</v>
      </c>
      <c r="M23" s="7" t="s">
        <v>17</v>
      </c>
      <c r="N23" s="7">
        <f t="shared" si="1"/>
        <v>559.79999999999995</v>
      </c>
      <c r="O23" s="8">
        <f t="shared" si="2"/>
        <v>258.36737410129786</v>
      </c>
      <c r="P23" s="9">
        <f t="shared" si="3"/>
        <v>46.15</v>
      </c>
      <c r="Q23" s="10">
        <f t="shared" si="4"/>
        <v>3918.5999999999995</v>
      </c>
      <c r="R23" s="10">
        <f t="shared" si="5"/>
        <v>559.79999999999995</v>
      </c>
      <c r="S23" s="10">
        <f t="shared" si="6"/>
        <v>3918.6</v>
      </c>
    </row>
    <row r="24" spans="2:19" s="58" customFormat="1" ht="63" customHeight="1">
      <c r="B24" s="54">
        <f t="shared" si="0"/>
        <v>11</v>
      </c>
      <c r="C24" s="90" t="s">
        <v>49</v>
      </c>
      <c r="D24" s="5"/>
      <c r="E24" s="92" t="s">
        <v>66</v>
      </c>
      <c r="F24" s="92">
        <v>7</v>
      </c>
      <c r="G24" s="60">
        <v>1090</v>
      </c>
      <c r="H24" s="60">
        <v>499</v>
      </c>
      <c r="I24" s="61">
        <v>350</v>
      </c>
      <c r="J24" s="61">
        <v>870</v>
      </c>
      <c r="K24" s="61">
        <v>462</v>
      </c>
      <c r="L24" s="7" t="s">
        <v>17</v>
      </c>
      <c r="M24" s="7" t="s">
        <v>17</v>
      </c>
      <c r="N24" s="7">
        <f t="shared" si="1"/>
        <v>654.20000000000005</v>
      </c>
      <c r="O24" s="8">
        <f t="shared" si="2"/>
        <v>312.27263728991687</v>
      </c>
      <c r="P24" s="9">
        <f t="shared" si="3"/>
        <v>47.73</v>
      </c>
      <c r="Q24" s="10">
        <f t="shared" si="4"/>
        <v>4579.4000000000005</v>
      </c>
      <c r="R24" s="10">
        <f t="shared" si="5"/>
        <v>654.20000000000005</v>
      </c>
      <c r="S24" s="10">
        <f t="shared" si="6"/>
        <v>4579.3999999999996</v>
      </c>
    </row>
    <row r="25" spans="2:19" s="58" customFormat="1" ht="63" customHeight="1">
      <c r="B25" s="54">
        <f t="shared" si="0"/>
        <v>12</v>
      </c>
      <c r="C25" s="90" t="s">
        <v>50</v>
      </c>
      <c r="D25" s="5"/>
      <c r="E25" s="92" t="s">
        <v>66</v>
      </c>
      <c r="F25" s="92">
        <v>38</v>
      </c>
      <c r="G25" s="60">
        <v>360</v>
      </c>
      <c r="H25" s="60">
        <v>660</v>
      </c>
      <c r="I25" s="61">
        <v>1157</v>
      </c>
      <c r="J25" s="61">
        <v>359</v>
      </c>
      <c r="K25" s="61">
        <v>603</v>
      </c>
      <c r="L25" s="7" t="s">
        <v>17</v>
      </c>
      <c r="M25" s="7" t="s">
        <v>17</v>
      </c>
      <c r="N25" s="7">
        <f t="shared" si="1"/>
        <v>627.79999999999995</v>
      </c>
      <c r="O25" s="8">
        <f t="shared" si="2"/>
        <v>326.2187916107838</v>
      </c>
      <c r="P25" s="9">
        <f t="shared" si="3"/>
        <v>51.96</v>
      </c>
      <c r="Q25" s="10">
        <f t="shared" si="4"/>
        <v>23856.399999999998</v>
      </c>
      <c r="R25" s="10">
        <f t="shared" si="5"/>
        <v>627.79999999999995</v>
      </c>
      <c r="S25" s="10">
        <f t="shared" si="6"/>
        <v>23856.400000000001</v>
      </c>
    </row>
    <row r="26" spans="2:19" s="58" customFormat="1" ht="63" customHeight="1">
      <c r="B26" s="54">
        <f t="shared" si="0"/>
        <v>13</v>
      </c>
      <c r="C26" s="91" t="s">
        <v>51</v>
      </c>
      <c r="D26" s="5"/>
      <c r="E26" s="92" t="s">
        <v>66</v>
      </c>
      <c r="F26" s="92">
        <v>6</v>
      </c>
      <c r="G26" s="60">
        <v>2659</v>
      </c>
      <c r="H26" s="60">
        <v>2812</v>
      </c>
      <c r="I26" s="61">
        <v>3079</v>
      </c>
      <c r="J26" s="61">
        <v>3149</v>
      </c>
      <c r="K26" s="61">
        <v>3005</v>
      </c>
      <c r="L26" s="7" t="s">
        <v>17</v>
      </c>
      <c r="M26" s="7" t="s">
        <v>17</v>
      </c>
      <c r="N26" s="7">
        <f t="shared" si="1"/>
        <v>2940.8</v>
      </c>
      <c r="O26" s="8">
        <f t="shared" si="2"/>
        <v>201.59910714087997</v>
      </c>
      <c r="P26" s="9">
        <f t="shared" si="3"/>
        <v>6.86</v>
      </c>
      <c r="Q26" s="10">
        <f t="shared" si="4"/>
        <v>17644.800000000003</v>
      </c>
      <c r="R26" s="10">
        <f t="shared" si="5"/>
        <v>2940.8</v>
      </c>
      <c r="S26" s="10">
        <f t="shared" si="6"/>
        <v>17644.8</v>
      </c>
    </row>
    <row r="27" spans="2:19" s="58" customFormat="1" ht="63" customHeight="1">
      <c r="B27" s="54">
        <f t="shared" si="0"/>
        <v>14</v>
      </c>
      <c r="C27" s="90" t="s">
        <v>52</v>
      </c>
      <c r="D27" s="5"/>
      <c r="E27" s="92" t="s">
        <v>66</v>
      </c>
      <c r="F27" s="92">
        <v>8</v>
      </c>
      <c r="G27" s="60">
        <v>540</v>
      </c>
      <c r="H27" s="60">
        <v>255</v>
      </c>
      <c r="I27" s="61">
        <v>176</v>
      </c>
      <c r="J27" s="61">
        <v>154</v>
      </c>
      <c r="K27" s="61">
        <v>481</v>
      </c>
      <c r="L27" s="7" t="s">
        <v>17</v>
      </c>
      <c r="M27" s="7" t="s">
        <v>17</v>
      </c>
      <c r="N27" s="7">
        <f t="shared" si="1"/>
        <v>321.2</v>
      </c>
      <c r="O27" s="8">
        <f t="shared" si="2"/>
        <v>178.0665605890112</v>
      </c>
      <c r="P27" s="9">
        <f t="shared" si="3"/>
        <v>55.44</v>
      </c>
      <c r="Q27" s="10">
        <f t="shared" si="4"/>
        <v>2569.6</v>
      </c>
      <c r="R27" s="10">
        <f t="shared" si="5"/>
        <v>321.2</v>
      </c>
      <c r="S27" s="10">
        <f t="shared" si="6"/>
        <v>2569.6</v>
      </c>
    </row>
    <row r="28" spans="2:19" s="58" customFormat="1" ht="63" customHeight="1">
      <c r="B28" s="54">
        <f t="shared" si="0"/>
        <v>15</v>
      </c>
      <c r="C28" s="90" t="s">
        <v>53</v>
      </c>
      <c r="D28" s="5"/>
      <c r="E28" s="92" t="s">
        <v>66</v>
      </c>
      <c r="F28" s="92">
        <v>8</v>
      </c>
      <c r="G28" s="60">
        <v>252</v>
      </c>
      <c r="H28" s="60">
        <v>177</v>
      </c>
      <c r="I28" s="61">
        <v>113</v>
      </c>
      <c r="J28" s="61">
        <v>136.80000000000001</v>
      </c>
      <c r="K28" s="61">
        <v>336</v>
      </c>
      <c r="L28" s="7" t="s">
        <v>17</v>
      </c>
      <c r="M28" s="7" t="s">
        <v>17</v>
      </c>
      <c r="N28" s="7">
        <f t="shared" si="1"/>
        <v>202.96</v>
      </c>
      <c r="O28" s="8">
        <f t="shared" si="2"/>
        <v>91.170762857398529</v>
      </c>
      <c r="P28" s="9">
        <f t="shared" si="3"/>
        <v>44.92</v>
      </c>
      <c r="Q28" s="10">
        <f t="shared" si="4"/>
        <v>1623.68</v>
      </c>
      <c r="R28" s="10">
        <f t="shared" si="5"/>
        <v>202.96</v>
      </c>
      <c r="S28" s="10">
        <f t="shared" si="6"/>
        <v>1623.68</v>
      </c>
    </row>
    <row r="29" spans="2:19" s="58" customFormat="1" ht="63" customHeight="1">
      <c r="B29" s="54">
        <f t="shared" si="0"/>
        <v>16</v>
      </c>
      <c r="C29" s="90" t="s">
        <v>54</v>
      </c>
      <c r="D29" s="5"/>
      <c r="E29" s="92" t="s">
        <v>66</v>
      </c>
      <c r="F29" s="93">
        <v>8</v>
      </c>
      <c r="G29" s="60">
        <v>628</v>
      </c>
      <c r="H29" s="60">
        <v>962</v>
      </c>
      <c r="I29" s="61">
        <v>1250</v>
      </c>
      <c r="J29" s="61">
        <v>970</v>
      </c>
      <c r="K29" s="61">
        <v>880</v>
      </c>
      <c r="L29" s="7" t="s">
        <v>17</v>
      </c>
      <c r="M29" s="7" t="s">
        <v>17</v>
      </c>
      <c r="N29" s="7">
        <f t="shared" si="1"/>
        <v>938</v>
      </c>
      <c r="O29" s="8">
        <f t="shared" si="2"/>
        <v>222.71506460048903</v>
      </c>
      <c r="P29" s="9">
        <f t="shared" si="3"/>
        <v>23.74</v>
      </c>
      <c r="Q29" s="10">
        <f t="shared" si="4"/>
        <v>7504</v>
      </c>
      <c r="R29" s="10">
        <f t="shared" si="5"/>
        <v>938</v>
      </c>
      <c r="S29" s="10">
        <f t="shared" si="6"/>
        <v>7504</v>
      </c>
    </row>
    <row r="30" spans="2:19" s="58" customFormat="1" ht="63" customHeight="1">
      <c r="B30" s="54">
        <f t="shared" si="0"/>
        <v>17</v>
      </c>
      <c r="C30" s="90" t="s">
        <v>55</v>
      </c>
      <c r="D30" s="5"/>
      <c r="E30" s="92" t="s">
        <v>66</v>
      </c>
      <c r="F30" s="93">
        <v>4</v>
      </c>
      <c r="G30" s="60">
        <v>1510</v>
      </c>
      <c r="H30" s="60">
        <v>1458</v>
      </c>
      <c r="I30" s="61">
        <v>1678</v>
      </c>
      <c r="J30" s="61">
        <v>1919</v>
      </c>
      <c r="K30" s="61">
        <v>1520</v>
      </c>
      <c r="L30" s="7" t="s">
        <v>17</v>
      </c>
      <c r="M30" s="7" t="s">
        <v>17</v>
      </c>
      <c r="N30" s="7">
        <f t="shared" si="1"/>
        <v>1617</v>
      </c>
      <c r="O30" s="8">
        <f t="shared" si="2"/>
        <v>187.79243861242125</v>
      </c>
      <c r="P30" s="9">
        <f t="shared" si="3"/>
        <v>11.61</v>
      </c>
      <c r="Q30" s="10">
        <f t="shared" si="4"/>
        <v>6468</v>
      </c>
      <c r="R30" s="10">
        <f t="shared" si="5"/>
        <v>1617</v>
      </c>
      <c r="S30" s="10">
        <f t="shared" si="6"/>
        <v>6468</v>
      </c>
    </row>
    <row r="31" spans="2:19" s="58" customFormat="1" ht="63" customHeight="1">
      <c r="B31" s="54">
        <f t="shared" si="0"/>
        <v>18</v>
      </c>
      <c r="C31" s="91" t="s">
        <v>56</v>
      </c>
      <c r="D31" s="5"/>
      <c r="E31" s="92" t="s">
        <v>66</v>
      </c>
      <c r="F31" s="93">
        <v>8</v>
      </c>
      <c r="G31" s="60">
        <v>1320</v>
      </c>
      <c r="H31" s="60">
        <v>1230</v>
      </c>
      <c r="I31" s="61">
        <v>1645</v>
      </c>
      <c r="J31" s="61">
        <v>3906</v>
      </c>
      <c r="K31" s="61">
        <v>1120</v>
      </c>
      <c r="L31" s="7" t="s">
        <v>17</v>
      </c>
      <c r="M31" s="7" t="s">
        <v>17</v>
      </c>
      <c r="N31" s="7">
        <f t="shared" si="1"/>
        <v>1844.2</v>
      </c>
      <c r="O31" s="8">
        <f t="shared" si="2"/>
        <v>1169.1014498323061</v>
      </c>
      <c r="P31" s="9">
        <f t="shared" si="3"/>
        <v>63.39</v>
      </c>
      <c r="Q31" s="10">
        <f t="shared" si="4"/>
        <v>14753.6</v>
      </c>
      <c r="R31" s="10">
        <f t="shared" si="5"/>
        <v>1844.2</v>
      </c>
      <c r="S31" s="10">
        <f t="shared" si="6"/>
        <v>14753.6</v>
      </c>
    </row>
    <row r="32" spans="2:19" s="58" customFormat="1" ht="63" customHeight="1">
      <c r="B32" s="54">
        <f t="shared" si="0"/>
        <v>19</v>
      </c>
      <c r="C32" s="90" t="s">
        <v>57</v>
      </c>
      <c r="D32" s="5"/>
      <c r="E32" s="92" t="s">
        <v>66</v>
      </c>
      <c r="F32" s="93">
        <v>8</v>
      </c>
      <c r="G32" s="60">
        <v>93</v>
      </c>
      <c r="H32" s="60">
        <v>210</v>
      </c>
      <c r="I32" s="61">
        <v>73</v>
      </c>
      <c r="J32" s="61">
        <v>143</v>
      </c>
      <c r="K32" s="61">
        <v>256.48</v>
      </c>
      <c r="L32" s="7" t="s">
        <v>17</v>
      </c>
      <c r="M32" s="7" t="s">
        <v>17</v>
      </c>
      <c r="N32" s="7">
        <f t="shared" si="1"/>
        <v>155.1</v>
      </c>
      <c r="O32" s="8">
        <f t="shared" si="2"/>
        <v>77.516360208668218</v>
      </c>
      <c r="P32" s="9">
        <f t="shared" si="3"/>
        <v>49.98</v>
      </c>
      <c r="Q32" s="10">
        <f t="shared" si="4"/>
        <v>1240.8</v>
      </c>
      <c r="R32" s="10">
        <f t="shared" si="5"/>
        <v>155.1</v>
      </c>
      <c r="S32" s="10">
        <f t="shared" si="6"/>
        <v>1240.8</v>
      </c>
    </row>
    <row r="33" spans="2:19" s="58" customFormat="1" ht="63" customHeight="1">
      <c r="B33" s="54">
        <f t="shared" si="0"/>
        <v>20</v>
      </c>
      <c r="C33" s="90" t="s">
        <v>58</v>
      </c>
      <c r="D33" s="5"/>
      <c r="E33" s="92" t="s">
        <v>66</v>
      </c>
      <c r="F33" s="93">
        <v>8</v>
      </c>
      <c r="G33" s="60">
        <v>280</v>
      </c>
      <c r="H33" s="60">
        <v>408</v>
      </c>
      <c r="I33" s="61">
        <v>369</v>
      </c>
      <c r="J33" s="61">
        <v>316</v>
      </c>
      <c r="K33" s="60">
        <v>304.51</v>
      </c>
      <c r="L33" s="7" t="s">
        <v>17</v>
      </c>
      <c r="M33" s="7" t="s">
        <v>17</v>
      </c>
      <c r="N33" s="7">
        <f t="shared" si="1"/>
        <v>335.5</v>
      </c>
      <c r="O33" s="8">
        <f t="shared" si="2"/>
        <v>51.960032958034198</v>
      </c>
      <c r="P33" s="9">
        <f t="shared" si="3"/>
        <v>15.49</v>
      </c>
      <c r="Q33" s="10">
        <f t="shared" si="4"/>
        <v>2684</v>
      </c>
      <c r="R33" s="10">
        <f t="shared" si="5"/>
        <v>335.5</v>
      </c>
      <c r="S33" s="10">
        <f t="shared" si="6"/>
        <v>2684</v>
      </c>
    </row>
    <row r="34" spans="2:19" s="58" customFormat="1" ht="63" customHeight="1">
      <c r="B34" s="54">
        <f t="shared" si="0"/>
        <v>21</v>
      </c>
      <c r="C34" s="90" t="s">
        <v>59</v>
      </c>
      <c r="D34" s="5"/>
      <c r="E34" s="92" t="s">
        <v>66</v>
      </c>
      <c r="F34" s="93">
        <v>8</v>
      </c>
      <c r="G34" s="60">
        <v>1390</v>
      </c>
      <c r="H34" s="60">
        <v>2183</v>
      </c>
      <c r="I34" s="61">
        <v>2026</v>
      </c>
      <c r="J34" s="61">
        <v>2017</v>
      </c>
      <c r="K34" s="61">
        <v>2280</v>
      </c>
      <c r="L34" s="7" t="s">
        <v>17</v>
      </c>
      <c r="M34" s="7" t="s">
        <v>17</v>
      </c>
      <c r="N34" s="7">
        <f t="shared" si="1"/>
        <v>1979.2</v>
      </c>
      <c r="O34" s="8">
        <f t="shared" si="2"/>
        <v>347.41574518147564</v>
      </c>
      <c r="P34" s="9">
        <f t="shared" si="3"/>
        <v>17.55</v>
      </c>
      <c r="Q34" s="10">
        <f t="shared" si="4"/>
        <v>15833.6</v>
      </c>
      <c r="R34" s="10">
        <f t="shared" si="5"/>
        <v>1979.2</v>
      </c>
      <c r="S34" s="10">
        <f t="shared" si="6"/>
        <v>15833.6</v>
      </c>
    </row>
    <row r="35" spans="2:19" s="58" customFormat="1" ht="63" customHeight="1">
      <c r="B35" s="54">
        <f t="shared" si="0"/>
        <v>22</v>
      </c>
      <c r="C35" s="91" t="s">
        <v>60</v>
      </c>
      <c r="D35" s="5"/>
      <c r="E35" s="92" t="s">
        <v>66</v>
      </c>
      <c r="F35" s="93">
        <v>6</v>
      </c>
      <c r="G35" s="60">
        <v>399</v>
      </c>
      <c r="H35" s="60">
        <v>369</v>
      </c>
      <c r="I35" s="61">
        <v>490</v>
      </c>
      <c r="J35" s="61">
        <v>506</v>
      </c>
      <c r="K35" s="61">
        <v>202</v>
      </c>
      <c r="L35" s="7" t="s">
        <v>17</v>
      </c>
      <c r="M35" s="7" t="s">
        <v>17</v>
      </c>
      <c r="N35" s="7">
        <f t="shared" si="1"/>
        <v>393.2</v>
      </c>
      <c r="O35" s="8">
        <f t="shared" si="2"/>
        <v>121.72797542060739</v>
      </c>
      <c r="P35" s="9">
        <f t="shared" si="3"/>
        <v>30.96</v>
      </c>
      <c r="Q35" s="10">
        <f t="shared" si="4"/>
        <v>2359.1999999999998</v>
      </c>
      <c r="R35" s="10">
        <f t="shared" si="5"/>
        <v>393.2</v>
      </c>
      <c r="S35" s="10">
        <f t="shared" si="6"/>
        <v>2359.1999999999998</v>
      </c>
    </row>
    <row r="36" spans="2:19" s="58" customFormat="1" ht="63" customHeight="1">
      <c r="B36" s="54">
        <f t="shared" si="0"/>
        <v>23</v>
      </c>
      <c r="C36" s="90" t="s">
        <v>61</v>
      </c>
      <c r="D36" s="5"/>
      <c r="E36" s="92" t="s">
        <v>66</v>
      </c>
      <c r="F36" s="93">
        <v>6</v>
      </c>
      <c r="G36" s="60">
        <v>5161</v>
      </c>
      <c r="H36" s="60">
        <v>3190</v>
      </c>
      <c r="I36" s="61">
        <v>3320</v>
      </c>
      <c r="J36" s="61">
        <v>2190</v>
      </c>
      <c r="K36" s="61">
        <v>2120</v>
      </c>
      <c r="L36" s="7" t="s">
        <v>17</v>
      </c>
      <c r="M36" s="7" t="s">
        <v>17</v>
      </c>
      <c r="N36" s="7">
        <f t="shared" si="1"/>
        <v>3196.2</v>
      </c>
      <c r="O36" s="8">
        <f t="shared" si="2"/>
        <v>1229.4763926159785</v>
      </c>
      <c r="P36" s="9">
        <f t="shared" si="3"/>
        <v>38.47</v>
      </c>
      <c r="Q36" s="10">
        <f t="shared" si="4"/>
        <v>19177.199999999997</v>
      </c>
      <c r="R36" s="10">
        <f t="shared" si="5"/>
        <v>3196.2</v>
      </c>
      <c r="S36" s="10">
        <f t="shared" si="6"/>
        <v>19177.2</v>
      </c>
    </row>
    <row r="37" spans="2:19" s="58" customFormat="1" ht="63" customHeight="1">
      <c r="B37" s="54">
        <f t="shared" si="0"/>
        <v>24</v>
      </c>
      <c r="C37" s="90" t="s">
        <v>62</v>
      </c>
      <c r="D37" s="5"/>
      <c r="E37" s="92" t="s">
        <v>66</v>
      </c>
      <c r="F37" s="93">
        <v>5</v>
      </c>
      <c r="G37" s="60">
        <v>8875</v>
      </c>
      <c r="H37" s="60">
        <v>10400</v>
      </c>
      <c r="I37" s="61">
        <v>10400</v>
      </c>
      <c r="J37" s="61">
        <v>8958</v>
      </c>
      <c r="K37" s="61">
        <v>8781</v>
      </c>
      <c r="L37" s="7" t="s">
        <v>17</v>
      </c>
      <c r="M37" s="7" t="s">
        <v>17</v>
      </c>
      <c r="N37" s="7">
        <f t="shared" si="1"/>
        <v>9482.7999999999993</v>
      </c>
      <c r="O37" s="8">
        <f t="shared" si="2"/>
        <v>839.62354659692573</v>
      </c>
      <c r="P37" s="9">
        <f t="shared" si="3"/>
        <v>8.85</v>
      </c>
      <c r="Q37" s="10">
        <f t="shared" si="4"/>
        <v>47414</v>
      </c>
      <c r="R37" s="10">
        <f t="shared" si="5"/>
        <v>9482.7999999999993</v>
      </c>
      <c r="S37" s="10">
        <f t="shared" si="6"/>
        <v>47414</v>
      </c>
    </row>
    <row r="38" spans="2:19" s="58" customFormat="1" ht="63" customHeight="1">
      <c r="B38" s="54">
        <f t="shared" si="0"/>
        <v>25</v>
      </c>
      <c r="C38" s="90" t="s">
        <v>63</v>
      </c>
      <c r="D38" s="5"/>
      <c r="E38" s="92" t="s">
        <v>66</v>
      </c>
      <c r="F38" s="93">
        <v>5</v>
      </c>
      <c r="G38" s="60">
        <v>487</v>
      </c>
      <c r="H38" s="60">
        <v>599</v>
      </c>
      <c r="I38" s="61">
        <v>550</v>
      </c>
      <c r="J38" s="61">
        <v>1091.9000000000001</v>
      </c>
      <c r="K38" s="61">
        <v>1388</v>
      </c>
      <c r="L38" s="7" t="s">
        <v>17</v>
      </c>
      <c r="M38" s="7" t="s">
        <v>17</v>
      </c>
      <c r="N38" s="7">
        <f t="shared" si="1"/>
        <v>823.18</v>
      </c>
      <c r="O38" s="8">
        <f t="shared" si="2"/>
        <v>396.58953843993413</v>
      </c>
      <c r="P38" s="9">
        <f t="shared" si="3"/>
        <v>48.18</v>
      </c>
      <c r="Q38" s="10">
        <f t="shared" si="4"/>
        <v>4115.8999999999996</v>
      </c>
      <c r="R38" s="10">
        <f t="shared" si="5"/>
        <v>823.18</v>
      </c>
      <c r="S38" s="10">
        <f t="shared" si="6"/>
        <v>4115.8999999999996</v>
      </c>
    </row>
    <row r="39" spans="2:19" s="58" customFormat="1" ht="63" customHeight="1">
      <c r="B39" s="54">
        <f t="shared" si="0"/>
        <v>26</v>
      </c>
      <c r="C39" s="90" t="s">
        <v>64</v>
      </c>
      <c r="D39" s="5"/>
      <c r="E39" s="92" t="s">
        <v>66</v>
      </c>
      <c r="F39" s="93">
        <v>8</v>
      </c>
      <c r="G39" s="60">
        <v>941</v>
      </c>
      <c r="H39" s="60">
        <v>3920</v>
      </c>
      <c r="I39" s="61">
        <v>3220</v>
      </c>
      <c r="J39" s="61">
        <v>1152</v>
      </c>
      <c r="K39" s="61">
        <v>2415.33</v>
      </c>
      <c r="L39" s="7" t="s">
        <v>17</v>
      </c>
      <c r="M39" s="7" t="s">
        <v>17</v>
      </c>
      <c r="N39" s="7">
        <f t="shared" si="1"/>
        <v>2329.67</v>
      </c>
      <c r="O39" s="8">
        <f t="shared" si="2"/>
        <v>1288.8449917658834</v>
      </c>
      <c r="P39" s="9">
        <f t="shared" si="3"/>
        <v>55.32</v>
      </c>
      <c r="Q39" s="10">
        <f t="shared" si="4"/>
        <v>18637.36</v>
      </c>
      <c r="R39" s="10">
        <f t="shared" si="5"/>
        <v>2329.67</v>
      </c>
      <c r="S39" s="10">
        <f t="shared" si="6"/>
        <v>18637.36</v>
      </c>
    </row>
    <row r="40" spans="2:19" s="58" customFormat="1" ht="63" customHeight="1">
      <c r="B40" s="54">
        <f t="shared" si="0"/>
        <v>27</v>
      </c>
      <c r="C40" s="90" t="s">
        <v>65</v>
      </c>
      <c r="D40" s="5"/>
      <c r="E40" s="92" t="s">
        <v>66</v>
      </c>
      <c r="F40" s="93">
        <v>8</v>
      </c>
      <c r="G40" s="60">
        <v>990</v>
      </c>
      <c r="H40" s="60">
        <v>245</v>
      </c>
      <c r="I40" s="61">
        <v>399</v>
      </c>
      <c r="J40" s="61">
        <v>830</v>
      </c>
      <c r="K40" s="61">
        <v>637</v>
      </c>
      <c r="L40" s="7" t="s">
        <v>17</v>
      </c>
      <c r="M40" s="7" t="s">
        <v>17</v>
      </c>
      <c r="N40" s="7">
        <f t="shared" si="1"/>
        <v>620.20000000000005</v>
      </c>
      <c r="O40" s="8">
        <f t="shared" si="2"/>
        <v>304.44818935247423</v>
      </c>
      <c r="P40" s="9">
        <f t="shared" si="3"/>
        <v>49.09</v>
      </c>
      <c r="Q40" s="10">
        <f t="shared" si="4"/>
        <v>4961.6000000000004</v>
      </c>
      <c r="R40" s="10">
        <f t="shared" si="5"/>
        <v>620.20000000000005</v>
      </c>
      <c r="S40" s="10">
        <f t="shared" si="6"/>
        <v>4961.6000000000004</v>
      </c>
    </row>
    <row r="41" spans="2:19" s="2" customFormat="1" ht="19.5" customHeight="1">
      <c r="B41" s="24"/>
      <c r="C41" s="25"/>
      <c r="D41" s="32"/>
      <c r="E41" s="26"/>
      <c r="F41" s="33"/>
      <c r="G41" s="27"/>
      <c r="H41" s="34"/>
      <c r="I41" s="34"/>
      <c r="J41" s="34"/>
      <c r="K41" s="34"/>
      <c r="L41" s="28"/>
      <c r="M41" s="28"/>
      <c r="N41" s="29"/>
      <c r="O41" s="30"/>
      <c r="P41" s="38">
        <f>AVERAGE(P14:P40)</f>
        <v>31.468518518518525</v>
      </c>
      <c r="Q41" s="10"/>
      <c r="R41" s="11"/>
      <c r="S41" s="10">
        <f>SUM(S14:S40)</f>
        <v>335895.18</v>
      </c>
    </row>
    <row r="42" spans="2:19" s="35" customFormat="1" ht="18" customHeight="1">
      <c r="B42" s="12" t="str">
        <f>CONCATENATE("В результате проведенного расчета Н(М)ЦК, ЦКЕП контракта составила: ",S41," руб.")</f>
        <v>В результате проведенного расчета Н(М)ЦК, ЦКЕП контракта составила: 335895,18 руб.</v>
      </c>
      <c r="C42" s="12"/>
      <c r="D42" s="12"/>
      <c r="E42" s="12"/>
      <c r="F42" s="12"/>
      <c r="G42" s="12"/>
      <c r="J42" s="12"/>
      <c r="K42" s="51"/>
      <c r="L42" s="12"/>
      <c r="M42" s="12"/>
      <c r="N42" s="50"/>
      <c r="P42" s="23"/>
      <c r="Q42" s="12"/>
      <c r="R42" s="12"/>
      <c r="S42" s="36"/>
    </row>
    <row r="43" spans="2:19" s="37" customFormat="1" ht="18" customHeight="1">
      <c r="B43" s="135" t="str">
        <f>IF(P41&lt;33,CONCATENATE("Коэффициент вариации  (",P41," %) меньше 33 % - совокупность цен однородна."),CONCATENATE("Коэффициент вариации  (",P41," %) больше 33 % - совокупность цен неоднородна."))</f>
        <v>Коэффициент вариации  (31,4685185185185 %) меньше 33 % - совокупность цен однородна.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</row>
    <row r="44" spans="2:19" s="3" customFormat="1" ht="18" customHeight="1">
      <c r="B44" s="125"/>
      <c r="C44" s="125"/>
      <c r="D44" s="125"/>
      <c r="E44" s="46"/>
      <c r="F44" s="46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2:19" s="81" customFormat="1" ht="18" customHeight="1">
      <c r="B45" s="126" t="s">
        <v>19</v>
      </c>
      <c r="C45" s="126"/>
      <c r="D45" s="126"/>
      <c r="E45" s="126"/>
      <c r="F45" s="82"/>
      <c r="G45" s="83"/>
      <c r="H45" s="84"/>
      <c r="I45" s="85"/>
      <c r="J45" s="87" t="str">
        <f>'Начальные данные'!B11</f>
        <v>О.Н. Касмынина</v>
      </c>
      <c r="K45" s="85"/>
      <c r="L45" s="86"/>
      <c r="M45" s="86"/>
      <c r="N45" s="127"/>
      <c r="O45" s="127"/>
      <c r="P45" s="86"/>
      <c r="Q45" s="86"/>
      <c r="R45" s="86"/>
      <c r="S45" s="86"/>
    </row>
    <row r="46" spans="2:19" s="20" customFormat="1" ht="18" customHeight="1">
      <c r="B46" s="18"/>
      <c r="C46" s="18"/>
      <c r="D46" s="18"/>
      <c r="E46" s="47"/>
      <c r="F46" s="46"/>
      <c r="G46" s="14" t="s">
        <v>1</v>
      </c>
      <c r="H46" s="15"/>
      <c r="I46" s="14" t="s">
        <v>18</v>
      </c>
      <c r="J46" s="41"/>
      <c r="K46" s="41"/>
      <c r="L46" s="21"/>
      <c r="M46" s="21"/>
      <c r="N46" s="22"/>
      <c r="O46" s="19"/>
      <c r="P46" s="53"/>
      <c r="Q46" s="52"/>
      <c r="R46" s="19"/>
      <c r="S46" s="19"/>
    </row>
    <row r="47" spans="2:19" s="81" customFormat="1" ht="18" customHeight="1">
      <c r="B47" s="126" t="s">
        <v>20</v>
      </c>
      <c r="C47" s="126"/>
      <c r="D47" s="126"/>
      <c r="E47" s="126"/>
      <c r="F47" s="82"/>
      <c r="G47" s="84"/>
      <c r="H47" s="84"/>
      <c r="I47" s="85"/>
      <c r="J47" s="87" t="str">
        <f>'Начальные данные'!B12</f>
        <v>О.Н. Касмынина</v>
      </c>
      <c r="K47" s="85"/>
      <c r="L47" s="86"/>
      <c r="M47" s="86"/>
      <c r="N47" s="113"/>
      <c r="O47" s="113"/>
      <c r="P47" s="86"/>
      <c r="Q47" s="86"/>
      <c r="R47" s="86"/>
      <c r="S47" s="86"/>
    </row>
    <row r="48" spans="2:19" s="3" customFormat="1" ht="18" customHeight="1">
      <c r="B48" s="17"/>
      <c r="C48" s="17"/>
      <c r="D48" s="17"/>
      <c r="E48" s="46"/>
      <c r="F48" s="46"/>
      <c r="G48" s="14" t="s">
        <v>1</v>
      </c>
      <c r="H48" s="16"/>
      <c r="I48" s="14" t="s">
        <v>18</v>
      </c>
      <c r="J48" s="41"/>
      <c r="K48" s="41"/>
      <c r="L48" s="17"/>
      <c r="M48" s="17"/>
      <c r="N48" s="22"/>
      <c r="O48" s="17"/>
      <c r="P48" s="17"/>
      <c r="Q48" s="17"/>
      <c r="R48" s="17"/>
      <c r="S48" s="17"/>
    </row>
    <row r="49" spans="2:19" s="3" customFormat="1" ht="18" customHeight="1">
      <c r="B49" s="17"/>
      <c r="C49" s="17"/>
      <c r="D49" s="17"/>
      <c r="E49" s="46"/>
      <c r="F49" s="48"/>
      <c r="G49" s="39"/>
      <c r="H49" s="39"/>
      <c r="I49" s="39"/>
      <c r="J49" s="39"/>
      <c r="K49" s="39"/>
      <c r="L49" s="39"/>
      <c r="M49" s="39"/>
      <c r="N49" s="40"/>
      <c r="P49" s="17"/>
      <c r="Q49" s="17"/>
      <c r="R49" s="17"/>
      <c r="S49" s="17"/>
    </row>
    <row r="50" spans="2:19" s="3" customFormat="1" ht="18" customHeight="1">
      <c r="B50" s="17"/>
      <c r="C50" s="17"/>
      <c r="D50" s="17"/>
      <c r="E50" s="46"/>
      <c r="F50" s="48"/>
      <c r="G50" s="41"/>
      <c r="H50" s="42"/>
      <c r="I50" s="41"/>
      <c r="J50" s="41"/>
      <c r="K50" s="41"/>
      <c r="L50" s="39"/>
      <c r="M50" s="39"/>
      <c r="N50" s="39"/>
      <c r="O50" s="17"/>
      <c r="P50" s="17"/>
      <c r="Q50" s="17"/>
      <c r="R50" s="17"/>
      <c r="S50" s="17"/>
    </row>
    <row r="51" spans="2:19" ht="18" customHeight="1">
      <c r="F51" s="49"/>
      <c r="G51" s="43"/>
      <c r="H51" s="43"/>
      <c r="I51" s="43"/>
      <c r="J51" s="43"/>
      <c r="K51" s="43"/>
      <c r="L51" s="43"/>
      <c r="M51" s="43"/>
      <c r="N51" s="43"/>
    </row>
    <row r="52" spans="2:19" ht="18" customHeight="1"/>
    <row r="53" spans="2:19" ht="18" customHeight="1"/>
    <row r="54" spans="2:19" ht="18" customHeight="1"/>
    <row r="55" spans="2:19" ht="18" customHeight="1"/>
  </sheetData>
  <sheetProtection selectLockedCells="1" selectUnlockedCells="1"/>
  <mergeCells count="23">
    <mergeCell ref="B43:S43"/>
    <mergeCell ref="B47:E47"/>
    <mergeCell ref="N45:O45"/>
    <mergeCell ref="B44:D44"/>
    <mergeCell ref="B45:E45"/>
    <mergeCell ref="N47:O47"/>
    <mergeCell ref="B10:S10"/>
    <mergeCell ref="B11:B12"/>
    <mergeCell ref="C11:C12"/>
    <mergeCell ref="D11:D12"/>
    <mergeCell ref="E11:E12"/>
    <mergeCell ref="F11:F12"/>
    <mergeCell ref="N11:P11"/>
    <mergeCell ref="G11:K11"/>
    <mergeCell ref="Q11:S11"/>
    <mergeCell ref="L11:M11"/>
    <mergeCell ref="O9:Q9"/>
    <mergeCell ref="Q1:S1"/>
    <mergeCell ref="Q2:S2"/>
    <mergeCell ref="Q3:S3"/>
    <mergeCell ref="Q4:S4"/>
    <mergeCell ref="Q5:S5"/>
    <mergeCell ref="P8:S8"/>
  </mergeCells>
  <phoneticPr fontId="21" type="noConversion"/>
  <conditionalFormatting sqref="P14:P41">
    <cfRule type="cellIs" dxfId="1" priority="8" stopIfTrue="1" operator="greaterThan">
      <formula>32.99</formula>
    </cfRule>
  </conditionalFormatting>
  <pageMargins left="0.51181102362204722" right="0.51181102362204722" top="0.74803149606299213" bottom="0.35433070866141736" header="0.51181102362204722" footer="0.51181102362204722"/>
  <pageSetup paperSize="9" scale="61" firstPageNumber="0" fitToHeight="3" orientation="landscape" verticalDpi="300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Начальные данные</vt:lpstr>
      <vt:lpstr>3 поставщика</vt:lpstr>
      <vt:lpstr>4 поставщика</vt:lpstr>
      <vt:lpstr>5 поставщиков</vt:lpstr>
      <vt:lpstr>'3 поставщика'!Заголовки_для_печати</vt:lpstr>
      <vt:lpstr>'4 поставщика'!Заголовки_для_печати</vt:lpstr>
      <vt:lpstr>'5 поставщиков'!Заголовки_для_печати</vt:lpstr>
      <vt:lpstr>'3 поставщика'!Область_печати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PrintMaster</dc:creator>
  <cp:lastModifiedBy>sugps2</cp:lastModifiedBy>
  <cp:lastPrinted>2025-05-23T09:36:10Z</cp:lastPrinted>
  <dcterms:created xsi:type="dcterms:W3CDTF">2014-01-24T04:13:02Z</dcterms:created>
  <dcterms:modified xsi:type="dcterms:W3CDTF">2026-08-13T09:57:34Z</dcterms:modified>
</cp:coreProperties>
</file>