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00" windowHeight="1185"/>
  </bookViews>
  <sheets>
    <sheet name="Смета по ФСНБ 421+557прРИМ" sheetId="7" r:id="rId1"/>
    <sheet name="Акт КС-2 по ФСНБ 421+557пр" sheetId="8" r:id="rId2"/>
    <sheet name="Source" sheetId="1" r:id="rId3"/>
    <sheet name="SourceObSm" sheetId="2" r:id="rId4"/>
    <sheet name="SmtRes" sheetId="3" r:id="rId5"/>
    <sheet name="EtalonRes" sheetId="4" r:id="rId6"/>
    <sheet name="SrcPoprs" sheetId="5" r:id="rId7"/>
    <sheet name="SrcKA" sheetId="6" r:id="rId8"/>
  </sheets>
  <definedNames>
    <definedName name="_xlnm.Print_Titles" localSheetId="1">'Акт КС-2 по ФСНБ 421+557пр'!$37:$37</definedName>
    <definedName name="_xlnm.Print_Titles" localSheetId="0">'Смета по ФСНБ 421+557прРИМ'!$57:$57</definedName>
    <definedName name="_xlnm.Print_Area" localSheetId="1">'Акт КС-2 по ФСНБ 421+557пр'!$A$1:$M$361</definedName>
    <definedName name="_xlnm.Print_Area" localSheetId="0">'Смета по ФСНБ 421+557прРИМ'!$A$1:$L$382</definedName>
  </definedNames>
  <calcPr calcId="125725"/>
</workbook>
</file>

<file path=xl/calcChain.xml><?xml version="1.0" encoding="utf-8"?>
<calcChain xmlns="http://schemas.openxmlformats.org/spreadsheetml/2006/main">
  <c r="I358" i="8"/>
  <c r="I355"/>
  <c r="D358"/>
  <c r="D355"/>
  <c r="M352"/>
  <c r="D352"/>
  <c r="M351"/>
  <c r="D351"/>
  <c r="M350"/>
  <c r="D350"/>
  <c r="M346"/>
  <c r="M345"/>
  <c r="M342"/>
  <c r="M341"/>
  <c r="M335"/>
  <c r="M334"/>
  <c r="M330"/>
  <c r="M318"/>
  <c r="M317"/>
  <c r="M316"/>
  <c r="M315"/>
  <c r="M314"/>
  <c r="M313"/>
  <c r="M310"/>
  <c r="M309"/>
  <c r="M307"/>
  <c r="M305" s="1"/>
  <c r="M304"/>
  <c r="M299"/>
  <c r="M298"/>
  <c r="M297"/>
  <c r="M292"/>
  <c r="M291"/>
  <c r="M289" s="1"/>
  <c r="M287"/>
  <c r="M286"/>
  <c r="M285"/>
  <c r="M284"/>
  <c r="M283"/>
  <c r="M282"/>
  <c r="M280" s="1"/>
  <c r="M279"/>
  <c r="M278"/>
  <c r="M276"/>
  <c r="M273"/>
  <c r="M264"/>
  <c r="M263"/>
  <c r="M259"/>
  <c r="AT245"/>
  <c r="AR245"/>
  <c r="AO245"/>
  <c r="AE245"/>
  <c r="AD245"/>
  <c r="J244"/>
  <c r="I244"/>
  <c r="K244" s="1"/>
  <c r="F244"/>
  <c r="H244"/>
  <c r="E244"/>
  <c r="D244"/>
  <c r="C244"/>
  <c r="AT243"/>
  <c r="AR243"/>
  <c r="AO243"/>
  <c r="AE243"/>
  <c r="AD243"/>
  <c r="K242"/>
  <c r="F242"/>
  <c r="H242"/>
  <c r="E242"/>
  <c r="D242"/>
  <c r="C242"/>
  <c r="H240"/>
  <c r="F240"/>
  <c r="H239"/>
  <c r="F239"/>
  <c r="F236"/>
  <c r="E236"/>
  <c r="D236"/>
  <c r="C236"/>
  <c r="F235"/>
  <c r="E235"/>
  <c r="D235"/>
  <c r="C235"/>
  <c r="F234"/>
  <c r="E234"/>
  <c r="D234"/>
  <c r="C234"/>
  <c r="J233"/>
  <c r="J231"/>
  <c r="K229"/>
  <c r="G229"/>
  <c r="F229"/>
  <c r="G228"/>
  <c r="K227"/>
  <c r="G227"/>
  <c r="F227"/>
  <c r="J226"/>
  <c r="G226"/>
  <c r="K225"/>
  <c r="G225"/>
  <c r="F225"/>
  <c r="G224"/>
  <c r="K223"/>
  <c r="G223"/>
  <c r="F223"/>
  <c r="J222"/>
  <c r="G222"/>
  <c r="G219"/>
  <c r="E215"/>
  <c r="D215"/>
  <c r="H213"/>
  <c r="F213"/>
  <c r="H212"/>
  <c r="F212"/>
  <c r="J210"/>
  <c r="I210"/>
  <c r="F210"/>
  <c r="E210"/>
  <c r="D210"/>
  <c r="C210"/>
  <c r="F208"/>
  <c r="E208"/>
  <c r="D208"/>
  <c r="C208"/>
  <c r="J207"/>
  <c r="J204"/>
  <c r="K202"/>
  <c r="G202"/>
  <c r="F202"/>
  <c r="G201"/>
  <c r="K200"/>
  <c r="G200"/>
  <c r="F200"/>
  <c r="J199"/>
  <c r="G199"/>
  <c r="K198"/>
  <c r="G198"/>
  <c r="F198"/>
  <c r="G197"/>
  <c r="G194"/>
  <c r="E190"/>
  <c r="D190"/>
  <c r="AT189"/>
  <c r="AR189"/>
  <c r="AO189"/>
  <c r="AE189"/>
  <c r="AD189"/>
  <c r="J188"/>
  <c r="I188"/>
  <c r="F188"/>
  <c r="H188"/>
  <c r="E188"/>
  <c r="D188"/>
  <c r="C188"/>
  <c r="AT187"/>
  <c r="AR187"/>
  <c r="AO187"/>
  <c r="AE187"/>
  <c r="AD187"/>
  <c r="K186"/>
  <c r="F186"/>
  <c r="H186"/>
  <c r="E186"/>
  <c r="D186"/>
  <c r="C186"/>
  <c r="H184"/>
  <c r="F184"/>
  <c r="H183"/>
  <c r="F183"/>
  <c r="F180"/>
  <c r="E180"/>
  <c r="D180"/>
  <c r="C180"/>
  <c r="F179"/>
  <c r="E179"/>
  <c r="D179"/>
  <c r="C179"/>
  <c r="J178"/>
  <c r="J177"/>
  <c r="J174"/>
  <c r="K172"/>
  <c r="G172"/>
  <c r="F172"/>
  <c r="G171"/>
  <c r="K170"/>
  <c r="G170"/>
  <c r="F170"/>
  <c r="G169"/>
  <c r="G166"/>
  <c r="E162"/>
  <c r="D162"/>
  <c r="AE161"/>
  <c r="AD161"/>
  <c r="H160"/>
  <c r="F160"/>
  <c r="H159"/>
  <c r="F159"/>
  <c r="K157"/>
  <c r="F157"/>
  <c r="E157"/>
  <c r="D157"/>
  <c r="C157"/>
  <c r="H155"/>
  <c r="F155"/>
  <c r="E155"/>
  <c r="D155"/>
  <c r="C155"/>
  <c r="H154"/>
  <c r="F154"/>
  <c r="E154"/>
  <c r="D154"/>
  <c r="C154"/>
  <c r="J153"/>
  <c r="J152"/>
  <c r="J151"/>
  <c r="J150"/>
  <c r="K148"/>
  <c r="G148"/>
  <c r="F148"/>
  <c r="G147"/>
  <c r="J146"/>
  <c r="G146"/>
  <c r="J145"/>
  <c r="G145"/>
  <c r="K144"/>
  <c r="G144"/>
  <c r="F144"/>
  <c r="H144" s="1"/>
  <c r="G143"/>
  <c r="G140"/>
  <c r="F137"/>
  <c r="H137"/>
  <c r="E137"/>
  <c r="D137"/>
  <c r="AW136"/>
  <c r="AT136"/>
  <c r="AO136"/>
  <c r="H135"/>
  <c r="F135"/>
  <c r="H134"/>
  <c r="F134"/>
  <c r="I132"/>
  <c r="G132"/>
  <c r="F132"/>
  <c r="E132"/>
  <c r="C132"/>
  <c r="G130"/>
  <c r="E127"/>
  <c r="AW126"/>
  <c r="H125"/>
  <c r="F125"/>
  <c r="H124"/>
  <c r="F124"/>
  <c r="I122"/>
  <c r="F122"/>
  <c r="E122"/>
  <c r="D122"/>
  <c r="C122"/>
  <c r="J120"/>
  <c r="J119"/>
  <c r="K118"/>
  <c r="F118"/>
  <c r="J117"/>
  <c r="E111"/>
  <c r="D111"/>
  <c r="AW110"/>
  <c r="H109"/>
  <c r="F109"/>
  <c r="H108"/>
  <c r="F108"/>
  <c r="I106"/>
  <c r="F106"/>
  <c r="E106"/>
  <c r="D106"/>
  <c r="C106"/>
  <c r="J104"/>
  <c r="J103"/>
  <c r="K102"/>
  <c r="F102"/>
  <c r="J101"/>
  <c r="E95"/>
  <c r="D95"/>
  <c r="H93"/>
  <c r="F93"/>
  <c r="H92"/>
  <c r="F92"/>
  <c r="F89"/>
  <c r="E89"/>
  <c r="D89"/>
  <c r="C89"/>
  <c r="J88"/>
  <c r="J87"/>
  <c r="J86"/>
  <c r="J85"/>
  <c r="J84"/>
  <c r="J83"/>
  <c r="J81"/>
  <c r="K80"/>
  <c r="F80"/>
  <c r="K78"/>
  <c r="F78"/>
  <c r="J77"/>
  <c r="J76"/>
  <c r="K75"/>
  <c r="F75"/>
  <c r="E68"/>
  <c r="D68"/>
  <c r="H66"/>
  <c r="F66"/>
  <c r="H65"/>
  <c r="F65"/>
  <c r="F62"/>
  <c r="E62"/>
  <c r="D62"/>
  <c r="C62"/>
  <c r="J61"/>
  <c r="J60"/>
  <c r="J59"/>
  <c r="J58"/>
  <c r="J57"/>
  <c r="J56"/>
  <c r="J55"/>
  <c r="J53"/>
  <c r="K52"/>
  <c r="F52"/>
  <c r="K50"/>
  <c r="F50"/>
  <c r="J49"/>
  <c r="J48"/>
  <c r="K47"/>
  <c r="F47"/>
  <c r="E40"/>
  <c r="D40"/>
  <c r="J26"/>
  <c r="I26"/>
  <c r="H26"/>
  <c r="G26"/>
  <c r="K22"/>
  <c r="K21"/>
  <c r="K20"/>
  <c r="K19"/>
  <c r="K16"/>
  <c r="C17"/>
  <c r="K14"/>
  <c r="K12"/>
  <c r="C13"/>
  <c r="K10"/>
  <c r="C11"/>
  <c r="K8"/>
  <c r="C9"/>
  <c r="A1"/>
  <c r="L370" i="7"/>
  <c r="L371" s="1"/>
  <c r="L372" s="1"/>
  <c r="C370"/>
  <c r="L369"/>
  <c r="C369"/>
  <c r="L368"/>
  <c r="C368"/>
  <c r="L364"/>
  <c r="L363"/>
  <c r="L360"/>
  <c r="L359"/>
  <c r="L353"/>
  <c r="L352"/>
  <c r="L348"/>
  <c r="L336"/>
  <c r="L335"/>
  <c r="L334"/>
  <c r="L333"/>
  <c r="L332"/>
  <c r="L331"/>
  <c r="L329" s="1"/>
  <c r="L328"/>
  <c r="L327"/>
  <c r="L325"/>
  <c r="L322"/>
  <c r="L317"/>
  <c r="L316"/>
  <c r="L315"/>
  <c r="L310"/>
  <c r="L309"/>
  <c r="L305"/>
  <c r="L304"/>
  <c r="L303"/>
  <c r="L302"/>
  <c r="L301"/>
  <c r="L300"/>
  <c r="L297"/>
  <c r="L296"/>
  <c r="L294"/>
  <c r="L291"/>
  <c r="L282"/>
  <c r="L281"/>
  <c r="L277"/>
  <c r="AT263"/>
  <c r="AR263"/>
  <c r="AO263"/>
  <c r="AE263"/>
  <c r="AD263"/>
  <c r="I262"/>
  <c r="H262"/>
  <c r="E262"/>
  <c r="G262"/>
  <c r="D262"/>
  <c r="C262"/>
  <c r="B262"/>
  <c r="AT261"/>
  <c r="AR261"/>
  <c r="AO261"/>
  <c r="AE261"/>
  <c r="AD261"/>
  <c r="J260"/>
  <c r="E260"/>
  <c r="G260"/>
  <c r="D260"/>
  <c r="C260"/>
  <c r="B260"/>
  <c r="G258"/>
  <c r="E258"/>
  <c r="G257"/>
  <c r="E257"/>
  <c r="E254"/>
  <c r="D254"/>
  <c r="C254"/>
  <c r="B254"/>
  <c r="E253"/>
  <c r="D253"/>
  <c r="C253"/>
  <c r="B253"/>
  <c r="E252"/>
  <c r="D252"/>
  <c r="C252"/>
  <c r="B252"/>
  <c r="I251"/>
  <c r="I249"/>
  <c r="J247"/>
  <c r="F247"/>
  <c r="E247"/>
  <c r="F246"/>
  <c r="J245"/>
  <c r="F245"/>
  <c r="E245"/>
  <c r="I244"/>
  <c r="F244"/>
  <c r="J243"/>
  <c r="F243"/>
  <c r="E243"/>
  <c r="F242"/>
  <c r="J241"/>
  <c r="F241"/>
  <c r="E241"/>
  <c r="I240"/>
  <c r="F240"/>
  <c r="F237"/>
  <c r="D233"/>
  <c r="C233"/>
  <c r="G231"/>
  <c r="E231"/>
  <c r="G230"/>
  <c r="E230"/>
  <c r="I228"/>
  <c r="H228"/>
  <c r="E228"/>
  <c r="D228"/>
  <c r="C228"/>
  <c r="B228"/>
  <c r="E226"/>
  <c r="D226"/>
  <c r="C226"/>
  <c r="B226"/>
  <c r="I225"/>
  <c r="I222"/>
  <c r="J220"/>
  <c r="F220"/>
  <c r="E220"/>
  <c r="F219"/>
  <c r="J218"/>
  <c r="F218"/>
  <c r="E218"/>
  <c r="I217"/>
  <c r="F217"/>
  <c r="J216"/>
  <c r="F216"/>
  <c r="E216"/>
  <c r="F215"/>
  <c r="F212"/>
  <c r="D208"/>
  <c r="C208"/>
  <c r="AT207"/>
  <c r="AR207"/>
  <c r="AO207"/>
  <c r="AE207"/>
  <c r="AD207"/>
  <c r="I206"/>
  <c r="H206"/>
  <c r="E206"/>
  <c r="G206"/>
  <c r="D206"/>
  <c r="C206"/>
  <c r="B206"/>
  <c r="AT205"/>
  <c r="AR205"/>
  <c r="AO205"/>
  <c r="AE205"/>
  <c r="AD205"/>
  <c r="J204"/>
  <c r="E204"/>
  <c r="G204"/>
  <c r="D204"/>
  <c r="C204"/>
  <c r="B204"/>
  <c r="G202"/>
  <c r="E202"/>
  <c r="G201"/>
  <c r="E201"/>
  <c r="E198"/>
  <c r="D198"/>
  <c r="C198"/>
  <c r="B198"/>
  <c r="E197"/>
  <c r="D197"/>
  <c r="C197"/>
  <c r="B197"/>
  <c r="I196"/>
  <c r="I195"/>
  <c r="I192"/>
  <c r="J190"/>
  <c r="F190"/>
  <c r="E190"/>
  <c r="F189"/>
  <c r="J188"/>
  <c r="F188"/>
  <c r="E188"/>
  <c r="F187"/>
  <c r="F184"/>
  <c r="D180"/>
  <c r="C180"/>
  <c r="AE179"/>
  <c r="AD179"/>
  <c r="G178"/>
  <c r="E178"/>
  <c r="G177"/>
  <c r="E177"/>
  <c r="J175"/>
  <c r="E175"/>
  <c r="D175"/>
  <c r="C175"/>
  <c r="B175"/>
  <c r="G173"/>
  <c r="E173"/>
  <c r="D173"/>
  <c r="C173"/>
  <c r="B173"/>
  <c r="G172"/>
  <c r="E172"/>
  <c r="D172"/>
  <c r="C172"/>
  <c r="B172"/>
  <c r="I171"/>
  <c r="I170"/>
  <c r="I169"/>
  <c r="I168"/>
  <c r="J166"/>
  <c r="F166"/>
  <c r="E166"/>
  <c r="F165"/>
  <c r="I164"/>
  <c r="F164"/>
  <c r="I163"/>
  <c r="F163"/>
  <c r="J162"/>
  <c r="F162"/>
  <c r="E162"/>
  <c r="F161"/>
  <c r="F158"/>
  <c r="E155"/>
  <c r="G155"/>
  <c r="D155"/>
  <c r="C155"/>
  <c r="AW154"/>
  <c r="AT154"/>
  <c r="AO154"/>
  <c r="G153"/>
  <c r="E153"/>
  <c r="G152"/>
  <c r="E152"/>
  <c r="H150"/>
  <c r="F150"/>
  <c r="E150"/>
  <c r="D150"/>
  <c r="B150"/>
  <c r="F148"/>
  <c r="D145"/>
  <c r="AW144"/>
  <c r="G143"/>
  <c r="E143"/>
  <c r="G142"/>
  <c r="E142"/>
  <c r="H140"/>
  <c r="E140"/>
  <c r="D140"/>
  <c r="C140"/>
  <c r="B140"/>
  <c r="I138"/>
  <c r="I137"/>
  <c r="J136"/>
  <c r="E136"/>
  <c r="I135"/>
  <c r="D129"/>
  <c r="C129"/>
  <c r="AW128"/>
  <c r="G127"/>
  <c r="E127"/>
  <c r="G126"/>
  <c r="E126"/>
  <c r="H124"/>
  <c r="E124"/>
  <c r="D124"/>
  <c r="C124"/>
  <c r="B124"/>
  <c r="I122"/>
  <c r="I121"/>
  <c r="J120"/>
  <c r="E120"/>
  <c r="I119"/>
  <c r="D113"/>
  <c r="C113"/>
  <c r="G111"/>
  <c r="E111"/>
  <c r="G110"/>
  <c r="E110"/>
  <c r="E107"/>
  <c r="D107"/>
  <c r="C107"/>
  <c r="B107"/>
  <c r="I106"/>
  <c r="I105"/>
  <c r="I104"/>
  <c r="I103"/>
  <c r="I102"/>
  <c r="I101"/>
  <c r="I99"/>
  <c r="J98"/>
  <c r="E98"/>
  <c r="J96"/>
  <c r="E96"/>
  <c r="I95"/>
  <c r="I94"/>
  <c r="J93"/>
  <c r="E93"/>
  <c r="D86"/>
  <c r="C86"/>
  <c r="G84"/>
  <c r="E84"/>
  <c r="G83"/>
  <c r="E83"/>
  <c r="E80"/>
  <c r="D80"/>
  <c r="C80"/>
  <c r="B80"/>
  <c r="I79"/>
  <c r="I78"/>
  <c r="I77"/>
  <c r="I76"/>
  <c r="I75"/>
  <c r="I74"/>
  <c r="I73"/>
  <c r="I71"/>
  <c r="J70"/>
  <c r="E70"/>
  <c r="J68"/>
  <c r="E68"/>
  <c r="I67"/>
  <c r="I66"/>
  <c r="J65"/>
  <c r="E65"/>
  <c r="D58"/>
  <c r="C58"/>
  <c r="A31"/>
  <c r="F24"/>
  <c r="F22"/>
  <c r="CO14"/>
  <c r="F14"/>
  <c r="CO12"/>
  <c r="F12"/>
  <c r="A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1" i="3"/>
  <c r="Y1"/>
  <c r="CY1"/>
  <c r="CZ1"/>
  <c r="DA1"/>
  <c r="DC1"/>
  <c r="A2"/>
  <c r="Y2"/>
  <c r="CY2"/>
  <c r="CZ2"/>
  <c r="DB2" s="1"/>
  <c r="DA2"/>
  <c r="DC2"/>
  <c r="A3"/>
  <c r="Y3"/>
  <c r="CY3"/>
  <c r="CZ3"/>
  <c r="K46" i="8" s="1"/>
  <c r="DA3" i="3"/>
  <c r="DB3"/>
  <c r="DC3"/>
  <c r="A4"/>
  <c r="Y4"/>
  <c r="CY4"/>
  <c r="CZ4"/>
  <c r="DA4"/>
  <c r="DC4"/>
  <c r="A5"/>
  <c r="Y5"/>
  <c r="CY5"/>
  <c r="CZ5"/>
  <c r="I49" i="8" s="1"/>
  <c r="K49" s="1"/>
  <c r="DA5" i="3"/>
  <c r="DB5"/>
  <c r="DC5"/>
  <c r="A6"/>
  <c r="Y6"/>
  <c r="CY6"/>
  <c r="CZ6"/>
  <c r="J69" i="7" s="1"/>
  <c r="DA6" i="3"/>
  <c r="DC6"/>
  <c r="A7"/>
  <c r="Y7"/>
  <c r="CY7"/>
  <c r="CZ7"/>
  <c r="I53" i="8" s="1"/>
  <c r="K53" s="1"/>
  <c r="DA7" i="3"/>
  <c r="DC7"/>
  <c r="A8"/>
  <c r="Y8"/>
  <c r="CY8"/>
  <c r="CZ8"/>
  <c r="I55" i="8" s="1"/>
  <c r="K55" s="1"/>
  <c r="DA8" i="3"/>
  <c r="DB8"/>
  <c r="DC8"/>
  <c r="A9"/>
  <c r="Y9"/>
  <c r="CY9"/>
  <c r="CZ9"/>
  <c r="DA9"/>
  <c r="DC9"/>
  <c r="A10"/>
  <c r="Y10"/>
  <c r="CY10"/>
  <c r="CZ10"/>
  <c r="H75" i="7" s="1"/>
  <c r="DA10" i="3"/>
  <c r="DC10"/>
  <c r="A11"/>
  <c r="Y11"/>
  <c r="CY11"/>
  <c r="CZ11"/>
  <c r="DA11"/>
  <c r="DB11"/>
  <c r="DC11"/>
  <c r="A12"/>
  <c r="Y12"/>
  <c r="CY12"/>
  <c r="CZ12"/>
  <c r="DA12"/>
  <c r="DC12"/>
  <c r="A13"/>
  <c r="Y13"/>
  <c r="CY13"/>
  <c r="CZ13"/>
  <c r="H77" i="7" s="1"/>
  <c r="DA13" i="3"/>
  <c r="DC13"/>
  <c r="A14"/>
  <c r="Y14"/>
  <c r="CY14"/>
  <c r="CZ14"/>
  <c r="H78" i="7" s="1"/>
  <c r="DA14" i="3"/>
  <c r="DC14"/>
  <c r="A15"/>
  <c r="Y15"/>
  <c r="CY15"/>
  <c r="CZ15"/>
  <c r="I61" i="8" s="1"/>
  <c r="DA15" i="3"/>
  <c r="DC15"/>
  <c r="A16"/>
  <c r="Y16"/>
  <c r="CV16" s="1"/>
  <c r="U26" i="1" s="1"/>
  <c r="CY16" i="3"/>
  <c r="CZ16"/>
  <c r="J89" i="7" s="1"/>
  <c r="DA16" i="3"/>
  <c r="DC16"/>
  <c r="A17"/>
  <c r="Y17"/>
  <c r="CY17"/>
  <c r="CZ17"/>
  <c r="DB17" s="1"/>
  <c r="DA17"/>
  <c r="DC17"/>
  <c r="A18"/>
  <c r="Y18"/>
  <c r="CY18"/>
  <c r="CZ18"/>
  <c r="DA18"/>
  <c r="DC18"/>
  <c r="A19"/>
  <c r="Y19"/>
  <c r="CY19"/>
  <c r="CZ19"/>
  <c r="I76" i="8" s="1"/>
  <c r="DA19" i="3"/>
  <c r="DB19"/>
  <c r="DC19"/>
  <c r="A20"/>
  <c r="Y20"/>
  <c r="CY20"/>
  <c r="CZ20"/>
  <c r="DA20"/>
  <c r="DC20"/>
  <c r="A21"/>
  <c r="Y21"/>
  <c r="CY21"/>
  <c r="CZ21"/>
  <c r="K79" i="8" s="1"/>
  <c r="DA21" i="3"/>
  <c r="DB21"/>
  <c r="DC21"/>
  <c r="A22"/>
  <c r="Y22"/>
  <c r="CY22"/>
  <c r="CZ22"/>
  <c r="DA22"/>
  <c r="DC22"/>
  <c r="A23"/>
  <c r="Y23"/>
  <c r="CY23"/>
  <c r="CZ23"/>
  <c r="H101" i="7" s="1"/>
  <c r="DA23" i="3"/>
  <c r="DC23"/>
  <c r="A24"/>
  <c r="Y24"/>
  <c r="CY24"/>
  <c r="CZ24"/>
  <c r="I84" i="8" s="1"/>
  <c r="K84" s="1"/>
  <c r="DA24" i="3"/>
  <c r="DB24"/>
  <c r="DC24"/>
  <c r="A25"/>
  <c r="Y25"/>
  <c r="CY25"/>
  <c r="CZ25"/>
  <c r="DA25"/>
  <c r="DC25"/>
  <c r="A26"/>
  <c r="Y26"/>
  <c r="CY26"/>
  <c r="CZ26"/>
  <c r="DB26" s="1"/>
  <c r="DA26"/>
  <c r="DC26"/>
  <c r="A27"/>
  <c r="Y27"/>
  <c r="CY27"/>
  <c r="CZ27"/>
  <c r="H104" i="7" s="1"/>
  <c r="DA27" i="3"/>
  <c r="DC27"/>
  <c r="A28"/>
  <c r="Y28"/>
  <c r="CY28"/>
  <c r="CZ28"/>
  <c r="I87" i="8" s="1"/>
  <c r="DA28" i="3"/>
  <c r="DC28"/>
  <c r="A29"/>
  <c r="Y29"/>
  <c r="CY29"/>
  <c r="CZ29"/>
  <c r="I88" i="8" s="1"/>
  <c r="DA29" i="3"/>
  <c r="DB29"/>
  <c r="DC29"/>
  <c r="A30"/>
  <c r="Y30"/>
  <c r="CY30"/>
  <c r="CZ30"/>
  <c r="K98" i="8" s="1"/>
  <c r="DA30" i="3"/>
  <c r="DB30"/>
  <c r="DC30"/>
  <c r="A31"/>
  <c r="Y31"/>
  <c r="CY31"/>
  <c r="CZ31"/>
  <c r="DB31" s="1"/>
  <c r="DA31"/>
  <c r="DC31"/>
  <c r="A32"/>
  <c r="Y32"/>
  <c r="CY32"/>
  <c r="CZ32"/>
  <c r="DA32"/>
  <c r="DC32"/>
  <c r="A33"/>
  <c r="Y33"/>
  <c r="CY33"/>
  <c r="CZ33"/>
  <c r="I103" i="8" s="1"/>
  <c r="K103" s="1"/>
  <c r="DA33" i="3"/>
  <c r="DB33"/>
  <c r="DC33"/>
  <c r="A34"/>
  <c r="Y34"/>
  <c r="CY34"/>
  <c r="CZ34"/>
  <c r="DA34"/>
  <c r="DC34"/>
  <c r="A35"/>
  <c r="Y35"/>
  <c r="CX35" s="1"/>
  <c r="CY35"/>
  <c r="CZ35"/>
  <c r="DA35"/>
  <c r="DB35"/>
  <c r="DC35"/>
  <c r="A36"/>
  <c r="Y36"/>
  <c r="CY36"/>
  <c r="CZ36"/>
  <c r="J132" i="7" s="1"/>
  <c r="DA36" i="3"/>
  <c r="DC36"/>
  <c r="A37"/>
  <c r="Y37"/>
  <c r="CY37"/>
  <c r="CZ37"/>
  <c r="DB37" s="1"/>
  <c r="DA37"/>
  <c r="DC37"/>
  <c r="A38"/>
  <c r="Y38"/>
  <c r="CY38"/>
  <c r="CZ38"/>
  <c r="H135" i="7" s="1"/>
  <c r="DA38" i="3"/>
  <c r="DC38"/>
  <c r="A39"/>
  <c r="Y39"/>
  <c r="CY39"/>
  <c r="CZ39"/>
  <c r="DA39"/>
  <c r="DC39"/>
  <c r="A40"/>
  <c r="Y40"/>
  <c r="CY40"/>
  <c r="CZ40"/>
  <c r="DA40"/>
  <c r="DC40"/>
  <c r="A41"/>
  <c r="Y41"/>
  <c r="CY41"/>
  <c r="CZ41"/>
  <c r="DB41" s="1"/>
  <c r="DA41"/>
  <c r="DC41"/>
  <c r="A42"/>
  <c r="Y42"/>
  <c r="CY42"/>
  <c r="CZ42"/>
  <c r="DA42"/>
  <c r="DC42"/>
  <c r="A43"/>
  <c r="Y43"/>
  <c r="CY43"/>
  <c r="CZ43"/>
  <c r="DB43" s="1"/>
  <c r="DA43"/>
  <c r="DC43"/>
  <c r="A44"/>
  <c r="Y44"/>
  <c r="CX44" s="1"/>
  <c r="CU44"/>
  <c r="CY44"/>
  <c r="CZ44"/>
  <c r="DA44"/>
  <c r="DC44"/>
  <c r="A45"/>
  <c r="Y45"/>
  <c r="CX45" s="1"/>
  <c r="DG45" s="1"/>
  <c r="CY45"/>
  <c r="CZ45"/>
  <c r="DB45" s="1"/>
  <c r="DA45"/>
  <c r="DC45"/>
  <c r="DF45"/>
  <c r="A46"/>
  <c r="Y46"/>
  <c r="CW46" s="1"/>
  <c r="CX46"/>
  <c r="CY46"/>
  <c r="CZ46"/>
  <c r="DA46"/>
  <c r="DB46"/>
  <c r="DC46"/>
  <c r="A47"/>
  <c r="Y47"/>
  <c r="CX47" s="1"/>
  <c r="H145" i="8" s="1"/>
  <c r="CY47" i="3"/>
  <c r="CZ47"/>
  <c r="DA47"/>
  <c r="DC47"/>
  <c r="A48"/>
  <c r="Y48"/>
  <c r="CW48" s="1"/>
  <c r="CY48"/>
  <c r="CZ48"/>
  <c r="DB48" s="1"/>
  <c r="DA48"/>
  <c r="DC48"/>
  <c r="A49"/>
  <c r="Y49"/>
  <c r="CX49" s="1"/>
  <c r="CY49"/>
  <c r="CZ49"/>
  <c r="DA49"/>
  <c r="DC49"/>
  <c r="A50"/>
  <c r="Y50"/>
  <c r="CX50" s="1"/>
  <c r="CY50"/>
  <c r="CZ50"/>
  <c r="DA50"/>
  <c r="DB50"/>
  <c r="DC50"/>
  <c r="A51"/>
  <c r="Y51"/>
  <c r="CX51"/>
  <c r="CY51"/>
  <c r="CZ51"/>
  <c r="DA51"/>
  <c r="DB51"/>
  <c r="DC51"/>
  <c r="A52"/>
  <c r="Y52"/>
  <c r="CX52" s="1"/>
  <c r="CY52"/>
  <c r="CZ52"/>
  <c r="DB52" s="1"/>
  <c r="DA52"/>
  <c r="DC52"/>
  <c r="A53"/>
  <c r="Y53"/>
  <c r="CX53"/>
  <c r="CY53"/>
  <c r="CZ53"/>
  <c r="DA53"/>
  <c r="DC53"/>
  <c r="A54"/>
  <c r="Y54"/>
  <c r="CX54" s="1"/>
  <c r="CY54"/>
  <c r="CZ54"/>
  <c r="DA54"/>
  <c r="DB54"/>
  <c r="DC54"/>
  <c r="A55"/>
  <c r="Y55"/>
  <c r="CY55"/>
  <c r="CZ55"/>
  <c r="DA55"/>
  <c r="DC55"/>
  <c r="A56"/>
  <c r="Y56"/>
  <c r="CY56"/>
  <c r="CZ56"/>
  <c r="DA56"/>
  <c r="DB56"/>
  <c r="DC56"/>
  <c r="A57"/>
  <c r="Y57"/>
  <c r="CY57"/>
  <c r="CZ57"/>
  <c r="J187" i="7" s="1"/>
  <c r="DA57" i="3"/>
  <c r="DC57"/>
  <c r="A58"/>
  <c r="Y58"/>
  <c r="CY58"/>
  <c r="CZ58"/>
  <c r="DA58"/>
  <c r="DC58"/>
  <c r="A59"/>
  <c r="Y59"/>
  <c r="CY59"/>
  <c r="CZ59"/>
  <c r="DA59"/>
  <c r="DB59"/>
  <c r="DC59"/>
  <c r="A60"/>
  <c r="Y60"/>
  <c r="CY60"/>
  <c r="CZ60"/>
  <c r="DA60"/>
  <c r="DC60"/>
  <c r="A61"/>
  <c r="Y61"/>
  <c r="CY61"/>
  <c r="CZ61"/>
  <c r="DA61"/>
  <c r="DC61"/>
  <c r="A62"/>
  <c r="Y62"/>
  <c r="CY62"/>
  <c r="CZ62"/>
  <c r="I177" i="8" s="1"/>
  <c r="DA62" i="3"/>
  <c r="DB62"/>
  <c r="DC62"/>
  <c r="A63"/>
  <c r="Y63"/>
  <c r="CY63"/>
  <c r="CZ63"/>
  <c r="DB63" s="1"/>
  <c r="DA63"/>
  <c r="DC63"/>
  <c r="A64"/>
  <c r="Y64"/>
  <c r="CY64"/>
  <c r="CZ64"/>
  <c r="DA64"/>
  <c r="DC64"/>
  <c r="A65"/>
  <c r="Y65"/>
  <c r="CY65"/>
  <c r="CZ65"/>
  <c r="DB65" s="1"/>
  <c r="DA65"/>
  <c r="DC65"/>
  <c r="A66"/>
  <c r="Y66"/>
  <c r="CY66"/>
  <c r="CZ66"/>
  <c r="DA66"/>
  <c r="DC66"/>
  <c r="A67"/>
  <c r="Y67"/>
  <c r="CY67"/>
  <c r="CZ67"/>
  <c r="DA67"/>
  <c r="DC67"/>
  <c r="A68"/>
  <c r="Y68"/>
  <c r="CY68"/>
  <c r="CZ68"/>
  <c r="DA68"/>
  <c r="DC68"/>
  <c r="A69"/>
  <c r="Y69"/>
  <c r="CY69"/>
  <c r="CZ69"/>
  <c r="DA69"/>
  <c r="DB69"/>
  <c r="DC69"/>
  <c r="A70"/>
  <c r="Y70"/>
  <c r="CY70"/>
  <c r="CZ70"/>
  <c r="DA70"/>
  <c r="DC70"/>
  <c r="A71"/>
  <c r="Y71"/>
  <c r="CY71"/>
  <c r="CZ71"/>
  <c r="DA71"/>
  <c r="DC71"/>
  <c r="A72"/>
  <c r="Y72"/>
  <c r="CY72"/>
  <c r="CZ72"/>
  <c r="DA72"/>
  <c r="DC72"/>
  <c r="A73"/>
  <c r="Y73"/>
  <c r="CY73"/>
  <c r="CZ73"/>
  <c r="DA73"/>
  <c r="DB73"/>
  <c r="DC73"/>
  <c r="A74"/>
  <c r="Y74"/>
  <c r="CY74"/>
  <c r="CZ74"/>
  <c r="DA74"/>
  <c r="DC74"/>
  <c r="A75"/>
  <c r="Y75"/>
  <c r="CY75"/>
  <c r="CZ75"/>
  <c r="DB75" s="1"/>
  <c r="DA75"/>
  <c r="DC75"/>
  <c r="A76"/>
  <c r="Y76"/>
  <c r="CY76"/>
  <c r="CZ76"/>
  <c r="DA76"/>
  <c r="DC76"/>
  <c r="A77"/>
  <c r="Y77"/>
  <c r="CY77"/>
  <c r="CZ77"/>
  <c r="DB77" s="1"/>
  <c r="DA77"/>
  <c r="DC77"/>
  <c r="A78"/>
  <c r="Y78"/>
  <c r="CY78"/>
  <c r="CZ78"/>
  <c r="DA78"/>
  <c r="DC78"/>
  <c r="A79"/>
  <c r="Y79"/>
  <c r="CY79"/>
  <c r="CZ79"/>
  <c r="DB79" s="1"/>
  <c r="DA79"/>
  <c r="DC79"/>
  <c r="A80"/>
  <c r="Y80"/>
  <c r="CY80"/>
  <c r="CZ80"/>
  <c r="DB80" s="1"/>
  <c r="DA80"/>
  <c r="DC80"/>
  <c r="A81"/>
  <c r="Y81"/>
  <c r="CY81"/>
  <c r="CZ81"/>
  <c r="DA81"/>
  <c r="DC81"/>
  <c r="A82"/>
  <c r="Y82"/>
  <c r="CY82"/>
  <c r="CZ82"/>
  <c r="DA82"/>
  <c r="DC82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M22"/>
  <c r="AN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C24"/>
  <c r="D24"/>
  <c r="I24"/>
  <c r="K24"/>
  <c r="AC24"/>
  <c r="AE24"/>
  <c r="AD24" s="1"/>
  <c r="AF24"/>
  <c r="AG24"/>
  <c r="AH24"/>
  <c r="AI24"/>
  <c r="AJ24"/>
  <c r="CX24" s="1"/>
  <c r="W24" s="1"/>
  <c r="CQ24"/>
  <c r="CR24"/>
  <c r="CS24"/>
  <c r="CT24"/>
  <c r="CU24"/>
  <c r="T24" s="1"/>
  <c r="CV24"/>
  <c r="CW24"/>
  <c r="GL24"/>
  <c r="GO24"/>
  <c r="GP24"/>
  <c r="GV24"/>
  <c r="HC24" s="1"/>
  <c r="GX24" s="1"/>
  <c r="I25"/>
  <c r="AC25"/>
  <c r="AE25"/>
  <c r="AD25" s="1"/>
  <c r="AF25"/>
  <c r="AG25"/>
  <c r="AH25"/>
  <c r="CV25" s="1"/>
  <c r="U25" s="1"/>
  <c r="AI25"/>
  <c r="CW25" s="1"/>
  <c r="V25" s="1"/>
  <c r="AJ25"/>
  <c r="CX25" s="1"/>
  <c r="W25" s="1"/>
  <c r="CQ25"/>
  <c r="P25" s="1"/>
  <c r="CR25"/>
  <c r="Q25" s="1"/>
  <c r="CS25"/>
  <c r="CT25"/>
  <c r="S25" s="1"/>
  <c r="CU25"/>
  <c r="T25" s="1"/>
  <c r="GL25"/>
  <c r="GO25"/>
  <c r="GP25"/>
  <c r="GV25"/>
  <c r="HC25" s="1"/>
  <c r="GX25" s="1"/>
  <c r="C26"/>
  <c r="D26"/>
  <c r="I26"/>
  <c r="K26"/>
  <c r="AC26"/>
  <c r="AE26"/>
  <c r="AD26" s="1"/>
  <c r="AF26"/>
  <c r="AG26"/>
  <c r="CU26" s="1"/>
  <c r="AH26"/>
  <c r="AI26"/>
  <c r="AJ26"/>
  <c r="CQ26"/>
  <c r="CR26"/>
  <c r="CS26"/>
  <c r="CT26"/>
  <c r="CV26"/>
  <c r="CW26"/>
  <c r="CX26"/>
  <c r="W26" s="1"/>
  <c r="GL26"/>
  <c r="GO26"/>
  <c r="GP26"/>
  <c r="GV26"/>
  <c r="HC26"/>
  <c r="GX26" s="1"/>
  <c r="AC27"/>
  <c r="AE27"/>
  <c r="AD27" s="1"/>
  <c r="AF27"/>
  <c r="AG27"/>
  <c r="CU27" s="1"/>
  <c r="AH27"/>
  <c r="CV27" s="1"/>
  <c r="AI27"/>
  <c r="CW27" s="1"/>
  <c r="AJ27"/>
  <c r="CX27" s="1"/>
  <c r="CQ27"/>
  <c r="CR27"/>
  <c r="CS27"/>
  <c r="CT27"/>
  <c r="GL27"/>
  <c r="GO27"/>
  <c r="GP27"/>
  <c r="GV27"/>
  <c r="HC27"/>
  <c r="C28"/>
  <c r="D28"/>
  <c r="I28"/>
  <c r="K28"/>
  <c r="AC28"/>
  <c r="AE28"/>
  <c r="AD28" s="1"/>
  <c r="AF28"/>
  <c r="AG28"/>
  <c r="AH28"/>
  <c r="AI28"/>
  <c r="AJ28"/>
  <c r="CX28" s="1"/>
  <c r="W28" s="1"/>
  <c r="CQ28"/>
  <c r="CR28"/>
  <c r="CS28"/>
  <c r="CT28"/>
  <c r="CU28"/>
  <c r="T28" s="1"/>
  <c r="CV28"/>
  <c r="CW28"/>
  <c r="GL28"/>
  <c r="GO28"/>
  <c r="GP28"/>
  <c r="GV28"/>
  <c r="HC28" s="1"/>
  <c r="GX28" s="1"/>
  <c r="I29"/>
  <c r="AC29"/>
  <c r="AE29"/>
  <c r="AD29" s="1"/>
  <c r="AF29"/>
  <c r="AG29"/>
  <c r="AH29"/>
  <c r="CV29" s="1"/>
  <c r="U29" s="1"/>
  <c r="AI29"/>
  <c r="CW29" s="1"/>
  <c r="V29" s="1"/>
  <c r="AJ29"/>
  <c r="CX29" s="1"/>
  <c r="W29" s="1"/>
  <c r="CQ29"/>
  <c r="P29" s="1"/>
  <c r="CR29"/>
  <c r="Q29" s="1"/>
  <c r="CS29"/>
  <c r="R29" s="1"/>
  <c r="CT29"/>
  <c r="S29" s="1"/>
  <c r="CU29"/>
  <c r="T29" s="1"/>
  <c r="GL29"/>
  <c r="GO29"/>
  <c r="GP29"/>
  <c r="GV29"/>
  <c r="HC29" s="1"/>
  <c r="GX29" s="1"/>
  <c r="C30"/>
  <c r="D30"/>
  <c r="I30"/>
  <c r="K30"/>
  <c r="AC30"/>
  <c r="AE30"/>
  <c r="AD30" s="1"/>
  <c r="AF30"/>
  <c r="AG30"/>
  <c r="CU30" s="1"/>
  <c r="T30" s="1"/>
  <c r="AH30"/>
  <c r="AI30"/>
  <c r="AJ30"/>
  <c r="CQ30"/>
  <c r="CR30"/>
  <c r="CS30"/>
  <c r="CT30"/>
  <c r="CV30"/>
  <c r="CW30"/>
  <c r="CX30"/>
  <c r="W30" s="1"/>
  <c r="GL30"/>
  <c r="GO30"/>
  <c r="GP30"/>
  <c r="GV30"/>
  <c r="HC30" s="1"/>
  <c r="GX30" s="1"/>
  <c r="AC31"/>
  <c r="AE31"/>
  <c r="AD31" s="1"/>
  <c r="AF31"/>
  <c r="AG31"/>
  <c r="CU31" s="1"/>
  <c r="AH31"/>
  <c r="AI31"/>
  <c r="CW31" s="1"/>
  <c r="AJ31"/>
  <c r="CX31" s="1"/>
  <c r="CQ31"/>
  <c r="CR31"/>
  <c r="CS31"/>
  <c r="CT31"/>
  <c r="CV31"/>
  <c r="GL31"/>
  <c r="GO31"/>
  <c r="GP31"/>
  <c r="GV31"/>
  <c r="HC31" s="1"/>
  <c r="C32"/>
  <c r="D32"/>
  <c r="I32"/>
  <c r="K32"/>
  <c r="V32"/>
  <c r="AC32"/>
  <c r="AE32"/>
  <c r="AD32" s="1"/>
  <c r="AF32"/>
  <c r="AG32"/>
  <c r="AH32"/>
  <c r="AI32"/>
  <c r="AJ32"/>
  <c r="CX32" s="1"/>
  <c r="W32" s="1"/>
  <c r="CQ32"/>
  <c r="CR32"/>
  <c r="CS32"/>
  <c r="CT32"/>
  <c r="CU32"/>
  <c r="CV32"/>
  <c r="CW32"/>
  <c r="GL32"/>
  <c r="GO32"/>
  <c r="GP32"/>
  <c r="GV32"/>
  <c r="GX32"/>
  <c r="HC32"/>
  <c r="I33"/>
  <c r="AC33"/>
  <c r="AE33"/>
  <c r="AD33" s="1"/>
  <c r="AF33"/>
  <c r="AG33"/>
  <c r="AH33"/>
  <c r="CV33" s="1"/>
  <c r="AI33"/>
  <c r="CW33" s="1"/>
  <c r="V33" s="1"/>
  <c r="AJ33"/>
  <c r="CX33" s="1"/>
  <c r="CQ33"/>
  <c r="P33" s="1"/>
  <c r="CR33"/>
  <c r="CS33"/>
  <c r="R33" s="1"/>
  <c r="CT33"/>
  <c r="CU33"/>
  <c r="T33" s="1"/>
  <c r="GL33"/>
  <c r="GO33"/>
  <c r="GP33"/>
  <c r="GV33"/>
  <c r="HC33"/>
  <c r="GX33" s="1"/>
  <c r="C34"/>
  <c r="D34"/>
  <c r="AC34"/>
  <c r="AE34"/>
  <c r="AD34" s="1"/>
  <c r="AF34"/>
  <c r="AG34"/>
  <c r="CU34" s="1"/>
  <c r="T34" s="1"/>
  <c r="AH34"/>
  <c r="AI34"/>
  <c r="AJ34"/>
  <c r="CX34" s="1"/>
  <c r="W34" s="1"/>
  <c r="CQ34"/>
  <c r="CR34"/>
  <c r="CS34"/>
  <c r="CT34"/>
  <c r="CV34"/>
  <c r="CW34"/>
  <c r="GL34"/>
  <c r="GO34"/>
  <c r="GP34"/>
  <c r="GV34"/>
  <c r="HC34"/>
  <c r="GX34" s="1"/>
  <c r="I35"/>
  <c r="AC35"/>
  <c r="AE35"/>
  <c r="AD35" s="1"/>
  <c r="AF35"/>
  <c r="AG35"/>
  <c r="CU35" s="1"/>
  <c r="T35" s="1"/>
  <c r="AH35"/>
  <c r="CV35" s="1"/>
  <c r="U35" s="1"/>
  <c r="AI35"/>
  <c r="CW35" s="1"/>
  <c r="V35" s="1"/>
  <c r="AJ35"/>
  <c r="CQ35"/>
  <c r="P35" s="1"/>
  <c r="CR35"/>
  <c r="Q35" s="1"/>
  <c r="CS35"/>
  <c r="R35" s="1"/>
  <c r="CT35"/>
  <c r="S35" s="1"/>
  <c r="CX35"/>
  <c r="W35" s="1"/>
  <c r="GL35"/>
  <c r="GO35"/>
  <c r="GP35"/>
  <c r="GV35"/>
  <c r="HC35" s="1"/>
  <c r="GX35" s="1"/>
  <c r="C36"/>
  <c r="D36"/>
  <c r="I36"/>
  <c r="K36"/>
  <c r="AC36"/>
  <c r="AE36"/>
  <c r="AD36" s="1"/>
  <c r="AF36"/>
  <c r="AG36"/>
  <c r="AH36"/>
  <c r="AI36"/>
  <c r="AJ36"/>
  <c r="CX36" s="1"/>
  <c r="W36" s="1"/>
  <c r="CQ36"/>
  <c r="CR36"/>
  <c r="CS36"/>
  <c r="CT36"/>
  <c r="CU36"/>
  <c r="CV36"/>
  <c r="CW36"/>
  <c r="GL36"/>
  <c r="GO36"/>
  <c r="GP36"/>
  <c r="GV36"/>
  <c r="HC36" s="1"/>
  <c r="GX36" s="1"/>
  <c r="AC37"/>
  <c r="AE37"/>
  <c r="AD37" s="1"/>
  <c r="AF37"/>
  <c r="AG37"/>
  <c r="AH37"/>
  <c r="AI37"/>
  <c r="AJ37"/>
  <c r="CX37" s="1"/>
  <c r="W37" s="1"/>
  <c r="CQ37"/>
  <c r="P37" s="1"/>
  <c r="CR37"/>
  <c r="Q37" s="1"/>
  <c r="CS37"/>
  <c r="R37" s="1"/>
  <c r="CT37"/>
  <c r="S37" s="1"/>
  <c r="CU37"/>
  <c r="T37" s="1"/>
  <c r="CV37"/>
  <c r="U37" s="1"/>
  <c r="CW37"/>
  <c r="V37" s="1"/>
  <c r="CY37"/>
  <c r="X37" s="1"/>
  <c r="CZ37"/>
  <c r="Y37" s="1"/>
  <c r="GL37"/>
  <c r="GO37"/>
  <c r="GP37"/>
  <c r="GV37"/>
  <c r="HC37"/>
  <c r="GX37" s="1"/>
  <c r="AC38"/>
  <c r="AD38"/>
  <c r="AE38"/>
  <c r="AF38"/>
  <c r="AG38"/>
  <c r="CU38" s="1"/>
  <c r="T38" s="1"/>
  <c r="AH38"/>
  <c r="CV38" s="1"/>
  <c r="U38" s="1"/>
  <c r="AI38"/>
  <c r="AJ38"/>
  <c r="CX38" s="1"/>
  <c r="W38" s="1"/>
  <c r="CQ38"/>
  <c r="P38" s="1"/>
  <c r="CR38"/>
  <c r="Q38" s="1"/>
  <c r="CS38"/>
  <c r="R38" s="1"/>
  <c r="CT38"/>
  <c r="S38" s="1"/>
  <c r="CW38"/>
  <c r="V38" s="1"/>
  <c r="CY38"/>
  <c r="X38" s="1"/>
  <c r="CZ38"/>
  <c r="Y38" s="1"/>
  <c r="GL38"/>
  <c r="GO38"/>
  <c r="GP38"/>
  <c r="GV38"/>
  <c r="HC38" s="1"/>
  <c r="GX38" s="1"/>
  <c r="C39"/>
  <c r="D39"/>
  <c r="I39"/>
  <c r="K39"/>
  <c r="AC39"/>
  <c r="AE39"/>
  <c r="AD39" s="1"/>
  <c r="AF39"/>
  <c r="AG39"/>
  <c r="AH39"/>
  <c r="AI39"/>
  <c r="AJ39"/>
  <c r="CQ39"/>
  <c r="CR39"/>
  <c r="CS39"/>
  <c r="CT39"/>
  <c r="CU39"/>
  <c r="CV39"/>
  <c r="CW39"/>
  <c r="CX39"/>
  <c r="W39" s="1"/>
  <c r="GL39"/>
  <c r="GO39"/>
  <c r="GP39"/>
  <c r="GV39"/>
  <c r="HC39"/>
  <c r="GX39" s="1"/>
  <c r="AC40"/>
  <c r="AE40"/>
  <c r="AD40" s="1"/>
  <c r="AF40"/>
  <c r="AG40"/>
  <c r="AH40"/>
  <c r="CV40" s="1"/>
  <c r="AI40"/>
  <c r="CW40" s="1"/>
  <c r="AJ40"/>
  <c r="CX40" s="1"/>
  <c r="CQ40"/>
  <c r="CR40"/>
  <c r="CS40"/>
  <c r="CT40"/>
  <c r="CU40"/>
  <c r="GL40"/>
  <c r="GO40"/>
  <c r="GP40"/>
  <c r="GV40"/>
  <c r="HC40" s="1"/>
  <c r="C41"/>
  <c r="D41"/>
  <c r="I41"/>
  <c r="K41"/>
  <c r="AC41"/>
  <c r="AE41"/>
  <c r="AD41" s="1"/>
  <c r="AF41"/>
  <c r="AG41"/>
  <c r="AH41"/>
  <c r="AI41"/>
  <c r="AJ41"/>
  <c r="CQ41"/>
  <c r="CR41"/>
  <c r="CS41"/>
  <c r="CT41"/>
  <c r="CU41"/>
  <c r="CV41"/>
  <c r="CW41"/>
  <c r="CX41"/>
  <c r="W41" s="1"/>
  <c r="GL41"/>
  <c r="GO41"/>
  <c r="GP41"/>
  <c r="GV41"/>
  <c r="HC41" s="1"/>
  <c r="GX41" s="1"/>
  <c r="AC42"/>
  <c r="AE42"/>
  <c r="AD42" s="1"/>
  <c r="AF42"/>
  <c r="AG42"/>
  <c r="CU42" s="1"/>
  <c r="T42" s="1"/>
  <c r="AH42"/>
  <c r="AI42"/>
  <c r="CW42" s="1"/>
  <c r="V42" s="1"/>
  <c r="AJ42"/>
  <c r="CX42" s="1"/>
  <c r="W42" s="1"/>
  <c r="CQ42"/>
  <c r="P42" s="1"/>
  <c r="CR42"/>
  <c r="Q42" s="1"/>
  <c r="CS42"/>
  <c r="R42" s="1"/>
  <c r="CT42"/>
  <c r="S42" s="1"/>
  <c r="CV42"/>
  <c r="U42" s="1"/>
  <c r="GL42"/>
  <c r="GO42"/>
  <c r="GP42"/>
  <c r="GV42"/>
  <c r="HC42" s="1"/>
  <c r="GX42" s="1"/>
  <c r="AC43"/>
  <c r="AE43"/>
  <c r="AD43" s="1"/>
  <c r="AF43"/>
  <c r="AG43"/>
  <c r="CU43" s="1"/>
  <c r="T43" s="1"/>
  <c r="AH43"/>
  <c r="CV43" s="1"/>
  <c r="U43" s="1"/>
  <c r="AI43"/>
  <c r="AJ43"/>
  <c r="CX43" s="1"/>
  <c r="W43" s="1"/>
  <c r="CQ43"/>
  <c r="P43" s="1"/>
  <c r="CR43"/>
  <c r="Q43" s="1"/>
  <c r="CS43"/>
  <c r="R43" s="1"/>
  <c r="CT43"/>
  <c r="S43" s="1"/>
  <c r="CW43"/>
  <c r="V43" s="1"/>
  <c r="CY43"/>
  <c r="X43" s="1"/>
  <c r="CZ43"/>
  <c r="Y43" s="1"/>
  <c r="GL43"/>
  <c r="GO43"/>
  <c r="GP43"/>
  <c r="GV43"/>
  <c r="HC43" s="1"/>
  <c r="GX43" s="1"/>
  <c r="B45"/>
  <c r="B22" s="1"/>
  <c r="C45"/>
  <c r="C22" s="1"/>
  <c r="D45"/>
  <c r="D22" s="1"/>
  <c r="F45"/>
  <c r="F22" s="1"/>
  <c r="G45"/>
  <c r="G22" s="1"/>
  <c r="BX45"/>
  <c r="BX22" s="1"/>
  <c r="BY45"/>
  <c r="BY22" s="1"/>
  <c r="CK45"/>
  <c r="CK22" s="1"/>
  <c r="CL45"/>
  <c r="CL22" s="1"/>
  <c r="CM45"/>
  <c r="CM22" s="1"/>
  <c r="B78"/>
  <c r="B18" s="1"/>
  <c r="C78"/>
  <c r="C18" s="1"/>
  <c r="D78"/>
  <c r="D18" s="1"/>
  <c r="F78"/>
  <c r="F18" s="1"/>
  <c r="G78"/>
  <c r="G18" s="1"/>
  <c r="F12" i="6"/>
  <c r="G12"/>
  <c r="J135" i="7" l="1"/>
  <c r="K188" i="8"/>
  <c r="K177"/>
  <c r="K88"/>
  <c r="K76"/>
  <c r="J78" i="7"/>
  <c r="H148" i="8"/>
  <c r="CC45" i="1"/>
  <c r="CC22" s="1"/>
  <c r="J262" i="7"/>
  <c r="AZ187" i="8"/>
  <c r="AZ205" i="7"/>
  <c r="CX55" i="3"/>
  <c r="H179" i="8"/>
  <c r="AE185"/>
  <c r="H162"/>
  <c r="AD185"/>
  <c r="D164"/>
  <c r="H180"/>
  <c r="AE203" i="7"/>
  <c r="G198"/>
  <c r="G197"/>
  <c r="C182"/>
  <c r="AD203"/>
  <c r="G180"/>
  <c r="BA245" i="8"/>
  <c r="BA263" i="7"/>
  <c r="CD45" i="1"/>
  <c r="CD22" s="1"/>
  <c r="T39"/>
  <c r="F190" i="8"/>
  <c r="E208" i="7"/>
  <c r="BA189" i="8"/>
  <c r="BA207" i="7"/>
  <c r="M188" i="8"/>
  <c r="L206" i="7"/>
  <c r="K207" s="1"/>
  <c r="I207" s="1"/>
  <c r="AB38" i="1"/>
  <c r="AB37"/>
  <c r="CY35"/>
  <c r="X35" s="1"/>
  <c r="AE157" i="8"/>
  <c r="H157"/>
  <c r="AD157"/>
  <c r="AE175" i="7"/>
  <c r="G175"/>
  <c r="AD175"/>
  <c r="Q33" i="1"/>
  <c r="U33"/>
  <c r="F127" i="8"/>
  <c r="E145" i="7"/>
  <c r="CX36" i="3"/>
  <c r="AE126" i="8"/>
  <c r="AD126"/>
  <c r="H111"/>
  <c r="D112"/>
  <c r="AE144" i="7"/>
  <c r="AD144"/>
  <c r="C130"/>
  <c r="G129"/>
  <c r="M106" i="8"/>
  <c r="AW106" s="1"/>
  <c r="L124" i="7"/>
  <c r="AN124" s="1"/>
  <c r="AD106" i="8"/>
  <c r="H106"/>
  <c r="AE106"/>
  <c r="AE124" i="7"/>
  <c r="AD124"/>
  <c r="G124"/>
  <c r="CU30" i="3"/>
  <c r="AD110" i="8"/>
  <c r="H95"/>
  <c r="H102" s="1"/>
  <c r="AE110"/>
  <c r="D96"/>
  <c r="AE128" i="7"/>
  <c r="G113"/>
  <c r="G120" s="1"/>
  <c r="AD128"/>
  <c r="C114"/>
  <c r="T26" i="1"/>
  <c r="F68" i="8"/>
  <c r="E86" i="7"/>
  <c r="DB81" i="3"/>
  <c r="K232" i="8"/>
  <c r="J250" i="7"/>
  <c r="DB78" i="3"/>
  <c r="I226" i="8"/>
  <c r="K226" s="1"/>
  <c r="H244" i="7"/>
  <c r="J244" s="1"/>
  <c r="DB71" i="3"/>
  <c r="K206" i="8"/>
  <c r="J224" i="7"/>
  <c r="K194" i="8"/>
  <c r="J212" i="7"/>
  <c r="DB64" i="3"/>
  <c r="CX62"/>
  <c r="DB61"/>
  <c r="K176" i="8"/>
  <c r="J194" i="7"/>
  <c r="CX60" i="3"/>
  <c r="CV55"/>
  <c r="U36" i="1" s="1"/>
  <c r="DB44" i="3"/>
  <c r="K140" i="8"/>
  <c r="J158" i="7"/>
  <c r="H140" i="8"/>
  <c r="G158" i="7"/>
  <c r="I119" i="8"/>
  <c r="K119" s="1"/>
  <c r="H137" i="7"/>
  <c r="J137" s="1"/>
  <c r="DB39" i="3"/>
  <c r="CX38"/>
  <c r="DG38" s="1"/>
  <c r="I85" i="8"/>
  <c r="K85" s="1"/>
  <c r="DB25" i="3"/>
  <c r="H103" i="7"/>
  <c r="J103" s="1"/>
  <c r="DB20" i="3"/>
  <c r="I77" i="8"/>
  <c r="H95" i="7"/>
  <c r="J95" s="1"/>
  <c r="DB4" i="3"/>
  <c r="I48" i="8"/>
  <c r="K48" s="1"/>
  <c r="H66" i="7"/>
  <c r="J66" s="1"/>
  <c r="AB43" i="1"/>
  <c r="M242" i="8"/>
  <c r="L260" i="7"/>
  <c r="K261" s="1"/>
  <c r="I261" s="1"/>
  <c r="AE214" i="8"/>
  <c r="H190"/>
  <c r="AD214"/>
  <c r="H208"/>
  <c r="D192"/>
  <c r="AE232" i="7"/>
  <c r="C210"/>
  <c r="G226"/>
  <c r="G208"/>
  <c r="G220" s="1"/>
  <c r="AD232"/>
  <c r="AZ189" i="8"/>
  <c r="AZ207" i="7"/>
  <c r="M132" i="8"/>
  <c r="L150" i="7"/>
  <c r="AN150" s="1"/>
  <c r="AD132" i="8"/>
  <c r="H132"/>
  <c r="AE132"/>
  <c r="AD150" i="7"/>
  <c r="G150"/>
  <c r="AE150"/>
  <c r="AB32" i="1"/>
  <c r="CX43" i="3"/>
  <c r="DI43" s="1"/>
  <c r="D128" i="8"/>
  <c r="AD136"/>
  <c r="AE136"/>
  <c r="H127"/>
  <c r="AD154" i="7"/>
  <c r="C146"/>
  <c r="AE154"/>
  <c r="G145"/>
  <c r="CX16" i="3"/>
  <c r="AE94" i="8"/>
  <c r="H89"/>
  <c r="D69"/>
  <c r="AD94"/>
  <c r="H68"/>
  <c r="H78" s="1"/>
  <c r="G107" i="7"/>
  <c r="G86"/>
  <c r="G96" s="1"/>
  <c r="AE112"/>
  <c r="C87"/>
  <c r="AD112"/>
  <c r="R25" i="1"/>
  <c r="CZ25" s="1"/>
  <c r="Y25" s="1"/>
  <c r="F40" i="8"/>
  <c r="E58" i="7"/>
  <c r="DB76" i="3"/>
  <c r="I222" i="8"/>
  <c r="K222" s="1"/>
  <c r="H240" i="7"/>
  <c r="J240" s="1"/>
  <c r="I204" i="8"/>
  <c r="K204" s="1"/>
  <c r="H222" i="7"/>
  <c r="J222" s="1"/>
  <c r="I199" i="8"/>
  <c r="K199" s="1"/>
  <c r="H217" i="7"/>
  <c r="J217" s="1"/>
  <c r="DB67" i="3"/>
  <c r="I174" i="8"/>
  <c r="K174" s="1"/>
  <c r="H192" i="7"/>
  <c r="DG53" i="3"/>
  <c r="H152" i="8"/>
  <c r="DF53" i="3"/>
  <c r="G170" i="7"/>
  <c r="I151" i="8"/>
  <c r="K151" s="1"/>
  <c r="H169" i="7"/>
  <c r="J169" s="1"/>
  <c r="I150" i="8"/>
  <c r="H168" i="7"/>
  <c r="J168" s="1"/>
  <c r="H147" i="8"/>
  <c r="G165" i="7"/>
  <c r="CX48" i="3"/>
  <c r="K143" i="8"/>
  <c r="J161" i="7"/>
  <c r="I58" i="8"/>
  <c r="K58" s="1"/>
  <c r="DB12" i="3"/>
  <c r="H76" i="7"/>
  <c r="J76" s="1"/>
  <c r="M244" i="8"/>
  <c r="L262" i="7"/>
  <c r="K263" s="1"/>
  <c r="AE241" i="8"/>
  <c r="H234"/>
  <c r="H215"/>
  <c r="H223" s="1"/>
  <c r="AD241"/>
  <c r="H236"/>
  <c r="D217"/>
  <c r="H235"/>
  <c r="AE259" i="7"/>
  <c r="G252"/>
  <c r="G233"/>
  <c r="G245" s="1"/>
  <c r="AD259"/>
  <c r="G254"/>
  <c r="G253"/>
  <c r="C235"/>
  <c r="F111" i="8"/>
  <c r="E129" i="7"/>
  <c r="AZ245" i="8"/>
  <c r="AZ263" i="7"/>
  <c r="AB42" i="1"/>
  <c r="BZ45"/>
  <c r="BZ22" s="1"/>
  <c r="T41"/>
  <c r="F215" i="8"/>
  <c r="E233" i="7"/>
  <c r="I40" i="1"/>
  <c r="V40" s="1"/>
  <c r="BA187" i="8"/>
  <c r="BA205" i="7"/>
  <c r="M186" i="8"/>
  <c r="L204" i="7"/>
  <c r="K205" s="1"/>
  <c r="I205" s="1"/>
  <c r="T36" i="1"/>
  <c r="F162" i="8"/>
  <c r="E180" i="7"/>
  <c r="AB35" i="1"/>
  <c r="S33"/>
  <c r="CP33" s="1"/>
  <c r="O33" s="1"/>
  <c r="W33"/>
  <c r="T32"/>
  <c r="AB25"/>
  <c r="CU1" i="3"/>
  <c r="AE67" i="8"/>
  <c r="AD67"/>
  <c r="D41"/>
  <c r="H62"/>
  <c r="H40"/>
  <c r="H47" s="1"/>
  <c r="G58" i="7"/>
  <c r="G68" s="1"/>
  <c r="AE85"/>
  <c r="AD85"/>
  <c r="C59"/>
  <c r="G80"/>
  <c r="DB82" i="3"/>
  <c r="I233" i="8"/>
  <c r="K233" s="1"/>
  <c r="H251" i="7"/>
  <c r="J251" s="1"/>
  <c r="K228" i="8"/>
  <c r="J246" i="7"/>
  <c r="DB72" i="3"/>
  <c r="I207" i="8"/>
  <c r="K207" s="1"/>
  <c r="H225" i="7"/>
  <c r="J225" s="1"/>
  <c r="I205" i="8"/>
  <c r="DB70" i="3"/>
  <c r="H223" i="7"/>
  <c r="CX56" i="3"/>
  <c r="DB55"/>
  <c r="K166" i="8"/>
  <c r="J184" i="7"/>
  <c r="DB47" i="3"/>
  <c r="I145" i="8"/>
  <c r="K145" s="1"/>
  <c r="H163" i="7"/>
  <c r="DH45" i="3"/>
  <c r="CV44"/>
  <c r="U34" i="1" s="1"/>
  <c r="M157" i="8"/>
  <c r="AW157" s="1"/>
  <c r="L175" i="7"/>
  <c r="AN175" s="1"/>
  <c r="F95" i="8"/>
  <c r="E113" i="7"/>
  <c r="I231" i="8"/>
  <c r="K231" s="1"/>
  <c r="H249" i="7"/>
  <c r="K224" i="8"/>
  <c r="J242" i="7"/>
  <c r="DB68" i="3"/>
  <c r="K201" i="8"/>
  <c r="J219" i="7"/>
  <c r="I178" i="8"/>
  <c r="K178" s="1"/>
  <c r="H196" i="7"/>
  <c r="J196" s="1"/>
  <c r="K171" i="8"/>
  <c r="J189" i="7"/>
  <c r="DB58" i="3"/>
  <c r="CX57"/>
  <c r="DG57" s="1"/>
  <c r="H153" i="8"/>
  <c r="G171" i="7"/>
  <c r="DB53" i="3"/>
  <c r="I152" i="8"/>
  <c r="K152" s="1"/>
  <c r="H170" i="7"/>
  <c r="DF51" i="3"/>
  <c r="H151" i="8"/>
  <c r="G169" i="7"/>
  <c r="H150" i="8"/>
  <c r="G168" i="7"/>
  <c r="DB49" i="3"/>
  <c r="K147" i="8"/>
  <c r="J165" i="7"/>
  <c r="I146" i="8"/>
  <c r="K146" s="1"/>
  <c r="H164" i="7"/>
  <c r="J164" s="1"/>
  <c r="DF46" i="3"/>
  <c r="H143" i="8"/>
  <c r="G161" i="7"/>
  <c r="DB34" i="3"/>
  <c r="I104" i="8"/>
  <c r="K104" s="1"/>
  <c r="H122" i="7"/>
  <c r="J122" s="1"/>
  <c r="H70" i="8"/>
  <c r="G88" i="7"/>
  <c r="K43" i="8"/>
  <c r="DB1" i="3"/>
  <c r="J61" i="7"/>
  <c r="H102"/>
  <c r="H105"/>
  <c r="H106"/>
  <c r="J106" s="1"/>
  <c r="DB42" i="3"/>
  <c r="K130" i="8"/>
  <c r="DB40" i="3"/>
  <c r="I120" i="8"/>
  <c r="K120" s="1"/>
  <c r="CV36" i="3"/>
  <c r="U30" i="1" s="1"/>
  <c r="CW33" i="3"/>
  <c r="DB32"/>
  <c r="I101" i="8"/>
  <c r="K101" s="1"/>
  <c r="CV30" i="3"/>
  <c r="U28" i="1" s="1"/>
  <c r="CX24" i="3"/>
  <c r="DG24" s="1"/>
  <c r="DB23"/>
  <c r="I83" i="8"/>
  <c r="CX22" i="3"/>
  <c r="DB18"/>
  <c r="K74" i="8"/>
  <c r="DB13" i="3"/>
  <c r="I59" i="8"/>
  <c r="K59" s="1"/>
  <c r="CX11" i="3"/>
  <c r="DB10"/>
  <c r="I57" i="8"/>
  <c r="CX9" i="3"/>
  <c r="DI9" s="1"/>
  <c r="CX6"/>
  <c r="DG6" s="1"/>
  <c r="H67" i="7"/>
  <c r="J67" s="1"/>
  <c r="J75"/>
  <c r="H79"/>
  <c r="J79" s="1"/>
  <c r="H94"/>
  <c r="J94" s="1"/>
  <c r="J97"/>
  <c r="J101"/>
  <c r="J104"/>
  <c r="H121"/>
  <c r="G163"/>
  <c r="H195"/>
  <c r="J195" s="1"/>
  <c r="DB74" i="3"/>
  <c r="K219" i="8"/>
  <c r="DB66" i="3"/>
  <c r="K197" i="8"/>
  <c r="J215" i="7"/>
  <c r="DB60" i="3"/>
  <c r="K175" i="8"/>
  <c r="DB57" i="3"/>
  <c r="K169" i="8"/>
  <c r="I153"/>
  <c r="K153" s="1"/>
  <c r="H171" i="7"/>
  <c r="J171" s="1"/>
  <c r="DB38" i="3"/>
  <c r="I117" i="8"/>
  <c r="K117" s="1"/>
  <c r="CX34" i="3"/>
  <c r="DF34" s="1"/>
  <c r="CX20"/>
  <c r="CX17"/>
  <c r="DB16"/>
  <c r="K71" i="8"/>
  <c r="CX4" i="3"/>
  <c r="H71" i="7"/>
  <c r="J71" s="1"/>
  <c r="H119"/>
  <c r="J119" s="1"/>
  <c r="J148"/>
  <c r="G166"/>
  <c r="J193"/>
  <c r="CX42" i="3"/>
  <c r="CX40"/>
  <c r="CX37"/>
  <c r="DI37" s="1"/>
  <c r="DJ37" s="1"/>
  <c r="DB36"/>
  <c r="K114" i="8"/>
  <c r="CX32" i="3"/>
  <c r="DF32" s="1"/>
  <c r="DB28"/>
  <c r="CX28"/>
  <c r="DB27"/>
  <c r="I86" i="8"/>
  <c r="K86" s="1"/>
  <c r="CX26" i="3"/>
  <c r="DG26" s="1"/>
  <c r="DB22"/>
  <c r="I81" i="8"/>
  <c r="CX18" i="3"/>
  <c r="DB15"/>
  <c r="CX15"/>
  <c r="DB14"/>
  <c r="I60" i="8"/>
  <c r="K60" s="1"/>
  <c r="CX13" i="3"/>
  <c r="DB9"/>
  <c r="I56" i="8"/>
  <c r="K56" s="1"/>
  <c r="DB7" i="3"/>
  <c r="DB6"/>
  <c r="K51" i="8"/>
  <c r="CX2" i="3"/>
  <c r="J64" i="7"/>
  <c r="H73"/>
  <c r="J73" s="1"/>
  <c r="H74"/>
  <c r="J74" s="1"/>
  <c r="J92"/>
  <c r="H99"/>
  <c r="J99" s="1"/>
  <c r="J116"/>
  <c r="G136"/>
  <c r="H138"/>
  <c r="J138" s="1"/>
  <c r="J237"/>
  <c r="G241"/>
  <c r="I263"/>
  <c r="K77" i="8"/>
  <c r="J192" i="7"/>
  <c r="L298"/>
  <c r="L357"/>
  <c r="K57" i="8"/>
  <c r="K83"/>
  <c r="H118"/>
  <c r="K150"/>
  <c r="K61"/>
  <c r="K81"/>
  <c r="H200"/>
  <c r="H202"/>
  <c r="M271"/>
  <c r="M269" s="1"/>
  <c r="M339"/>
  <c r="M274"/>
  <c r="K87"/>
  <c r="H170"/>
  <c r="H172"/>
  <c r="K210"/>
  <c r="H198"/>
  <c r="M311"/>
  <c r="M302" s="1"/>
  <c r="J77" i="7"/>
  <c r="J163"/>
  <c r="J170"/>
  <c r="G216"/>
  <c r="G65"/>
  <c r="J105"/>
  <c r="J121"/>
  <c r="G188"/>
  <c r="G190"/>
  <c r="J228"/>
  <c r="AW261"/>
  <c r="L307"/>
  <c r="G70"/>
  <c r="G162"/>
  <c r="AW205"/>
  <c r="L292"/>
  <c r="J102"/>
  <c r="J206"/>
  <c r="G218"/>
  <c r="J249"/>
  <c r="AW263"/>
  <c r="L323"/>
  <c r="L320" s="1"/>
  <c r="AN106" i="8"/>
  <c r="AW175" i="7"/>
  <c r="AB36" i="1"/>
  <c r="CP37"/>
  <c r="O37" s="1"/>
  <c r="GM37" s="1"/>
  <c r="GN37" s="1"/>
  <c r="CP35"/>
  <c r="O35" s="1"/>
  <c r="AB27"/>
  <c r="AB24"/>
  <c r="DH53" i="3"/>
  <c r="DH46"/>
  <c r="AB40" i="1"/>
  <c r="AB29"/>
  <c r="AB28"/>
  <c r="DH51" i="3"/>
  <c r="AB39" i="1"/>
  <c r="AB33"/>
  <c r="AB31"/>
  <c r="CP29"/>
  <c r="O29" s="1"/>
  <c r="CZ42"/>
  <c r="Y42" s="1"/>
  <c r="CY42"/>
  <c r="X42" s="1"/>
  <c r="CP43"/>
  <c r="O43" s="1"/>
  <c r="GM43" s="1"/>
  <c r="GN43" s="1"/>
  <c r="CP38"/>
  <c r="O38" s="1"/>
  <c r="GM38" s="1"/>
  <c r="GN38" s="1"/>
  <c r="CP42"/>
  <c r="O42" s="1"/>
  <c r="AB41"/>
  <c r="DH16" i="3"/>
  <c r="DG16"/>
  <c r="DF16"/>
  <c r="DI16"/>
  <c r="DG62"/>
  <c r="DF62"/>
  <c r="DI62"/>
  <c r="DH62"/>
  <c r="DI60"/>
  <c r="DH60"/>
  <c r="DG60"/>
  <c r="DF60"/>
  <c r="DG54"/>
  <c r="DF54"/>
  <c r="DI54"/>
  <c r="DH54"/>
  <c r="DI52"/>
  <c r="DH52"/>
  <c r="DG52"/>
  <c r="DF52"/>
  <c r="DJ52" s="1"/>
  <c r="DG50"/>
  <c r="DF50"/>
  <c r="DI50"/>
  <c r="DH50"/>
  <c r="DI38"/>
  <c r="DF38"/>
  <c r="DG35"/>
  <c r="DF35"/>
  <c r="DJ35" s="1"/>
  <c r="DI35"/>
  <c r="DH35"/>
  <c r="AO45" i="1"/>
  <c r="CZ35"/>
  <c r="Y35" s="1"/>
  <c r="CV74" i="3"/>
  <c r="U41" i="1" s="1"/>
  <c r="CX66" i="3"/>
  <c r="DH55"/>
  <c r="DG55"/>
  <c r="DF55"/>
  <c r="DI55"/>
  <c r="DG56"/>
  <c r="DF56"/>
  <c r="DI56"/>
  <c r="DJ56" s="1"/>
  <c r="DH56"/>
  <c r="DI44"/>
  <c r="DH44"/>
  <c r="DG44"/>
  <c r="DF44"/>
  <c r="DI42"/>
  <c r="DH42"/>
  <c r="R32" i="1" s="1"/>
  <c r="DG42" i="3"/>
  <c r="Q32" i="1" s="1"/>
  <c r="DF42" i="3"/>
  <c r="P32" i="1" s="1"/>
  <c r="DI40" i="3"/>
  <c r="DH40"/>
  <c r="DG40"/>
  <c r="DF40"/>
  <c r="DH32"/>
  <c r="DI32"/>
  <c r="DG28"/>
  <c r="DF28"/>
  <c r="DI28"/>
  <c r="DH28"/>
  <c r="DI26"/>
  <c r="DI18"/>
  <c r="DH18"/>
  <c r="DG18"/>
  <c r="DF18"/>
  <c r="DG15"/>
  <c r="DF15"/>
  <c r="DI15"/>
  <c r="DH15"/>
  <c r="DI13"/>
  <c r="DI2"/>
  <c r="DJ2" s="1"/>
  <c r="DH2"/>
  <c r="DG2"/>
  <c r="DF2"/>
  <c r="CG45" i="1"/>
  <c r="BB45"/>
  <c r="AP45"/>
  <c r="AB34"/>
  <c r="AB30"/>
  <c r="CX76" i="3"/>
  <c r="CX73"/>
  <c r="CX71"/>
  <c r="CX68"/>
  <c r="CX74"/>
  <c r="CW77"/>
  <c r="CW79"/>
  <c r="CX82"/>
  <c r="CU74"/>
  <c r="CW76"/>
  <c r="CW78"/>
  <c r="CX80"/>
  <c r="CX77"/>
  <c r="CX79"/>
  <c r="CY29" i="1"/>
  <c r="X29" s="1"/>
  <c r="CZ29"/>
  <c r="Y29" s="1"/>
  <c r="DH49" i="3"/>
  <c r="DG49"/>
  <c r="DF49"/>
  <c r="DI49"/>
  <c r="DH34"/>
  <c r="DI34"/>
  <c r="DI20"/>
  <c r="DH20"/>
  <c r="DG20"/>
  <c r="DF20"/>
  <c r="DG17"/>
  <c r="DF17"/>
  <c r="DI17"/>
  <c r="DJ17" s="1"/>
  <c r="DH17"/>
  <c r="DI4"/>
  <c r="DH4"/>
  <c r="DG4"/>
  <c r="DF4"/>
  <c r="BC45" i="1"/>
  <c r="AU45"/>
  <c r="AQ45"/>
  <c r="AB26"/>
  <c r="CP25"/>
  <c r="O25" s="1"/>
  <c r="CX81" i="3"/>
  <c r="CX78"/>
  <c r="CX75"/>
  <c r="CW67"/>
  <c r="CV64"/>
  <c r="U39" i="1" s="1"/>
  <c r="CX72" i="3"/>
  <c r="CU64"/>
  <c r="CX65"/>
  <c r="CX67"/>
  <c r="CX70"/>
  <c r="DG43"/>
  <c r="DH36"/>
  <c r="DG36"/>
  <c r="DF36"/>
  <c r="DI36"/>
  <c r="DH47"/>
  <c r="DG47"/>
  <c r="DF47"/>
  <c r="DI47"/>
  <c r="DF24"/>
  <c r="DH22"/>
  <c r="DG11"/>
  <c r="DF11"/>
  <c r="DJ11" s="1"/>
  <c r="DI11"/>
  <c r="DH11"/>
  <c r="DH9"/>
  <c r="DI6"/>
  <c r="DF6"/>
  <c r="CI45" i="1"/>
  <c r="BD45"/>
  <c r="CX69" i="3"/>
  <c r="I31" i="1"/>
  <c r="CX64" i="3"/>
  <c r="CX58"/>
  <c r="DI53"/>
  <c r="DG51"/>
  <c r="DG48"/>
  <c r="DG46"/>
  <c r="DI45"/>
  <c r="DJ45" s="1"/>
  <c r="CU42"/>
  <c r="CX39"/>
  <c r="CX30"/>
  <c r="CX21"/>
  <c r="CX19"/>
  <c r="CX7"/>
  <c r="CX5"/>
  <c r="CX3"/>
  <c r="CV1"/>
  <c r="U24" i="1" s="1"/>
  <c r="CX63" i="3"/>
  <c r="CX59"/>
  <c r="CW57"/>
  <c r="CU55"/>
  <c r="CV42"/>
  <c r="U32" i="1" s="1"/>
  <c r="CW40" i="3"/>
  <c r="CW38"/>
  <c r="CU36"/>
  <c r="CX33"/>
  <c r="CX31"/>
  <c r="CX29"/>
  <c r="CX25"/>
  <c r="CW22"/>
  <c r="CW20"/>
  <c r="CW18"/>
  <c r="CU16"/>
  <c r="CX12"/>
  <c r="CX8"/>
  <c r="CW6"/>
  <c r="CW4"/>
  <c r="CX1"/>
  <c r="I27" i="1"/>
  <c r="T27" s="1"/>
  <c r="CW68" i="3"/>
  <c r="CW66"/>
  <c r="DI51"/>
  <c r="CW49"/>
  <c r="DI48"/>
  <c r="CW47"/>
  <c r="V34" i="1" s="1"/>
  <c r="DI46" i="3"/>
  <c r="CW34"/>
  <c r="CW32"/>
  <c r="V28" i="1" s="1"/>
  <c r="CX61" i="3"/>
  <c r="CW58"/>
  <c r="CX41"/>
  <c r="CW39"/>
  <c r="CX27"/>
  <c r="CX23"/>
  <c r="CW21"/>
  <c r="CW19"/>
  <c r="CX14"/>
  <c r="CX10"/>
  <c r="CW7"/>
  <c r="CW5"/>
  <c r="CW3"/>
  <c r="GM29" i="1" l="1"/>
  <c r="GN29" s="1"/>
  <c r="DI24" i="3"/>
  <c r="DG32"/>
  <c r="DH38"/>
  <c r="CY33" i="1"/>
  <c r="X33" s="1"/>
  <c r="AN207" i="7"/>
  <c r="H229" i="8"/>
  <c r="H75"/>
  <c r="DH6" i="3"/>
  <c r="CZ33" i="1"/>
  <c r="Y33" s="1"/>
  <c r="DG34" i="3"/>
  <c r="DH24"/>
  <c r="DG37"/>
  <c r="AN261" i="7"/>
  <c r="AW207"/>
  <c r="H80" i="8"/>
  <c r="H225"/>
  <c r="H227"/>
  <c r="H52"/>
  <c r="H50"/>
  <c r="AW124" i="7"/>
  <c r="AN263"/>
  <c r="G247"/>
  <c r="L289"/>
  <c r="L287" s="1"/>
  <c r="AT45" i="1"/>
  <c r="F63" s="1"/>
  <c r="H60" i="8"/>
  <c r="G78" i="7"/>
  <c r="H86" i="8"/>
  <c r="G104" i="7"/>
  <c r="H176" i="8"/>
  <c r="G194" i="7"/>
  <c r="R31" i="1"/>
  <c r="AE122" i="8"/>
  <c r="AD122"/>
  <c r="H122"/>
  <c r="AE140" i="7"/>
  <c r="AD140"/>
  <c r="G140"/>
  <c r="DJ24" i="3"/>
  <c r="M84" i="8"/>
  <c r="L102" i="7"/>
  <c r="M104" i="8"/>
  <c r="L122" i="7"/>
  <c r="M130" i="8"/>
  <c r="M129" s="1"/>
  <c r="L148" i="7"/>
  <c r="L147" s="1"/>
  <c r="M169" i="8"/>
  <c r="L187" i="7"/>
  <c r="M144" i="8"/>
  <c r="L162" i="7"/>
  <c r="H59" i="8"/>
  <c r="G77" i="7"/>
  <c r="H81" i="8"/>
  <c r="G99" i="7"/>
  <c r="H169" i="8"/>
  <c r="G187" i="7"/>
  <c r="H57" i="8"/>
  <c r="G75" i="7"/>
  <c r="H83" i="8"/>
  <c r="G101" i="7"/>
  <c r="H43" i="8"/>
  <c r="G61" i="7"/>
  <c r="H58" i="8"/>
  <c r="G76" i="7"/>
  <c r="H103" i="8"/>
  <c r="G121" i="7"/>
  <c r="H129" i="8"/>
  <c r="G147" i="7"/>
  <c r="H178" i="8"/>
  <c r="G196" i="7"/>
  <c r="H53" i="8"/>
  <c r="G71" i="7"/>
  <c r="H119" i="8"/>
  <c r="G137" i="7"/>
  <c r="M146" i="8"/>
  <c r="L164" i="7"/>
  <c r="H194" i="8"/>
  <c r="G212" i="7"/>
  <c r="W31" i="1"/>
  <c r="M51" i="8"/>
  <c r="L69" i="7"/>
  <c r="DG9" i="3"/>
  <c r="DG22"/>
  <c r="DF43"/>
  <c r="DJ43" s="1"/>
  <c r="H199" i="8"/>
  <c r="G217" i="7"/>
  <c r="H193" i="8"/>
  <c r="G211" i="7"/>
  <c r="H232" i="8"/>
  <c r="G250" i="7"/>
  <c r="M48" i="8"/>
  <c r="L66" i="7"/>
  <c r="M77" i="8"/>
  <c r="L95" i="7"/>
  <c r="AZ106" i="8"/>
  <c r="AZ124" i="7"/>
  <c r="H206" i="8"/>
  <c r="G224" i="7"/>
  <c r="DH13" i="3"/>
  <c r="DJ15"/>
  <c r="M61" i="8"/>
  <c r="L79" i="7"/>
  <c r="M75" i="8"/>
  <c r="L93" i="7"/>
  <c r="DH26" i="3"/>
  <c r="DJ28"/>
  <c r="M87" i="8"/>
  <c r="L105" i="7"/>
  <c r="M101" i="8"/>
  <c r="L119" i="7"/>
  <c r="DF37" i="3"/>
  <c r="M166" i="8"/>
  <c r="M165" s="1"/>
  <c r="L184" i="7"/>
  <c r="L183" s="1"/>
  <c r="AR203" s="1"/>
  <c r="H197" i="8"/>
  <c r="G215" i="7"/>
  <c r="DF57" i="3"/>
  <c r="DJ60"/>
  <c r="M175" i="8"/>
  <c r="L193" i="7"/>
  <c r="M71" i="8"/>
  <c r="M70" s="1"/>
  <c r="L89" i="7"/>
  <c r="L88" s="1"/>
  <c r="AR112" s="1"/>
  <c r="AZ132" i="8"/>
  <c r="AZ150" i="7"/>
  <c r="BA243" i="8"/>
  <c r="BA261" i="7"/>
  <c r="G243"/>
  <c r="G98"/>
  <c r="H61" i="8"/>
  <c r="G79" i="7"/>
  <c r="H87" i="8"/>
  <c r="G105" i="7"/>
  <c r="H104" i="8"/>
  <c r="G122" i="7"/>
  <c r="H51" i="8"/>
  <c r="G69" i="7"/>
  <c r="H84" i="8"/>
  <c r="G102" i="7"/>
  <c r="L245" i="8"/>
  <c r="J245" s="1"/>
  <c r="AW245"/>
  <c r="AN245"/>
  <c r="H71"/>
  <c r="G89" i="7"/>
  <c r="Q40" i="1"/>
  <c r="S40"/>
  <c r="H165" i="8"/>
  <c r="G183" i="7"/>
  <c r="H175" i="8"/>
  <c r="G193" i="7"/>
  <c r="H177" i="8"/>
  <c r="G195" i="7"/>
  <c r="AZ157" i="8"/>
  <c r="AZ175" i="7"/>
  <c r="AW189" i="8"/>
  <c r="AN189"/>
  <c r="L189"/>
  <c r="J189" s="1"/>
  <c r="H42"/>
  <c r="G60" i="7"/>
  <c r="M52" i="8"/>
  <c r="L70" i="7"/>
  <c r="M145" i="8"/>
  <c r="L163" i="7"/>
  <c r="M78" i="8"/>
  <c r="L96" i="7"/>
  <c r="H228" i="8"/>
  <c r="G246" i="7"/>
  <c r="H218" i="8"/>
  <c r="G236" i="7"/>
  <c r="H97" i="8"/>
  <c r="G115" i="7"/>
  <c r="AE210" i="8"/>
  <c r="AD210"/>
  <c r="H210"/>
  <c r="AE228" i="7"/>
  <c r="G228"/>
  <c r="AD228"/>
  <c r="H88" i="8"/>
  <c r="G106" i="7"/>
  <c r="H79" i="8"/>
  <c r="G97" i="7"/>
  <c r="H204" i="8"/>
  <c r="G222" i="7"/>
  <c r="DI22" i="3"/>
  <c r="DH43"/>
  <c r="M148" i="8"/>
  <c r="L166" i="7"/>
  <c r="H224" i="8"/>
  <c r="G242" i="7"/>
  <c r="H219" i="8"/>
  <c r="G237" i="7"/>
  <c r="H222" i="8"/>
  <c r="G240" i="7"/>
  <c r="DF13" i="3"/>
  <c r="DF26"/>
  <c r="DJ26" s="1"/>
  <c r="DH37"/>
  <c r="CY25" i="1"/>
  <c r="X25" s="1"/>
  <c r="GM25" s="1"/>
  <c r="GN25" s="1"/>
  <c r="GM35"/>
  <c r="GN35" s="1"/>
  <c r="BA157" i="8"/>
  <c r="BA175" i="7"/>
  <c r="M118" i="8"/>
  <c r="M116" s="1"/>
  <c r="L136" i="7"/>
  <c r="L134" s="1"/>
  <c r="DJ50" i="3"/>
  <c r="M150" i="8"/>
  <c r="L168" i="7"/>
  <c r="DJ54" i="3"/>
  <c r="M153" i="8"/>
  <c r="L171" i="7"/>
  <c r="DH57" i="3"/>
  <c r="DJ62"/>
  <c r="M177" i="8"/>
  <c r="L195" i="7"/>
  <c r="GM42" i="1"/>
  <c r="GN42" s="1"/>
  <c r="AN157" i="8"/>
  <c r="G93" i="7"/>
  <c r="AN205"/>
  <c r="AW150"/>
  <c r="H74" i="8"/>
  <c r="G92" i="7"/>
  <c r="H101" i="8"/>
  <c r="G119" i="7"/>
  <c r="H120" i="8"/>
  <c r="G138" i="7"/>
  <c r="H139" i="8"/>
  <c r="G157" i="7"/>
  <c r="AW187" i="8"/>
  <c r="AN187"/>
  <c r="L187"/>
  <c r="J187" s="1"/>
  <c r="P40" i="1"/>
  <c r="DF48" i="3"/>
  <c r="P34" i="1" s="1"/>
  <c r="H146" i="8"/>
  <c r="G164" i="7"/>
  <c r="DH48" i="3"/>
  <c r="DJ48" s="1"/>
  <c r="DJ53"/>
  <c r="M152" i="8"/>
  <c r="L170" i="7"/>
  <c r="AN132" i="8"/>
  <c r="AW132"/>
  <c r="H114"/>
  <c r="G132" i="7"/>
  <c r="GX40" i="1"/>
  <c r="H142" i="8"/>
  <c r="G160" i="7"/>
  <c r="H85" i="8"/>
  <c r="G103" i="7"/>
  <c r="H76" i="8"/>
  <c r="G94" i="7"/>
  <c r="M147" i="8"/>
  <c r="L165" i="7"/>
  <c r="M102" i="8"/>
  <c r="M100" s="1"/>
  <c r="L120" i="7"/>
  <c r="L118" s="1"/>
  <c r="M140" i="8"/>
  <c r="M139" s="1"/>
  <c r="L158" i="7"/>
  <c r="L157" s="1"/>
  <c r="M117" i="8"/>
  <c r="L135" i="7"/>
  <c r="H56" i="8"/>
  <c r="G74" i="7"/>
  <c r="H113" i="8"/>
  <c r="G131" i="7"/>
  <c r="H100" i="8"/>
  <c r="G118" i="7"/>
  <c r="H46" i="8"/>
  <c r="G64" i="7"/>
  <c r="H55" i="8"/>
  <c r="G73" i="7"/>
  <c r="H174" i="8"/>
  <c r="G192" i="7"/>
  <c r="H49" i="8"/>
  <c r="G67" i="7"/>
  <c r="H98" i="8"/>
  <c r="G116" i="7"/>
  <c r="DJ46" i="3"/>
  <c r="M143" i="8"/>
  <c r="L161" i="7"/>
  <c r="H171" i="8"/>
  <c r="G189" i="7"/>
  <c r="DF9" i="3"/>
  <c r="DF22"/>
  <c r="M114" i="8"/>
  <c r="M113" s="1"/>
  <c r="L132" i="7"/>
  <c r="L131" s="1"/>
  <c r="AR144" s="1"/>
  <c r="H205" i="8"/>
  <c r="G223" i="7"/>
  <c r="H207" i="8"/>
  <c r="G225" i="7"/>
  <c r="H226" i="8"/>
  <c r="G244" i="7"/>
  <c r="BA132" i="8"/>
  <c r="BA150" i="7"/>
  <c r="BA106" i="8"/>
  <c r="BA124" i="7"/>
  <c r="H231" i="8"/>
  <c r="G249" i="7"/>
  <c r="H233" i="8"/>
  <c r="G251" i="7"/>
  <c r="H201" i="8"/>
  <c r="G219" i="7"/>
  <c r="DG13" i="3"/>
  <c r="M74" i="8"/>
  <c r="L92" i="7"/>
  <c r="M120" i="8"/>
  <c r="L138" i="7"/>
  <c r="DI57" i="3"/>
  <c r="AZ243" i="8"/>
  <c r="AZ261" i="7"/>
  <c r="H130" i="8"/>
  <c r="G148" i="7"/>
  <c r="H48" i="8"/>
  <c r="G66" i="7"/>
  <c r="H77" i="8"/>
  <c r="G95" i="7"/>
  <c r="DJ51" i="3"/>
  <c r="M151" i="8"/>
  <c r="L169" i="7"/>
  <c r="T40" i="1"/>
  <c r="U40"/>
  <c r="L243" i="8"/>
  <c r="J243" s="1"/>
  <c r="AW243"/>
  <c r="AN243"/>
  <c r="H117"/>
  <c r="G135" i="7"/>
  <c r="R40" i="1"/>
  <c r="H166" i="8"/>
  <c r="G184" i="7"/>
  <c r="W40" i="1"/>
  <c r="M294" i="8"/>
  <c r="M343" s="1"/>
  <c r="M300"/>
  <c r="L312" i="7"/>
  <c r="L361" s="1"/>
  <c r="L318"/>
  <c r="DJ4" i="3"/>
  <c r="DJ20"/>
  <c r="DJ32"/>
  <c r="DH14"/>
  <c r="DG14"/>
  <c r="DF14"/>
  <c r="DI14"/>
  <c r="DH27"/>
  <c r="DG27"/>
  <c r="DF27"/>
  <c r="DI27"/>
  <c r="DH61"/>
  <c r="DG61"/>
  <c r="DF61"/>
  <c r="DI61"/>
  <c r="DF25"/>
  <c r="DI25"/>
  <c r="DH25"/>
  <c r="DG25"/>
  <c r="DG19"/>
  <c r="DF19"/>
  <c r="DI19"/>
  <c r="DH19"/>
  <c r="DJ36"/>
  <c r="DF70"/>
  <c r="DI70"/>
  <c r="DH70"/>
  <c r="DG70"/>
  <c r="DH72"/>
  <c r="DG72"/>
  <c r="DF72"/>
  <c r="DI72"/>
  <c r="DG75"/>
  <c r="DF75"/>
  <c r="DI75"/>
  <c r="DJ75" s="1"/>
  <c r="DH75"/>
  <c r="AQ22" i="1"/>
  <c r="F55"/>
  <c r="AQ78"/>
  <c r="DI71" i="3"/>
  <c r="DH71"/>
  <c r="DG71"/>
  <c r="DF71"/>
  <c r="CG22" i="1"/>
  <c r="AX45"/>
  <c r="DJ42" i="3"/>
  <c r="S32" i="1"/>
  <c r="CP32" s="1"/>
  <c r="O32" s="1"/>
  <c r="DJ44" i="3"/>
  <c r="S34" i="1"/>
  <c r="AO22"/>
  <c r="F49"/>
  <c r="AO78"/>
  <c r="V24"/>
  <c r="V39"/>
  <c r="Q31"/>
  <c r="T31"/>
  <c r="AG45" s="1"/>
  <c r="W27"/>
  <c r="V31"/>
  <c r="DH23" i="3"/>
  <c r="DG23"/>
  <c r="DF23"/>
  <c r="DI23"/>
  <c r="DF1"/>
  <c r="DI1"/>
  <c r="DH1"/>
  <c r="DG1"/>
  <c r="DF33"/>
  <c r="DI33"/>
  <c r="DH33"/>
  <c r="DG33"/>
  <c r="DF63"/>
  <c r="DI63"/>
  <c r="DH63"/>
  <c r="DG63"/>
  <c r="DG7"/>
  <c r="DF7"/>
  <c r="DI7"/>
  <c r="DH7"/>
  <c r="DG39"/>
  <c r="DF39"/>
  <c r="P30" i="1" s="1"/>
  <c r="DI39" i="3"/>
  <c r="S30" i="1" s="1"/>
  <c r="DH39" i="3"/>
  <c r="R30" i="1" s="1"/>
  <c r="DG64" i="3"/>
  <c r="DF64"/>
  <c r="DI64"/>
  <c r="DH64"/>
  <c r="CI22" i="1"/>
  <c r="AZ45"/>
  <c r="DF80" i="3"/>
  <c r="DI80"/>
  <c r="DH80"/>
  <c r="DG80"/>
  <c r="DH82"/>
  <c r="DG82"/>
  <c r="DF82"/>
  <c r="DI82"/>
  <c r="DH68"/>
  <c r="DG68"/>
  <c r="DF68"/>
  <c r="DI68"/>
  <c r="BB22" i="1"/>
  <c r="F58"/>
  <c r="BB78"/>
  <c r="DJ55" i="3"/>
  <c r="DH66"/>
  <c r="DG66"/>
  <c r="DF66"/>
  <c r="DI66"/>
  <c r="GX27" i="1"/>
  <c r="Q27"/>
  <c r="GM33"/>
  <c r="GN33" s="1"/>
  <c r="R34"/>
  <c r="U27"/>
  <c r="DH10" i="3"/>
  <c r="DG10"/>
  <c r="DF10"/>
  <c r="DI10"/>
  <c r="DF12"/>
  <c r="DI12"/>
  <c r="DH12"/>
  <c r="DG12"/>
  <c r="DH41"/>
  <c r="DG41"/>
  <c r="DF41"/>
  <c r="DJ41" s="1"/>
  <c r="DI41"/>
  <c r="DF8"/>
  <c r="DI8"/>
  <c r="DH8"/>
  <c r="DG8"/>
  <c r="DF31"/>
  <c r="DI31"/>
  <c r="DJ31" s="1"/>
  <c r="DH31"/>
  <c r="DG31"/>
  <c r="DF59"/>
  <c r="DI59"/>
  <c r="DH59"/>
  <c r="DG59"/>
  <c r="DG5"/>
  <c r="DF5"/>
  <c r="DI5"/>
  <c r="DH5"/>
  <c r="DG30"/>
  <c r="DF30"/>
  <c r="DI30"/>
  <c r="DH30"/>
  <c r="DG58"/>
  <c r="Q36" i="1" s="1"/>
  <c r="DF58" i="3"/>
  <c r="DI58"/>
  <c r="DH58"/>
  <c r="BD22" i="1"/>
  <c r="F70"/>
  <c r="BD78"/>
  <c r="DF65" i="3"/>
  <c r="DI65"/>
  <c r="DJ65" s="1"/>
  <c r="DH65"/>
  <c r="DG65"/>
  <c r="DI81"/>
  <c r="DH81"/>
  <c r="DG81"/>
  <c r="DF81"/>
  <c r="BC22" i="1"/>
  <c r="F61"/>
  <c r="BC78"/>
  <c r="DG77" i="3"/>
  <c r="DF77"/>
  <c r="DI77"/>
  <c r="DH77"/>
  <c r="DH74"/>
  <c r="DG74"/>
  <c r="DF74"/>
  <c r="DI74"/>
  <c r="DI76"/>
  <c r="DH76"/>
  <c r="DG76"/>
  <c r="DF76"/>
  <c r="AT22" i="1"/>
  <c r="S27"/>
  <c r="DJ47" i="3"/>
  <c r="Q30" i="1"/>
  <c r="R27"/>
  <c r="U31"/>
  <c r="S31"/>
  <c r="DJ18" i="3"/>
  <c r="DJ40"/>
  <c r="Q34" i="1"/>
  <c r="P27"/>
  <c r="GX31"/>
  <c r="DJ38" i="3"/>
  <c r="DJ57"/>
  <c r="DF29"/>
  <c r="DI29"/>
  <c r="DH29"/>
  <c r="DG29"/>
  <c r="DG3"/>
  <c r="DF3"/>
  <c r="DI3"/>
  <c r="DH3"/>
  <c r="DG21"/>
  <c r="DF21"/>
  <c r="DI21"/>
  <c r="S26" i="1" s="1"/>
  <c r="DH21" i="3"/>
  <c r="DG69"/>
  <c r="DF69"/>
  <c r="DI69"/>
  <c r="DH69"/>
  <c r="DF67"/>
  <c r="DI67"/>
  <c r="DH67"/>
  <c r="DG67"/>
  <c r="DI78"/>
  <c r="DH78"/>
  <c r="DG78"/>
  <c r="DF78"/>
  <c r="AU22" i="1"/>
  <c r="F64"/>
  <c r="C50" i="7" s="1"/>
  <c r="AU78" i="1"/>
  <c r="DG79" i="3"/>
  <c r="DF79"/>
  <c r="DI79"/>
  <c r="DH79"/>
  <c r="DG73"/>
  <c r="DF73"/>
  <c r="DJ73" s="1"/>
  <c r="DI73"/>
  <c r="DH73"/>
  <c r="AP22" i="1"/>
  <c r="F54"/>
  <c r="AP78"/>
  <c r="DJ16" i="3"/>
  <c r="V26" i="1"/>
  <c r="V30"/>
  <c r="V36"/>
  <c r="DJ6" i="3"/>
  <c r="DJ22"/>
  <c r="V27" i="1"/>
  <c r="P31"/>
  <c r="DJ34" i="3"/>
  <c r="DJ49"/>
  <c r="V41" i="1"/>
  <c r="AT78" l="1"/>
  <c r="F96" s="1"/>
  <c r="L160" i="7"/>
  <c r="AT179" s="1"/>
  <c r="H221" i="8"/>
  <c r="G239" i="7"/>
  <c r="M229" i="8"/>
  <c r="L247" i="7"/>
  <c r="M225" i="8"/>
  <c r="L243" i="7"/>
  <c r="M43" i="8"/>
  <c r="M42" s="1"/>
  <c r="L61" i="7"/>
  <c r="L60" s="1"/>
  <c r="DJ13" i="3"/>
  <c r="M59" i="8"/>
  <c r="L77" i="7"/>
  <c r="H116" i="8"/>
  <c r="G134" i="7"/>
  <c r="M227" i="8"/>
  <c r="L245" i="7"/>
  <c r="DJ69" i="3"/>
  <c r="M204" i="8"/>
  <c r="L222" i="7"/>
  <c r="P26" i="1"/>
  <c r="F16" i="2"/>
  <c r="C48" i="7"/>
  <c r="DJ76" i="3"/>
  <c r="M222" i="8"/>
  <c r="L240" i="7"/>
  <c r="DJ58" i="3"/>
  <c r="M171" i="8"/>
  <c r="L189" i="7"/>
  <c r="Q28" i="1"/>
  <c r="M49" i="8"/>
  <c r="L67" i="7"/>
  <c r="DJ59" i="3"/>
  <c r="M174" i="8"/>
  <c r="L192" i="7"/>
  <c r="DJ8" i="3"/>
  <c r="M55" i="8"/>
  <c r="L73" i="7"/>
  <c r="DJ12" i="3"/>
  <c r="M58" i="8"/>
  <c r="L76" i="7"/>
  <c r="DJ82" i="3"/>
  <c r="M233" i="8"/>
  <c r="L251" i="7"/>
  <c r="DJ39" i="3"/>
  <c r="M119" i="8"/>
  <c r="L137" i="7"/>
  <c r="DJ7" i="3"/>
  <c r="M53" i="8"/>
  <c r="L71" i="7"/>
  <c r="DJ63" i="3"/>
  <c r="M178" i="8"/>
  <c r="L196" i="7"/>
  <c r="DJ71" i="3"/>
  <c r="M206" i="8"/>
  <c r="L224" i="7"/>
  <c r="DJ72" i="3"/>
  <c r="M207" i="8"/>
  <c r="L225" i="7"/>
  <c r="DJ9" i="3"/>
  <c r="M56" i="8"/>
  <c r="L74" i="7"/>
  <c r="AR179"/>
  <c r="CP40" i="1"/>
  <c r="O40" s="1"/>
  <c r="M210" i="8"/>
  <c r="L228" i="7"/>
  <c r="M170" i="8"/>
  <c r="L188" i="7"/>
  <c r="L167"/>
  <c r="AW179" s="1"/>
  <c r="M115" i="8"/>
  <c r="AO126" s="1"/>
  <c r="AT126"/>
  <c r="CY40" i="1"/>
  <c r="X40" s="1"/>
  <c r="CZ40"/>
  <c r="Y40" s="1"/>
  <c r="AR94" i="8"/>
  <c r="AR185"/>
  <c r="M142"/>
  <c r="AR136"/>
  <c r="M133" s="1"/>
  <c r="M131"/>
  <c r="H168"/>
  <c r="G186" i="7"/>
  <c r="M226" i="8"/>
  <c r="L244" i="7"/>
  <c r="M76" i="8"/>
  <c r="L94" i="7"/>
  <c r="AT110" i="8"/>
  <c r="AT144" i="7"/>
  <c r="L133"/>
  <c r="L139" s="1"/>
  <c r="AR154"/>
  <c r="L151" s="1"/>
  <c r="L149"/>
  <c r="M79" i="8"/>
  <c r="L97" i="7"/>
  <c r="M46" i="8"/>
  <c r="L64" i="7"/>
  <c r="DJ29" i="3"/>
  <c r="M88" i="8"/>
  <c r="L106" i="7"/>
  <c r="M223" i="8"/>
  <c r="L241" i="7"/>
  <c r="M50" i="8"/>
  <c r="L68" i="7"/>
  <c r="M197" i="8"/>
  <c r="L215" i="7"/>
  <c r="AR161" i="8"/>
  <c r="M149"/>
  <c r="AW161" s="1"/>
  <c r="M81"/>
  <c r="L99" i="7"/>
  <c r="M200" i="8"/>
  <c r="L218" i="7"/>
  <c r="M219" i="8"/>
  <c r="M218" s="1"/>
  <c r="L237" i="7"/>
  <c r="L236" s="1"/>
  <c r="DJ25" i="3"/>
  <c r="M85" i="8"/>
  <c r="L103" i="7"/>
  <c r="H73" i="8"/>
  <c r="G91" i="7"/>
  <c r="G16" i="2"/>
  <c r="C49" i="7"/>
  <c r="M172" i="8"/>
  <c r="L190" i="7"/>
  <c r="M201" i="8"/>
  <c r="L219" i="7"/>
  <c r="M103" i="8"/>
  <c r="M99" s="1"/>
  <c r="AO110" s="1"/>
  <c r="L121" i="7"/>
  <c r="L117" s="1"/>
  <c r="AO128" s="1"/>
  <c r="H196" i="8"/>
  <c r="G214" i="7"/>
  <c r="DJ61" i="3"/>
  <c r="M176" i="8"/>
  <c r="L194" i="7"/>
  <c r="DJ27" i="3"/>
  <c r="M86" i="8"/>
  <c r="L104" i="7"/>
  <c r="DJ14" i="3"/>
  <c r="M60" i="8"/>
  <c r="L78" i="7"/>
  <c r="L141"/>
  <c r="CP31" i="1"/>
  <c r="O31" s="1"/>
  <c r="M122" i="8"/>
  <c r="L140" i="7"/>
  <c r="M228" i="8"/>
  <c r="L246" i="7"/>
  <c r="M199" i="8"/>
  <c r="L217" i="7"/>
  <c r="R26" i="1"/>
  <c r="CZ26" s="1"/>
  <c r="Y26" s="1"/>
  <c r="M80" i="8"/>
  <c r="M73" s="1"/>
  <c r="L98" i="7"/>
  <c r="L91" s="1"/>
  <c r="M47" i="8"/>
  <c r="M45" s="1"/>
  <c r="L65" i="7"/>
  <c r="L63" s="1"/>
  <c r="R36" i="1"/>
  <c r="M224" i="8"/>
  <c r="L242" i="7"/>
  <c r="DJ81" i="3"/>
  <c r="M232" i="8"/>
  <c r="L250" i="7"/>
  <c r="S36" i="1"/>
  <c r="M98" i="8"/>
  <c r="M97" s="1"/>
  <c r="L116" i="7"/>
  <c r="L115" s="1"/>
  <c r="DJ10" i="3"/>
  <c r="M57" i="8"/>
  <c r="L75" i="7"/>
  <c r="M198" i="8"/>
  <c r="L216" i="7"/>
  <c r="M202" i="8"/>
  <c r="L220" i="7"/>
  <c r="DJ80" i="3"/>
  <c r="M231" i="8"/>
  <c r="L249" i="7"/>
  <c r="M194" i="8"/>
  <c r="M193" s="1"/>
  <c r="L212" i="7"/>
  <c r="L211" s="1"/>
  <c r="DJ23" i="3"/>
  <c r="M83" i="8"/>
  <c r="L101" i="7"/>
  <c r="AJ45" i="1"/>
  <c r="H45" i="8"/>
  <c r="G63" i="7"/>
  <c r="DJ70" i="3"/>
  <c r="M205" i="8"/>
  <c r="L223" i="7"/>
  <c r="AR126" i="8"/>
  <c r="M123" s="1"/>
  <c r="M121"/>
  <c r="AT128" i="7"/>
  <c r="CP34" i="1"/>
  <c r="O34" s="1"/>
  <c r="DJ21" i="3"/>
  <c r="DJ3"/>
  <c r="AH45" i="1"/>
  <c r="U45" s="1"/>
  <c r="DJ66" i="3"/>
  <c r="DJ68"/>
  <c r="DJ33"/>
  <c r="DJ78"/>
  <c r="P36" i="1"/>
  <c r="CP36" s="1"/>
  <c r="O36" s="1"/>
  <c r="P28"/>
  <c r="AG22"/>
  <c r="T45"/>
  <c r="CZ36"/>
  <c r="Y36" s="1"/>
  <c r="CY36"/>
  <c r="X36" s="1"/>
  <c r="CZ30"/>
  <c r="Y30" s="1"/>
  <c r="CY30"/>
  <c r="X30" s="1"/>
  <c r="AU18"/>
  <c r="F97"/>
  <c r="CZ31"/>
  <c r="Y31" s="1"/>
  <c r="GM31" s="1"/>
  <c r="GN31" s="1"/>
  <c r="CY31"/>
  <c r="X31" s="1"/>
  <c r="BD18"/>
  <c r="F103"/>
  <c r="DJ30" i="3"/>
  <c r="S28" i="1"/>
  <c r="BB18"/>
  <c r="F91"/>
  <c r="AJ22"/>
  <c r="W45"/>
  <c r="R41"/>
  <c r="DJ77" i="3"/>
  <c r="CJ45" i="1"/>
  <c r="Q39"/>
  <c r="P24"/>
  <c r="AT18"/>
  <c r="AZ22"/>
  <c r="F56"/>
  <c r="AZ78"/>
  <c r="DJ1" i="3"/>
  <c r="S24" i="1"/>
  <c r="CZ32"/>
  <c r="Y32" s="1"/>
  <c r="CY32"/>
  <c r="X32" s="1"/>
  <c r="AQ18"/>
  <c r="F88"/>
  <c r="DJ79" i="3"/>
  <c r="DJ67"/>
  <c r="CP27" i="1"/>
  <c r="O27" s="1"/>
  <c r="Q41"/>
  <c r="R28"/>
  <c r="Q26"/>
  <c r="P39"/>
  <c r="DJ19" i="3"/>
  <c r="DJ64"/>
  <c r="S39" i="1"/>
  <c r="AO18"/>
  <c r="F82"/>
  <c r="P41"/>
  <c r="DJ5" i="3"/>
  <c r="R24" i="1"/>
  <c r="AP18"/>
  <c r="F87"/>
  <c r="CZ27"/>
  <c r="Y27" s="1"/>
  <c r="CY27"/>
  <c r="X27" s="1"/>
  <c r="DJ74" i="3"/>
  <c r="S41" i="1"/>
  <c r="BC18"/>
  <c r="F94"/>
  <c r="CY34"/>
  <c r="X34" s="1"/>
  <c r="CZ34"/>
  <c r="Y34" s="1"/>
  <c r="AX22"/>
  <c r="AX78"/>
  <c r="F52"/>
  <c r="CP30"/>
  <c r="O30" s="1"/>
  <c r="R39"/>
  <c r="Q24"/>
  <c r="AI45"/>
  <c r="M54" i="8" l="1"/>
  <c r="AW67" s="1"/>
  <c r="CP28" i="1"/>
  <c r="O28" s="1"/>
  <c r="L100" i="7"/>
  <c r="AW112" s="1"/>
  <c r="L159"/>
  <c r="L174" s="1"/>
  <c r="L239"/>
  <c r="L238" s="1"/>
  <c r="L248"/>
  <c r="AW259" s="1"/>
  <c r="L176"/>
  <c r="AT112"/>
  <c r="L109" s="1"/>
  <c r="L90"/>
  <c r="BA94" i="8"/>
  <c r="M93" s="1"/>
  <c r="BA112" i="7"/>
  <c r="L111" s="1"/>
  <c r="AT94" i="8"/>
  <c r="M72"/>
  <c r="AR67"/>
  <c r="CP26" i="1"/>
  <c r="O26" s="1"/>
  <c r="AZ122" i="8"/>
  <c r="AZ140" i="7"/>
  <c r="CY26" i="1"/>
  <c r="X26" s="1"/>
  <c r="AZ185" i="8"/>
  <c r="M183" s="1"/>
  <c r="AZ203" i="7"/>
  <c r="L201" s="1"/>
  <c r="AT67" i="8"/>
  <c r="M44"/>
  <c r="AO67" s="1"/>
  <c r="AN140" i="7"/>
  <c r="AW140"/>
  <c r="AR241" i="8"/>
  <c r="M221"/>
  <c r="AO144" i="7"/>
  <c r="AZ210" i="8"/>
  <c r="AZ228" i="7"/>
  <c r="AW210" i="8"/>
  <c r="AN210"/>
  <c r="L221" i="7"/>
  <c r="AW232" s="1"/>
  <c r="BA136" i="8"/>
  <c r="M135" s="1"/>
  <c r="BA154" i="7"/>
  <c r="L153" s="1"/>
  <c r="BA126" i="8"/>
  <c r="BA144" i="7"/>
  <c r="AR214" i="8"/>
  <c r="AT259" i="7"/>
  <c r="GM40" i="1"/>
  <c r="GN40" s="1"/>
  <c r="BA210" i="8"/>
  <c r="BA228" i="7"/>
  <c r="AN228"/>
  <c r="AW228"/>
  <c r="GM30" i="1"/>
  <c r="GN30" s="1"/>
  <c r="BA161" i="8"/>
  <c r="M160" s="1"/>
  <c r="BA179" i="7"/>
  <c r="L178" s="1"/>
  <c r="BA122" i="8"/>
  <c r="M125" s="1"/>
  <c r="BA140" i="7"/>
  <c r="BA185" i="8"/>
  <c r="M184" s="1"/>
  <c r="BA203" i="7"/>
  <c r="L202" s="1"/>
  <c r="M230" i="8"/>
  <c r="AW241" s="1"/>
  <c r="L214" i="7"/>
  <c r="AW122" i="8"/>
  <c r="AN122"/>
  <c r="AO179" i="7"/>
  <c r="M82" i="8"/>
  <c r="AW94" s="1"/>
  <c r="M91"/>
  <c r="L186" i="7"/>
  <c r="L191"/>
  <c r="AW203" s="1"/>
  <c r="M203" i="8"/>
  <c r="AW214" s="1"/>
  <c r="GM32" i="1"/>
  <c r="GN32" s="1"/>
  <c r="M105" i="8"/>
  <c r="AR110"/>
  <c r="M107" s="1"/>
  <c r="L62" i="7"/>
  <c r="AO85" s="1"/>
  <c r="AT85"/>
  <c r="AR259"/>
  <c r="M141" i="8"/>
  <c r="AT161"/>
  <c r="M158" s="1"/>
  <c r="AZ161"/>
  <c r="M159" s="1"/>
  <c r="AZ179" i="7"/>
  <c r="L177" s="1"/>
  <c r="AZ136" i="8"/>
  <c r="M134" s="1"/>
  <c r="AZ154" i="7"/>
  <c r="L152" s="1"/>
  <c r="AZ126" i="8"/>
  <c r="AZ144" i="7"/>
  <c r="AR232"/>
  <c r="AR128"/>
  <c r="L125" s="1"/>
  <c r="L123"/>
  <c r="M196" i="8"/>
  <c r="M168"/>
  <c r="L72" i="7"/>
  <c r="AW85" s="1"/>
  <c r="M173" i="8"/>
  <c r="AW185" s="1"/>
  <c r="AR85" i="7"/>
  <c r="AH22" i="1"/>
  <c r="AD45"/>
  <c r="Q45" s="1"/>
  <c r="GM34"/>
  <c r="GN34" s="1"/>
  <c r="GM36"/>
  <c r="GN36" s="1"/>
  <c r="CP24"/>
  <c r="O24" s="1"/>
  <c r="AC45"/>
  <c r="U22"/>
  <c r="U78"/>
  <c r="F67"/>
  <c r="CP39"/>
  <c r="O39" s="1"/>
  <c r="GM27"/>
  <c r="GN27" s="1"/>
  <c r="AI22"/>
  <c r="V45"/>
  <c r="AZ18"/>
  <c r="F89"/>
  <c r="T22"/>
  <c r="F66"/>
  <c r="T78"/>
  <c r="AE45"/>
  <c r="AX18"/>
  <c r="F85"/>
  <c r="CJ22"/>
  <c r="BA45"/>
  <c r="CZ41"/>
  <c r="Y41" s="1"/>
  <c r="CY41"/>
  <c r="X41" s="1"/>
  <c r="CZ39"/>
  <c r="Y39" s="1"/>
  <c r="CY39"/>
  <c r="X39" s="1"/>
  <c r="CZ24"/>
  <c r="Y24" s="1"/>
  <c r="CY24"/>
  <c r="X24" s="1"/>
  <c r="AF45"/>
  <c r="W22"/>
  <c r="W78"/>
  <c r="F69"/>
  <c r="CY28"/>
  <c r="X28" s="1"/>
  <c r="CZ28"/>
  <c r="Y28" s="1"/>
  <c r="CP41"/>
  <c r="O41" s="1"/>
  <c r="M262" i="8" l="1"/>
  <c r="M260" s="1"/>
  <c r="M63"/>
  <c r="M124"/>
  <c r="L126" s="1"/>
  <c r="J126" s="1"/>
  <c r="K179" i="7"/>
  <c r="I179" s="1"/>
  <c r="L255"/>
  <c r="GM26" i="1"/>
  <c r="GN26" s="1"/>
  <c r="L143" i="7"/>
  <c r="L81"/>
  <c r="AN179"/>
  <c r="AO161" i="8"/>
  <c r="AN161"/>
  <c r="M156"/>
  <c r="L161"/>
  <c r="J161" s="1"/>
  <c r="AT232" i="7"/>
  <c r="L213"/>
  <c r="L256"/>
  <c r="M253" i="8"/>
  <c r="M324"/>
  <c r="M64"/>
  <c r="H347"/>
  <c r="K47" i="7"/>
  <c r="G365"/>
  <c r="M167" i="8"/>
  <c r="AT185"/>
  <c r="M182" s="1"/>
  <c r="AN154" i="7"/>
  <c r="K154"/>
  <c r="I154" s="1"/>
  <c r="M333" i="8"/>
  <c r="M331" s="1"/>
  <c r="AT203" i="7"/>
  <c r="L200" s="1"/>
  <c r="L185"/>
  <c r="M220" i="8"/>
  <c r="AT241"/>
  <c r="M238" s="1"/>
  <c r="AZ94"/>
  <c r="M92" s="1"/>
  <c r="AN94" s="1"/>
  <c r="AZ112" i="7"/>
  <c r="L110" s="1"/>
  <c r="K112" s="1"/>
  <c r="I112" s="1"/>
  <c r="AO94" i="8"/>
  <c r="M90"/>
  <c r="AO112" i="7"/>
  <c r="AN112"/>
  <c r="L108"/>
  <c r="BA110" i="8"/>
  <c r="M109" s="1"/>
  <c r="BA128" i="7"/>
  <c r="L127" s="1"/>
  <c r="AZ214" i="8"/>
  <c r="M212" s="1"/>
  <c r="AZ232" i="7"/>
  <c r="L230" s="1"/>
  <c r="L280"/>
  <c r="L278" s="1"/>
  <c r="L351"/>
  <c r="L349" s="1"/>
  <c r="AO259"/>
  <c r="AZ110" i="8"/>
  <c r="M108" s="1"/>
  <c r="AZ128" i="7"/>
  <c r="L126" s="1"/>
  <c r="BA214" i="8"/>
  <c r="M213" s="1"/>
  <c r="BA232" i="7"/>
  <c r="L231" s="1"/>
  <c r="AZ67" i="8"/>
  <c r="AZ85" i="7"/>
  <c r="AZ241" i="8"/>
  <c r="M239" s="1"/>
  <c r="AZ259" i="7"/>
  <c r="L257" s="1"/>
  <c r="L82"/>
  <c r="K45"/>
  <c r="L342"/>
  <c r="L354"/>
  <c r="L271"/>
  <c r="GM41" i="1"/>
  <c r="GN41" s="1"/>
  <c r="BA67" i="8"/>
  <c r="BA85" i="7"/>
  <c r="BA241" i="8"/>
  <c r="M240" s="1"/>
  <c r="BA259" i="7"/>
  <c r="L258" s="1"/>
  <c r="AT214" i="8"/>
  <c r="M211" s="1"/>
  <c r="M195"/>
  <c r="L229" i="7"/>
  <c r="L136" i="8"/>
  <c r="J136" s="1"/>
  <c r="AN136"/>
  <c r="K259" i="7"/>
  <c r="I259" s="1"/>
  <c r="AN126" i="8"/>
  <c r="L142" i="7"/>
  <c r="GM28" i="1"/>
  <c r="GN28" s="1"/>
  <c r="AD22"/>
  <c r="AF22"/>
  <c r="S45"/>
  <c r="V22"/>
  <c r="F68"/>
  <c r="V78"/>
  <c r="GM24"/>
  <c r="AB45"/>
  <c r="Q22"/>
  <c r="F57"/>
  <c r="Q78"/>
  <c r="T18"/>
  <c r="F99"/>
  <c r="AC22"/>
  <c r="P45"/>
  <c r="CE45"/>
  <c r="CH45"/>
  <c r="CF45"/>
  <c r="GM39"/>
  <c r="GN39" s="1"/>
  <c r="W18"/>
  <c r="F102"/>
  <c r="AE22"/>
  <c r="R45"/>
  <c r="BA22"/>
  <c r="F65"/>
  <c r="H16" i="2" s="1"/>
  <c r="BA78" i="1"/>
  <c r="U18"/>
  <c r="F100"/>
  <c r="AL45"/>
  <c r="AK45"/>
  <c r="AN259" i="7" l="1"/>
  <c r="L347"/>
  <c r="L84"/>
  <c r="L356"/>
  <c r="L285"/>
  <c r="L276"/>
  <c r="AN110" i="8"/>
  <c r="L110"/>
  <c r="J110" s="1"/>
  <c r="M258"/>
  <c r="AO185"/>
  <c r="M327" s="1"/>
  <c r="M325" s="1"/>
  <c r="M322" s="1"/>
  <c r="M181"/>
  <c r="L185"/>
  <c r="J185" s="1"/>
  <c r="AN185"/>
  <c r="M265"/>
  <c r="M336"/>
  <c r="AN128" i="7"/>
  <c r="K128"/>
  <c r="I128" s="1"/>
  <c r="AO241" i="8"/>
  <c r="M256" s="1"/>
  <c r="M254" s="1"/>
  <c r="M251" s="1"/>
  <c r="AN241"/>
  <c r="M237"/>
  <c r="L241"/>
  <c r="J241" s="1"/>
  <c r="AN144" i="7"/>
  <c r="K144"/>
  <c r="I144" s="1"/>
  <c r="M66" i="8"/>
  <c r="M338"/>
  <c r="M267"/>
  <c r="L284" i="7"/>
  <c r="L355"/>
  <c r="L83"/>
  <c r="L94" i="8"/>
  <c r="J94" s="1"/>
  <c r="M329"/>
  <c r="AO214"/>
  <c r="M209"/>
  <c r="L214"/>
  <c r="J214" s="1"/>
  <c r="AN214"/>
  <c r="AO232" i="7"/>
  <c r="K232"/>
  <c r="I232" s="1"/>
  <c r="AN232"/>
  <c r="L227"/>
  <c r="H348" i="8"/>
  <c r="K48" i="7"/>
  <c r="G366"/>
  <c r="L283"/>
  <c r="M65" i="8"/>
  <c r="M266"/>
  <c r="M337"/>
  <c r="K46" i="7"/>
  <c r="AO203"/>
  <c r="AN203"/>
  <c r="L199"/>
  <c r="K203"/>
  <c r="I203" s="1"/>
  <c r="AK22" i="1"/>
  <c r="X45"/>
  <c r="BA18"/>
  <c r="F98"/>
  <c r="CF22"/>
  <c r="AW45"/>
  <c r="V18"/>
  <c r="F101"/>
  <c r="R22"/>
  <c r="R78"/>
  <c r="F59"/>
  <c r="P22"/>
  <c r="F48"/>
  <c r="P78"/>
  <c r="Q18"/>
  <c r="F90"/>
  <c r="GN24"/>
  <c r="CB45" s="1"/>
  <c r="CA45"/>
  <c r="S22"/>
  <c r="S78"/>
  <c r="F60"/>
  <c r="CE22"/>
  <c r="AV45"/>
  <c r="AB22"/>
  <c r="O45"/>
  <c r="AL22"/>
  <c r="Y45"/>
  <c r="CH22"/>
  <c r="AY45"/>
  <c r="M249" i="8" l="1"/>
  <c r="M320" s="1"/>
  <c r="J16" i="2"/>
  <c r="AN85" i="7"/>
  <c r="K85"/>
  <c r="I85" s="1"/>
  <c r="L274"/>
  <c r="L272" s="1"/>
  <c r="L269" s="1"/>
  <c r="L267" s="1"/>
  <c r="L338" s="1"/>
  <c r="L345"/>
  <c r="L343" s="1"/>
  <c r="L340" s="1"/>
  <c r="L67" i="8"/>
  <c r="J67" s="1"/>
  <c r="AN67"/>
  <c r="CB22" i="1"/>
  <c r="AS45"/>
  <c r="AY22"/>
  <c r="F53"/>
  <c r="AY78"/>
  <c r="O22"/>
  <c r="O78"/>
  <c r="F47"/>
  <c r="R18"/>
  <c r="F92"/>
  <c r="AW22"/>
  <c r="AW78"/>
  <c r="F51"/>
  <c r="F75" s="1"/>
  <c r="X22"/>
  <c r="F71"/>
  <c r="X78"/>
  <c r="CA22"/>
  <c r="AR45"/>
  <c r="Y22"/>
  <c r="F72"/>
  <c r="Y78"/>
  <c r="P18"/>
  <c r="F81"/>
  <c r="AV22"/>
  <c r="F50"/>
  <c r="AV78"/>
  <c r="S18"/>
  <c r="F93"/>
  <c r="AY18" l="1"/>
  <c r="F86"/>
  <c r="AR22"/>
  <c r="F73"/>
  <c r="AR78"/>
  <c r="AS22"/>
  <c r="F62"/>
  <c r="AS78"/>
  <c r="Y18"/>
  <c r="F105"/>
  <c r="O18"/>
  <c r="F80"/>
  <c r="AV18"/>
  <c r="F83"/>
  <c r="X18"/>
  <c r="F104"/>
  <c r="AW18"/>
  <c r="F84"/>
  <c r="F108" s="1"/>
  <c r="E16" i="2" l="1"/>
  <c r="I16" s="1"/>
  <c r="N16" s="1"/>
  <c r="C47" i="7"/>
  <c r="C44" s="1"/>
  <c r="AR18" i="1"/>
  <c r="F106"/>
  <c r="AS18"/>
  <c r="F95"/>
  <c r="F74"/>
  <c r="F76"/>
  <c r="F109" l="1"/>
  <c r="F107"/>
</calcChain>
</file>

<file path=xl/sharedStrings.xml><?xml version="1.0" encoding="utf-8"?>
<sst xmlns="http://schemas.openxmlformats.org/spreadsheetml/2006/main" count="4262" uniqueCount="564">
  <si>
    <t>Smeta.RU  (495) 974-1589</t>
  </si>
  <si>
    <t>_PS_</t>
  </si>
  <si>
    <t>Smeta.RU</t>
  </si>
  <si>
    <t/>
  </si>
  <si>
    <t>Новый объект</t>
  </si>
  <si>
    <t>Ремонт крыльца</t>
  </si>
  <si>
    <t>Сметные нормы списания</t>
  </si>
  <si>
    <t>Коды ценников</t>
  </si>
  <si>
    <t>ФСНБ-2022_И17</t>
  </si>
  <si>
    <t>Версия 1.17.0 для ФСНБ-2022 И17</t>
  </si>
  <si>
    <t>ФСНБ-2022 - Изменения И17</t>
  </si>
  <si>
    <t>Поправки для ФСНБ-2022 от 25.02.2026 г И17 (55/пр) Строительство</t>
  </si>
  <si>
    <t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t>
  </si>
  <si>
    <t>ГСН</t>
  </si>
  <si>
    <t>Новая локальная смета</t>
  </si>
  <si>
    <t>1</t>
  </si>
  <si>
    <t>68-02-004-20</t>
  </si>
  <si>
    <t>Разборка тротуаров: из природных материалов (плиты гранитные) на цементно-песчаном монтажном слое толщиной 50 мм</t>
  </si>
  <si>
    <t>100 м2</t>
  </si>
  <si>
    <t>ГЭСНр-2022 доп.16, 68-02-004-20, приказ Минстроя России от 12.11.2025 г. № 696/пр</t>
  </si>
  <si>
    <t>Ремонтно-строительные работы</t>
  </si>
  <si>
    <t>Благоустройство</t>
  </si>
  <si>
    <t>рФЕР-68</t>
  </si>
  <si>
    <t>Пр/812-102.0-1</t>
  </si>
  <si>
    <t>Пр/774-102.0</t>
  </si>
  <si>
    <t>1,1</t>
  </si>
  <si>
    <t>01.7.17.06</t>
  </si>
  <si>
    <t>Диск отрезной алмазный</t>
  </si>
  <si>
    <t>ШТ</t>
  </si>
  <si>
    <t>2</t>
  </si>
  <si>
    <t>68-02-004-18</t>
  </si>
  <si>
    <t>Разборка тротуаров: из мелкоштучных искусственных материалов (брусчатка) на цементно-песчаном монтажном слое толщиной 50 мм</t>
  </si>
  <si>
    <t>ГЭСНр-2022 доп.16, 68-02-004-18, приказ Минстроя России от 12.11.2025 г. № 696/пр</t>
  </si>
  <si>
    <t>2,1</t>
  </si>
  <si>
    <t>3</t>
  </si>
  <si>
    <t>63-03-001-02</t>
  </si>
  <si>
    <t>Разборка облицовки стен: из гранитных плит</t>
  </si>
  <si>
    <t>ГЭСНр-2022 доп.3, 63-03-001-02, приказ Минстроя России от 26.10.2022 г. № 905/пр</t>
  </si>
  <si>
    <t>Стекольные, обойные и облицовочные работы</t>
  </si>
  <si>
    <t>Стекольные, обойные, облицовочные работы</t>
  </si>
  <si>
    <t>рФЕР-63</t>
  </si>
  <si>
    <t>Пр/812-097.0-1</t>
  </si>
  <si>
    <t>Пр/774-097.0</t>
  </si>
  <si>
    <t>3,1</t>
  </si>
  <si>
    <t>999-9900</t>
  </si>
  <si>
    <t>Строительный мусор</t>
  </si>
  <si>
    <t>т</t>
  </si>
  <si>
    <t>4</t>
  </si>
  <si>
    <t>57-01-002-04</t>
  </si>
  <si>
    <t>Разборка покрытий полов: цементных толщиной 150 мм</t>
  </si>
  <si>
    <t>ГЭСНр-2022 доп.3, 57-01-002-04, приказ Минстроя России от 26.10.2022 г. № 905/пр</t>
  </si>
  <si>
    <t>Полы</t>
  </si>
  <si>
    <t>рФЕР-57</t>
  </si>
  <si>
    <t>Пр/812-091.0-1</t>
  </si>
  <si>
    <t>Пр/774-091.0</t>
  </si>
  <si>
    <t>4,1</t>
  </si>
  <si>
    <t>5</t>
  </si>
  <si>
    <t>57-01-002-09</t>
  </si>
  <si>
    <t>Добавлять или исключать на каждые 5 мм изменения толщины покрытия к норме 57-01-002-04</t>
  </si>
  <si>
    <t>ГЭСНр-2022 доп.3, 57-01-002-09, приказ Минстроя России от 26.10.2022 г. № 905/пр</t>
  </si>
  <si>
    <t>*10</t>
  </si>
  <si>
    <t>5,1</t>
  </si>
  <si>
    <t>6</t>
  </si>
  <si>
    <t>06-01-004-01</t>
  </si>
  <si>
    <t>Устройство: бетонных ступеней</t>
  </si>
  <si>
    <t>м3</t>
  </si>
  <si>
    <t>ГЭСН-2022 доп.16, 06-01-004-01, приказ Минстроя России от 12.11.2025 г. № 696/пр</t>
  </si>
  <si>
    <t>*1,25</t>
  </si>
  <si>
    <t>*1,15</t>
  </si>
  <si>
    <t>Общестроительные работы</t>
  </si>
  <si>
    <t>Бетонные и железобетонные монолитные конструкции и работы в строительстве</t>
  </si>
  <si>
    <t>ФЕР-06</t>
  </si>
  <si>
    <t>Поправка: 571/пр_2022_п.67_пп.б</t>
  </si>
  <si>
    <t>Пр/812-006.0-1</t>
  </si>
  <si>
    <t>Пр/774-006.0</t>
  </si>
  <si>
    <t>6,1</t>
  </si>
  <si>
    <t>04.1.02.05-0132</t>
  </si>
  <si>
    <t>Смеси бетонные тяжелого бетона (БСТ) на щебне из гравия, класс В15, F(1)150, W4</t>
  </si>
  <si>
    <t>ФСБЦ-2022 доп.14, 04.1.02.05-0132, приказ Минстроя России от 19.05.2025 г. № 299/пр</t>
  </si>
  <si>
    <t>7</t>
  </si>
  <si>
    <t>15-01-026-01</t>
  </si>
  <si>
    <t>Облицовка наружных стен крупноразмерными многоцветными керамогранитными плитами на цементном растворе с затиркой швов: цементным раствором</t>
  </si>
  <si>
    <t>ГЭСН-2022 доп.13, 15-01-026-01, приказ Минстроя России от 07.02.2025 г. № 69/пр</t>
  </si>
  <si>
    <t>Отделочные работы</t>
  </si>
  <si>
    <t>ФЕР-15</t>
  </si>
  <si>
    <t>Пр/812-015.0-1</t>
  </si>
  <si>
    <t>Пр/774-015.0</t>
  </si>
  <si>
    <t>8</t>
  </si>
  <si>
    <t>04.3.01.09-0015</t>
  </si>
  <si>
    <t>Раствор готовый кладочный, цементный, М150</t>
  </si>
  <si>
    <t>ФСБЦ-2022, 04.3.01.09-0015, приказ Минстроя России от 18.05.2022 г. № 378/пр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</si>
  <si>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</si>
  <si>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</si>
  <si>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</si>
  <si>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9</t>
  </si>
  <si>
    <t>13.2.01.01-1253</t>
  </si>
  <si>
    <t>Плита гранитная облицовочная полированная, месторождение Кашина гора, размеры 300х600 мм, толщина 20 мм</t>
  </si>
  <si>
    <t>м2</t>
  </si>
  <si>
    <t>ФСБЦ-2022 доп.4, 13.2.01.01-1253, приказ Минстроя России от 27.12.2022 г. № 1133/пр</t>
  </si>
  <si>
    <t>10</t>
  </si>
  <si>
    <t>11-01-031-09</t>
  </si>
  <si>
    <t>Устройство покрытий из гранитных плит при количестве плит на 1 м2: свыше 4 до 10 шт.</t>
  </si>
  <si>
    <t>ГЭСН-2022 доп.7, 11-01-031-09, приказ Минстроя России от 02.08.2023 г. № 551/пр</t>
  </si>
  <si>
    <t>ФЕР-11</t>
  </si>
  <si>
    <t>Пр/812-011.0-1</t>
  </si>
  <si>
    <t>Пр/774-011.0</t>
  </si>
  <si>
    <t>10,1</t>
  </si>
  <si>
    <t>11</t>
  </si>
  <si>
    <t>15-01-045-01</t>
  </si>
  <si>
    <t>Облицовка ступеней керамогранитными плитками толщиной до 15 мм</t>
  </si>
  <si>
    <t>ГЭСН-2022, 15-01-045-01, приказ Минстроя России от 18.05.2022 г. № 378/пр</t>
  </si>
  <si>
    <t>12</t>
  </si>
  <si>
    <t>13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</si>
  <si>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</si>
  <si>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</si>
  <si>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</si>
  <si>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</si>
  <si>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</si>
  <si>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</si>
  <si>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</si>
  <si>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</si>
  <si>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</si>
  <si>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</si>
  <si>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</si>
  <si>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</si>
  <si>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</si>
  <si>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</si>
  <si>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</si>
  <si>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</si>
  <si>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</si>
  <si>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</si>
  <si>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</si>
  <si>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</si>
  <si>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</si>
  <si>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</si>
  <si>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</si>
  <si>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</si>
  <si>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</si>
  <si>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</si>
  <si>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</si>
  <si>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</si>
  <si>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</si>
  <si>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</si>
  <si>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</si>
  <si>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</si>
  <si>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</si>
  <si>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</si>
  <si>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</si>
  <si>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</si>
  <si>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</si>
  <si>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</si>
  <si>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</si>
  <si>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</si>
  <si>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</si>
  <si>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</si>
  <si>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</si>
  <si>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</si>
  <si>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</si>
  <si>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</si>
  <si>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</si>
  <si>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</si>
  <si>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</si>
  <si>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</si>
  <si>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</si>
  <si>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</si>
  <si>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</si>
  <si>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</si>
  <si>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И</t>
  </si>
  <si>
    <t>Итого</t>
  </si>
  <si>
    <t>КНДС</t>
  </si>
  <si>
    <t>Компенсация НДС 22% при УСН за материалы, оборудование, машины и механизмы</t>
  </si>
  <si>
    <t>В</t>
  </si>
  <si>
    <t>ВСЕГО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</si>
  <si>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</si>
  <si>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</si>
  <si>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</si>
  <si>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</si>
  <si>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</si>
  <si>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</si>
  <si>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</si>
  <si>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</si>
  <si>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</si>
  <si>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</si>
  <si>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</si>
  <si>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</si>
  <si>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</si>
  <si>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</si>
  <si>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</si>
  <si>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</si>
  <si>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</si>
  <si>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</si>
  <si>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</si>
  <si>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СТНДРТ</t>
  </si>
  <si>
    <t>При определении сметной стоимости строительства объектов капитального строительства (за исключением АЭС).</t>
  </si>
  <si>
    <t>АЭС_ПНР</t>
  </si>
  <si>
    <t>При определении сметной стоимости строительства объектов капитального строительства АЭС. Пусконаладочные работы (за исключением технологического оборудования АЭС).</t>
  </si>
  <si>
    <t>АЭС</t>
  </si>
  <si>
    <t>АЭС_ПНР_ТЕХ</t>
  </si>
  <si>
    <t>При определении сметной стоимости строительства объектов капитального строительства АЭС. Пусконаладочные работы технологического оборудования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</si>
  <si>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</si>
  <si>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АЭС, ПНР технологического оборудования АЭС.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</si>
  <si>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</si>
  <si>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ВОЛОКОННО-ОПТИЧЕСКИХ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</si>
  <si>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</si>
  <si>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</si>
  <si>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</si>
  <si>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ДИСПЕТЧЕРИЗАЦИИ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</si>
  <si>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</si>
  <si>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авиатранспорта</t>
  </si>
  <si>
    <t>ЗАКР</t>
  </si>
  <si>
    <t>{вкл}   -  Обслуживающие и сопутствующие работы в тоннелях при  производстве работ ЗАКРЫТЫМ СПОСОБОМ   {выкл} - Обслуживающие и сопутствующие работы в тоннелях при  производстве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</si>
  <si>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</si>
  <si>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</si>
  <si>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АВТО_ДРГ</t>
  </si>
  <si>
    <t>{вкл} - НР и СП по п.021.0 "Автомобильные дороги" (раздел 2 нормы 27-02-010-01:07)  {выкл} - НР и СП по п.021.1 Устройство покрытий дорожек, тротуаров, мостовых и площадок и прочее (раздел 2 нормы 27-02-010-01:07)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</si>
  <si>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</si>
  <si>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</si>
  <si>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</si>
  <si>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</si>
  <si>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</si>
  <si>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</si>
  <si>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</si>
  <si>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</si>
  <si>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</si>
  <si>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</si>
  <si>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</si>
  <si>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</si>
  <si>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</si>
  <si>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</si>
  <si>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</si>
  <si>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</si>
  <si>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</si>
  <si>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</si>
  <si>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</si>
  <si>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</si>
  <si>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</si>
  <si>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</si>
  <si>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</si>
  <si>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</si>
  <si>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ТЦ</t>
  </si>
  <si>
    <t>Сборник индексов</t>
  </si>
  <si>
    <t>Чувашская Республика к ФСНБ-2022 ФГИС ЦС</t>
  </si>
  <si>
    <t>Письмо Минстроя России  «О размещении индексов изменения сметной стоимости строительства по группам однородных строительных ресурсов на I квартал 2026 года»</t>
  </si>
  <si>
    <t>Справочная информация</t>
  </si>
  <si>
    <t>Письмо Минстроя России от 25.02.2026 № 9859-ИФ/09</t>
  </si>
  <si>
    <t>Постановление Кабинета Министров Чувашской Республики</t>
  </si>
  <si>
    <t>Постановление Кабинета Министров Чувашской Республики от 22.04.2025 г. № 213</t>
  </si>
  <si>
    <t>Вид цен</t>
  </si>
  <si>
    <t>Чувашская Республика, КТЦ к ФСНБ-2022, 1 квартал 2026 г</t>
  </si>
  <si>
    <t>_OBSM_</t>
  </si>
  <si>
    <t>1-100-25</t>
  </si>
  <si>
    <t>Средний разряд работы 2,5</t>
  </si>
  <si>
    <t>чел.-ч.</t>
  </si>
  <si>
    <t>4-100-00</t>
  </si>
  <si>
    <t>Затраты труда машинистов</t>
  </si>
  <si>
    <t>91.06.05-059</t>
  </si>
  <si>
    <t>ФСЭМ-2022, 91.06.05-059, приказ Минстроя России от 18.05.2022 г. № 378/пр</t>
  </si>
  <si>
    <t>Погрузчики одноковшовые универсальные фронтальные пневмоколесные, номинальная вместимость основного ковша 2,3 м3, грузоподъемность 4 т</t>
  </si>
  <si>
    <t>маш.-ч</t>
  </si>
  <si>
    <t>4-100-050</t>
  </si>
  <si>
    <t>91.08.06-003</t>
  </si>
  <si>
    <t>ФСЭМ-2022, 91.08.06-003, приказ Минстроя России от 18.05.2022 г. № 378/пр</t>
  </si>
  <si>
    <t>Нарезчики швов, максимальная глубина резки 200 мм, мощность 9 кВт (12 л.с.)</t>
  </si>
  <si>
    <t>91.13.01-024</t>
  </si>
  <si>
    <t>ФСЭМ-2022, 91.13.01-024, приказ Минстроя России от 18.05.2022 г. № 378/пр</t>
  </si>
  <si>
    <t>Машины коммунально-уборочные, емкость бака 340 л, мощность 80 кВт (102 л.с.)</t>
  </si>
  <si>
    <t>4-100-040</t>
  </si>
  <si>
    <t>91.18.01-007</t>
  </si>
  <si>
    <t>ФСЭМ-2022 доп.13, 91.18.01-007, приказ Минстроя России от 07.02.2025 г. № 69/пр</t>
  </si>
  <si>
    <t>Компрессоры винтовые передвижные с двигателем внутреннего сгорания, давление до 0,7 МПа (7 атм), производительность до 5,4 м3/мин</t>
  </si>
  <si>
    <t>91.21.10-004</t>
  </si>
  <si>
    <t>ФСЭМ-2022 доп.11, 91.21.10-004, приказ Минстроя России от 07.11.2024 г. № 747/пр</t>
  </si>
  <si>
    <t>Молотки чеканочные при работе от передвижных компрессорных установок</t>
  </si>
  <si>
    <t>01.7.02.07-0021</t>
  </si>
  <si>
    <t>ФСБЦ-2022, 01.7.02.07-0021, приказ Минстроя России от 18.05.2022 г. № 378/пр</t>
  </si>
  <si>
    <t>Уголок картонный защитный</t>
  </si>
  <si>
    <t>м</t>
  </si>
  <si>
    <t>01.7.03.01-0001</t>
  </si>
  <si>
    <t>ФСБЦ-2022, 01.7.03.01-0001, приказ Минстроя России от 18.05.2022 г. № 378/пр</t>
  </si>
  <si>
    <t>Вода</t>
  </si>
  <si>
    <t>01.7.07.12-0024</t>
  </si>
  <si>
    <t>ФСБЦ-2022, 01.7.07.12-0024, приказ Минстроя России от 18.05.2022 г. № 378/пр</t>
  </si>
  <si>
    <t>Пленка полиэтиленовая, толщина 0,15 мм</t>
  </si>
  <si>
    <t>08.3.02.01-0041</t>
  </si>
  <si>
    <t>ФСБЦ-2022, 08.3.02.01-0041, приказ Минстроя России от 18.05.2022 г. № 378/пр</t>
  </si>
  <si>
    <t>Ленты стальные упаковочные, мягкие, нормальной точности по толщине и ширине 0,7х20-50 мм</t>
  </si>
  <si>
    <t>11.1.03.05-0066</t>
  </si>
  <si>
    <t>ФСБЦ-2022, 11.1.03.05-0066, приказ Минстроя России от 18.05.2022 г. № 378/пр</t>
  </si>
  <si>
    <t>Доска необрезная хвойных пород, естественной влажности, длина 2-6,5 м, ширина 100-250, толщина 30-50 мм, сорт IV</t>
  </si>
  <si>
    <t>11.2.04.06-0061</t>
  </si>
  <si>
    <t>ФСБЦ-2022, 11.2.04.06-0061, приказ Минстроя России от 18.05.2022 г. № 378/пр</t>
  </si>
  <si>
    <t>Поддон деревянный (евро), размеры 1200х800 мм</t>
  </si>
  <si>
    <t>12.2.01.01-0021</t>
  </si>
  <si>
    <t>ФСБЦ-2022, 12.2.01.01-0021, приказ Минстроя России от 18.05.2022 г. № 378/пр</t>
  </si>
  <si>
    <t>Клипсы (зажимы)</t>
  </si>
  <si>
    <t>100 ШТ</t>
  </si>
  <si>
    <t>1-100-24</t>
  </si>
  <si>
    <t>Средний разряд работы 2,4</t>
  </si>
  <si>
    <t>1-100-21</t>
  </si>
  <si>
    <t>Средний разряд работы 2,1</t>
  </si>
  <si>
    <t>91.06.06-048</t>
  </si>
  <si>
    <t>ФСЭМ-2022, 91.06.06-048, приказ Минстроя России от 18.05.2022 г. № 378/пр</t>
  </si>
  <si>
    <t>Подъемники одномачтовые, грузоподъемность до 500 кг, высота подъема 45 м</t>
  </si>
  <si>
    <t>4-100-030</t>
  </si>
  <si>
    <t>91.18.01-508</t>
  </si>
  <si>
    <t>ФСЭМ-2022 доп.3, 91.18.01-508, приказ Минстроя России от 26.10.2022 г. № 905/пр</t>
  </si>
  <si>
    <t>Компрессоры винтовые передвижные с электродвигателем, давление до 1 МПа (10 атм), производительность до 5 м3/мин</t>
  </si>
  <si>
    <t>91.21.10-002</t>
  </si>
  <si>
    <t>ФСЭМ-2022, 91.21.10-002, приказ Минстроя России от 18.05.2022 г. № 378/пр</t>
  </si>
  <si>
    <t>Молотки отбойные пневматические при работе от передвижных компрессоров</t>
  </si>
  <si>
    <t>1-100-30</t>
  </si>
  <si>
    <t>Средний разряд работы 3,0</t>
  </si>
  <si>
    <t>91.05.05-015</t>
  </si>
  <si>
    <t>ФСЭМ-2022, 91.05.05-015, приказ Минстроя России от 18.05.2022 г. № 378/пр</t>
  </si>
  <si>
    <t>Краны на автомобильном ходу, грузоподъемность 16 т</t>
  </si>
  <si>
    <t>4-100-060</t>
  </si>
  <si>
    <t>91.07.04-001</t>
  </si>
  <si>
    <t>ФСЭМ-2022 доп.4, 91.07.04-001, приказ Минстроя России от 27.12.2022 г. № 1133/пр</t>
  </si>
  <si>
    <t>Вибраторы глубинные</t>
  </si>
  <si>
    <t>91.07.04-002</t>
  </si>
  <si>
    <t>ФСЭМ-2022 доп.4, 91.07.04-002, приказ Минстроя России от 27.12.2022 г. № 1133/пр</t>
  </si>
  <si>
    <t>Вибраторы поверхностные</t>
  </si>
  <si>
    <t>91.14.02-001</t>
  </si>
  <si>
    <t>ФСЭМ-2022 доп.7, 91.14.02-001, приказ Минстроя России от 02.08.2023 г. № 551/пр</t>
  </si>
  <si>
    <t>Автомобили бортовые, грузоподъемность до 5 т</t>
  </si>
  <si>
    <t>01.7.12.05-0053</t>
  </si>
  <si>
    <t>ФСБЦ-2022, 01.7.12.05-0053, приказ Минстроя России от 18.05.2022 г. № 378/пр</t>
  </si>
  <si>
    <t>Геополотно нетканое полиэфирное, иглопробивное, поверхностная плотность 200 г/м2</t>
  </si>
  <si>
    <t>11.1.03.01-0063</t>
  </si>
  <si>
    <t>ФСБЦ-2022 доп.2, 11.1.03.01-0063, приказ Минстроя России от 26.08.2022 г. № 703/пр</t>
  </si>
  <si>
    <t>Бруски обрезные хвойных пород (ель, сосна), естественной влажности, длина 2-6,5 м, ширина 20-90 мм, толщина 20-90 мм, сорт III</t>
  </si>
  <si>
    <t>11.1.03.06-0079</t>
  </si>
  <si>
    <t>ФСБЦ-2022 доп.4, 11.1.03.06-0079, приказ Минстроя России от 27.12.2022 г. № 1133/пр</t>
  </si>
  <si>
    <t>Доска обрезная хвойных пород, естественной влажности, длина 2-6,5 м, ширина 100-250 мм, толщина 44-50 мм, сорт III</t>
  </si>
  <si>
    <t>1-100-33</t>
  </si>
  <si>
    <t>Средний разряд работы 3,3</t>
  </si>
  <si>
    <t>91.06.05-016</t>
  </si>
  <si>
    <t>ФСЭМ-2022, 91.06.05-016, приказ Минстроя России от 18.05.2022 г. № 378/пр</t>
  </si>
  <si>
    <t>Автопогрузчики вилочные, грузоподъемность 5 т</t>
  </si>
  <si>
    <t>01.7.03.04-0001</t>
  </si>
  <si>
    <t>ФСБЦ-2022, 01.7.03.04-0001, приказ Минстроя России от 18.05.2022 г. № 378/пр</t>
  </si>
  <si>
    <t>Электроэнергия</t>
  </si>
  <si>
    <t>КВТ-Ч</t>
  </si>
  <si>
    <t>01.7.15.06-0111</t>
  </si>
  <si>
    <t>ФСБЦ-2022, 01.7.15.06-0111, приказ Минстроя России от 18.05.2022 г. № 378/пр</t>
  </si>
  <si>
    <t>Гвозди строительные</t>
  </si>
  <si>
    <t>01.7.20.08-0051</t>
  </si>
  <si>
    <t>ФСБЦ-2022 доп.8, 01.7.20.08-0051, приказ Минстроя России от 14.11.2023 г. № 817/пр</t>
  </si>
  <si>
    <t>Ветошь хлопчатобумажная цветная</t>
  </si>
  <si>
    <t>кг</t>
  </si>
  <si>
    <t>14.4.01.15-0002</t>
  </si>
  <si>
    <t>ФСБЦ-2022, 14.4.01.15-0002, приказ Минстроя России от 18.05.2022 г. № 378/пр</t>
  </si>
  <si>
    <t>Грунтовка акриловая на латексной основе для гипсовых стяжек, штукатурок и плиточных клеев</t>
  </si>
  <si>
    <t>91.06.05-011</t>
  </si>
  <si>
    <t>ФСЭМ-2022, 91.06.05-011, приказ Минстроя России от 18.05.2022 г. № 378/пр</t>
  </si>
  <si>
    <t>Погрузчики одноковшовые универсальные фронтальные пневмоколесные, номинальная вместимость основного ковша 2,6 м3, грузоподъемность 5 т</t>
  </si>
  <si>
    <t>02.3.01.02-1118</t>
  </si>
  <si>
    <t>ФСБЦ-2022, 02.3.01.02-1118, приказ Минстроя России от 18.05.2022 г. № 378/пр</t>
  </si>
  <si>
    <t>Песок природный для строительных работ II класс, средний</t>
  </si>
  <si>
    <t>04.3.01.09-0016</t>
  </si>
  <si>
    <t>ФСБЦ-2022, 04.3.01.09-0016, приказ Минстроя России от 18.05.2022 г. № 378/пр</t>
  </si>
  <si>
    <t>Раствор готовый кладочный, цементный, М200</t>
  </si>
  <si>
    <t>1-100-36</t>
  </si>
  <si>
    <t>Средний разряд работы 3,6</t>
  </si>
  <si>
    <t>91.05.01-016</t>
  </si>
  <si>
    <t>ФСЭМ-2022, 91.05.01-016, приказ Минстроя России от 18.05.2022 г. № 378/пр</t>
  </si>
  <si>
    <t>Краны башенные, грузоподъемность 5 т</t>
  </si>
  <si>
    <t>91.07.08-024</t>
  </si>
  <si>
    <t>ФСЭМ-2022, 91.07.08-024, приказ Минстроя России от 18.05.2022 г. № 378/пр</t>
  </si>
  <si>
    <t>Растворосмесители передвижные, объем барабана 65 л</t>
  </si>
  <si>
    <t>04.3.02.09-0102</t>
  </si>
  <si>
    <t>ФСБЦ-2022, 04.3.02.09-0102, приказ Минстроя России от 18.05.2022 г. № 378/пр</t>
  </si>
  <si>
    <t>Смеси сухие водостойкие для затирки межплиточных швов шириной 1-6 мм (различная цветовая гамма)</t>
  </si>
  <si>
    <t>01.7.16.04</t>
  </si>
  <si>
    <t>Опалубка инвентарная (амортизация)</t>
  </si>
  <si>
    <t>КОМПЛ</t>
  </si>
  <si>
    <t>04.1.02.05</t>
  </si>
  <si>
    <t>Смеси бетонные тяжелого бетона</t>
  </si>
  <si>
    <t>01.7.17.06-0091</t>
  </si>
  <si>
    <t>ФСБЦ-2022 доп.4, 01.7.17.06-0091, приказ Минстроя России от 27.12.2022 г. № 1133/пр</t>
  </si>
  <si>
    <t>Круг отрезной плоский, размеры 125х2,5х22 мм</t>
  </si>
  <si>
    <t>04.3.01.09</t>
  </si>
  <si>
    <t>Растворы на цементном вяжущем</t>
  </si>
  <si>
    <t>06.2.05.03</t>
  </si>
  <si>
    <t>Плиты керамогранитные крупноразмерные</t>
  </si>
  <si>
    <t>13.2.01.01</t>
  </si>
  <si>
    <t>Изделия из натурального камня</t>
  </si>
  <si>
    <t>Плитки керамогранитные</t>
  </si>
  <si>
    <t>11.2.04.05</t>
  </si>
  <si>
    <t>Рейки деревянные</t>
  </si>
  <si>
    <t>14.1.06.02</t>
  </si>
  <si>
    <t>Клей для облицовочных работ (сухая смесь)</t>
  </si>
  <si>
    <t>571/пр_2022_п.67_пп.б</t>
  </si>
  <si>
    <t>Применение сметных норм, включенных в сборники ГЭСН, при определении сметных затрат на работы по капитальному ремонту и реконструкции объектов капитального строительства, аналогичные технологическим процессам в новом строительстве</t>
  </si>
  <si>
    <t>Методика применения сметных норм 571/пр (О.П.)</t>
  </si>
  <si>
    <t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t>
  </si>
  <si>
    <t>Поправка: 571/пр_2022_п.67_пп.б Наименование: Применение сметных норм, включенных в сборники ГЭСН, при определении сметных затрат на работы по капитальному ремонту и реконструкции объектов капитального строительства, аналогичные технологическим процессам в новом строительстве</t>
  </si>
  <si>
    <t>"СОГЛАСОВАНО"</t>
  </si>
  <si>
    <t>"УТВЕРЖДАЮ"</t>
  </si>
  <si>
    <t>"_____"________________ 2026 г.</t>
  </si>
  <si>
    <t>Наименование программного продукта</t>
  </si>
  <si>
    <t>Наименование редакции сметных нормативов</t>
  </si>
  <si>
    <t>Реквизиты приказа Минстроя России об утверждении дополнений и изменений к сметным нормативам</t>
  </si>
  <si>
    <t xml:space="preserve"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N 326/пр 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</si>
  <si>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N 1452</t>
  </si>
  <si>
    <t>Обоснование принятых текущих цен на строительные ресурсы</t>
  </si>
  <si>
    <t>Наименование субъекта Российской Федерации</t>
  </si>
  <si>
    <t>Наименование зоны субъекта Российской Федерации</t>
  </si>
  <si>
    <t>(наименование стройки)</t>
  </si>
  <si>
    <t>(наименование работ и затрат)</t>
  </si>
  <si>
    <t>Составлен</t>
  </si>
  <si>
    <t>методом</t>
  </si>
  <si>
    <t>Основание</t>
  </si>
  <si>
    <t>(проектная и (или) иная техническая документация)</t>
  </si>
  <si>
    <t>Сметная стоимость</t>
  </si>
  <si>
    <t>тыс. руб.</t>
  </si>
  <si>
    <t>Средства на оплату труда рабочих</t>
  </si>
  <si>
    <t>в том числе:</t>
  </si>
  <si>
    <t>Средства на оплату труда машинистов</t>
  </si>
  <si>
    <t>строительных работ</t>
  </si>
  <si>
    <t xml:space="preserve">Нормативные затраты труда рабочих 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</si>
  <si>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</si>
  <si>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</si>
  <si>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</si>
  <si>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</si>
  <si>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</si>
  <si>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</si>
  <si>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</si>
  <si>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</si>
  <si>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</si>
  <si>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</si>
  <si>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</si>
  <si>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</si>
  <si>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</si>
  <si>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</si>
  <si>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</si>
  <si>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</si>
  <si>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</si>
  <si>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Программа для ЭВМ «Программа: «Smeta.RU» версия 12»</t>
  </si>
  <si>
    <t>ФГИС ЦС, конъюнктурный анализ</t>
  </si>
  <si>
    <t>Ресурсно-индексным</t>
  </si>
  <si>
    <t>Составлен(а) в текущем уровне цен на I квартал 2026 года</t>
  </si>
  <si>
    <t>ГЭСНр 68-02-004-20</t>
  </si>
  <si>
    <t>ОТ (ЗТ)</t>
  </si>
  <si>
    <t>ЭМ</t>
  </si>
  <si>
    <t>ОТм(ЗТм) Средний разряд машинистов 5</t>
  </si>
  <si>
    <t>ОТм(ЗТм) Средний разряд машинистов 4</t>
  </si>
  <si>
    <t>ОТм(ЗТм)</t>
  </si>
  <si>
    <t>М</t>
  </si>
  <si>
    <t>Итого прямые затраты</t>
  </si>
  <si>
    <t>ФОТ</t>
  </si>
  <si>
    <t>НР Благоустройство</t>
  </si>
  <si>
    <t>%</t>
  </si>
  <si>
    <t>СП Благоустройство</t>
  </si>
  <si>
    <t>Всего по позиции</t>
  </si>
  <si>
    <t>=</t>
  </si>
  <si>
    <t>ГЭСНр 68-02-004-18</t>
  </si>
  <si>
    <t>ГЭСНр 63-03-001-02</t>
  </si>
  <si>
    <t>ОТм(ЗТм) Средний разряд машинистов 3</t>
  </si>
  <si>
    <t>3.1</t>
  </si>
  <si>
    <t>НР Стекольные, обойные, облицовочные работы</t>
  </si>
  <si>
    <t>СП Стекольные, обойные, облицовочные работы</t>
  </si>
  <si>
    <t>ГЭСНр 57-01-002-04</t>
  </si>
  <si>
    <t>4.1</t>
  </si>
  <si>
    <t>НР Полы</t>
  </si>
  <si>
    <t>СП Полы</t>
  </si>
  <si>
    <t>ГЭСНр 57-01-002-09</t>
  </si>
  <si>
    <r>
      <t>Добавлять или исключать на каждые 5 мм изменения толщины покрытия к норме 57-01-002-04</t>
    </r>
    <r>
      <rPr>
        <i/>
        <sz val="10"/>
        <rFont val="Arial"/>
        <family val="2"/>
        <charset val="204"/>
      </rPr>
      <t xml:space="preserve">
Поправки к: 
М *10;   
ЭМ *10;   
ЗТ *10;   
ЗТм *10</t>
    </r>
  </si>
  <si>
    <t>5.1</t>
  </si>
  <si>
    <t>Исключен
Строительный мусор</t>
  </si>
  <si>
    <t>ГЭСН 06-01-004-01</t>
  </si>
  <si>
    <t>Применение сметных норм, включенных в сборники ГЭСН, при определении сметных затрат на работы по капитальному ремонту и реконструкции объектов капитального строительства, аналогичные технологическим процессам в новом строительстве
ЭМ *1,25; ЗТ *1,15; ЗТм *1,25</t>
  </si>
  <si>
    <t>ОТм(ЗТм) Средний разряд машинистов 6</t>
  </si>
  <si>
    <t>6.1</t>
  </si>
  <si>
    <t>НР Бетонные и железобетонные монолитные конструкции и работы в строительстве</t>
  </si>
  <si>
    <t>СП Бетонные и железобетонные монолитные конструкции и работы в строительстве</t>
  </si>
  <si>
    <t>ГЭСН 15-01-026-01</t>
  </si>
  <si>
    <t>НР Отделочные работы</t>
  </si>
  <si>
    <t>СП Отделочные работы</t>
  </si>
  <si>
    <t>ГЭСН 11-01-031-09</t>
  </si>
  <si>
    <t>10.1</t>
  </si>
  <si>
    <t>ГЭСН 15-01-045-01</t>
  </si>
  <si>
    <t>ИТОГИ ПО СМЕТЕ</t>
  </si>
  <si>
    <t>ВСЕГО строительные работы</t>
  </si>
  <si>
    <t>в том числе</t>
  </si>
  <si>
    <t>Всего прямые затраты</t>
  </si>
  <si>
    <t xml:space="preserve">  оплата труда (ОТ)</t>
  </si>
  <si>
    <t xml:space="preserve">  эксплуатация машин и механизмов</t>
  </si>
  <si>
    <t xml:space="preserve">  в том числе</t>
  </si>
  <si>
    <t xml:space="preserve">    в том числе</t>
  </si>
  <si>
    <t xml:space="preserve">    доплаты к оплате труда машинистов</t>
  </si>
  <si>
    <t xml:space="preserve">  материальные ресурсы</t>
  </si>
  <si>
    <t xml:space="preserve">    материальные ресурсы без учета дополнительной перевозки</t>
  </si>
  <si>
    <t xml:space="preserve">    дополнительная перевозка материальных ресурсов</t>
  </si>
  <si>
    <t xml:space="preserve">  перевозка</t>
  </si>
  <si>
    <t>ФОТ (справочно)</t>
  </si>
  <si>
    <t>накладные расходы</t>
  </si>
  <si>
    <t>сметная прибыль</t>
  </si>
  <si>
    <t xml:space="preserve">  оплата труда машинистов (ОТм)</t>
  </si>
  <si>
    <t>ВСЕГО монтажные работы</t>
  </si>
  <si>
    <t>ВСЕГО оборудование</t>
  </si>
  <si>
    <t xml:space="preserve">  оборудование без учета дополнительной перевозки</t>
  </si>
  <si>
    <t xml:space="preserve">  дополнительная перевозка оборудования</t>
  </si>
  <si>
    <t>ВСЕГО прочие затраты</t>
  </si>
  <si>
    <t xml:space="preserve">   прочие затраты</t>
  </si>
  <si>
    <t xml:space="preserve">   прочие перевозки</t>
  </si>
  <si>
    <t xml:space="preserve">   Хозяйственный инвентарь</t>
  </si>
  <si>
    <t>Пусконаладочные работы</t>
  </si>
  <si>
    <t>ВСЕГО по смете</t>
  </si>
  <si>
    <t>Всего ФОТ (справочно)</t>
  </si>
  <si>
    <t>Всего накладные расходы</t>
  </si>
  <si>
    <t>Всего сметная прибыль</t>
  </si>
  <si>
    <t>Всего оборудование</t>
  </si>
  <si>
    <t>Всего прочие затраты</t>
  </si>
  <si>
    <t>Справочно</t>
  </si>
  <si>
    <t xml:space="preserve">  материальные ресурсы, отсутствующие в ФРСН</t>
  </si>
  <si>
    <t xml:space="preserve">  оборудование, отсутствующие в ФРСН</t>
  </si>
  <si>
    <t xml:space="preserve">  затраты труда рабочих</t>
  </si>
  <si>
    <t xml:space="preserve">  затраты труда машинистов</t>
  </si>
  <si>
    <t xml:space="preserve">Составил   </t>
  </si>
  <si>
    <t>[должность,подпись(инициалы,фамилия)]</t>
  </si>
  <si>
    <t xml:space="preserve">Проверил   </t>
  </si>
  <si>
    <t>Унифицированная форма № КС-2</t>
  </si>
  <si>
    <t>Утверждена постановлением Госкомстата России</t>
  </si>
  <si>
    <t>от 11.11.99. № 100</t>
  </si>
  <si>
    <t>Код</t>
  </si>
  <si>
    <t>Форма по ОКУД</t>
  </si>
  <si>
    <t>Инвестор</t>
  </si>
  <si>
    <t>по ОКПО</t>
  </si>
  <si>
    <t>организация, адрес, телефон, факс</t>
  </si>
  <si>
    <t>Заказчик</t>
  </si>
  <si>
    <t>Подрядчик</t>
  </si>
  <si>
    <t>Стройка</t>
  </si>
  <si>
    <t>наименование, адрес</t>
  </si>
  <si>
    <t>Объект</t>
  </si>
  <si>
    <t>наименование</t>
  </si>
  <si>
    <t>Вид деятельности по ОКДП</t>
  </si>
  <si>
    <t>Договор подряда</t>
  </si>
  <si>
    <t>номер</t>
  </si>
  <si>
    <t>дата</t>
  </si>
  <si>
    <t>Вид операции</t>
  </si>
  <si>
    <t>Номер документа</t>
  </si>
  <si>
    <t>Дата составления</t>
  </si>
  <si>
    <t>Отчетный период</t>
  </si>
  <si>
    <t>с</t>
  </si>
  <si>
    <t>по</t>
  </si>
  <si>
    <t>AKT</t>
  </si>
  <si>
    <t>О ПРИЕМКЕ ВЫПОЛНЕННЫХ РАБОТ</t>
  </si>
  <si>
    <t>поз. по сме-те</t>
  </si>
  <si>
    <t>Локальная смета: Новая локальная смета</t>
  </si>
  <si>
    <t>ИТОГИ ПО АКТУ</t>
  </si>
  <si>
    <t>ВСЕГО по акту</t>
  </si>
  <si>
    <t xml:space="preserve">Сдал   </t>
  </si>
  <si>
    <t xml:space="preserve">Принял   </t>
  </si>
  <si>
    <t>Проректор по СР, ЦТ и МС ФГБОУ ВО Чувашский ГАУ</t>
  </si>
  <si>
    <t xml:space="preserve">______________________ </t>
  </si>
  <si>
    <t>______________________ С.П. Яковлев</t>
  </si>
  <si>
    <t>Текущий ремонт крыльца главного входа</t>
  </si>
  <si>
    <t>ВСЕГО c компенсацией НДС 22%</t>
  </si>
  <si>
    <t>НДС 5%</t>
  </si>
  <si>
    <t>ВСЕГО по смете с НДС</t>
  </si>
  <si>
    <t>Инженер отдела ЭЗиС                                                                                             Н.Ю. Амбрашкина</t>
  </si>
  <si>
    <t>Начальник АХУ                                                                                                            А.Р. Махиянов</t>
  </si>
  <si>
    <t>ФГБОУ ВО Чувашский ГАУ учебный корпус № 2 по адресу: Чувашская Республика, г. Чебоксары, ул. К. Маркса, д. 27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</si>
</sst>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#,##0.00;[Red]\-\ #,##0.00"/>
    <numFmt numFmtId="166" formatCode="#,##0.00#####;[Red]\-\ #,##0.00#####"/>
  </numFmts>
  <fonts count="27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 Cyr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11" fillId="0" borderId="0" xfId="0" applyNumberFormat="1" applyFont="1" applyAlignment="1"/>
    <xf numFmtId="0" fontId="14" fillId="0" borderId="0" xfId="0" applyNumberFormat="1" applyFont="1" applyAlignment="1"/>
    <xf numFmtId="0" fontId="16" fillId="0" borderId="0" xfId="0" applyNumberFormat="1" applyFont="1" applyAlignment="1"/>
    <xf numFmtId="0" fontId="16" fillId="0" borderId="0" xfId="0" applyNumberFormat="1" applyFont="1" applyAlignment="1">
      <alignment wrapText="1"/>
    </xf>
    <xf numFmtId="0" fontId="10" fillId="0" borderId="0" xfId="0" applyNumberFormat="1" applyFont="1" applyAlignment="1"/>
    <xf numFmtId="0" fontId="10" fillId="0" borderId="0" xfId="0" applyNumberFormat="1" applyFont="1" applyAlignment="1">
      <alignment vertical="top" wrapText="1"/>
    </xf>
    <xf numFmtId="0" fontId="10" fillId="0" borderId="2" xfId="0" applyNumberFormat="1" applyFont="1" applyBorder="1" applyAlignment="1">
      <alignment vertical="top"/>
    </xf>
    <xf numFmtId="0" fontId="10" fillId="0" borderId="0" xfId="0" applyNumberFormat="1" applyFont="1" applyAlignment="1">
      <alignment horizontal="left" vertical="top" wrapText="1"/>
    </xf>
    <xf numFmtId="0" fontId="10" fillId="0" borderId="2" xfId="0" applyNumberFormat="1" applyFont="1" applyBorder="1" applyAlignment="1">
      <alignment horizontal="left" vertical="top" wrapText="1"/>
    </xf>
    <xf numFmtId="0" fontId="11" fillId="0" borderId="2" xfId="0" applyNumberFormat="1" applyFont="1" applyBorder="1" applyAlignment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horizontal="center" wrapText="1"/>
    </xf>
    <xf numFmtId="0" fontId="10" fillId="0" borderId="1" xfId="0" applyNumberFormat="1" applyFont="1" applyBorder="1" applyAlignment="1">
      <alignment horizontal="center"/>
    </xf>
    <xf numFmtId="0" fontId="10" fillId="0" borderId="2" xfId="0" applyNumberFormat="1" applyFont="1" applyBorder="1" applyAlignment="1"/>
    <xf numFmtId="0" fontId="10" fillId="0" borderId="0" xfId="0" applyNumberFormat="1" applyFont="1" applyAlignment="1">
      <alignment horizontal="left" wrapText="1"/>
    </xf>
    <xf numFmtId="0" fontId="10" fillId="0" borderId="0" xfId="0" applyNumberFormat="1" applyFont="1" applyAlignment="1">
      <alignment wrapText="1"/>
    </xf>
    <xf numFmtId="0" fontId="13" fillId="0" borderId="0" xfId="0" applyNumberFormat="1" applyFont="1" applyAlignment="1"/>
    <xf numFmtId="14" fontId="16" fillId="0" borderId="0" xfId="0" applyNumberFormat="1" applyFont="1" applyAlignment="1"/>
    <xf numFmtId="0" fontId="10" fillId="0" borderId="0" xfId="0" applyNumberFormat="1" applyFont="1" applyAlignment="1">
      <alignment horizontal="right"/>
    </xf>
    <xf numFmtId="0" fontId="17" fillId="0" borderId="0" xfId="0" applyNumberFormat="1" applyFont="1" applyAlignment="1"/>
    <xf numFmtId="164" fontId="10" fillId="0" borderId="0" xfId="0" applyNumberFormat="1" applyFont="1" applyAlignment="1">
      <alignment horizontal="right"/>
    </xf>
    <xf numFmtId="0" fontId="16" fillId="0" borderId="1" xfId="0" applyNumberFormat="1" applyFont="1" applyBorder="1" applyAlignment="1"/>
    <xf numFmtId="0" fontId="10" fillId="0" borderId="7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/>
    </xf>
    <xf numFmtId="0" fontId="16" fillId="0" borderId="7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left" vertical="top" wrapText="1"/>
    </xf>
    <xf numFmtId="0" fontId="21" fillId="0" borderId="0" xfId="0" quotePrefix="1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right" vertical="top" wrapText="1"/>
    </xf>
    <xf numFmtId="0" fontId="21" fillId="0" borderId="0" xfId="0" applyFont="1" applyAlignment="1">
      <alignment horizontal="right" vertical="top"/>
    </xf>
    <xf numFmtId="0" fontId="21" fillId="0" borderId="0" xfId="0" applyFont="1" applyAlignment="1">
      <alignment horizontal="right" vertical="top" wrapText="1"/>
    </xf>
    <xf numFmtId="165" fontId="21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 wrapText="1"/>
    </xf>
    <xf numFmtId="166" fontId="21" fillId="0" borderId="0" xfId="0" applyNumberFormat="1" applyFont="1" applyAlignment="1">
      <alignment horizontal="right" vertical="top"/>
    </xf>
    <xf numFmtId="165" fontId="23" fillId="0" borderId="0" xfId="0" applyNumberFormat="1" applyFont="1" applyAlignment="1">
      <alignment horizontal="right" vertical="top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right" vertical="top" wrapText="1"/>
    </xf>
    <xf numFmtId="0" fontId="21" fillId="0" borderId="1" xfId="0" applyFont="1" applyBorder="1" applyAlignment="1">
      <alignment horizontal="right" vertical="top"/>
    </xf>
    <xf numFmtId="165" fontId="21" fillId="0" borderId="1" xfId="0" applyNumberFormat="1" applyFont="1" applyBorder="1" applyAlignment="1">
      <alignment horizontal="right" vertical="top"/>
    </xf>
    <xf numFmtId="0" fontId="21" fillId="0" borderId="1" xfId="0" applyFont="1" applyBorder="1" applyAlignment="1">
      <alignment horizontal="right" vertical="top" wrapText="1"/>
    </xf>
    <xf numFmtId="165" fontId="0" fillId="0" borderId="0" xfId="0" applyNumberFormat="1"/>
    <xf numFmtId="165" fontId="21" fillId="0" borderId="0" xfId="0" applyNumberFormat="1" applyFont="1" applyAlignment="1">
      <alignment horizontal="right"/>
    </xf>
    <xf numFmtId="0" fontId="23" fillId="0" borderId="0" xfId="0" applyFont="1" applyAlignment="1">
      <alignment horizontal="left" vertical="top" wrapText="1"/>
    </xf>
    <xf numFmtId="0" fontId="21" fillId="0" borderId="0" xfId="0" applyFont="1" applyAlignment="1">
      <alignment vertical="top"/>
    </xf>
    <xf numFmtId="0" fontId="24" fillId="0" borderId="0" xfId="0" applyFont="1" applyAlignment="1">
      <alignment vertical="top" wrapText="1"/>
    </xf>
    <xf numFmtId="0" fontId="24" fillId="0" borderId="0" xfId="0" quotePrefix="1" applyFont="1" applyAlignment="1">
      <alignment vertical="top" wrapText="1"/>
    </xf>
    <xf numFmtId="0" fontId="21" fillId="0" borderId="1" xfId="0" quotePrefix="1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23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0" fontId="23" fillId="0" borderId="0" xfId="0" applyFont="1" applyAlignment="1">
      <alignment horizontal="right" vertical="top"/>
    </xf>
    <xf numFmtId="0" fontId="23" fillId="0" borderId="2" xfId="0" applyFont="1" applyBorder="1" applyAlignment="1">
      <alignment vertical="top"/>
    </xf>
    <xf numFmtId="0" fontId="12" fillId="0" borderId="2" xfId="0" applyFont="1" applyBorder="1" applyAlignment="1">
      <alignment horizontal="left" vertical="top" wrapText="1"/>
    </xf>
    <xf numFmtId="165" fontId="23" fillId="0" borderId="2" xfId="0" applyNumberFormat="1" applyFont="1" applyBorder="1" applyAlignment="1">
      <alignment horizontal="right" vertical="top"/>
    </xf>
    <xf numFmtId="0" fontId="23" fillId="0" borderId="2" xfId="0" applyFont="1" applyBorder="1" applyAlignment="1">
      <alignment horizontal="right" vertical="top"/>
    </xf>
    <xf numFmtId="0" fontId="21" fillId="0" borderId="0" xfId="0" applyFont="1" applyAlignment="1">
      <alignment horizontal="left" wrapText="1"/>
    </xf>
    <xf numFmtId="165" fontId="10" fillId="0" borderId="0" xfId="0" applyNumberFormat="1" applyFont="1" applyAlignment="1">
      <alignment horizontal="right"/>
    </xf>
    <xf numFmtId="165" fontId="10" fillId="0" borderId="0" xfId="0" applyNumberFormat="1" applyFont="1" applyAlignment="1"/>
    <xf numFmtId="165" fontId="11" fillId="0" borderId="0" xfId="0" applyNumberFormat="1" applyFont="1" applyAlignment="1"/>
    <xf numFmtId="166" fontId="11" fillId="0" borderId="0" xfId="0" applyNumberFormat="1" applyFont="1" applyAlignment="1"/>
    <xf numFmtId="0" fontId="16" fillId="0" borderId="0" xfId="0" applyNumberFormat="1" applyFont="1" applyAlignment="1">
      <alignment horizontal="right" wrapText="1"/>
    </xf>
    <xf numFmtId="0" fontId="16" fillId="0" borderId="10" xfId="0" applyNumberFormat="1" applyFont="1" applyBorder="1" applyAlignment="1">
      <alignment horizontal="right" wrapText="1"/>
    </xf>
    <xf numFmtId="0" fontId="10" fillId="0" borderId="10" xfId="0" applyNumberFormat="1" applyFont="1" applyBorder="1" applyAlignment="1">
      <alignment wrapText="1"/>
    </xf>
    <xf numFmtId="0" fontId="10" fillId="0" borderId="0" xfId="0" applyNumberFormat="1" applyFont="1" applyBorder="1" applyAlignment="1">
      <alignment wrapText="1"/>
    </xf>
    <xf numFmtId="0" fontId="16" fillId="0" borderId="19" xfId="0" applyNumberFormat="1" applyFont="1" applyBorder="1" applyAlignment="1">
      <alignment horizontal="right" wrapText="1"/>
    </xf>
    <xf numFmtId="0" fontId="10" fillId="0" borderId="19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wrapText="1"/>
    </xf>
    <xf numFmtId="0" fontId="10" fillId="0" borderId="14" xfId="0" applyNumberFormat="1" applyFont="1" applyBorder="1" applyAlignment="1">
      <alignment wrapText="1"/>
    </xf>
    <xf numFmtId="0" fontId="16" fillId="0" borderId="7" xfId="0" applyNumberFormat="1" applyFont="1" applyBorder="1" applyAlignment="1">
      <alignment horizontal="center" wrapText="1"/>
    </xf>
    <xf numFmtId="0" fontId="16" fillId="0" borderId="9" xfId="0" applyNumberFormat="1" applyFont="1" applyBorder="1" applyAlignment="1">
      <alignment horizontal="right" wrapText="1"/>
    </xf>
    <xf numFmtId="0" fontId="10" fillId="0" borderId="1" xfId="0" applyNumberFormat="1" applyFont="1" applyBorder="1" applyAlignment="1">
      <alignment wrapText="1"/>
    </xf>
    <xf numFmtId="0" fontId="10" fillId="0" borderId="4" xfId="0" applyNumberFormat="1" applyFont="1" applyBorder="1" applyAlignment="1">
      <alignment wrapText="1"/>
    </xf>
    <xf numFmtId="0" fontId="10" fillId="0" borderId="7" xfId="0" applyNumberFormat="1" applyFont="1" applyBorder="1" applyAlignment="1">
      <alignment horizontal="center" vertical="center"/>
    </xf>
    <xf numFmtId="14" fontId="10" fillId="0" borderId="7" xfId="0" applyNumberFormat="1" applyFont="1" applyBorder="1" applyAlignment="1">
      <alignment horizontal="center" wrapText="1"/>
    </xf>
    <xf numFmtId="0" fontId="10" fillId="0" borderId="7" xfId="0" applyNumberFormat="1" applyFont="1" applyBorder="1" applyAlignment="1">
      <alignment horizontal="center" wrapText="1"/>
    </xf>
    <xf numFmtId="0" fontId="16" fillId="0" borderId="0" xfId="0" applyNumberFormat="1" applyFont="1" applyAlignment="1">
      <alignment vertical="center" wrapText="1"/>
    </xf>
    <xf numFmtId="0" fontId="16" fillId="0" borderId="0" xfId="0" applyNumberFormat="1" applyFont="1" applyAlignment="1">
      <alignment horizontal="right" vertical="center"/>
    </xf>
    <xf numFmtId="0" fontId="16" fillId="0" borderId="0" xfId="0" applyNumberFormat="1" applyFont="1" applyAlignment="1">
      <alignment horizontal="left" wrapText="1"/>
    </xf>
    <xf numFmtId="0" fontId="16" fillId="0" borderId="1" xfId="0" applyNumberFormat="1" applyFont="1" applyBorder="1" applyAlignment="1">
      <alignment horizontal="left" wrapText="1"/>
    </xf>
    <xf numFmtId="0" fontId="16" fillId="0" borderId="1" xfId="0" applyNumberFormat="1" applyFont="1" applyBorder="1" applyAlignment="1">
      <alignment wrapText="1"/>
    </xf>
    <xf numFmtId="0" fontId="10" fillId="0" borderId="0" xfId="0" applyNumberFormat="1" applyFont="1" applyAlignment="1">
      <alignment horizontal="right" wrapText="1"/>
    </xf>
    <xf numFmtId="0" fontId="16" fillId="0" borderId="0" xfId="0" applyNumberFormat="1" applyFont="1" applyAlignment="1">
      <alignment horizontal="left" vertical="center"/>
    </xf>
    <xf numFmtId="0" fontId="8" fillId="0" borderId="0" xfId="1"/>
    <xf numFmtId="0" fontId="21" fillId="0" borderId="0" xfId="1" applyFont="1"/>
    <xf numFmtId="0" fontId="21" fillId="0" borderId="0" xfId="1" applyFont="1" applyAlignment="1">
      <alignment horizontal="left"/>
    </xf>
    <xf numFmtId="0" fontId="21" fillId="0" borderId="0" xfId="1" applyFont="1" applyAlignment="1"/>
    <xf numFmtId="0" fontId="21" fillId="0" borderId="0" xfId="1" applyFont="1" applyBorder="1" applyAlignment="1">
      <alignment horizontal="left"/>
    </xf>
    <xf numFmtId="0" fontId="8" fillId="0" borderId="0" xfId="2"/>
    <xf numFmtId="0" fontId="21" fillId="0" borderId="0" xfId="2" applyFont="1"/>
    <xf numFmtId="0" fontId="21" fillId="0" borderId="0" xfId="0" applyFont="1" applyAlignment="1">
      <alignment horizontal="left" wrapText="1"/>
    </xf>
    <xf numFmtId="0" fontId="18" fillId="0" borderId="2" xfId="0" applyNumberFormat="1" applyFont="1" applyBorder="1" applyAlignment="1">
      <alignment horizontal="center" vertical="top" wrapText="1"/>
    </xf>
    <xf numFmtId="0" fontId="20" fillId="0" borderId="1" xfId="1" applyNumberFormat="1" applyFont="1" applyBorder="1" applyAlignment="1">
      <alignment horizontal="center" wrapText="1"/>
    </xf>
    <xf numFmtId="0" fontId="9" fillId="0" borderId="2" xfId="2" applyFont="1" applyBorder="1" applyAlignment="1">
      <alignment horizontal="center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1" fillId="0" borderId="0" xfId="2" applyFont="1" applyAlignment="1">
      <alignment horizontal="right" vertical="center"/>
    </xf>
    <xf numFmtId="0" fontId="21" fillId="0" borderId="1" xfId="2" applyFont="1" applyBorder="1" applyAlignment="1">
      <alignment horizontal="center"/>
    </xf>
    <xf numFmtId="0" fontId="21" fillId="0" borderId="0" xfId="2" applyFont="1" applyAlignment="1">
      <alignment horizontal="left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horizontal="left" wrapText="1"/>
    </xf>
    <xf numFmtId="165" fontId="23" fillId="0" borderId="0" xfId="0" applyNumberFormat="1" applyFont="1" applyAlignment="1">
      <alignment horizontal="left" vertical="top"/>
    </xf>
    <xf numFmtId="165" fontId="23" fillId="0" borderId="2" xfId="0" applyNumberFormat="1" applyFont="1" applyBorder="1" applyAlignment="1">
      <alignment horizontal="right" vertical="top"/>
    </xf>
    <xf numFmtId="0" fontId="23" fillId="0" borderId="2" xfId="0" applyFont="1" applyBorder="1" applyAlignment="1">
      <alignment horizontal="left" vertical="top" wrapText="1"/>
    </xf>
    <xf numFmtId="0" fontId="24" fillId="0" borderId="0" xfId="0" applyFont="1" applyAlignment="1">
      <alignment vertical="top" wrapText="1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9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center" vertical="center" wrapText="1"/>
    </xf>
    <xf numFmtId="0" fontId="10" fillId="0" borderId="1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right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8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left" wrapText="1"/>
    </xf>
    <xf numFmtId="0" fontId="15" fillId="0" borderId="0" xfId="0" applyNumberFormat="1" applyFont="1" applyAlignment="1">
      <alignment horizontal="center" wrapText="1"/>
    </xf>
    <xf numFmtId="0" fontId="10" fillId="0" borderId="0" xfId="0" applyNumberFormat="1" applyFont="1" applyAlignment="1">
      <alignment horizontal="left" vertical="top" wrapText="1"/>
    </xf>
    <xf numFmtId="0" fontId="10" fillId="0" borderId="1" xfId="0" applyNumberFormat="1" applyFont="1" applyBorder="1" applyAlignment="1">
      <alignment horizontal="left" vertical="top" wrapText="1"/>
    </xf>
    <xf numFmtId="0" fontId="15" fillId="0" borderId="1" xfId="0" applyNumberFormat="1" applyFont="1" applyBorder="1" applyAlignment="1">
      <alignment horizontal="center" wrapText="1"/>
    </xf>
    <xf numFmtId="0" fontId="16" fillId="0" borderId="0" xfId="0" applyNumberFormat="1" applyFont="1" applyAlignment="1">
      <alignment horizontal="left" wrapText="1"/>
    </xf>
    <xf numFmtId="0" fontId="15" fillId="0" borderId="0" xfId="0" applyNumberFormat="1" applyFont="1" applyAlignment="1">
      <alignment horizontal="left"/>
    </xf>
    <xf numFmtId="0" fontId="21" fillId="0" borderId="0" xfId="1" applyFont="1" applyAlignment="1">
      <alignment horizontal="left"/>
    </xf>
    <xf numFmtId="0" fontId="25" fillId="0" borderId="2" xfId="0" applyNumberFormat="1" applyFont="1" applyBorder="1" applyAlignment="1">
      <alignment horizontal="center" vertical="top" wrapText="1"/>
    </xf>
    <xf numFmtId="0" fontId="10" fillId="0" borderId="22" xfId="0" applyNumberFormat="1" applyFont="1" applyBorder="1" applyAlignment="1">
      <alignment horizontal="center" vertical="center" wrapText="1"/>
    </xf>
    <xf numFmtId="0" fontId="10" fillId="0" borderId="23" xfId="0" applyNumberFormat="1" applyFont="1" applyBorder="1" applyAlignment="1">
      <alignment horizontal="center" vertical="center" wrapText="1"/>
    </xf>
    <xf numFmtId="0" fontId="10" fillId="0" borderId="24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left" vertical="top" wrapText="1"/>
    </xf>
    <xf numFmtId="0" fontId="20" fillId="0" borderId="0" xfId="0" applyNumberFormat="1" applyFont="1" applyAlignment="1">
      <alignment horizontal="center" wrapText="1"/>
    </xf>
    <xf numFmtId="0" fontId="16" fillId="0" borderId="1" xfId="0" applyNumberFormat="1" applyFont="1" applyBorder="1" applyAlignment="1">
      <alignment wrapText="1"/>
    </xf>
    <xf numFmtId="0" fontId="10" fillId="0" borderId="13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10" fillId="0" borderId="17" xfId="0" applyNumberFormat="1" applyFont="1" applyBorder="1" applyAlignment="1">
      <alignment horizontal="center" vertical="center" wrapText="1"/>
    </xf>
    <xf numFmtId="0" fontId="10" fillId="0" borderId="21" xfId="0" applyNumberFormat="1" applyFont="1" applyBorder="1" applyAlignment="1">
      <alignment horizontal="center" vertical="center" wrapText="1"/>
    </xf>
    <xf numFmtId="0" fontId="10" fillId="0" borderId="20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right" wrapText="1"/>
    </xf>
    <xf numFmtId="0" fontId="16" fillId="0" borderId="9" xfId="0" applyNumberFormat="1" applyFont="1" applyBorder="1" applyAlignment="1">
      <alignment horizontal="right" wrapText="1"/>
    </xf>
    <xf numFmtId="0" fontId="16" fillId="0" borderId="13" xfId="0" applyNumberFormat="1" applyFont="1" applyBorder="1" applyAlignment="1">
      <alignment horizontal="center" wrapText="1"/>
    </xf>
    <xf numFmtId="0" fontId="16" fillId="0" borderId="14" xfId="0" applyNumberFormat="1" applyFont="1" applyBorder="1" applyAlignment="1">
      <alignment horizontal="center" wrapText="1"/>
    </xf>
    <xf numFmtId="0" fontId="16" fillId="0" borderId="15" xfId="0" applyNumberFormat="1" applyFont="1" applyBorder="1" applyAlignment="1">
      <alignment horizontal="center" wrapText="1"/>
    </xf>
    <xf numFmtId="14" fontId="16" fillId="0" borderId="13" xfId="0" applyNumberFormat="1" applyFont="1" applyBorder="1" applyAlignment="1">
      <alignment horizontal="center" wrapText="1"/>
    </xf>
    <xf numFmtId="14" fontId="16" fillId="0" borderId="14" xfId="0" applyNumberFormat="1" applyFont="1" applyBorder="1" applyAlignment="1">
      <alignment horizontal="center" wrapText="1"/>
    </xf>
    <xf numFmtId="14" fontId="16" fillId="0" borderId="15" xfId="0" applyNumberFormat="1" applyFont="1" applyBorder="1" applyAlignment="1">
      <alignment horizontal="center" wrapText="1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0" fontId="16" fillId="0" borderId="16" xfId="0" applyNumberFormat="1" applyFont="1" applyBorder="1" applyAlignment="1">
      <alignment horizontal="center" wrapText="1"/>
    </xf>
    <xf numFmtId="0" fontId="16" fillId="0" borderId="2" xfId="0" applyNumberFormat="1" applyFont="1" applyBorder="1" applyAlignment="1">
      <alignment horizontal="center" wrapText="1"/>
    </xf>
    <xf numFmtId="0" fontId="16" fillId="0" borderId="9" xfId="0" applyNumberFormat="1" applyFont="1" applyBorder="1" applyAlignment="1">
      <alignment horizontal="center" wrapText="1"/>
    </xf>
    <xf numFmtId="0" fontId="16" fillId="0" borderId="18" xfId="0" applyNumberFormat="1" applyFont="1" applyBorder="1" applyAlignment="1">
      <alignment horizontal="center" wrapText="1"/>
    </xf>
    <xf numFmtId="0" fontId="16" fillId="0" borderId="1" xfId="0" applyNumberFormat="1" applyFont="1" applyBorder="1" applyAlignment="1">
      <alignment horizontal="center" wrapText="1"/>
    </xf>
    <xf numFmtId="0" fontId="16" fillId="0" borderId="12" xfId="0" applyNumberFormat="1" applyFont="1" applyBorder="1" applyAlignment="1">
      <alignment horizontal="center" wrapText="1"/>
    </xf>
    <xf numFmtId="0" fontId="16" fillId="0" borderId="0" xfId="0" applyNumberFormat="1" applyFont="1" applyAlignment="1">
      <alignment wrapText="1"/>
    </xf>
    <xf numFmtId="0" fontId="16" fillId="0" borderId="1" xfId="0" applyNumberFormat="1" applyFont="1" applyBorder="1" applyAlignment="1">
      <alignment horizontal="left" wrapText="1"/>
    </xf>
    <xf numFmtId="0" fontId="16" fillId="0" borderId="1" xfId="0" applyNumberFormat="1" applyFont="1" applyBorder="1" applyAlignment="1">
      <alignment horizontal="right" wrapText="1"/>
    </xf>
    <xf numFmtId="0" fontId="16" fillId="0" borderId="12" xfId="0" applyNumberFormat="1" applyFont="1" applyBorder="1" applyAlignment="1">
      <alignment horizontal="right" wrapText="1"/>
    </xf>
    <xf numFmtId="0" fontId="10" fillId="0" borderId="0" xfId="0" applyNumberFormat="1" applyFont="1" applyAlignment="1">
      <alignment horizontal="right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W381"/>
  <sheetViews>
    <sheetView tabSelected="1" topLeftCell="A4" zoomScale="90" zoomScaleNormal="90" workbookViewId="0">
      <selection activeCell="N33" sqref="N33"/>
    </sheetView>
  </sheetViews>
  <sheetFormatPr defaultRowHeight="12.75"/>
  <cols>
    <col min="1" max="1" width="5.7109375" customWidth="1"/>
    <col min="2" max="2" width="20.7109375" customWidth="1"/>
    <col min="3" max="3" width="40.7109375" customWidth="1"/>
    <col min="4" max="4" width="10.7109375" customWidth="1"/>
    <col min="5" max="12" width="15.7109375" customWidth="1"/>
    <col min="15" max="92" width="0" hidden="1" customWidth="1"/>
    <col min="93" max="93" width="108.7109375" hidden="1" customWidth="1"/>
    <col min="94" max="100" width="0" hidden="1" customWidth="1"/>
    <col min="101" max="101" width="173.7109375" hidden="1" customWidth="1"/>
  </cols>
  <sheetData>
    <row r="1" spans="1:93">
      <c r="A1" s="8" t="str">
        <f>Source!B1</f>
        <v>Smeta.RU  (495) 974-1589</v>
      </c>
    </row>
    <row r="2" spans="1:93" ht="12.75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93" ht="16.5" customHeight="1">
      <c r="A3" s="10"/>
      <c r="B3" s="136" t="s">
        <v>397</v>
      </c>
      <c r="C3" s="136"/>
      <c r="D3" s="136"/>
      <c r="E3" s="136"/>
      <c r="F3" s="11"/>
      <c r="G3" s="11"/>
      <c r="H3" s="136" t="s">
        <v>398</v>
      </c>
      <c r="I3" s="136"/>
      <c r="J3" s="136"/>
      <c r="K3" s="136"/>
      <c r="L3" s="136"/>
    </row>
    <row r="4" spans="1:93" ht="14.25" customHeight="1">
      <c r="A4" s="94"/>
      <c r="B4" s="137"/>
      <c r="C4" s="137"/>
      <c r="D4" s="137"/>
      <c r="E4" s="137"/>
      <c r="F4" s="94"/>
      <c r="G4" s="94"/>
      <c r="H4" s="137" t="s">
        <v>554</v>
      </c>
      <c r="I4" s="137"/>
      <c r="J4" s="137"/>
      <c r="K4" s="137"/>
      <c r="L4" s="137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</row>
    <row r="5" spans="1:93" ht="14.25" customHeight="1">
      <c r="A5" s="96"/>
      <c r="B5" s="96"/>
      <c r="C5" s="97"/>
      <c r="D5" s="97"/>
      <c r="E5" s="97"/>
      <c r="F5" s="94"/>
      <c r="G5" s="94"/>
      <c r="H5" s="95"/>
      <c r="I5" s="97"/>
      <c r="J5" s="97"/>
      <c r="K5" s="97"/>
      <c r="L5" s="95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</row>
    <row r="6" spans="1:93" ht="14.25" customHeight="1">
      <c r="A6" s="95"/>
      <c r="B6" s="137" t="s">
        <v>555</v>
      </c>
      <c r="C6" s="137"/>
      <c r="D6" s="137"/>
      <c r="E6" s="137"/>
      <c r="F6" s="94"/>
      <c r="G6" s="94"/>
      <c r="H6" s="137" t="s">
        <v>556</v>
      </c>
      <c r="I6" s="137"/>
      <c r="J6" s="137"/>
      <c r="K6" s="137"/>
      <c r="L6" s="137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</row>
    <row r="7" spans="1:93" ht="14.25" customHeight="1">
      <c r="A7" s="12"/>
      <c r="B7" s="135" t="s">
        <v>399</v>
      </c>
      <c r="C7" s="135"/>
      <c r="D7" s="135"/>
      <c r="E7" s="135"/>
      <c r="F7" s="11"/>
      <c r="G7" s="11"/>
      <c r="H7" s="135" t="s">
        <v>399</v>
      </c>
      <c r="I7" s="135"/>
      <c r="J7" s="135"/>
      <c r="K7" s="135"/>
      <c r="L7" s="135"/>
    </row>
    <row r="10" spans="1:93" ht="12.75" customHeight="1">
      <c r="A10" s="132" t="s">
        <v>400</v>
      </c>
      <c r="B10" s="132"/>
      <c r="C10" s="132"/>
      <c r="D10" s="132"/>
      <c r="E10" s="132"/>
      <c r="F10" s="133" t="s">
        <v>438</v>
      </c>
      <c r="G10" s="133"/>
      <c r="H10" s="133"/>
      <c r="I10" s="133"/>
      <c r="J10" s="133"/>
      <c r="K10" s="133"/>
      <c r="L10" s="133"/>
    </row>
    <row r="11" spans="1:93" ht="12.75" customHeight="1">
      <c r="A11" s="14"/>
      <c r="B11" s="14"/>
      <c r="C11" s="14"/>
      <c r="D11" s="14"/>
      <c r="E11" s="14"/>
      <c r="F11" s="15"/>
      <c r="G11" s="15"/>
      <c r="H11" s="15"/>
      <c r="I11" s="15"/>
      <c r="J11" s="15"/>
      <c r="K11" s="15"/>
      <c r="L11" s="15"/>
    </row>
    <row r="12" spans="1:93" ht="25.5">
      <c r="A12" s="132" t="s">
        <v>401</v>
      </c>
      <c r="B12" s="132"/>
      <c r="C12" s="132"/>
      <c r="D12" s="132"/>
      <c r="E12" s="132"/>
      <c r="F12" s="133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  <c r="G12" s="133"/>
      <c r="H12" s="133"/>
      <c r="I12" s="133"/>
      <c r="J12" s="133"/>
      <c r="K12" s="133"/>
      <c r="L12" s="133"/>
      <c r="CO12" s="35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</row>
    <row r="13" spans="1:93" ht="12.75" customHeight="1">
      <c r="A13" s="14"/>
      <c r="B13" s="14"/>
      <c r="C13" s="14"/>
      <c r="D13" s="14"/>
      <c r="E13" s="14"/>
      <c r="F13" s="15"/>
      <c r="G13" s="15"/>
      <c r="H13" s="15"/>
      <c r="I13" s="15"/>
      <c r="J13" s="15"/>
      <c r="K13" s="15"/>
      <c r="L13" s="15"/>
    </row>
    <row r="14" spans="1:93" ht="140.25">
      <c r="A14" s="132" t="s">
        <v>402</v>
      </c>
      <c r="B14" s="132"/>
      <c r="C14" s="132"/>
      <c r="D14" s="132"/>
      <c r="E14" s="132"/>
      <c r="F14" s="133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  <c r="G14" s="133"/>
      <c r="H14" s="133"/>
      <c r="I14" s="133"/>
      <c r="J14" s="133"/>
      <c r="K14" s="133"/>
      <c r="L14" s="133"/>
      <c r="CO14" s="35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</row>
    <row r="15" spans="1:93" ht="12.75" customHeight="1">
      <c r="A15" s="14"/>
      <c r="B15" s="14"/>
      <c r="C15" s="14"/>
      <c r="D15" s="14"/>
      <c r="E15" s="14"/>
      <c r="F15" s="15"/>
      <c r="G15" s="15"/>
      <c r="H15" s="15"/>
      <c r="I15" s="15"/>
      <c r="J15" s="15"/>
      <c r="K15" s="15"/>
      <c r="L15" s="15"/>
    </row>
    <row r="16" spans="1:93" ht="76.5" customHeight="1">
      <c r="A16" s="132" t="s">
        <v>403</v>
      </c>
      <c r="B16" s="132"/>
      <c r="C16" s="132"/>
      <c r="D16" s="132"/>
      <c r="E16" s="132"/>
      <c r="F16" s="133" t="s">
        <v>244</v>
      </c>
      <c r="G16" s="133"/>
      <c r="H16" s="133"/>
      <c r="I16" s="133"/>
      <c r="J16" s="133"/>
      <c r="K16" s="133"/>
      <c r="L16" s="133"/>
    </row>
    <row r="17" spans="1:12" ht="12.75" customHeight="1">
      <c r="A17" s="14"/>
      <c r="B17" s="14"/>
      <c r="C17" s="14"/>
      <c r="D17" s="14"/>
      <c r="E17" s="14"/>
      <c r="F17" s="15"/>
      <c r="G17" s="15"/>
      <c r="H17" s="15"/>
      <c r="I17" s="15"/>
      <c r="J17" s="15"/>
      <c r="K17" s="15"/>
      <c r="L17" s="15"/>
    </row>
    <row r="18" spans="1:12" ht="38.25" customHeight="1">
      <c r="A18" s="132" t="s">
        <v>404</v>
      </c>
      <c r="B18" s="132"/>
      <c r="C18" s="132"/>
      <c r="D18" s="132"/>
      <c r="E18" s="132"/>
      <c r="F18" s="133" t="s">
        <v>246</v>
      </c>
      <c r="G18" s="133"/>
      <c r="H18" s="133"/>
      <c r="I18" s="133"/>
      <c r="J18" s="133"/>
      <c r="K18" s="133"/>
      <c r="L18" s="133"/>
    </row>
    <row r="19" spans="1:12" ht="12.75" customHeight="1">
      <c r="A19" s="16"/>
      <c r="B19" s="16"/>
      <c r="C19" s="16"/>
      <c r="D19" s="16"/>
      <c r="E19" s="16"/>
      <c r="F19" s="17"/>
      <c r="G19" s="17"/>
      <c r="H19" s="17"/>
      <c r="I19" s="17"/>
      <c r="J19" s="17"/>
      <c r="K19" s="17"/>
      <c r="L19" s="17"/>
    </row>
    <row r="20" spans="1:12" ht="12.75" customHeight="1">
      <c r="A20" s="132" t="s">
        <v>405</v>
      </c>
      <c r="B20" s="132"/>
      <c r="C20" s="132"/>
      <c r="D20" s="132"/>
      <c r="E20" s="132"/>
      <c r="F20" s="133" t="s">
        <v>439</v>
      </c>
      <c r="G20" s="133"/>
      <c r="H20" s="133"/>
      <c r="I20" s="133"/>
      <c r="J20" s="133"/>
      <c r="K20" s="133"/>
      <c r="L20" s="133"/>
    </row>
    <row r="21" spans="1:12" ht="12.75" customHeight="1">
      <c r="A21" s="16"/>
      <c r="B21" s="16"/>
      <c r="C21" s="16"/>
      <c r="D21" s="16"/>
      <c r="E21" s="16"/>
      <c r="F21" s="17"/>
      <c r="G21" s="17"/>
      <c r="H21" s="17"/>
      <c r="I21" s="17"/>
      <c r="J21" s="17"/>
      <c r="K21" s="17"/>
      <c r="L21" s="17"/>
    </row>
    <row r="22" spans="1:12" ht="12.75" customHeight="1">
      <c r="A22" s="132" t="s">
        <v>406</v>
      </c>
      <c r="B22" s="132"/>
      <c r="C22" s="132"/>
      <c r="D22" s="132"/>
      <c r="E22" s="132"/>
      <c r="F22" s="133" t="str">
        <f>IF(Source!CZ12 &lt;&gt; "", Source!CZ12, "")</f>
        <v/>
      </c>
      <c r="G22" s="133"/>
      <c r="H22" s="133"/>
      <c r="I22" s="133"/>
      <c r="J22" s="133"/>
      <c r="K22" s="133"/>
      <c r="L22" s="133"/>
    </row>
    <row r="23" spans="1:12" ht="12.75" customHeight="1">
      <c r="A23" s="16"/>
      <c r="B23" s="16"/>
      <c r="C23" s="16"/>
      <c r="D23" s="16"/>
      <c r="E23" s="16"/>
      <c r="F23" s="17"/>
      <c r="G23" s="17"/>
      <c r="H23" s="17"/>
      <c r="I23" s="17"/>
      <c r="J23" s="17"/>
      <c r="K23" s="17"/>
      <c r="L23" s="15"/>
    </row>
    <row r="24" spans="1:12" ht="12.75" customHeight="1">
      <c r="A24" s="132" t="s">
        <v>407</v>
      </c>
      <c r="B24" s="132"/>
      <c r="C24" s="132"/>
      <c r="D24" s="132"/>
      <c r="E24" s="132"/>
      <c r="F24" s="133" t="str">
        <f>IF(Source!DA12 &lt;&gt; "", Source!DA12, "")</f>
        <v/>
      </c>
      <c r="G24" s="133"/>
      <c r="H24" s="133"/>
      <c r="I24" s="133"/>
      <c r="J24" s="133"/>
      <c r="K24" s="133"/>
      <c r="L24" s="133"/>
    </row>
    <row r="25" spans="1:12" ht="12.75" customHeight="1">
      <c r="A25" s="9"/>
      <c r="B25" s="9"/>
      <c r="C25" s="9"/>
      <c r="D25" s="9"/>
      <c r="E25" s="9"/>
      <c r="F25" s="18"/>
      <c r="G25" s="18"/>
      <c r="H25" s="18"/>
      <c r="I25" s="18"/>
      <c r="J25" s="18"/>
      <c r="K25" s="18"/>
      <c r="L25" s="18"/>
    </row>
    <row r="26" spans="1:12" ht="12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ht="15.75" customHeight="1">
      <c r="A27" s="134" t="s">
        <v>563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</row>
    <row r="28" spans="1:12" ht="14.25" customHeight="1">
      <c r="A28" s="101" t="s">
        <v>408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</row>
    <row r="29" spans="1:12" ht="14.25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 ht="14.25" customHeight="1">
      <c r="A30" s="11"/>
      <c r="B30" s="11"/>
      <c r="C30" s="11"/>
      <c r="D30" s="11"/>
      <c r="E30" s="11"/>
      <c r="F30" s="12"/>
      <c r="G30" s="12"/>
      <c r="H30" s="12"/>
      <c r="I30" s="12"/>
      <c r="J30" s="12"/>
      <c r="K30" s="12"/>
      <c r="L30" s="12"/>
    </row>
    <row r="31" spans="1:12" ht="15.75" customHeight="1">
      <c r="A31" s="131" t="str">
        <f>CONCATENATE( "ЛОКАЛЬНАЯ СМЕТА № ", Source!L20, " ",Source!CM20)</f>
        <v xml:space="preserve">ЛОКАЛЬНАЯ СМЕТА №  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</row>
    <row r="32" spans="1:12" ht="15" customHeight="1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19"/>
    </row>
    <row r="33" spans="1:12" ht="18" customHeight="1">
      <c r="A33" s="102" t="s">
        <v>557</v>
      </c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</row>
    <row r="34" spans="1:12" ht="14.25" customHeight="1">
      <c r="A34" s="101" t="s">
        <v>409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</row>
    <row r="35" spans="1:12" ht="14.2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1:12" ht="14.2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 ht="12.75" customHeight="1">
      <c r="A37" s="13" t="s">
        <v>410</v>
      </c>
      <c r="B37" s="13"/>
      <c r="C37" s="21" t="s">
        <v>440</v>
      </c>
      <c r="D37" s="13" t="s">
        <v>411</v>
      </c>
      <c r="E37" s="13"/>
      <c r="F37" s="13"/>
      <c r="G37" s="13"/>
      <c r="H37" s="13"/>
      <c r="I37" s="13"/>
      <c r="J37" s="13"/>
      <c r="K37" s="13"/>
      <c r="L37" s="13"/>
    </row>
    <row r="38" spans="1:12" ht="12.75" customHeight="1">
      <c r="A38" s="13"/>
      <c r="B38" s="13"/>
      <c r="C38" s="22"/>
      <c r="D38" s="13"/>
      <c r="E38" s="13"/>
      <c r="F38" s="13"/>
      <c r="G38" s="13"/>
      <c r="H38" s="13"/>
      <c r="I38" s="13"/>
      <c r="J38" s="13"/>
      <c r="K38" s="13"/>
      <c r="L38" s="13"/>
    </row>
    <row r="39" spans="1:12" ht="12.75" customHeight="1">
      <c r="A39" s="13" t="s">
        <v>412</v>
      </c>
      <c r="B39" s="13"/>
      <c r="C39" s="130"/>
      <c r="D39" s="130"/>
      <c r="E39" s="130"/>
      <c r="F39" s="130"/>
      <c r="G39" s="130"/>
      <c r="H39" s="130"/>
      <c r="I39" s="130"/>
      <c r="J39" s="130"/>
      <c r="K39" s="130"/>
      <c r="L39" s="130"/>
    </row>
    <row r="40" spans="1:12" ht="12.75" customHeight="1">
      <c r="A40" s="23"/>
      <c r="B40" s="24"/>
      <c r="C40" s="101" t="s">
        <v>413</v>
      </c>
      <c r="D40" s="101"/>
      <c r="E40" s="101"/>
      <c r="F40" s="101"/>
      <c r="G40" s="101"/>
      <c r="H40" s="101"/>
      <c r="I40" s="101"/>
      <c r="J40" s="101"/>
      <c r="K40" s="101"/>
      <c r="L40" s="101"/>
    </row>
    <row r="41" spans="1:12" ht="14.2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 ht="14.25" customHeight="1">
      <c r="A42" s="25" t="s">
        <v>441</v>
      </c>
      <c r="B42" s="11"/>
      <c r="C42" s="11"/>
      <c r="D42" s="26"/>
      <c r="E42" s="11"/>
      <c r="F42" s="11"/>
      <c r="G42" s="11"/>
      <c r="H42" s="11"/>
      <c r="I42" s="11"/>
      <c r="J42" s="11"/>
      <c r="K42" s="11"/>
      <c r="L42" s="11"/>
    </row>
    <row r="43" spans="1:12" ht="14.2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ht="14.25" customHeight="1">
      <c r="A44" s="25" t="s">
        <v>414</v>
      </c>
      <c r="B44" s="11"/>
      <c r="C44" s="125">
        <f>C47+C48+C49+C50</f>
        <v>474</v>
      </c>
      <c r="D44" s="126"/>
      <c r="E44" s="13" t="s">
        <v>415</v>
      </c>
      <c r="F44" s="9"/>
      <c r="G44" s="9"/>
      <c r="H44" s="9"/>
      <c r="I44" s="9"/>
      <c r="J44" s="9"/>
      <c r="K44" s="9"/>
      <c r="L44" s="11"/>
    </row>
    <row r="45" spans="1:12" ht="14.25" customHeight="1">
      <c r="A45" s="25"/>
      <c r="B45" s="11"/>
      <c r="C45" s="67"/>
      <c r="D45" s="27"/>
      <c r="E45" s="13"/>
      <c r="F45" s="9"/>
      <c r="G45" s="13" t="s">
        <v>416</v>
      </c>
      <c r="H45" s="11"/>
      <c r="I45" s="13"/>
      <c r="J45" s="13"/>
      <c r="K45" s="69">
        <f>ROUND(SUM(AR58:AR370)/1000, 2)</f>
        <v>140.09</v>
      </c>
      <c r="L45" s="13" t="s">
        <v>415</v>
      </c>
    </row>
    <row r="46" spans="1:12" ht="14.25" customHeight="1">
      <c r="A46" s="11"/>
      <c r="B46" s="28" t="s">
        <v>417</v>
      </c>
      <c r="C46" s="68"/>
      <c r="D46" s="11"/>
      <c r="E46" s="13"/>
      <c r="F46" s="9"/>
      <c r="G46" s="13" t="s">
        <v>418</v>
      </c>
      <c r="H46" s="11"/>
      <c r="I46" s="13"/>
      <c r="J46" s="13"/>
      <c r="K46" s="69">
        <f>ROUND(SUM(AT58:AT370)/1000, 2)</f>
        <v>4.3099999999999996</v>
      </c>
      <c r="L46" s="13" t="s">
        <v>415</v>
      </c>
    </row>
    <row r="47" spans="1:12" ht="14.25" customHeight="1">
      <c r="A47" s="11"/>
      <c r="B47" s="25" t="s">
        <v>419</v>
      </c>
      <c r="C47" s="125">
        <f>ROUND((Source!F62)/1000, 2)</f>
        <v>474</v>
      </c>
      <c r="D47" s="126"/>
      <c r="E47" s="13" t="s">
        <v>415</v>
      </c>
      <c r="F47" s="9"/>
      <c r="G47" s="13" t="s">
        <v>420</v>
      </c>
      <c r="H47" s="11"/>
      <c r="I47" s="13"/>
      <c r="J47" s="27"/>
      <c r="K47" s="70">
        <f>Source!F67</f>
        <v>392.06802779999998</v>
      </c>
      <c r="L47" s="13" t="s">
        <v>252</v>
      </c>
    </row>
    <row r="48" spans="1:12" ht="14.25" customHeight="1">
      <c r="A48" s="11"/>
      <c r="B48" s="25" t="s">
        <v>421</v>
      </c>
      <c r="C48" s="125">
        <f>ROUND((Source!F63)/1000, 2)</f>
        <v>0</v>
      </c>
      <c r="D48" s="126"/>
      <c r="E48" s="13" t="s">
        <v>415</v>
      </c>
      <c r="F48" s="9"/>
      <c r="G48" s="13" t="s">
        <v>422</v>
      </c>
      <c r="H48" s="11"/>
      <c r="I48" s="13"/>
      <c r="J48" s="29"/>
      <c r="K48" s="70">
        <f>Source!F68</f>
        <v>10.6010715</v>
      </c>
      <c r="L48" s="13" t="s">
        <v>252</v>
      </c>
    </row>
    <row r="49" spans="1:83" ht="14.25" customHeight="1">
      <c r="A49" s="11"/>
      <c r="B49" s="25" t="s">
        <v>423</v>
      </c>
      <c r="C49" s="125">
        <f>ROUND((Source!F54)/1000, 2)</f>
        <v>0</v>
      </c>
      <c r="D49" s="126"/>
      <c r="E49" s="13" t="s">
        <v>415</v>
      </c>
      <c r="F49" s="9"/>
      <c r="G49" s="13"/>
      <c r="H49" s="13"/>
      <c r="I49" s="13"/>
      <c r="J49" s="13"/>
      <c r="K49" s="9"/>
      <c r="L49" s="13"/>
    </row>
    <row r="50" spans="1:83" ht="14.25" customHeight="1">
      <c r="A50" s="11"/>
      <c r="B50" s="25" t="s">
        <v>424</v>
      </c>
      <c r="C50" s="125">
        <f>ROUND((Source!F64)/1000, 2)</f>
        <v>0</v>
      </c>
      <c r="D50" s="126"/>
      <c r="E50" s="13" t="s">
        <v>415</v>
      </c>
      <c r="F50" s="9"/>
      <c r="G50" s="13"/>
      <c r="H50" s="13"/>
      <c r="I50" s="13"/>
      <c r="J50" s="13"/>
      <c r="K50" s="9"/>
      <c r="L50" s="13"/>
    </row>
    <row r="51" spans="1:83" ht="14.2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</row>
    <row r="52" spans="1:83" ht="12.75" customHeight="1">
      <c r="A52" s="127" t="s">
        <v>425</v>
      </c>
      <c r="B52" s="127" t="s">
        <v>426</v>
      </c>
      <c r="C52" s="127" t="s">
        <v>427</v>
      </c>
      <c r="D52" s="127" t="s">
        <v>428</v>
      </c>
      <c r="E52" s="116" t="s">
        <v>429</v>
      </c>
      <c r="F52" s="117"/>
      <c r="G52" s="118"/>
      <c r="H52" s="116" t="s">
        <v>430</v>
      </c>
      <c r="I52" s="117"/>
      <c r="J52" s="117"/>
      <c r="K52" s="117"/>
      <c r="L52" s="118"/>
    </row>
    <row r="53" spans="1:83" ht="12.75" customHeight="1">
      <c r="A53" s="128"/>
      <c r="B53" s="128"/>
      <c r="C53" s="128"/>
      <c r="D53" s="128"/>
      <c r="E53" s="119"/>
      <c r="F53" s="120"/>
      <c r="G53" s="121"/>
      <c r="H53" s="119"/>
      <c r="I53" s="120"/>
      <c r="J53" s="120"/>
      <c r="K53" s="120"/>
      <c r="L53" s="121"/>
    </row>
    <row r="54" spans="1:83" ht="12.75" customHeight="1">
      <c r="A54" s="128"/>
      <c r="B54" s="128"/>
      <c r="C54" s="128"/>
      <c r="D54" s="128"/>
      <c r="E54" s="119"/>
      <c r="F54" s="120"/>
      <c r="G54" s="121"/>
      <c r="H54" s="119"/>
      <c r="I54" s="120"/>
      <c r="J54" s="120"/>
      <c r="K54" s="120"/>
      <c r="L54" s="121"/>
    </row>
    <row r="55" spans="1:83" ht="12.75" customHeight="1">
      <c r="A55" s="128"/>
      <c r="B55" s="128"/>
      <c r="C55" s="128"/>
      <c r="D55" s="128"/>
      <c r="E55" s="122"/>
      <c r="F55" s="123"/>
      <c r="G55" s="124"/>
      <c r="H55" s="122"/>
      <c r="I55" s="123"/>
      <c r="J55" s="123"/>
      <c r="K55" s="123"/>
      <c r="L55" s="124"/>
    </row>
    <row r="56" spans="1:83" ht="51" customHeight="1">
      <c r="A56" s="129"/>
      <c r="B56" s="129"/>
      <c r="C56" s="129"/>
      <c r="D56" s="129"/>
      <c r="E56" s="31" t="s">
        <v>431</v>
      </c>
      <c r="F56" s="31" t="s">
        <v>432</v>
      </c>
      <c r="G56" s="32" t="s">
        <v>433</v>
      </c>
      <c r="H56" s="31" t="s">
        <v>434</v>
      </c>
      <c r="I56" s="31" t="s">
        <v>435</v>
      </c>
      <c r="J56" s="31" t="s">
        <v>436</v>
      </c>
      <c r="K56" s="31" t="s">
        <v>432</v>
      </c>
      <c r="L56" s="31" t="s">
        <v>437</v>
      </c>
    </row>
    <row r="57" spans="1:83" ht="14.25" customHeight="1">
      <c r="A57" s="33">
        <v>1</v>
      </c>
      <c r="B57" s="33">
        <v>2</v>
      </c>
      <c r="C57" s="33">
        <v>3</v>
      </c>
      <c r="D57" s="33">
        <v>4</v>
      </c>
      <c r="E57" s="33">
        <v>5</v>
      </c>
      <c r="F57" s="33">
        <v>6</v>
      </c>
      <c r="G57" s="33">
        <v>7</v>
      </c>
      <c r="H57" s="33">
        <v>8</v>
      </c>
      <c r="I57" s="33">
        <v>9</v>
      </c>
      <c r="J57" s="33">
        <v>10</v>
      </c>
      <c r="K57" s="34">
        <v>11</v>
      </c>
      <c r="L57" s="34">
        <v>12</v>
      </c>
    </row>
    <row r="58" spans="1:83" ht="57">
      <c r="A58" s="36" t="s">
        <v>15</v>
      </c>
      <c r="B58" s="38" t="s">
        <v>442</v>
      </c>
      <c r="C58" s="38" t="str">
        <f>Source!G24</f>
        <v>Разборка тротуаров: из природных материалов (плиты гранитные) на цементно-песчаном монтажном слое толщиной 50 мм</v>
      </c>
      <c r="D58" s="39" t="str">
        <f>Source!H24</f>
        <v>100 м2</v>
      </c>
      <c r="E58" s="40">
        <f>Source!K24</f>
        <v>7.9799999999999996E-2</v>
      </c>
      <c r="F58" s="40"/>
      <c r="G58" s="40">
        <f>Source!I24</f>
        <v>7.9799999999999996E-2</v>
      </c>
      <c r="H58" s="42"/>
      <c r="I58" s="41"/>
      <c r="J58" s="42"/>
      <c r="K58" s="41"/>
      <c r="L58" s="42"/>
    </row>
    <row r="59" spans="1:83">
      <c r="C59" s="43" t="str">
        <f>"Объем: "&amp;Source!I24&amp;"=7,98/"&amp;"100"</f>
        <v>Объем: 0,0798=7,98/100</v>
      </c>
    </row>
    <row r="60" spans="1:83" ht="15">
      <c r="A60" s="37"/>
      <c r="B60" s="40">
        <v>1</v>
      </c>
      <c r="C60" s="37" t="s">
        <v>443</v>
      </c>
      <c r="D60" s="39" t="s">
        <v>252</v>
      </c>
      <c r="E60" s="44"/>
      <c r="F60" s="40"/>
      <c r="G60" s="40">
        <f>Source!U24</f>
        <v>17.795400000000001</v>
      </c>
      <c r="H60" s="40"/>
      <c r="I60" s="40"/>
      <c r="J60" s="40"/>
      <c r="K60" s="40"/>
      <c r="L60" s="45">
        <f>SUM(L61:L61)-SUMIF(CE61:CE61, 1, L61:L61)</f>
        <v>6131.23</v>
      </c>
    </row>
    <row r="61" spans="1:83" ht="14.25">
      <c r="A61" s="38"/>
      <c r="B61" s="38" t="s">
        <v>250</v>
      </c>
      <c r="C61" s="38" t="s">
        <v>251</v>
      </c>
      <c r="D61" s="39" t="s">
        <v>252</v>
      </c>
      <c r="E61" s="40">
        <v>223</v>
      </c>
      <c r="F61" s="40"/>
      <c r="G61" s="40">
        <f>SmtRes!CX1</f>
        <v>17.795400000000001</v>
      </c>
      <c r="H61" s="42"/>
      <c r="I61" s="41"/>
      <c r="J61" s="42">
        <f>SmtRes!CZ1</f>
        <v>344.54</v>
      </c>
      <c r="K61" s="41"/>
      <c r="L61" s="42">
        <f>SmtRes!DI1</f>
        <v>6131.23</v>
      </c>
    </row>
    <row r="62" spans="1:83" ht="15">
      <c r="A62" s="37"/>
      <c r="B62" s="40">
        <v>2</v>
      </c>
      <c r="C62" s="37" t="s">
        <v>444</v>
      </c>
      <c r="D62" s="39"/>
      <c r="E62" s="44"/>
      <c r="F62" s="40"/>
      <c r="G62" s="40"/>
      <c r="H62" s="40"/>
      <c r="I62" s="40"/>
      <c r="J62" s="40"/>
      <c r="K62" s="40"/>
      <c r="L62" s="45">
        <f>SUM(L63:L71)-SUMIF(CE63:CE71, 1, L63:L71)</f>
        <v>1167.4299999999998</v>
      </c>
    </row>
    <row r="63" spans="1:83" ht="15">
      <c r="A63" s="37"/>
      <c r="B63" s="40"/>
      <c r="C63" s="37" t="s">
        <v>447</v>
      </c>
      <c r="D63" s="39" t="s">
        <v>252</v>
      </c>
      <c r="E63" s="44"/>
      <c r="F63" s="40"/>
      <c r="G63" s="40">
        <f>Source!V24</f>
        <v>1.9814339999999999</v>
      </c>
      <c r="H63" s="40"/>
      <c r="I63" s="40"/>
      <c r="J63" s="40"/>
      <c r="K63" s="40"/>
      <c r="L63" s="45">
        <f>SUMIF(CE64:CE71, 1, L64:L71)</f>
        <v>814.62</v>
      </c>
      <c r="CE63">
        <v>1</v>
      </c>
    </row>
    <row r="64" spans="1:83" ht="71.25">
      <c r="A64" s="38"/>
      <c r="B64" s="38" t="s">
        <v>255</v>
      </c>
      <c r="C64" s="38" t="s">
        <v>257</v>
      </c>
      <c r="D64" s="39" t="s">
        <v>258</v>
      </c>
      <c r="E64" s="40">
        <v>2.52</v>
      </c>
      <c r="F64" s="40"/>
      <c r="G64" s="40">
        <f>SmtRes!CX3</f>
        <v>0.201096</v>
      </c>
      <c r="H64" s="42"/>
      <c r="I64" s="41"/>
      <c r="J64" s="42">
        <f>SmtRes!CZ3</f>
        <v>1680.01</v>
      </c>
      <c r="K64" s="41"/>
      <c r="L64" s="42">
        <f>SmtRes!DG3</f>
        <v>337.84</v>
      </c>
    </row>
    <row r="65" spans="1:83" ht="28.5">
      <c r="A65" s="38"/>
      <c r="B65" s="38" t="s">
        <v>259</v>
      </c>
      <c r="C65" s="38" t="s">
        <v>445</v>
      </c>
      <c r="D65" s="39" t="s">
        <v>252</v>
      </c>
      <c r="E65" s="40">
        <f>SmtRes!DO3*SmtRes!AT3</f>
        <v>2.52</v>
      </c>
      <c r="F65" s="40"/>
      <c r="G65" s="40">
        <f>ROUND(E65*G58, 7)</f>
        <v>0.201096</v>
      </c>
      <c r="H65" s="42"/>
      <c r="I65" s="41"/>
      <c r="J65" s="42">
        <f>ROUND(SmtRes!AG3/SmtRes!DO3, 2)</f>
        <v>465.43</v>
      </c>
      <c r="K65" s="41"/>
      <c r="L65" s="42">
        <f>SmtRes!DH3</f>
        <v>93.6</v>
      </c>
      <c r="CE65">
        <v>1</v>
      </c>
    </row>
    <row r="66" spans="1:83" ht="42.75">
      <c r="A66" s="38"/>
      <c r="B66" s="38" t="s">
        <v>260</v>
      </c>
      <c r="C66" s="38" t="s">
        <v>262</v>
      </c>
      <c r="D66" s="39" t="s">
        <v>258</v>
      </c>
      <c r="E66" s="40">
        <v>5.65</v>
      </c>
      <c r="F66" s="40"/>
      <c r="G66" s="40">
        <f>SmtRes!CX4</f>
        <v>0.45086999999999999</v>
      </c>
      <c r="H66" s="42">
        <f>SmtRes!CZ4</f>
        <v>100.65</v>
      </c>
      <c r="I66" s="41">
        <f>SmtRes!AJ4</f>
        <v>1.24</v>
      </c>
      <c r="J66" s="42">
        <f>ROUND(H66*I66, 2)</f>
        <v>124.81</v>
      </c>
      <c r="K66" s="41"/>
      <c r="L66" s="42">
        <f>SmtRes!DG4</f>
        <v>56.27</v>
      </c>
    </row>
    <row r="67" spans="1:83" ht="42.75">
      <c r="A67" s="38"/>
      <c r="B67" s="38" t="s">
        <v>263</v>
      </c>
      <c r="C67" s="38" t="s">
        <v>265</v>
      </c>
      <c r="D67" s="39" t="s">
        <v>258</v>
      </c>
      <c r="E67" s="40">
        <v>0.01</v>
      </c>
      <c r="F67" s="40"/>
      <c r="G67" s="40">
        <f>SmtRes!CX5</f>
        <v>7.9799999999999999E-4</v>
      </c>
      <c r="H67" s="42">
        <f>SmtRes!CZ5</f>
        <v>1495.59</v>
      </c>
      <c r="I67" s="41">
        <f>SmtRes!AJ5</f>
        <v>1.43</v>
      </c>
      <c r="J67" s="42">
        <f>ROUND(H67*I67, 2)</f>
        <v>2138.69</v>
      </c>
      <c r="K67" s="41"/>
      <c r="L67" s="42">
        <f>SmtRes!DG5</f>
        <v>1.71</v>
      </c>
    </row>
    <row r="68" spans="1:83" ht="28.5">
      <c r="A68" s="38"/>
      <c r="B68" s="38" t="s">
        <v>266</v>
      </c>
      <c r="C68" s="38" t="s">
        <v>446</v>
      </c>
      <c r="D68" s="39" t="s">
        <v>252</v>
      </c>
      <c r="E68" s="40">
        <f>SmtRes!DO5*SmtRes!AT5</f>
        <v>0.01</v>
      </c>
      <c r="F68" s="40"/>
      <c r="G68" s="40">
        <f>ROUND(E68*G58, 7)</f>
        <v>7.9799999999999999E-4</v>
      </c>
      <c r="H68" s="42"/>
      <c r="I68" s="41"/>
      <c r="J68" s="42">
        <f>ROUND(SmtRes!AG5/SmtRes!DO5, 2)</f>
        <v>404.99</v>
      </c>
      <c r="K68" s="41"/>
      <c r="L68" s="42">
        <f>SmtRes!DH5</f>
        <v>0.32</v>
      </c>
      <c r="CE68">
        <v>1</v>
      </c>
    </row>
    <row r="69" spans="1:83" ht="57">
      <c r="A69" s="38"/>
      <c r="B69" s="38" t="s">
        <v>267</v>
      </c>
      <c r="C69" s="38" t="s">
        <v>269</v>
      </c>
      <c r="D69" s="39" t="s">
        <v>258</v>
      </c>
      <c r="E69" s="40">
        <v>22.3</v>
      </c>
      <c r="F69" s="40"/>
      <c r="G69" s="40">
        <f>SmtRes!CX6</f>
        <v>1.7795399999999999</v>
      </c>
      <c r="H69" s="42"/>
      <c r="I69" s="41"/>
      <c r="J69" s="42">
        <f>SmtRes!CZ6</f>
        <v>426.11</v>
      </c>
      <c r="K69" s="41"/>
      <c r="L69" s="42">
        <f>SmtRes!DG6</f>
        <v>758.28</v>
      </c>
    </row>
    <row r="70" spans="1:83" ht="28.5">
      <c r="A70" s="38"/>
      <c r="B70" s="38" t="s">
        <v>266</v>
      </c>
      <c r="C70" s="38" t="s">
        <v>446</v>
      </c>
      <c r="D70" s="39" t="s">
        <v>252</v>
      </c>
      <c r="E70" s="40">
        <f>SmtRes!DO6*SmtRes!AT6</f>
        <v>22.3</v>
      </c>
      <c r="F70" s="40"/>
      <c r="G70" s="40">
        <f>ROUND(E70*G58, 7)</f>
        <v>1.7795399999999999</v>
      </c>
      <c r="H70" s="42"/>
      <c r="I70" s="41"/>
      <c r="J70" s="42">
        <f>ROUND(SmtRes!AG6/SmtRes!DO6, 2)</f>
        <v>404.99</v>
      </c>
      <c r="K70" s="41"/>
      <c r="L70" s="42">
        <f>SmtRes!DH6</f>
        <v>720.7</v>
      </c>
      <c r="CE70">
        <v>1</v>
      </c>
    </row>
    <row r="71" spans="1:83" ht="42.75">
      <c r="A71" s="38"/>
      <c r="B71" s="38" t="s">
        <v>270</v>
      </c>
      <c r="C71" s="38" t="s">
        <v>272</v>
      </c>
      <c r="D71" s="39" t="s">
        <v>258</v>
      </c>
      <c r="E71" s="40">
        <v>36.799999999999997</v>
      </c>
      <c r="F71" s="40"/>
      <c r="G71" s="40">
        <f>SmtRes!CX7</f>
        <v>2.9366400000000001</v>
      </c>
      <c r="H71" s="42">
        <f>SmtRes!CZ7</f>
        <v>2.93</v>
      </c>
      <c r="I71" s="41">
        <f>SmtRes!AJ7</f>
        <v>1.55</v>
      </c>
      <c r="J71" s="42">
        <f>ROUND(H71*I71, 2)</f>
        <v>4.54</v>
      </c>
      <c r="K71" s="41"/>
      <c r="L71" s="42">
        <f>SmtRes!DG7</f>
        <v>13.33</v>
      </c>
    </row>
    <row r="72" spans="1:83" ht="15">
      <c r="A72" s="37"/>
      <c r="B72" s="40">
        <v>4</v>
      </c>
      <c r="C72" s="37" t="s">
        <v>448</v>
      </c>
      <c r="D72" s="39"/>
      <c r="E72" s="44"/>
      <c r="F72" s="40"/>
      <c r="G72" s="40"/>
      <c r="H72" s="40"/>
      <c r="I72" s="40"/>
      <c r="J72" s="40"/>
      <c r="K72" s="40"/>
      <c r="L72" s="45">
        <f>SUM(L73:L79)-SUMIF(CE73:CE79, 1, L73:L79)</f>
        <v>277.22999999999996</v>
      </c>
    </row>
    <row r="73" spans="1:83" ht="14.25">
      <c r="A73" s="38"/>
      <c r="B73" s="38" t="s">
        <v>273</v>
      </c>
      <c r="C73" s="38" t="s">
        <v>275</v>
      </c>
      <c r="D73" s="39" t="s">
        <v>276</v>
      </c>
      <c r="E73" s="40">
        <v>77.680000000000007</v>
      </c>
      <c r="F73" s="40"/>
      <c r="G73" s="40">
        <f>SmtRes!CX8</f>
        <v>6.1988640000000004</v>
      </c>
      <c r="H73" s="42">
        <f>SmtRes!CZ8</f>
        <v>10.16</v>
      </c>
      <c r="I73" s="41">
        <f>SmtRes!AI8</f>
        <v>1.4</v>
      </c>
      <c r="J73" s="42">
        <f t="shared" ref="J73:J79" si="0">ROUND(H73*I73, 2)</f>
        <v>14.22</v>
      </c>
      <c r="K73" s="41"/>
      <c r="L73" s="42">
        <f>SmtRes!DF8</f>
        <v>88.15</v>
      </c>
    </row>
    <row r="74" spans="1:83" ht="14.25">
      <c r="A74" s="38"/>
      <c r="B74" s="38" t="s">
        <v>277</v>
      </c>
      <c r="C74" s="38" t="s">
        <v>279</v>
      </c>
      <c r="D74" s="39" t="s">
        <v>65</v>
      </c>
      <c r="E74" s="40">
        <v>7.4999999999999997E-3</v>
      </c>
      <c r="F74" s="40"/>
      <c r="G74" s="40">
        <f>SmtRes!CX9</f>
        <v>5.9849999999999997E-4</v>
      </c>
      <c r="H74" s="42">
        <f>SmtRes!CZ9</f>
        <v>35.71</v>
      </c>
      <c r="I74" s="41">
        <f>SmtRes!AI9</f>
        <v>0.83</v>
      </c>
      <c r="J74" s="42">
        <f t="shared" si="0"/>
        <v>29.64</v>
      </c>
      <c r="K74" s="41"/>
      <c r="L74" s="42">
        <f>SmtRes!DF9</f>
        <v>0.02</v>
      </c>
    </row>
    <row r="75" spans="1:83" ht="28.5">
      <c r="A75" s="38"/>
      <c r="B75" s="38" t="s">
        <v>280</v>
      </c>
      <c r="C75" s="38" t="s">
        <v>282</v>
      </c>
      <c r="D75" s="39" t="s">
        <v>97</v>
      </c>
      <c r="E75" s="40">
        <v>28.41</v>
      </c>
      <c r="F75" s="40"/>
      <c r="G75" s="40">
        <f>SmtRes!CX10</f>
        <v>2.267118</v>
      </c>
      <c r="H75" s="42">
        <f>SmtRes!CZ10</f>
        <v>12.83</v>
      </c>
      <c r="I75" s="41">
        <f>SmtRes!AI10</f>
        <v>1.18</v>
      </c>
      <c r="J75" s="42">
        <f t="shared" si="0"/>
        <v>15.14</v>
      </c>
      <c r="K75" s="41"/>
      <c r="L75" s="42">
        <f>SmtRes!DF10</f>
        <v>34.32</v>
      </c>
    </row>
    <row r="76" spans="1:83" ht="42.75">
      <c r="A76" s="38"/>
      <c r="B76" s="38" t="s">
        <v>283</v>
      </c>
      <c r="C76" s="38" t="s">
        <v>285</v>
      </c>
      <c r="D76" s="39" t="s">
        <v>46</v>
      </c>
      <c r="E76" s="40">
        <v>2.0500000000000001E-2</v>
      </c>
      <c r="F76" s="40"/>
      <c r="G76" s="40">
        <f>SmtRes!CX12</f>
        <v>1.6359E-3</v>
      </c>
      <c r="H76" s="42">
        <f>SmtRes!CZ12</f>
        <v>89073.2</v>
      </c>
      <c r="I76" s="41">
        <f>SmtRes!AI12</f>
        <v>0.77</v>
      </c>
      <c r="J76" s="42">
        <f t="shared" si="0"/>
        <v>68586.36</v>
      </c>
      <c r="K76" s="41"/>
      <c r="L76" s="42">
        <f>SmtRes!DF12</f>
        <v>112.2</v>
      </c>
    </row>
    <row r="77" spans="1:83" ht="57">
      <c r="A77" s="38"/>
      <c r="B77" s="38" t="s">
        <v>286</v>
      </c>
      <c r="C77" s="38" t="s">
        <v>288</v>
      </c>
      <c r="D77" s="39" t="s">
        <v>65</v>
      </c>
      <c r="E77" s="40">
        <v>2.1999999999999999E-2</v>
      </c>
      <c r="F77" s="40"/>
      <c r="G77" s="40">
        <f>SmtRes!CX13</f>
        <v>1.7556E-3</v>
      </c>
      <c r="H77" s="42">
        <f>SmtRes!CZ13</f>
        <v>7555</v>
      </c>
      <c r="I77" s="41">
        <f>SmtRes!AI13</f>
        <v>1.42</v>
      </c>
      <c r="J77" s="42">
        <f t="shared" si="0"/>
        <v>10728.1</v>
      </c>
      <c r="K77" s="41"/>
      <c r="L77" s="42">
        <f>SmtRes!DF13</f>
        <v>18.829999999999998</v>
      </c>
    </row>
    <row r="78" spans="1:83" ht="28.5">
      <c r="A78" s="38"/>
      <c r="B78" s="38" t="s">
        <v>289</v>
      </c>
      <c r="C78" s="38" t="s">
        <v>291</v>
      </c>
      <c r="D78" s="39" t="s">
        <v>28</v>
      </c>
      <c r="E78" s="40">
        <v>0.17</v>
      </c>
      <c r="F78" s="40"/>
      <c r="G78" s="40">
        <f>SmtRes!CX14</f>
        <v>1.3566E-2</v>
      </c>
      <c r="H78" s="42">
        <f>SmtRes!CZ14</f>
        <v>432.32</v>
      </c>
      <c r="I78" s="41">
        <f>SmtRes!AI14</f>
        <v>1.42</v>
      </c>
      <c r="J78" s="42">
        <f t="shared" si="0"/>
        <v>613.89</v>
      </c>
      <c r="K78" s="41"/>
      <c r="L78" s="42">
        <f>SmtRes!DF14</f>
        <v>8.33</v>
      </c>
    </row>
    <row r="79" spans="1:83" ht="14.25">
      <c r="A79" s="38"/>
      <c r="B79" s="38" t="s">
        <v>292</v>
      </c>
      <c r="C79" s="38" t="s">
        <v>294</v>
      </c>
      <c r="D79" s="39" t="s">
        <v>295</v>
      </c>
      <c r="E79" s="40">
        <v>0.57999999999999996</v>
      </c>
      <c r="F79" s="40"/>
      <c r="G79" s="40">
        <f>SmtRes!CX15</f>
        <v>4.6283999999999999E-2</v>
      </c>
      <c r="H79" s="42">
        <f>SmtRes!CZ15</f>
        <v>237.35</v>
      </c>
      <c r="I79" s="41">
        <f>SmtRes!AI15</f>
        <v>1.4</v>
      </c>
      <c r="J79" s="42">
        <f t="shared" si="0"/>
        <v>332.29</v>
      </c>
      <c r="K79" s="41"/>
      <c r="L79" s="42">
        <f>SmtRes!DF15</f>
        <v>15.38</v>
      </c>
    </row>
    <row r="80" spans="1:83" ht="14.25">
      <c r="A80" s="38"/>
      <c r="B80" s="38" t="str">
        <f>EtalonRes!I11</f>
        <v>01.7.17.06</v>
      </c>
      <c r="C80" s="46" t="str">
        <f>EtalonRes!K11</f>
        <v>Диск отрезной алмазный</v>
      </c>
      <c r="D80" s="47" t="str">
        <f>EtalonRes!O11</f>
        <v>ШТ</v>
      </c>
      <c r="E80" s="48">
        <f>EtalonRes!X11</f>
        <v>0.71</v>
      </c>
      <c r="F80" s="48"/>
      <c r="G80" s="48">
        <f>ROUND(EtalonRes!AG11*Source!I24, 7)</f>
        <v>5.6658E-2</v>
      </c>
      <c r="H80" s="49"/>
      <c r="I80" s="50"/>
      <c r="J80" s="49"/>
      <c r="K80" s="50"/>
      <c r="L80" s="49"/>
    </row>
    <row r="81" spans="1:83" ht="15">
      <c r="A81" s="38"/>
      <c r="B81" s="38"/>
      <c r="C81" s="53" t="s">
        <v>449</v>
      </c>
      <c r="D81" s="39"/>
      <c r="E81" s="40"/>
      <c r="F81" s="40"/>
      <c r="G81" s="40"/>
      <c r="H81" s="42"/>
      <c r="I81" s="41"/>
      <c r="J81" s="42"/>
      <c r="K81" s="41"/>
      <c r="L81" s="42">
        <f>L60+L62+L63+L72</f>
        <v>8390.51</v>
      </c>
    </row>
    <row r="82" spans="1:83" ht="14.25">
      <c r="A82" s="38"/>
      <c r="B82" s="38"/>
      <c r="C82" s="38" t="s">
        <v>450</v>
      </c>
      <c r="D82" s="39"/>
      <c r="E82" s="40"/>
      <c r="F82" s="40"/>
      <c r="G82" s="40"/>
      <c r="H82" s="42"/>
      <c r="I82" s="41"/>
      <c r="J82" s="42"/>
      <c r="K82" s="41"/>
      <c r="L82" s="42">
        <f>SUM(AR58:AR85)+SUM(AS58:AS85)+SUM(AT58:AT85)+SUM(AU58:AU85)+SUM(AV58:AV85)</f>
        <v>6945.8499999999995</v>
      </c>
    </row>
    <row r="83" spans="1:83" ht="14.25">
      <c r="A83" s="38"/>
      <c r="B83" s="38" t="s">
        <v>23</v>
      </c>
      <c r="C83" s="38" t="s">
        <v>451</v>
      </c>
      <c r="D83" s="39" t="s">
        <v>452</v>
      </c>
      <c r="E83" s="40">
        <f>Source!BZ24</f>
        <v>102</v>
      </c>
      <c r="F83" s="40"/>
      <c r="G83" s="40">
        <f>Source!AT24</f>
        <v>102</v>
      </c>
      <c r="H83" s="42"/>
      <c r="I83" s="41"/>
      <c r="J83" s="42"/>
      <c r="K83" s="41"/>
      <c r="L83" s="42">
        <f>SUM(AZ58:AZ85)</f>
        <v>7084.77</v>
      </c>
    </row>
    <row r="84" spans="1:83" ht="14.25">
      <c r="A84" s="46"/>
      <c r="B84" s="46" t="s">
        <v>24</v>
      </c>
      <c r="C84" s="46" t="s">
        <v>453</v>
      </c>
      <c r="D84" s="47" t="s">
        <v>452</v>
      </c>
      <c r="E84" s="48">
        <f>Source!CA24</f>
        <v>54</v>
      </c>
      <c r="F84" s="48"/>
      <c r="G84" s="48">
        <f>Source!AU24</f>
        <v>54</v>
      </c>
      <c r="H84" s="49"/>
      <c r="I84" s="50"/>
      <c r="J84" s="49"/>
      <c r="K84" s="50"/>
      <c r="L84" s="49">
        <f>SUM(BA58:BA85)</f>
        <v>3750.76</v>
      </c>
    </row>
    <row r="85" spans="1:83" ht="15">
      <c r="C85" s="112" t="s">
        <v>454</v>
      </c>
      <c r="D85" s="112"/>
      <c r="E85" s="112"/>
      <c r="F85" s="112"/>
      <c r="G85" s="112"/>
      <c r="H85" s="112"/>
      <c r="I85" s="113">
        <f>IF(E58&lt;&gt;0,K85/E58, 0)</f>
        <v>240927.81954887215</v>
      </c>
      <c r="J85" s="113"/>
      <c r="K85" s="113">
        <f>L60+L62+L72+L83+L84+L63</f>
        <v>19226.039999999997</v>
      </c>
      <c r="L85" s="113"/>
      <c r="AD85">
        <f>ROUND((Source!AT24/100)*((ROUND(SUMIF(SmtRes!AQ1:'SmtRes'!AQ15,"=1",SmtRes!AD1:'SmtRes'!AD15)*Source!I24, 2)+ROUND(SUMIF(SmtRes!AQ1:'SmtRes'!AQ15,"=1",SmtRes!AC1:'SmtRes'!AC15)*Source!I24, 2))), 2)</f>
        <v>131.86000000000001</v>
      </c>
      <c r="AE85">
        <f>ROUND((Source!AU24/100)*((ROUND(SUMIF(SmtRes!AQ1:'SmtRes'!AQ15,"=1",SmtRes!AD1:'SmtRes'!AD15)*Source!I24, 2)+ROUND(SUMIF(SmtRes!AQ1:'SmtRes'!AQ15,"=1",SmtRes!AC1:'SmtRes'!AC15)*Source!I24, 2))), 2)</f>
        <v>69.81</v>
      </c>
      <c r="AN85" s="51">
        <f>L60+L62+L72+L83+L84+L63</f>
        <v>19226.039999999997</v>
      </c>
      <c r="AO85" s="51">
        <f>L62</f>
        <v>1167.4299999999998</v>
      </c>
      <c r="AQ85" t="s">
        <v>455</v>
      </c>
      <c r="AR85" s="51">
        <f>L60</f>
        <v>6131.23</v>
      </c>
      <c r="AT85" s="51">
        <f>L63</f>
        <v>814.62</v>
      </c>
      <c r="AV85" t="s">
        <v>455</v>
      </c>
      <c r="AW85" s="51">
        <f>L72</f>
        <v>277.22999999999996</v>
      </c>
      <c r="AZ85">
        <f>Source!X24</f>
        <v>7084.77</v>
      </c>
      <c r="BA85">
        <f>Source!Y24</f>
        <v>3750.76</v>
      </c>
      <c r="CD85">
        <v>1</v>
      </c>
    </row>
    <row r="86" spans="1:83" ht="57">
      <c r="A86" s="36" t="s">
        <v>29</v>
      </c>
      <c r="B86" s="38" t="s">
        <v>456</v>
      </c>
      <c r="C86" s="38" t="str">
        <f>Source!G26</f>
        <v>Разборка тротуаров: из мелкоштучных искусственных материалов (брусчатка) на цементно-песчаном монтажном слое толщиной 50 мм</v>
      </c>
      <c r="D86" s="39" t="str">
        <f>Source!H26</f>
        <v>100 м2</v>
      </c>
      <c r="E86" s="40">
        <f>Source!K26</f>
        <v>0.20230000000000001</v>
      </c>
      <c r="F86" s="40"/>
      <c r="G86" s="40">
        <f>Source!I26</f>
        <v>0.20230000000000001</v>
      </c>
      <c r="H86" s="42"/>
      <c r="I86" s="41"/>
      <c r="J86" s="42"/>
      <c r="K86" s="41"/>
      <c r="L86" s="42"/>
    </row>
    <row r="87" spans="1:83">
      <c r="C87" s="43" t="str">
        <f>"Объем: "&amp;Source!I26&amp;"=20,23/"&amp;"100"</f>
        <v>Объем: 0,2023=20,23/100</v>
      </c>
    </row>
    <row r="88" spans="1:83" ht="15">
      <c r="A88" s="37"/>
      <c r="B88" s="40">
        <v>1</v>
      </c>
      <c r="C88" s="37" t="s">
        <v>443</v>
      </c>
      <c r="D88" s="39" t="s">
        <v>252</v>
      </c>
      <c r="E88" s="44"/>
      <c r="F88" s="40"/>
      <c r="G88" s="40">
        <f>Source!U26</f>
        <v>57.740465999999998</v>
      </c>
      <c r="H88" s="40"/>
      <c r="I88" s="40"/>
      <c r="J88" s="40"/>
      <c r="K88" s="40"/>
      <c r="L88" s="45">
        <f>SUM(L89:L89)-SUMIF(CE89:CE89, 1, L89:L89)</f>
        <v>19719.52</v>
      </c>
    </row>
    <row r="89" spans="1:83" ht="14.25">
      <c r="A89" s="38"/>
      <c r="B89" s="38" t="s">
        <v>296</v>
      </c>
      <c r="C89" s="38" t="s">
        <v>297</v>
      </c>
      <c r="D89" s="39" t="s">
        <v>252</v>
      </c>
      <c r="E89" s="40">
        <v>285.42</v>
      </c>
      <c r="F89" s="40"/>
      <c r="G89" s="40">
        <f>SmtRes!CX16</f>
        <v>57.740465999999998</v>
      </c>
      <c r="H89" s="42"/>
      <c r="I89" s="41"/>
      <c r="J89" s="42">
        <f>SmtRes!CZ16</f>
        <v>341.52</v>
      </c>
      <c r="K89" s="41"/>
      <c r="L89" s="42">
        <f>SmtRes!DI16</f>
        <v>19719.52</v>
      </c>
    </row>
    <row r="90" spans="1:83" ht="15">
      <c r="A90" s="37"/>
      <c r="B90" s="40">
        <v>2</v>
      </c>
      <c r="C90" s="37" t="s">
        <v>444</v>
      </c>
      <c r="D90" s="39"/>
      <c r="E90" s="44"/>
      <c r="F90" s="40"/>
      <c r="G90" s="40"/>
      <c r="H90" s="40"/>
      <c r="I90" s="40"/>
      <c r="J90" s="40"/>
      <c r="K90" s="40"/>
      <c r="L90" s="45">
        <f>SUM(L91:L99)-SUMIF(CE91:CE99, 1, L91:L99)</f>
        <v>2733.7200000000003</v>
      </c>
    </row>
    <row r="91" spans="1:83" ht="15">
      <c r="A91" s="37"/>
      <c r="B91" s="40"/>
      <c r="C91" s="37" t="s">
        <v>447</v>
      </c>
      <c r="D91" s="39" t="s">
        <v>252</v>
      </c>
      <c r="E91" s="44"/>
      <c r="F91" s="40"/>
      <c r="G91" s="40">
        <f>Source!V26</f>
        <v>5.2112480000000003</v>
      </c>
      <c r="H91" s="40"/>
      <c r="I91" s="40"/>
      <c r="J91" s="40"/>
      <c r="K91" s="40"/>
      <c r="L91" s="45">
        <f>SUMIF(CE92:CE99, 1, L92:L99)</f>
        <v>2133.12</v>
      </c>
      <c r="CE91">
        <v>1</v>
      </c>
    </row>
    <row r="92" spans="1:83" ht="71.25">
      <c r="A92" s="38"/>
      <c r="B92" s="38" t="s">
        <v>255</v>
      </c>
      <c r="C92" s="38" t="s">
        <v>257</v>
      </c>
      <c r="D92" s="39" t="s">
        <v>258</v>
      </c>
      <c r="E92" s="40">
        <v>1.85</v>
      </c>
      <c r="F92" s="40"/>
      <c r="G92" s="40">
        <f>SmtRes!CX18</f>
        <v>0.374255</v>
      </c>
      <c r="H92" s="42"/>
      <c r="I92" s="41"/>
      <c r="J92" s="42">
        <f>SmtRes!CZ18</f>
        <v>1680.01</v>
      </c>
      <c r="K92" s="41"/>
      <c r="L92" s="42">
        <f>SmtRes!DG18</f>
        <v>628.75</v>
      </c>
    </row>
    <row r="93" spans="1:83" ht="28.5">
      <c r="A93" s="38"/>
      <c r="B93" s="38" t="s">
        <v>259</v>
      </c>
      <c r="C93" s="38" t="s">
        <v>445</v>
      </c>
      <c r="D93" s="39" t="s">
        <v>252</v>
      </c>
      <c r="E93" s="40">
        <f>SmtRes!DO18*SmtRes!AT18</f>
        <v>1.85</v>
      </c>
      <c r="F93" s="40"/>
      <c r="G93" s="40">
        <f>ROUND(E93*G86, 7)</f>
        <v>0.374255</v>
      </c>
      <c r="H93" s="42"/>
      <c r="I93" s="41"/>
      <c r="J93" s="42">
        <f>ROUND(SmtRes!AG18/SmtRes!DO18, 2)</f>
        <v>465.43</v>
      </c>
      <c r="K93" s="41"/>
      <c r="L93" s="42">
        <f>SmtRes!DH18</f>
        <v>174.19</v>
      </c>
      <c r="CE93">
        <v>1</v>
      </c>
    </row>
    <row r="94" spans="1:83" ht="42.75">
      <c r="A94" s="38"/>
      <c r="B94" s="38" t="s">
        <v>260</v>
      </c>
      <c r="C94" s="38" t="s">
        <v>262</v>
      </c>
      <c r="D94" s="39" t="s">
        <v>258</v>
      </c>
      <c r="E94" s="40">
        <v>0.24</v>
      </c>
      <c r="F94" s="40"/>
      <c r="G94" s="40">
        <f>SmtRes!CX19</f>
        <v>4.8551999999999998E-2</v>
      </c>
      <c r="H94" s="42">
        <f>SmtRes!CZ19</f>
        <v>100.65</v>
      </c>
      <c r="I94" s="41">
        <f>SmtRes!AJ19</f>
        <v>1.24</v>
      </c>
      <c r="J94" s="42">
        <f>ROUND(H94*I94, 2)</f>
        <v>124.81</v>
      </c>
      <c r="K94" s="41"/>
      <c r="L94" s="42">
        <f>SmtRes!DG19</f>
        <v>6.06</v>
      </c>
    </row>
    <row r="95" spans="1:83" ht="42.75">
      <c r="A95" s="38"/>
      <c r="B95" s="38" t="s">
        <v>263</v>
      </c>
      <c r="C95" s="38" t="s">
        <v>265</v>
      </c>
      <c r="D95" s="39" t="s">
        <v>258</v>
      </c>
      <c r="E95" s="40">
        <v>0.01</v>
      </c>
      <c r="F95" s="40"/>
      <c r="G95" s="40">
        <f>SmtRes!CX20</f>
        <v>2.0230000000000001E-3</v>
      </c>
      <c r="H95" s="42">
        <f>SmtRes!CZ20</f>
        <v>1495.59</v>
      </c>
      <c r="I95" s="41">
        <f>SmtRes!AJ20</f>
        <v>1.43</v>
      </c>
      <c r="J95" s="42">
        <f>ROUND(H95*I95, 2)</f>
        <v>2138.69</v>
      </c>
      <c r="K95" s="41"/>
      <c r="L95" s="42">
        <f>SmtRes!DG20</f>
        <v>4.33</v>
      </c>
    </row>
    <row r="96" spans="1:83" ht="28.5">
      <c r="A96" s="38"/>
      <c r="B96" s="38" t="s">
        <v>266</v>
      </c>
      <c r="C96" s="38" t="s">
        <v>446</v>
      </c>
      <c r="D96" s="39" t="s">
        <v>252</v>
      </c>
      <c r="E96" s="40">
        <f>SmtRes!DO20*SmtRes!AT20</f>
        <v>0.01</v>
      </c>
      <c r="F96" s="40"/>
      <c r="G96" s="40">
        <f>ROUND(E96*G86, 7)</f>
        <v>2.0230000000000001E-3</v>
      </c>
      <c r="H96" s="42"/>
      <c r="I96" s="41"/>
      <c r="J96" s="42">
        <f>ROUND(SmtRes!AG20/SmtRes!DO20, 2)</f>
        <v>404.99</v>
      </c>
      <c r="K96" s="41"/>
      <c r="L96" s="42">
        <f>SmtRes!DH20</f>
        <v>0.82</v>
      </c>
      <c r="CE96">
        <v>1</v>
      </c>
    </row>
    <row r="97" spans="1:83" ht="57">
      <c r="A97" s="38"/>
      <c r="B97" s="38" t="s">
        <v>267</v>
      </c>
      <c r="C97" s="38" t="s">
        <v>269</v>
      </c>
      <c r="D97" s="39" t="s">
        <v>258</v>
      </c>
      <c r="E97" s="40">
        <v>23.9</v>
      </c>
      <c r="F97" s="40"/>
      <c r="G97" s="40">
        <f>SmtRes!CX21</f>
        <v>4.8349700000000002</v>
      </c>
      <c r="H97" s="42"/>
      <c r="I97" s="41"/>
      <c r="J97" s="42">
        <f>SmtRes!CZ21</f>
        <v>426.11</v>
      </c>
      <c r="K97" s="41"/>
      <c r="L97" s="42">
        <f>SmtRes!DG21</f>
        <v>2060.23</v>
      </c>
    </row>
    <row r="98" spans="1:83" ht="28.5">
      <c r="A98" s="38"/>
      <c r="B98" s="38" t="s">
        <v>266</v>
      </c>
      <c r="C98" s="38" t="s">
        <v>446</v>
      </c>
      <c r="D98" s="39" t="s">
        <v>252</v>
      </c>
      <c r="E98" s="40">
        <f>SmtRes!DO21*SmtRes!AT21</f>
        <v>23.9</v>
      </c>
      <c r="F98" s="40"/>
      <c r="G98" s="40">
        <f>ROUND(E98*G86, 7)</f>
        <v>4.8349700000000002</v>
      </c>
      <c r="H98" s="42"/>
      <c r="I98" s="41"/>
      <c r="J98" s="42">
        <f>ROUND(SmtRes!AG21/SmtRes!DO21, 2)</f>
        <v>404.99</v>
      </c>
      <c r="K98" s="41"/>
      <c r="L98" s="42">
        <f>SmtRes!DH21</f>
        <v>1958.11</v>
      </c>
      <c r="CE98">
        <v>1</v>
      </c>
    </row>
    <row r="99" spans="1:83" ht="42.75">
      <c r="A99" s="38"/>
      <c r="B99" s="38" t="s">
        <v>270</v>
      </c>
      <c r="C99" s="38" t="s">
        <v>272</v>
      </c>
      <c r="D99" s="39" t="s">
        <v>258</v>
      </c>
      <c r="E99" s="40">
        <v>37.4</v>
      </c>
      <c r="F99" s="40"/>
      <c r="G99" s="40">
        <f>SmtRes!CX22</f>
        <v>7.56602</v>
      </c>
      <c r="H99" s="42">
        <f>SmtRes!CZ22</f>
        <v>2.93</v>
      </c>
      <c r="I99" s="41">
        <f>SmtRes!AJ22</f>
        <v>1.55</v>
      </c>
      <c r="J99" s="42">
        <f>ROUND(H99*I99, 2)</f>
        <v>4.54</v>
      </c>
      <c r="K99" s="41"/>
      <c r="L99" s="42">
        <f>SmtRes!DG22</f>
        <v>34.35</v>
      </c>
    </row>
    <row r="100" spans="1:83" ht="15">
      <c r="A100" s="37"/>
      <c r="B100" s="40">
        <v>4</v>
      </c>
      <c r="C100" s="37" t="s">
        <v>448</v>
      </c>
      <c r="D100" s="39"/>
      <c r="E100" s="44"/>
      <c r="F100" s="40"/>
      <c r="G100" s="40"/>
      <c r="H100" s="40"/>
      <c r="I100" s="40"/>
      <c r="J100" s="40"/>
      <c r="K100" s="40"/>
      <c r="L100" s="45">
        <f>SUM(L101:L106)-SUMIF(CE101:CE106, 1, L101:L106)</f>
        <v>571.7299999999999</v>
      </c>
    </row>
    <row r="101" spans="1:83" ht="14.25">
      <c r="A101" s="38"/>
      <c r="B101" s="38" t="s">
        <v>273</v>
      </c>
      <c r="C101" s="38" t="s">
        <v>275</v>
      </c>
      <c r="D101" s="39" t="s">
        <v>276</v>
      </c>
      <c r="E101" s="40">
        <v>68.3</v>
      </c>
      <c r="F101" s="40"/>
      <c r="G101" s="40">
        <f>SmtRes!CX23</f>
        <v>13.81709</v>
      </c>
      <c r="H101" s="42">
        <f>SmtRes!CZ23</f>
        <v>10.16</v>
      </c>
      <c r="I101" s="41">
        <f>SmtRes!AI23</f>
        <v>1.4</v>
      </c>
      <c r="J101" s="42">
        <f t="shared" ref="J101:J106" si="1">ROUND(H101*I101, 2)</f>
        <v>14.22</v>
      </c>
      <c r="K101" s="41"/>
      <c r="L101" s="42">
        <f>SmtRes!DF23</f>
        <v>196.48</v>
      </c>
    </row>
    <row r="102" spans="1:83" ht="14.25">
      <c r="A102" s="38"/>
      <c r="B102" s="38" t="s">
        <v>277</v>
      </c>
      <c r="C102" s="38" t="s">
        <v>279</v>
      </c>
      <c r="D102" s="39" t="s">
        <v>65</v>
      </c>
      <c r="E102" s="40">
        <v>7.4999999999999997E-3</v>
      </c>
      <c r="F102" s="40"/>
      <c r="G102" s="40">
        <f>SmtRes!CX24</f>
        <v>1.5173000000000001E-3</v>
      </c>
      <c r="H102" s="42">
        <f>SmtRes!CZ24</f>
        <v>35.71</v>
      </c>
      <c r="I102" s="41">
        <f>SmtRes!AI24</f>
        <v>0.83</v>
      </c>
      <c r="J102" s="42">
        <f t="shared" si="1"/>
        <v>29.64</v>
      </c>
      <c r="K102" s="41"/>
      <c r="L102" s="42">
        <f>SmtRes!DF24</f>
        <v>0.04</v>
      </c>
    </row>
    <row r="103" spans="1:83" ht="28.5">
      <c r="A103" s="38"/>
      <c r="B103" s="38" t="s">
        <v>280</v>
      </c>
      <c r="C103" s="38" t="s">
        <v>282</v>
      </c>
      <c r="D103" s="39" t="s">
        <v>97</v>
      </c>
      <c r="E103" s="40">
        <v>24.5</v>
      </c>
      <c r="F103" s="40"/>
      <c r="G103" s="40">
        <f>SmtRes!CX25</f>
        <v>4.9563499999999996</v>
      </c>
      <c r="H103" s="42">
        <f>SmtRes!CZ25</f>
        <v>12.83</v>
      </c>
      <c r="I103" s="41">
        <f>SmtRes!AI25</f>
        <v>1.18</v>
      </c>
      <c r="J103" s="42">
        <f t="shared" si="1"/>
        <v>15.14</v>
      </c>
      <c r="K103" s="41"/>
      <c r="L103" s="42">
        <f>SmtRes!DF25</f>
        <v>75.040000000000006</v>
      </c>
    </row>
    <row r="104" spans="1:83" ht="42.75">
      <c r="A104" s="38"/>
      <c r="B104" s="38" t="s">
        <v>283</v>
      </c>
      <c r="C104" s="38" t="s">
        <v>285</v>
      </c>
      <c r="D104" s="39" t="s">
        <v>46</v>
      </c>
      <c r="E104" s="40">
        <v>1.7999999999999999E-2</v>
      </c>
      <c r="F104" s="40"/>
      <c r="G104" s="40">
        <f>SmtRes!CX27</f>
        <v>3.6413999999999999E-3</v>
      </c>
      <c r="H104" s="42">
        <f>SmtRes!CZ27</f>
        <v>89073.2</v>
      </c>
      <c r="I104" s="41">
        <f>SmtRes!AI27</f>
        <v>0.77</v>
      </c>
      <c r="J104" s="42">
        <f t="shared" si="1"/>
        <v>68586.36</v>
      </c>
      <c r="K104" s="41"/>
      <c r="L104" s="42">
        <f>SmtRes!DF27</f>
        <v>249.75</v>
      </c>
    </row>
    <row r="105" spans="1:83" ht="28.5">
      <c r="A105" s="38"/>
      <c r="B105" s="38" t="s">
        <v>289</v>
      </c>
      <c r="C105" s="38" t="s">
        <v>291</v>
      </c>
      <c r="D105" s="39" t="s">
        <v>28</v>
      </c>
      <c r="E105" s="40">
        <v>0.13</v>
      </c>
      <c r="F105" s="40"/>
      <c r="G105" s="40">
        <f>SmtRes!CX28</f>
        <v>2.6298999999999999E-2</v>
      </c>
      <c r="H105" s="42">
        <f>SmtRes!CZ28</f>
        <v>432.32</v>
      </c>
      <c r="I105" s="41">
        <f>SmtRes!AI28</f>
        <v>1.42</v>
      </c>
      <c r="J105" s="42">
        <f t="shared" si="1"/>
        <v>613.89</v>
      </c>
      <c r="K105" s="41"/>
      <c r="L105" s="42">
        <f>SmtRes!DF28</f>
        <v>16.14</v>
      </c>
    </row>
    <row r="106" spans="1:83" ht="14.25">
      <c r="A106" s="38"/>
      <c r="B106" s="38" t="s">
        <v>292</v>
      </c>
      <c r="C106" s="38" t="s">
        <v>294</v>
      </c>
      <c r="D106" s="39" t="s">
        <v>295</v>
      </c>
      <c r="E106" s="40">
        <v>0.51</v>
      </c>
      <c r="F106" s="40"/>
      <c r="G106" s="40">
        <f>SmtRes!CX29</f>
        <v>0.103173</v>
      </c>
      <c r="H106" s="42">
        <f>SmtRes!CZ29</f>
        <v>237.35</v>
      </c>
      <c r="I106" s="41">
        <f>SmtRes!AI29</f>
        <v>1.4</v>
      </c>
      <c r="J106" s="42">
        <f t="shared" si="1"/>
        <v>332.29</v>
      </c>
      <c r="K106" s="41"/>
      <c r="L106" s="42">
        <f>SmtRes!DF29</f>
        <v>34.28</v>
      </c>
    </row>
    <row r="107" spans="1:83" ht="14.25">
      <c r="A107" s="38"/>
      <c r="B107" s="38" t="str">
        <f>EtalonRes!I26</f>
        <v>01.7.17.06</v>
      </c>
      <c r="C107" s="46" t="str">
        <f>EtalonRes!K26</f>
        <v>Диск отрезной алмазный</v>
      </c>
      <c r="D107" s="47" t="str">
        <f>EtalonRes!O26</f>
        <v>ШТ</v>
      </c>
      <c r="E107" s="48">
        <f>EtalonRes!X26</f>
        <v>3.0000000000000001E-3</v>
      </c>
      <c r="F107" s="48"/>
      <c r="G107" s="48">
        <f>ROUND(EtalonRes!AG26*Source!I26, 7)</f>
        <v>6.0689999999999995E-4</v>
      </c>
      <c r="H107" s="49"/>
      <c r="I107" s="50"/>
      <c r="J107" s="49"/>
      <c r="K107" s="50"/>
      <c r="L107" s="49"/>
    </row>
    <row r="108" spans="1:83" ht="15">
      <c r="A108" s="38"/>
      <c r="B108" s="38"/>
      <c r="C108" s="53" t="s">
        <v>449</v>
      </c>
      <c r="D108" s="39"/>
      <c r="E108" s="40"/>
      <c r="F108" s="40"/>
      <c r="G108" s="40"/>
      <c r="H108" s="42"/>
      <c r="I108" s="41"/>
      <c r="J108" s="42"/>
      <c r="K108" s="41"/>
      <c r="L108" s="42">
        <f>L88+L90+L91+L100</f>
        <v>25158.09</v>
      </c>
    </row>
    <row r="109" spans="1:83" ht="14.25">
      <c r="A109" s="38"/>
      <c r="B109" s="38"/>
      <c r="C109" s="38" t="s">
        <v>450</v>
      </c>
      <c r="D109" s="39"/>
      <c r="E109" s="40"/>
      <c r="F109" s="40"/>
      <c r="G109" s="40"/>
      <c r="H109" s="42"/>
      <c r="I109" s="41"/>
      <c r="J109" s="42"/>
      <c r="K109" s="41"/>
      <c r="L109" s="42">
        <f>SUM(AR86:AR112)+SUM(AS86:AS112)+SUM(AT86:AT112)+SUM(AU86:AU112)+SUM(AV86:AV112)</f>
        <v>21852.639999999999</v>
      </c>
    </row>
    <row r="110" spans="1:83" ht="14.25">
      <c r="A110" s="38"/>
      <c r="B110" s="38" t="s">
        <v>23</v>
      </c>
      <c r="C110" s="38" t="s">
        <v>451</v>
      </c>
      <c r="D110" s="39" t="s">
        <v>452</v>
      </c>
      <c r="E110" s="40">
        <f>Source!BZ26</f>
        <v>102</v>
      </c>
      <c r="F110" s="40"/>
      <c r="G110" s="40">
        <f>Source!AT26</f>
        <v>102</v>
      </c>
      <c r="H110" s="42"/>
      <c r="I110" s="41"/>
      <c r="J110" s="42"/>
      <c r="K110" s="41"/>
      <c r="L110" s="42">
        <f>SUM(AZ86:AZ112)</f>
        <v>22289.69</v>
      </c>
    </row>
    <row r="111" spans="1:83" ht="14.25">
      <c r="A111" s="46"/>
      <c r="B111" s="46" t="s">
        <v>24</v>
      </c>
      <c r="C111" s="46" t="s">
        <v>453</v>
      </c>
      <c r="D111" s="47" t="s">
        <v>452</v>
      </c>
      <c r="E111" s="48">
        <f>Source!CA26</f>
        <v>54</v>
      </c>
      <c r="F111" s="48"/>
      <c r="G111" s="48">
        <f>Source!AU26</f>
        <v>54</v>
      </c>
      <c r="H111" s="49"/>
      <c r="I111" s="50"/>
      <c r="J111" s="49"/>
      <c r="K111" s="50"/>
      <c r="L111" s="49">
        <f>SUM(BA86:BA112)</f>
        <v>11800.43</v>
      </c>
    </row>
    <row r="112" spans="1:83" ht="15">
      <c r="C112" s="112" t="s">
        <v>454</v>
      </c>
      <c r="D112" s="112"/>
      <c r="E112" s="112"/>
      <c r="F112" s="112"/>
      <c r="G112" s="112"/>
      <c r="H112" s="112"/>
      <c r="I112" s="113">
        <f>IF(E86&lt;&gt;0,K112/E86, 0)</f>
        <v>292873.01038062287</v>
      </c>
      <c r="J112" s="113"/>
      <c r="K112" s="113">
        <f>L88+L90+L100+L110+L111+L91</f>
        <v>59248.210000000006</v>
      </c>
      <c r="L112" s="113"/>
      <c r="AD112">
        <f>ROUND((Source!AT26/100)*((ROUND(SUMIF(SmtRes!AQ16:'SmtRes'!AQ29,"=1",SmtRes!AD16:'SmtRes'!AD29)*Source!I26, 2)+ROUND(SUMIF(SmtRes!AQ16:'SmtRes'!AQ29,"=1",SmtRes!AC16:'SmtRes'!AC29)*Source!I26, 2))), 2)</f>
        <v>333.65</v>
      </c>
      <c r="AE112">
        <f>ROUND((Source!AU26/100)*((ROUND(SUMIF(SmtRes!AQ16:'SmtRes'!AQ29,"=1",SmtRes!AD16:'SmtRes'!AD29)*Source!I26, 2)+ROUND(SUMIF(SmtRes!AQ16:'SmtRes'!AQ29,"=1",SmtRes!AC16:'SmtRes'!AC29)*Source!I26, 2))), 2)</f>
        <v>176.64</v>
      </c>
      <c r="AN112" s="51">
        <f>L88+L90+L100+L110+L111+L91</f>
        <v>59248.210000000006</v>
      </c>
      <c r="AO112" s="51">
        <f>L90</f>
        <v>2733.7200000000003</v>
      </c>
      <c r="AQ112" t="s">
        <v>455</v>
      </c>
      <c r="AR112" s="51">
        <f>L88</f>
        <v>19719.52</v>
      </c>
      <c r="AT112" s="51">
        <f>L91</f>
        <v>2133.12</v>
      </c>
      <c r="AV112" t="s">
        <v>455</v>
      </c>
      <c r="AW112" s="51">
        <f>L100</f>
        <v>571.7299999999999</v>
      </c>
      <c r="AZ112">
        <f>Source!X26</f>
        <v>22289.69</v>
      </c>
      <c r="BA112">
        <f>Source!Y26</f>
        <v>11800.43</v>
      </c>
      <c r="CD112">
        <v>1</v>
      </c>
    </row>
    <row r="113" spans="1:83" ht="28.5">
      <c r="A113" s="36" t="s">
        <v>34</v>
      </c>
      <c r="B113" s="38" t="s">
        <v>457</v>
      </c>
      <c r="C113" s="38" t="str">
        <f>Source!G28</f>
        <v>Разборка облицовки стен: из гранитных плит</v>
      </c>
      <c r="D113" s="39" t="str">
        <f>Source!H28</f>
        <v>100 м2</v>
      </c>
      <c r="E113" s="40">
        <f>Source!K28</f>
        <v>7.3999999999999996E-2</v>
      </c>
      <c r="F113" s="40"/>
      <c r="G113" s="40">
        <f>Source!I28</f>
        <v>7.3999999999999996E-2</v>
      </c>
      <c r="H113" s="42"/>
      <c r="I113" s="41"/>
      <c r="J113" s="42"/>
      <c r="K113" s="41"/>
      <c r="L113" s="42"/>
    </row>
    <row r="114" spans="1:83">
      <c r="C114" s="43" t="str">
        <f>"Объем: "&amp;Source!I28&amp;"=7,4/"&amp;"100"</f>
        <v>Объем: 0,074=7,4/100</v>
      </c>
    </row>
    <row r="115" spans="1:83" ht="15">
      <c r="A115" s="37"/>
      <c r="B115" s="40">
        <v>1</v>
      </c>
      <c r="C115" s="37" t="s">
        <v>443</v>
      </c>
      <c r="D115" s="39" t="s">
        <v>252</v>
      </c>
      <c r="E115" s="44"/>
      <c r="F115" s="40"/>
      <c r="G115" s="40">
        <f>Source!U28</f>
        <v>39.3902</v>
      </c>
      <c r="H115" s="40"/>
      <c r="I115" s="40"/>
      <c r="J115" s="40"/>
      <c r="K115" s="40"/>
      <c r="L115" s="45">
        <f>SUM(L116:L116)-SUMIF(CE116:CE116, 1, L116:L116)</f>
        <v>13095.27</v>
      </c>
    </row>
    <row r="116" spans="1:83" ht="14.25">
      <c r="A116" s="38"/>
      <c r="B116" s="38" t="s">
        <v>298</v>
      </c>
      <c r="C116" s="38" t="s">
        <v>299</v>
      </c>
      <c r="D116" s="39" t="s">
        <v>252</v>
      </c>
      <c r="E116" s="40">
        <v>532.29999999999995</v>
      </c>
      <c r="F116" s="40"/>
      <c r="G116" s="40">
        <f>SmtRes!CX30</f>
        <v>39.3902</v>
      </c>
      <c r="H116" s="42"/>
      <c r="I116" s="41"/>
      <c r="J116" s="42">
        <f>SmtRes!CZ30</f>
        <v>332.45</v>
      </c>
      <c r="K116" s="41"/>
      <c r="L116" s="42">
        <f>SmtRes!DI30</f>
        <v>13095.27</v>
      </c>
    </row>
    <row r="117" spans="1:83" ht="15">
      <c r="A117" s="37"/>
      <c r="B117" s="40">
        <v>2</v>
      </c>
      <c r="C117" s="37" t="s">
        <v>444</v>
      </c>
      <c r="D117" s="39"/>
      <c r="E117" s="44"/>
      <c r="F117" s="40"/>
      <c r="G117" s="40"/>
      <c r="H117" s="40"/>
      <c r="I117" s="40"/>
      <c r="J117" s="40"/>
      <c r="K117" s="40"/>
      <c r="L117" s="45">
        <f>SUM(L118:L122)-SUMIF(CE118:CE122, 1, L118:L122)</f>
        <v>105.86999999999998</v>
      </c>
    </row>
    <row r="118" spans="1:83" ht="15">
      <c r="A118" s="37"/>
      <c r="B118" s="40"/>
      <c r="C118" s="37" t="s">
        <v>447</v>
      </c>
      <c r="D118" s="39" t="s">
        <v>252</v>
      </c>
      <c r="E118" s="44"/>
      <c r="F118" s="40"/>
      <c r="G118" s="40">
        <f>Source!V28</f>
        <v>0.11322</v>
      </c>
      <c r="H118" s="40"/>
      <c r="I118" s="40"/>
      <c r="J118" s="40"/>
      <c r="K118" s="40"/>
      <c r="L118" s="45">
        <f>SUMIF(CE119:CE122, 1, L119:L122)</f>
        <v>40.72</v>
      </c>
      <c r="CE118">
        <v>1</v>
      </c>
    </row>
    <row r="119" spans="1:83" ht="42.75">
      <c r="A119" s="38"/>
      <c r="B119" s="38" t="s">
        <v>300</v>
      </c>
      <c r="C119" s="38" t="s">
        <v>302</v>
      </c>
      <c r="D119" s="39" t="s">
        <v>258</v>
      </c>
      <c r="E119" s="40">
        <v>1.53</v>
      </c>
      <c r="F119" s="40"/>
      <c r="G119" s="40">
        <f>SmtRes!CX32</f>
        <v>0.11322</v>
      </c>
      <c r="H119" s="42">
        <f>SmtRes!CZ32</f>
        <v>37.32</v>
      </c>
      <c r="I119" s="41">
        <f>SmtRes!AJ32</f>
        <v>1.63</v>
      </c>
      <c r="J119" s="42">
        <f>ROUND(H119*I119, 2)</f>
        <v>60.83</v>
      </c>
      <c r="K119" s="41"/>
      <c r="L119" s="42">
        <f>SmtRes!DG32</f>
        <v>6.89</v>
      </c>
    </row>
    <row r="120" spans="1:83" ht="28.5">
      <c r="A120" s="38"/>
      <c r="B120" s="38" t="s">
        <v>303</v>
      </c>
      <c r="C120" s="38" t="s">
        <v>458</v>
      </c>
      <c r="D120" s="39" t="s">
        <v>252</v>
      </c>
      <c r="E120" s="40">
        <f>SmtRes!DO32*SmtRes!AT32</f>
        <v>1.53</v>
      </c>
      <c r="F120" s="40"/>
      <c r="G120" s="40">
        <f>ROUND(E120*G113, 7)</f>
        <v>0.11322</v>
      </c>
      <c r="H120" s="42"/>
      <c r="I120" s="41"/>
      <c r="J120" s="42">
        <f>ROUND(SmtRes!AG32/SmtRes!DO32, 2)</f>
        <v>359.65</v>
      </c>
      <c r="K120" s="41"/>
      <c r="L120" s="42">
        <f>SmtRes!DH32</f>
        <v>40.72</v>
      </c>
      <c r="CE120">
        <v>1</v>
      </c>
    </row>
    <row r="121" spans="1:83" ht="57">
      <c r="A121" s="38"/>
      <c r="B121" s="38" t="s">
        <v>304</v>
      </c>
      <c r="C121" s="38" t="s">
        <v>306</v>
      </c>
      <c r="D121" s="39" t="s">
        <v>258</v>
      </c>
      <c r="E121" s="40">
        <v>7.14</v>
      </c>
      <c r="F121" s="40"/>
      <c r="G121" s="40">
        <f>SmtRes!CX33</f>
        <v>0.52836000000000005</v>
      </c>
      <c r="H121" s="42">
        <f>SmtRes!CZ33</f>
        <v>115.43</v>
      </c>
      <c r="I121" s="41">
        <f>SmtRes!AJ33</f>
        <v>1.57</v>
      </c>
      <c r="J121" s="42">
        <f>ROUND(H121*I121, 2)</f>
        <v>181.23</v>
      </c>
      <c r="K121" s="41"/>
      <c r="L121" s="42">
        <f>SmtRes!DG33</f>
        <v>95.75</v>
      </c>
    </row>
    <row r="122" spans="1:83" ht="42.75">
      <c r="A122" s="38"/>
      <c r="B122" s="38" t="s">
        <v>307</v>
      </c>
      <c r="C122" s="46" t="s">
        <v>309</v>
      </c>
      <c r="D122" s="47" t="s">
        <v>258</v>
      </c>
      <c r="E122" s="48">
        <v>14.28</v>
      </c>
      <c r="F122" s="48"/>
      <c r="G122" s="48">
        <f>SmtRes!CX34</f>
        <v>1.0567200000000001</v>
      </c>
      <c r="H122" s="49">
        <f>SmtRes!CZ34</f>
        <v>2.11</v>
      </c>
      <c r="I122" s="50">
        <f>SmtRes!AJ34</f>
        <v>1.45</v>
      </c>
      <c r="J122" s="49">
        <f>ROUND(H122*I122, 2)</f>
        <v>3.06</v>
      </c>
      <c r="K122" s="50"/>
      <c r="L122" s="49">
        <f>SmtRes!DG34</f>
        <v>3.23</v>
      </c>
    </row>
    <row r="123" spans="1:83" ht="15">
      <c r="A123" s="38"/>
      <c r="B123" s="38"/>
      <c r="C123" s="53" t="s">
        <v>449</v>
      </c>
      <c r="D123" s="39"/>
      <c r="E123" s="40"/>
      <c r="F123" s="40"/>
      <c r="G123" s="40"/>
      <c r="H123" s="42"/>
      <c r="I123" s="41"/>
      <c r="J123" s="42"/>
      <c r="K123" s="41"/>
      <c r="L123" s="42">
        <f>L115+L117+L118</f>
        <v>13241.86</v>
      </c>
    </row>
    <row r="124" spans="1:83" ht="14.25">
      <c r="A124" s="36" t="s">
        <v>459</v>
      </c>
      <c r="B124" s="38" t="str">
        <f>Source!F29</f>
        <v>999-9900</v>
      </c>
      <c r="C124" s="38" t="str">
        <f>Source!G29</f>
        <v>Строительный мусор</v>
      </c>
      <c r="D124" s="39" t="str">
        <f>Source!H29</f>
        <v>т</v>
      </c>
      <c r="E124" s="40">
        <f>SmtRes!AT35</f>
        <v>19.3</v>
      </c>
      <c r="F124" s="40"/>
      <c r="G124" s="40">
        <f>Source!I29</f>
        <v>1.4281999999999999</v>
      </c>
      <c r="H124" s="42">
        <f>Source!AL29+Source!AO29+Source!AM29+Source!AN29</f>
        <v>0</v>
      </c>
      <c r="I124" s="41"/>
      <c r="J124" s="42"/>
      <c r="K124" s="41"/>
      <c r="L124" s="42">
        <f>Source!P29</f>
        <v>0</v>
      </c>
      <c r="AD124">
        <f>ROUND((Source!AT29/100)*((ROUND(ROUND(Source!AO29,2)*Source!I29, 2)+ROUND(ROUND(Source!AN29,2)*Source!I29, 2))), 2)</f>
        <v>0</v>
      </c>
      <c r="AE124">
        <f>ROUND((Source!AU29/100)*((ROUND(ROUND(Source!AO29,2)*Source!I29, 2)+ROUND(ROUND(Source!AN29,2)*Source!I29, 2))), 2)</f>
        <v>0</v>
      </c>
      <c r="AN124">
        <f>L124</f>
        <v>0</v>
      </c>
      <c r="AW124">
        <f>L124</f>
        <v>0</v>
      </c>
      <c r="AZ124">
        <f>Source!X29</f>
        <v>0</v>
      </c>
      <c r="BA124">
        <f>Source!Y29</f>
        <v>0</v>
      </c>
      <c r="CD124">
        <v>1</v>
      </c>
    </row>
    <row r="125" spans="1:83" ht="14.25">
      <c r="A125" s="38"/>
      <c r="B125" s="38"/>
      <c r="C125" s="38" t="s">
        <v>450</v>
      </c>
      <c r="D125" s="39"/>
      <c r="E125" s="40"/>
      <c r="F125" s="40"/>
      <c r="G125" s="40"/>
      <c r="H125" s="42"/>
      <c r="I125" s="41"/>
      <c r="J125" s="42"/>
      <c r="K125" s="41"/>
      <c r="L125" s="42">
        <f>SUM(AR113:AR128)+SUM(AS113:AS128)+SUM(AT113:AT128)+SUM(AU113:AU128)+SUM(AV113:AV128)</f>
        <v>13135.99</v>
      </c>
    </row>
    <row r="126" spans="1:83" ht="28.5">
      <c r="A126" s="38"/>
      <c r="B126" s="38" t="s">
        <v>41</v>
      </c>
      <c r="C126" s="38" t="s">
        <v>460</v>
      </c>
      <c r="D126" s="39" t="s">
        <v>452</v>
      </c>
      <c r="E126" s="40">
        <f>Source!BZ28</f>
        <v>90</v>
      </c>
      <c r="F126" s="40"/>
      <c r="G126" s="40">
        <f>Source!AT28</f>
        <v>90</v>
      </c>
      <c r="H126" s="42"/>
      <c r="I126" s="41"/>
      <c r="J126" s="42"/>
      <c r="K126" s="41"/>
      <c r="L126" s="42">
        <f>SUM(AZ113:AZ128)</f>
        <v>11822.39</v>
      </c>
    </row>
    <row r="127" spans="1:83" ht="28.5">
      <c r="A127" s="46"/>
      <c r="B127" s="46" t="s">
        <v>42</v>
      </c>
      <c r="C127" s="46" t="s">
        <v>461</v>
      </c>
      <c r="D127" s="47" t="s">
        <v>452</v>
      </c>
      <c r="E127" s="48">
        <f>Source!CA28</f>
        <v>45</v>
      </c>
      <c r="F127" s="48"/>
      <c r="G127" s="48">
        <f>Source!AU28</f>
        <v>45</v>
      </c>
      <c r="H127" s="49"/>
      <c r="I127" s="50"/>
      <c r="J127" s="49"/>
      <c r="K127" s="50"/>
      <c r="L127" s="49">
        <f>SUM(BA113:BA128)</f>
        <v>5911.2</v>
      </c>
    </row>
    <row r="128" spans="1:83" ht="15">
      <c r="C128" s="112" t="s">
        <v>454</v>
      </c>
      <c r="D128" s="112"/>
      <c r="E128" s="112"/>
      <c r="F128" s="112"/>
      <c r="G128" s="112"/>
      <c r="H128" s="112"/>
      <c r="I128" s="113">
        <f>IF(E113&lt;&gt;0,K128/E113, 0)</f>
        <v>418587.16216216219</v>
      </c>
      <c r="J128" s="113"/>
      <c r="K128" s="113">
        <f>L115+L117+L126+L127+L118+SUM(L124:L124)</f>
        <v>30975.45</v>
      </c>
      <c r="L128" s="113"/>
      <c r="AD128">
        <f>ROUND((Source!AT28/100)*((ROUND(SUMIF(SmtRes!AQ30:'SmtRes'!AQ35,"=1",SmtRes!AD30:'SmtRes'!AD35)*Source!I28, 2)+ROUND(SUMIF(SmtRes!AQ30:'SmtRes'!AQ35,"=1",SmtRes!AC30:'SmtRes'!AC35)*Source!I28, 2))), 2)</f>
        <v>46.09</v>
      </c>
      <c r="AE128">
        <f>ROUND((Source!AU28/100)*((ROUND(SUMIF(SmtRes!AQ30:'SmtRes'!AQ35,"=1",SmtRes!AD30:'SmtRes'!AD35)*Source!I28, 2)+ROUND(SUMIF(SmtRes!AQ30:'SmtRes'!AQ35,"=1",SmtRes!AC30:'SmtRes'!AC35)*Source!I28, 2))), 2)</f>
        <v>23.04</v>
      </c>
      <c r="AN128" s="51">
        <f>L115+L117+L126+L127+L118</f>
        <v>30975.45</v>
      </c>
      <c r="AO128" s="51">
        <f>L117</f>
        <v>105.86999999999998</v>
      </c>
      <c r="AQ128" t="s">
        <v>455</v>
      </c>
      <c r="AR128" s="51">
        <f>L115</f>
        <v>13095.27</v>
      </c>
      <c r="AT128" s="51">
        <f>L118</f>
        <v>40.72</v>
      </c>
      <c r="AV128" t="s">
        <v>455</v>
      </c>
      <c r="AW128">
        <f>0</f>
        <v>0</v>
      </c>
      <c r="AZ128">
        <f>Source!X28</f>
        <v>11822.39</v>
      </c>
      <c r="BA128">
        <f>Source!Y28</f>
        <v>5911.2</v>
      </c>
      <c r="CD128">
        <v>1</v>
      </c>
    </row>
    <row r="129" spans="1:83" ht="28.5">
      <c r="A129" s="36" t="s">
        <v>47</v>
      </c>
      <c r="B129" s="38" t="s">
        <v>462</v>
      </c>
      <c r="C129" s="38" t="str">
        <f>Source!G30</f>
        <v>Разборка покрытий полов: цементных толщиной 150 мм</v>
      </c>
      <c r="D129" s="39" t="str">
        <f>Source!H30</f>
        <v>100 м2</v>
      </c>
      <c r="E129" s="40">
        <f>Source!K30</f>
        <v>0.36509999999999998</v>
      </c>
      <c r="F129" s="40"/>
      <c r="G129" s="40">
        <f>Source!I30</f>
        <v>0.36509999999999998</v>
      </c>
      <c r="H129" s="42"/>
      <c r="I129" s="41"/>
      <c r="J129" s="42"/>
      <c r="K129" s="41"/>
      <c r="L129" s="42"/>
    </row>
    <row r="130" spans="1:83">
      <c r="C130" s="43" t="str">
        <f>"Объем: "&amp;Source!I30&amp;"=36,51/"&amp;"100"</f>
        <v>Объем: 0,3651=36,51/100</v>
      </c>
    </row>
    <row r="131" spans="1:83" ht="15">
      <c r="A131" s="37"/>
      <c r="B131" s="40">
        <v>1</v>
      </c>
      <c r="C131" s="37" t="s">
        <v>443</v>
      </c>
      <c r="D131" s="39" t="s">
        <v>252</v>
      </c>
      <c r="E131" s="44"/>
      <c r="F131" s="40"/>
      <c r="G131" s="40">
        <f>Source!U30</f>
        <v>40.599119999999999</v>
      </c>
      <c r="H131" s="40"/>
      <c r="I131" s="40"/>
      <c r="J131" s="40"/>
      <c r="K131" s="40"/>
      <c r="L131" s="45">
        <f>SUM(L132:L132)-SUMIF(CE132:CE132, 1, L132:L132)</f>
        <v>14601.47</v>
      </c>
    </row>
    <row r="132" spans="1:83" ht="14.25">
      <c r="A132" s="38"/>
      <c r="B132" s="38" t="s">
        <v>310</v>
      </c>
      <c r="C132" s="38" t="s">
        <v>311</v>
      </c>
      <c r="D132" s="39" t="s">
        <v>252</v>
      </c>
      <c r="E132" s="40">
        <v>111.2</v>
      </c>
      <c r="F132" s="40"/>
      <c r="G132" s="40">
        <f>SmtRes!CX36</f>
        <v>40.599119999999999</v>
      </c>
      <c r="H132" s="42"/>
      <c r="I132" s="41"/>
      <c r="J132" s="42">
        <f>SmtRes!CZ36</f>
        <v>359.65</v>
      </c>
      <c r="K132" s="41"/>
      <c r="L132" s="42">
        <f>SmtRes!DI36</f>
        <v>14601.47</v>
      </c>
    </row>
    <row r="133" spans="1:83" ht="15">
      <c r="A133" s="37"/>
      <c r="B133" s="40">
        <v>2</v>
      </c>
      <c r="C133" s="37" t="s">
        <v>444</v>
      </c>
      <c r="D133" s="39"/>
      <c r="E133" s="44"/>
      <c r="F133" s="40"/>
      <c r="G133" s="40"/>
      <c r="H133" s="40"/>
      <c r="I133" s="40"/>
      <c r="J133" s="40"/>
      <c r="K133" s="40"/>
      <c r="L133" s="45">
        <f>SUM(L134:L138)-SUMIF(CE134:CE138, 1, L134:L138)</f>
        <v>1353.2900000000002</v>
      </c>
    </row>
    <row r="134" spans="1:83" ht="15">
      <c r="A134" s="37"/>
      <c r="B134" s="40"/>
      <c r="C134" s="37" t="s">
        <v>447</v>
      </c>
      <c r="D134" s="39" t="s">
        <v>252</v>
      </c>
      <c r="E134" s="44"/>
      <c r="F134" s="40"/>
      <c r="G134" s="40">
        <f>Source!V30</f>
        <v>0.65717999999999999</v>
      </c>
      <c r="H134" s="40"/>
      <c r="I134" s="40"/>
      <c r="J134" s="40"/>
      <c r="K134" s="40"/>
      <c r="L134" s="45">
        <f>SUMIF(CE135:CE138, 1, L135:L138)</f>
        <v>236.35</v>
      </c>
      <c r="CE134">
        <v>1</v>
      </c>
    </row>
    <row r="135" spans="1:83" ht="42.75">
      <c r="A135" s="38"/>
      <c r="B135" s="38" t="s">
        <v>300</v>
      </c>
      <c r="C135" s="38" t="s">
        <v>302</v>
      </c>
      <c r="D135" s="39" t="s">
        <v>258</v>
      </c>
      <c r="E135" s="40">
        <v>1.8</v>
      </c>
      <c r="F135" s="40"/>
      <c r="G135" s="40">
        <f>SmtRes!CX38</f>
        <v>0.65717999999999999</v>
      </c>
      <c r="H135" s="42">
        <f>SmtRes!CZ38</f>
        <v>37.32</v>
      </c>
      <c r="I135" s="41">
        <f>SmtRes!AJ38</f>
        <v>1.63</v>
      </c>
      <c r="J135" s="42">
        <f>ROUND(H135*I135, 2)</f>
        <v>60.83</v>
      </c>
      <c r="K135" s="41"/>
      <c r="L135" s="42">
        <f>SmtRes!DG38</f>
        <v>39.979999999999997</v>
      </c>
    </row>
    <row r="136" spans="1:83" ht="28.5">
      <c r="A136" s="38"/>
      <c r="B136" s="38" t="s">
        <v>303</v>
      </c>
      <c r="C136" s="38" t="s">
        <v>458</v>
      </c>
      <c r="D136" s="39" t="s">
        <v>252</v>
      </c>
      <c r="E136" s="40">
        <f>SmtRes!DO38*SmtRes!AT38</f>
        <v>1.8</v>
      </c>
      <c r="F136" s="40"/>
      <c r="G136" s="40">
        <f>ROUND(E136*G129, 7)</f>
        <v>0.65717999999999999</v>
      </c>
      <c r="H136" s="42"/>
      <c r="I136" s="41"/>
      <c r="J136" s="42">
        <f>ROUND(SmtRes!AG38/SmtRes!DO38, 2)</f>
        <v>359.65</v>
      </c>
      <c r="K136" s="41"/>
      <c r="L136" s="42">
        <f>SmtRes!DH38</f>
        <v>236.35</v>
      </c>
      <c r="CE136">
        <v>1</v>
      </c>
    </row>
    <row r="137" spans="1:83" ht="57">
      <c r="A137" s="38"/>
      <c r="B137" s="38" t="s">
        <v>304</v>
      </c>
      <c r="C137" s="38" t="s">
        <v>306</v>
      </c>
      <c r="D137" s="39" t="s">
        <v>258</v>
      </c>
      <c r="E137" s="40">
        <v>19.2</v>
      </c>
      <c r="F137" s="40"/>
      <c r="G137" s="40">
        <f>SmtRes!CX39</f>
        <v>7.0099200000000002</v>
      </c>
      <c r="H137" s="42">
        <f>SmtRes!CZ39</f>
        <v>115.43</v>
      </c>
      <c r="I137" s="41">
        <f>SmtRes!AJ39</f>
        <v>1.57</v>
      </c>
      <c r="J137" s="42">
        <f>ROUND(H137*I137, 2)</f>
        <v>181.23</v>
      </c>
      <c r="K137" s="41"/>
      <c r="L137" s="42">
        <f>SmtRes!DG39</f>
        <v>1270.4100000000001</v>
      </c>
    </row>
    <row r="138" spans="1:83" ht="42.75">
      <c r="A138" s="38"/>
      <c r="B138" s="38" t="s">
        <v>307</v>
      </c>
      <c r="C138" s="46" t="s">
        <v>309</v>
      </c>
      <c r="D138" s="47" t="s">
        <v>258</v>
      </c>
      <c r="E138" s="48">
        <v>38.4</v>
      </c>
      <c r="F138" s="48"/>
      <c r="G138" s="48">
        <f>SmtRes!CX40</f>
        <v>14.01984</v>
      </c>
      <c r="H138" s="49">
        <f>SmtRes!CZ40</f>
        <v>2.11</v>
      </c>
      <c r="I138" s="50">
        <f>SmtRes!AJ40</f>
        <v>1.45</v>
      </c>
      <c r="J138" s="49">
        <f>ROUND(H138*I138, 2)</f>
        <v>3.06</v>
      </c>
      <c r="K138" s="50"/>
      <c r="L138" s="49">
        <f>SmtRes!DG40</f>
        <v>42.9</v>
      </c>
    </row>
    <row r="139" spans="1:83" ht="15">
      <c r="A139" s="38"/>
      <c r="B139" s="38"/>
      <c r="C139" s="53" t="s">
        <v>449</v>
      </c>
      <c r="D139" s="39"/>
      <c r="E139" s="40"/>
      <c r="F139" s="40"/>
      <c r="G139" s="40"/>
      <c r="H139" s="42"/>
      <c r="I139" s="41"/>
      <c r="J139" s="42"/>
      <c r="K139" s="41"/>
      <c r="L139" s="42">
        <f>L131+L133+L134</f>
        <v>16191.11</v>
      </c>
    </row>
    <row r="140" spans="1:83" ht="14.25">
      <c r="A140" s="36" t="s">
        <v>463</v>
      </c>
      <c r="B140" s="38" t="str">
        <f>Source!F31</f>
        <v>999-9900</v>
      </c>
      <c r="C140" s="38" t="str">
        <f>Source!G31</f>
        <v>Строительный мусор</v>
      </c>
      <c r="D140" s="39" t="str">
        <f>Source!H31</f>
        <v>т</v>
      </c>
      <c r="E140" s="40">
        <f>SmtRes!AT41</f>
        <v>33</v>
      </c>
      <c r="F140" s="40"/>
      <c r="G140" s="40">
        <f>Source!I31</f>
        <v>12.048299999999999</v>
      </c>
      <c r="H140" s="42">
        <f>Source!AL31+Source!AO31+Source!AM31+Source!AN31</f>
        <v>0</v>
      </c>
      <c r="I140" s="41"/>
      <c r="J140" s="42"/>
      <c r="K140" s="41"/>
      <c r="L140" s="42">
        <f>Source!P31</f>
        <v>0</v>
      </c>
      <c r="AD140">
        <f>ROUND((Source!AT31/100)*((ROUND(ROUND(Source!AO31,2)*Source!I31, 2)+ROUND(ROUND(Source!AN31,2)*Source!I31, 2))), 2)</f>
        <v>0</v>
      </c>
      <c r="AE140">
        <f>ROUND((Source!AU31/100)*((ROUND(ROUND(Source!AO31,2)*Source!I31, 2)+ROUND(ROUND(Source!AN31,2)*Source!I31, 2))), 2)</f>
        <v>0</v>
      </c>
      <c r="AN140">
        <f>L140</f>
        <v>0</v>
      </c>
      <c r="AW140">
        <f>L140</f>
        <v>0</v>
      </c>
      <c r="AZ140">
        <f>Source!X31</f>
        <v>0</v>
      </c>
      <c r="BA140">
        <f>Source!Y31</f>
        <v>0</v>
      </c>
      <c r="CD140">
        <v>1</v>
      </c>
    </row>
    <row r="141" spans="1:83" ht="14.25">
      <c r="A141" s="38"/>
      <c r="B141" s="38"/>
      <c r="C141" s="38" t="s">
        <v>450</v>
      </c>
      <c r="D141" s="39"/>
      <c r="E141" s="40"/>
      <c r="F141" s="40"/>
      <c r="G141" s="40"/>
      <c r="H141" s="42"/>
      <c r="I141" s="41"/>
      <c r="J141" s="42"/>
      <c r="K141" s="41"/>
      <c r="L141" s="42">
        <f>SUM(AR129:AR144)+SUM(AS129:AS144)+SUM(AT129:AT144)+SUM(AU129:AU144)+SUM(AV129:AV144)</f>
        <v>14837.82</v>
      </c>
    </row>
    <row r="142" spans="1:83" ht="14.25">
      <c r="A142" s="38"/>
      <c r="B142" s="38" t="s">
        <v>53</v>
      </c>
      <c r="C142" s="38" t="s">
        <v>464</v>
      </c>
      <c r="D142" s="39" t="s">
        <v>452</v>
      </c>
      <c r="E142" s="40">
        <f>Source!BZ30</f>
        <v>89</v>
      </c>
      <c r="F142" s="40"/>
      <c r="G142" s="40">
        <f>Source!AT30</f>
        <v>89</v>
      </c>
      <c r="H142" s="42"/>
      <c r="I142" s="41"/>
      <c r="J142" s="42"/>
      <c r="K142" s="41"/>
      <c r="L142" s="42">
        <f>SUM(AZ129:AZ144)</f>
        <v>13205.66</v>
      </c>
    </row>
    <row r="143" spans="1:83" ht="14.25">
      <c r="A143" s="46"/>
      <c r="B143" s="46" t="s">
        <v>54</v>
      </c>
      <c r="C143" s="46" t="s">
        <v>465</v>
      </c>
      <c r="D143" s="47" t="s">
        <v>452</v>
      </c>
      <c r="E143" s="48">
        <f>Source!CA30</f>
        <v>49</v>
      </c>
      <c r="F143" s="48"/>
      <c r="G143" s="48">
        <f>Source!AU30</f>
        <v>49</v>
      </c>
      <c r="H143" s="49"/>
      <c r="I143" s="50"/>
      <c r="J143" s="49"/>
      <c r="K143" s="50"/>
      <c r="L143" s="49">
        <f>SUM(BA129:BA144)</f>
        <v>7270.53</v>
      </c>
    </row>
    <row r="144" spans="1:83" ht="15">
      <c r="C144" s="112" t="s">
        <v>454</v>
      </c>
      <c r="D144" s="112"/>
      <c r="E144" s="112"/>
      <c r="F144" s="112"/>
      <c r="G144" s="112"/>
      <c r="H144" s="112"/>
      <c r="I144" s="113">
        <f>IF(E129&lt;&gt;0,K144/E129, 0)</f>
        <v>100430.84086551629</v>
      </c>
      <c r="J144" s="113"/>
      <c r="K144" s="113">
        <f>L131+L133+L142+L143+L134+SUM(L140:L140)</f>
        <v>36667.299999999996</v>
      </c>
      <c r="L144" s="113"/>
      <c r="AD144">
        <f>ROUND((Source!AT30/100)*((ROUND(SUMIF(SmtRes!AQ36:'SmtRes'!AQ41,"=1",SmtRes!AD36:'SmtRes'!AD41)*Source!I30, 2)+ROUND(SUMIF(SmtRes!AQ36:'SmtRes'!AQ41,"=1",SmtRes!AC36:'SmtRes'!AC41)*Source!I30, 2))), 2)</f>
        <v>233.73</v>
      </c>
      <c r="AE144">
        <f>ROUND((Source!AU30/100)*((ROUND(SUMIF(SmtRes!AQ36:'SmtRes'!AQ41,"=1",SmtRes!AD36:'SmtRes'!AD41)*Source!I30, 2)+ROUND(SUMIF(SmtRes!AQ36:'SmtRes'!AQ41,"=1",SmtRes!AC36:'SmtRes'!AC41)*Source!I30, 2))), 2)</f>
        <v>128.68</v>
      </c>
      <c r="AN144" s="51">
        <f>L131+L133+L142+L143+L134</f>
        <v>36667.299999999996</v>
      </c>
      <c r="AO144" s="51">
        <f>L133</f>
        <v>1353.2900000000002</v>
      </c>
      <c r="AQ144" t="s">
        <v>455</v>
      </c>
      <c r="AR144" s="51">
        <f>L131</f>
        <v>14601.47</v>
      </c>
      <c r="AT144" s="51">
        <f>L134</f>
        <v>236.35</v>
      </c>
      <c r="AV144" t="s">
        <v>455</v>
      </c>
      <c r="AW144">
        <f>0</f>
        <v>0</v>
      </c>
      <c r="AZ144">
        <f>Source!X30</f>
        <v>13205.66</v>
      </c>
      <c r="BA144">
        <f>Source!Y30</f>
        <v>7270.53</v>
      </c>
      <c r="CD144">
        <v>1</v>
      </c>
    </row>
    <row r="145" spans="1:101" ht="106.5">
      <c r="A145" s="36" t="s">
        <v>56</v>
      </c>
      <c r="B145" s="38" t="s">
        <v>466</v>
      </c>
      <c r="C145" s="38" t="s">
        <v>467</v>
      </c>
      <c r="D145" s="39" t="str">
        <f>Source!H32</f>
        <v>100 м2</v>
      </c>
      <c r="E145" s="40">
        <f>Source!K32</f>
        <v>-0.35610000000000003</v>
      </c>
      <c r="F145" s="40"/>
      <c r="G145" s="40">
        <f>Source!I32</f>
        <v>-0.35610000000000003</v>
      </c>
      <c r="H145" s="42"/>
      <c r="I145" s="41"/>
      <c r="J145" s="42"/>
      <c r="K145" s="41"/>
      <c r="L145" s="42"/>
    </row>
    <row r="146" spans="1:101">
      <c r="C146" s="43" t="str">
        <f>"Объем: "&amp;Source!I32&amp;"=-"&amp;"35,61/"&amp;"100"</f>
        <v>Объем: -0,3561=-35,61/100</v>
      </c>
    </row>
    <row r="147" spans="1:101" ht="15">
      <c r="A147" s="37"/>
      <c r="B147" s="40">
        <v>1</v>
      </c>
      <c r="C147" s="37" t="s">
        <v>443</v>
      </c>
      <c r="D147" s="39" t="s">
        <v>252</v>
      </c>
      <c r="E147" s="44"/>
      <c r="F147" s="40"/>
      <c r="G147" s="40">
        <f>Source!U32</f>
        <v>-9.6859199999999994</v>
      </c>
      <c r="H147" s="40"/>
      <c r="I147" s="40"/>
      <c r="J147" s="40"/>
      <c r="K147" s="40"/>
      <c r="L147" s="45">
        <f>SUM(L148:L148)-SUMIF(CE148:CE148, 1, L148:L148)</f>
        <v>-3483.54</v>
      </c>
    </row>
    <row r="148" spans="1:101" ht="14.25">
      <c r="A148" s="38"/>
      <c r="B148" s="38" t="s">
        <v>310</v>
      </c>
      <c r="C148" s="46" t="s">
        <v>311</v>
      </c>
      <c r="D148" s="47" t="s">
        <v>252</v>
      </c>
      <c r="E148" s="48">
        <v>2.72</v>
      </c>
      <c r="F148" s="48">
        <f>ROUND(10,7)</f>
        <v>10</v>
      </c>
      <c r="G148" s="48">
        <f>SmtRes!CX42</f>
        <v>-9.6859199999999994</v>
      </c>
      <c r="H148" s="49"/>
      <c r="I148" s="50"/>
      <c r="J148" s="49">
        <f>SmtRes!CZ42</f>
        <v>359.65</v>
      </c>
      <c r="K148" s="50"/>
      <c r="L148" s="49">
        <f>SmtRes!DI42</f>
        <v>-3483.54</v>
      </c>
    </row>
    <row r="149" spans="1:101" ht="15">
      <c r="A149" s="38"/>
      <c r="B149" s="38"/>
      <c r="C149" s="53" t="s">
        <v>449</v>
      </c>
      <c r="D149" s="39"/>
      <c r="E149" s="40"/>
      <c r="F149" s="40"/>
      <c r="G149" s="40"/>
      <c r="H149" s="42"/>
      <c r="I149" s="41"/>
      <c r="J149" s="42"/>
      <c r="K149" s="41"/>
      <c r="L149" s="42">
        <f>L147</f>
        <v>-3483.54</v>
      </c>
    </row>
    <row r="150" spans="1:101" ht="28.5">
      <c r="A150" s="36" t="s">
        <v>468</v>
      </c>
      <c r="B150" s="38" t="str">
        <f>Source!F33</f>
        <v>999-9900</v>
      </c>
      <c r="C150" s="38" t="s">
        <v>469</v>
      </c>
      <c r="D150" s="39" t="str">
        <f>Source!H33</f>
        <v>т</v>
      </c>
      <c r="E150" s="40">
        <f>SmtRes!AT43</f>
        <v>1.1000000000000001</v>
      </c>
      <c r="F150" s="40">
        <f>ROUND(10,7)</f>
        <v>10</v>
      </c>
      <c r="G150" s="40">
        <f>Source!I33</f>
        <v>-3.9171000000000005</v>
      </c>
      <c r="H150" s="42">
        <f>Source!AL33+Source!AO33+Source!AM33+Source!AN33</f>
        <v>0</v>
      </c>
      <c r="I150" s="41"/>
      <c r="J150" s="42"/>
      <c r="K150" s="41"/>
      <c r="L150" s="42">
        <f>Source!P33</f>
        <v>0</v>
      </c>
      <c r="AD150">
        <f>ROUND((Source!AT33/100)*((ROUND(ROUND(Source!AO33,2)*Source!I33, 2)+ROUND(ROUND(Source!AN33,2)*Source!I33, 2))), 2)</f>
        <v>0</v>
      </c>
      <c r="AE150">
        <f>ROUND((Source!AU33/100)*((ROUND(ROUND(Source!AO33,2)*Source!I33, 2)+ROUND(ROUND(Source!AN33,2)*Source!I33, 2))), 2)</f>
        <v>0</v>
      </c>
      <c r="AN150">
        <f>L150</f>
        <v>0</v>
      </c>
      <c r="AW150">
        <f>L150</f>
        <v>0</v>
      </c>
      <c r="AZ150">
        <f>Source!X33</f>
        <v>0</v>
      </c>
      <c r="BA150">
        <f>Source!Y33</f>
        <v>0</v>
      </c>
      <c r="CD150">
        <v>1</v>
      </c>
    </row>
    <row r="151" spans="1:101" ht="14.25">
      <c r="A151" s="38"/>
      <c r="B151" s="38"/>
      <c r="C151" s="38" t="s">
        <v>450</v>
      </c>
      <c r="D151" s="39"/>
      <c r="E151" s="40"/>
      <c r="F151" s="40"/>
      <c r="G151" s="40"/>
      <c r="H151" s="42"/>
      <c r="I151" s="41"/>
      <c r="J151" s="42"/>
      <c r="K151" s="41"/>
      <c r="L151" s="42">
        <f>SUM(AR145:AR154)+SUM(AS145:AS154)+SUM(AT145:AT154)+SUM(AU145:AU154)+SUM(AV145:AV154)</f>
        <v>-3483.54</v>
      </c>
    </row>
    <row r="152" spans="1:101" ht="14.25">
      <c r="A152" s="38"/>
      <c r="B152" s="38" t="s">
        <v>53</v>
      </c>
      <c r="C152" s="38" t="s">
        <v>464</v>
      </c>
      <c r="D152" s="39" t="s">
        <v>452</v>
      </c>
      <c r="E152" s="40">
        <f>Source!BZ32</f>
        <v>89</v>
      </c>
      <c r="F152" s="40"/>
      <c r="G152" s="40">
        <f>Source!AT32</f>
        <v>89</v>
      </c>
      <c r="H152" s="42"/>
      <c r="I152" s="41"/>
      <c r="J152" s="42"/>
      <c r="K152" s="41"/>
      <c r="L152" s="42">
        <f>SUM(AZ145:AZ154)</f>
        <v>-3100.35</v>
      </c>
    </row>
    <row r="153" spans="1:101" ht="14.25">
      <c r="A153" s="46"/>
      <c r="B153" s="46" t="s">
        <v>54</v>
      </c>
      <c r="C153" s="46" t="s">
        <v>465</v>
      </c>
      <c r="D153" s="47" t="s">
        <v>452</v>
      </c>
      <c r="E153" s="48">
        <f>Source!CA32</f>
        <v>49</v>
      </c>
      <c r="F153" s="48"/>
      <c r="G153" s="48">
        <f>Source!AU32</f>
        <v>49</v>
      </c>
      <c r="H153" s="49"/>
      <c r="I153" s="50"/>
      <c r="J153" s="49"/>
      <c r="K153" s="50"/>
      <c r="L153" s="49">
        <f>SUM(BA145:BA154)</f>
        <v>-1706.93</v>
      </c>
    </row>
    <row r="154" spans="1:101" ht="15">
      <c r="C154" s="112" t="s">
        <v>454</v>
      </c>
      <c r="D154" s="112"/>
      <c r="E154" s="112"/>
      <c r="F154" s="112"/>
      <c r="G154" s="112"/>
      <c r="H154" s="112"/>
      <c r="I154" s="113">
        <f>IF(E145&lt;&gt;0,K154/E145, 0)</f>
        <v>23282.280258354393</v>
      </c>
      <c r="J154" s="113"/>
      <c r="K154" s="113">
        <f>L147+L152+L153+SUM(L150:L150)</f>
        <v>-8290.82</v>
      </c>
      <c r="L154" s="113"/>
      <c r="AD154">
        <f>ROUND((Source!AT32/100)*((ROUND(SUMIF(SmtRes!AQ42:'SmtRes'!AQ43,"=1",SmtRes!AD42:'SmtRes'!AD43)*Source!I32, 2)+ROUND(SUMIF(SmtRes!AQ42:'SmtRes'!AQ43,"=1",SmtRes!AC42:'SmtRes'!AC43)*Source!I32, 2))), 2)</f>
        <v>-113.98</v>
      </c>
      <c r="AE154">
        <f>ROUND((Source!AU32/100)*((ROUND(SUMIF(SmtRes!AQ42:'SmtRes'!AQ43,"=1",SmtRes!AD42:'SmtRes'!AD43)*Source!I32, 2)+ROUND(SUMIF(SmtRes!AQ42:'SmtRes'!AQ43,"=1",SmtRes!AC42:'SmtRes'!AC43)*Source!I32, 2))), 2)</f>
        <v>-62.75</v>
      </c>
      <c r="AN154" s="51">
        <f>L147+L152+L153</f>
        <v>-8290.82</v>
      </c>
      <c r="AO154">
        <f>0</f>
        <v>0</v>
      </c>
      <c r="AQ154" t="s">
        <v>455</v>
      </c>
      <c r="AR154" s="51">
        <f>L147</f>
        <v>-3483.54</v>
      </c>
      <c r="AT154">
        <f>0</f>
        <v>0</v>
      </c>
      <c r="AV154" t="s">
        <v>455</v>
      </c>
      <c r="AW154">
        <f>0</f>
        <v>0</v>
      </c>
      <c r="AZ154">
        <f>Source!X32</f>
        <v>-3100.35</v>
      </c>
      <c r="BA154">
        <f>Source!Y32</f>
        <v>-1706.93</v>
      </c>
      <c r="CD154">
        <v>1</v>
      </c>
    </row>
    <row r="155" spans="1:101" ht="14.25">
      <c r="A155" s="36" t="s">
        <v>62</v>
      </c>
      <c r="B155" s="38" t="s">
        <v>470</v>
      </c>
      <c r="C155" s="38" t="str">
        <f>Source!G34</f>
        <v>Устройство: бетонных ступеней</v>
      </c>
      <c r="D155" s="39" t="str">
        <f>Source!H34</f>
        <v>м3</v>
      </c>
      <c r="E155" s="40">
        <f>Source!K34</f>
        <v>7.1219999999999999</v>
      </c>
      <c r="F155" s="40"/>
      <c r="G155" s="40">
        <f>Source!I34</f>
        <v>7.1219999999999999</v>
      </c>
      <c r="H155" s="42"/>
      <c r="I155" s="41"/>
      <c r="J155" s="42"/>
      <c r="K155" s="41"/>
      <c r="L155" s="42"/>
    </row>
    <row r="156" spans="1:101" ht="38.25">
      <c r="B156" s="55" t="s">
        <v>392</v>
      </c>
      <c r="C156" s="115" t="s">
        <v>471</v>
      </c>
      <c r="D156" s="115"/>
      <c r="E156" s="115"/>
      <c r="F156" s="115"/>
      <c r="G156" s="115"/>
      <c r="H156" s="115"/>
      <c r="I156" s="115"/>
      <c r="J156" s="115"/>
      <c r="K156" s="115"/>
      <c r="L156" s="115"/>
      <c r="CW156" s="56" t="s">
        <v>471</v>
      </c>
    </row>
    <row r="157" spans="1:101" ht="15">
      <c r="A157" s="37"/>
      <c r="B157" s="40">
        <v>1</v>
      </c>
      <c r="C157" s="37" t="s">
        <v>443</v>
      </c>
      <c r="D157" s="39" t="s">
        <v>252</v>
      </c>
      <c r="E157" s="44"/>
      <c r="F157" s="40"/>
      <c r="G157" s="40">
        <f>Source!U34</f>
        <v>95.662704000000005</v>
      </c>
      <c r="H157" s="40"/>
      <c r="I157" s="40"/>
      <c r="J157" s="40"/>
      <c r="K157" s="40"/>
      <c r="L157" s="45">
        <f>SUM(L158:L158)-SUMIF(CE158:CE158, 1, L158:L158)</f>
        <v>34405.089999999997</v>
      </c>
    </row>
    <row r="158" spans="1:101" ht="14.25">
      <c r="A158" s="38"/>
      <c r="B158" s="38" t="s">
        <v>310</v>
      </c>
      <c r="C158" s="38" t="s">
        <v>311</v>
      </c>
      <c r="D158" s="39" t="s">
        <v>252</v>
      </c>
      <c r="E158" s="40">
        <v>11.68</v>
      </c>
      <c r="F158" s="40">
        <f>ROUND(1.15,7)</f>
        <v>1.1499999999999999</v>
      </c>
      <c r="G158" s="40">
        <f>SmtRes!CX44</f>
        <v>95.662704000000005</v>
      </c>
      <c r="H158" s="42"/>
      <c r="I158" s="41"/>
      <c r="J158" s="42">
        <f>SmtRes!CZ44</f>
        <v>359.65</v>
      </c>
      <c r="K158" s="41"/>
      <c r="L158" s="42">
        <f>SmtRes!DI44</f>
        <v>34405.089999999997</v>
      </c>
    </row>
    <row r="159" spans="1:101" ht="15">
      <c r="A159" s="37"/>
      <c r="B159" s="40">
        <v>2</v>
      </c>
      <c r="C159" s="37" t="s">
        <v>444</v>
      </c>
      <c r="D159" s="39"/>
      <c r="E159" s="44"/>
      <c r="F159" s="40"/>
      <c r="G159" s="40"/>
      <c r="H159" s="40"/>
      <c r="I159" s="40"/>
      <c r="J159" s="40"/>
      <c r="K159" s="40"/>
      <c r="L159" s="45">
        <f>SUM(L160:L166)-SUMIF(CE160:CE166, 1, L160:L166)</f>
        <v>1797.66</v>
      </c>
    </row>
    <row r="160" spans="1:101" ht="15">
      <c r="A160" s="37"/>
      <c r="B160" s="40"/>
      <c r="C160" s="37" t="s">
        <v>447</v>
      </c>
      <c r="D160" s="39" t="s">
        <v>252</v>
      </c>
      <c r="E160" s="44"/>
      <c r="F160" s="40"/>
      <c r="G160" s="40">
        <f>Source!V34</f>
        <v>1.6914749999999998</v>
      </c>
      <c r="H160" s="40"/>
      <c r="I160" s="40"/>
      <c r="J160" s="40"/>
      <c r="K160" s="40"/>
      <c r="L160" s="45">
        <f>SUMIF(CE161:CE166, 1, L161:L166)</f>
        <v>697.41</v>
      </c>
      <c r="CE160">
        <v>1</v>
      </c>
    </row>
    <row r="161" spans="1:83" ht="28.5">
      <c r="A161" s="38"/>
      <c r="B161" s="38" t="s">
        <v>312</v>
      </c>
      <c r="C161" s="38" t="s">
        <v>314</v>
      </c>
      <c r="D161" s="39" t="s">
        <v>258</v>
      </c>
      <c r="E161" s="40">
        <v>0.01</v>
      </c>
      <c r="F161" s="40">
        <f t="shared" ref="F161:F166" si="2">ROUND(1.25,7)</f>
        <v>1.25</v>
      </c>
      <c r="G161" s="40">
        <f>SmtRes!CX46</f>
        <v>8.9025000000000007E-2</v>
      </c>
      <c r="H161" s="42"/>
      <c r="I161" s="41"/>
      <c r="J161" s="42">
        <f>SmtRes!CZ46</f>
        <v>1719.93</v>
      </c>
      <c r="K161" s="41"/>
      <c r="L161" s="42">
        <f>SmtRes!DG46</f>
        <v>153.12</v>
      </c>
    </row>
    <row r="162" spans="1:83" ht="28.5">
      <c r="A162" s="38"/>
      <c r="B162" s="38" t="s">
        <v>315</v>
      </c>
      <c r="C162" s="38" t="s">
        <v>472</v>
      </c>
      <c r="D162" s="39" t="s">
        <v>252</v>
      </c>
      <c r="E162" s="40">
        <f>SmtRes!DO46*SmtRes!AT46</f>
        <v>0.01</v>
      </c>
      <c r="F162" s="40">
        <f t="shared" si="2"/>
        <v>1.25</v>
      </c>
      <c r="G162" s="40">
        <f>ROUND(E162*F162*G155, 7)</f>
        <v>8.9025000000000007E-2</v>
      </c>
      <c r="H162" s="42"/>
      <c r="I162" s="41"/>
      <c r="J162" s="42">
        <f>ROUND(SmtRes!AG46/SmtRes!DO46, 2)</f>
        <v>544.01</v>
      </c>
      <c r="K162" s="41"/>
      <c r="L162" s="42">
        <f>SmtRes!DH46</f>
        <v>48.43</v>
      </c>
      <c r="CE162">
        <v>1</v>
      </c>
    </row>
    <row r="163" spans="1:83" ht="14.25">
      <c r="A163" s="38"/>
      <c r="B163" s="38" t="s">
        <v>316</v>
      </c>
      <c r="C163" s="38" t="s">
        <v>318</v>
      </c>
      <c r="D163" s="39" t="s">
        <v>258</v>
      </c>
      <c r="E163" s="40">
        <v>2.2999999999999998</v>
      </c>
      <c r="F163" s="40">
        <f t="shared" si="2"/>
        <v>1.25</v>
      </c>
      <c r="G163" s="40">
        <f>SmtRes!CX47</f>
        <v>20.475750000000001</v>
      </c>
      <c r="H163" s="42">
        <f>SmtRes!CZ47</f>
        <v>10.37</v>
      </c>
      <c r="I163" s="41">
        <f>SmtRes!AJ47</f>
        <v>1.29</v>
      </c>
      <c r="J163" s="42">
        <f>ROUND(H163*I163, 2)</f>
        <v>13.38</v>
      </c>
      <c r="K163" s="41"/>
      <c r="L163" s="42">
        <f>SmtRes!DG47</f>
        <v>273.97000000000003</v>
      </c>
    </row>
    <row r="164" spans="1:83" ht="14.25">
      <c r="A164" s="38"/>
      <c r="B164" s="38" t="s">
        <v>319</v>
      </c>
      <c r="C164" s="38" t="s">
        <v>321</v>
      </c>
      <c r="D164" s="39" t="s">
        <v>258</v>
      </c>
      <c r="E164" s="40">
        <v>2.2999999999999998</v>
      </c>
      <c r="F164" s="40">
        <f t="shared" si="2"/>
        <v>1.25</v>
      </c>
      <c r="G164" s="40">
        <f>SmtRes!CX48</f>
        <v>20.475750000000001</v>
      </c>
      <c r="H164" s="42">
        <f>SmtRes!CZ48</f>
        <v>8.5399999999999991</v>
      </c>
      <c r="I164" s="41">
        <f>SmtRes!AJ48</f>
        <v>1.6</v>
      </c>
      <c r="J164" s="42">
        <f>ROUND(H164*I164, 2)</f>
        <v>13.66</v>
      </c>
      <c r="K164" s="41"/>
      <c r="L164" s="42">
        <f>SmtRes!DG48</f>
        <v>279.7</v>
      </c>
    </row>
    <row r="165" spans="1:83" ht="28.5">
      <c r="A165" s="38"/>
      <c r="B165" s="38" t="s">
        <v>322</v>
      </c>
      <c r="C165" s="38" t="s">
        <v>324</v>
      </c>
      <c r="D165" s="39" t="s">
        <v>258</v>
      </c>
      <c r="E165" s="40">
        <v>0.18</v>
      </c>
      <c r="F165" s="40">
        <f t="shared" si="2"/>
        <v>1.25</v>
      </c>
      <c r="G165" s="40">
        <f>SmtRes!CX49</f>
        <v>1.6024499999999999</v>
      </c>
      <c r="H165" s="42"/>
      <c r="I165" s="41"/>
      <c r="J165" s="42">
        <f>SmtRes!CZ49</f>
        <v>680.75</v>
      </c>
      <c r="K165" s="41"/>
      <c r="L165" s="42">
        <f>SmtRes!DG49</f>
        <v>1090.8699999999999</v>
      </c>
    </row>
    <row r="166" spans="1:83" ht="28.5">
      <c r="A166" s="38"/>
      <c r="B166" s="38" t="s">
        <v>266</v>
      </c>
      <c r="C166" s="38" t="s">
        <v>446</v>
      </c>
      <c r="D166" s="39" t="s">
        <v>252</v>
      </c>
      <c r="E166" s="40">
        <f>SmtRes!DO49*SmtRes!AT49</f>
        <v>0.18</v>
      </c>
      <c r="F166" s="40">
        <f t="shared" si="2"/>
        <v>1.25</v>
      </c>
      <c r="G166" s="40">
        <f>ROUND(E166*F166*G155, 7)</f>
        <v>1.6024499999999999</v>
      </c>
      <c r="H166" s="42"/>
      <c r="I166" s="41"/>
      <c r="J166" s="42">
        <f>ROUND(SmtRes!AG49/SmtRes!DO49, 2)</f>
        <v>404.99</v>
      </c>
      <c r="K166" s="41"/>
      <c r="L166" s="42">
        <f>SmtRes!DH49</f>
        <v>648.98</v>
      </c>
      <c r="CE166">
        <v>1</v>
      </c>
    </row>
    <row r="167" spans="1:83" ht="15">
      <c r="A167" s="37"/>
      <c r="B167" s="40">
        <v>4</v>
      </c>
      <c r="C167" s="37" t="s">
        <v>448</v>
      </c>
      <c r="D167" s="39"/>
      <c r="E167" s="44"/>
      <c r="F167" s="40"/>
      <c r="G167" s="40"/>
      <c r="H167" s="40"/>
      <c r="I167" s="40"/>
      <c r="J167" s="40"/>
      <c r="K167" s="40"/>
      <c r="L167" s="45">
        <f>SUM(L168:L171)-SUMIF(CE168:CE171, 1, L168:L171)</f>
        <v>24660.23</v>
      </c>
    </row>
    <row r="168" spans="1:83" ht="14.25">
      <c r="A168" s="38"/>
      <c r="B168" s="38" t="s">
        <v>277</v>
      </c>
      <c r="C168" s="38" t="s">
        <v>279</v>
      </c>
      <c r="D168" s="39" t="s">
        <v>65</v>
      </c>
      <c r="E168" s="40">
        <v>5.4999999999999997E-3</v>
      </c>
      <c r="F168" s="40"/>
      <c r="G168" s="40">
        <f>SmtRes!CX50</f>
        <v>3.9170999999999997E-2</v>
      </c>
      <c r="H168" s="42">
        <f>SmtRes!CZ50</f>
        <v>35.71</v>
      </c>
      <c r="I168" s="41">
        <f>SmtRes!AI50</f>
        <v>0.83</v>
      </c>
      <c r="J168" s="42">
        <f>ROUND(H168*I168, 2)</f>
        <v>29.64</v>
      </c>
      <c r="K168" s="41"/>
      <c r="L168" s="42">
        <f>SmtRes!DF50</f>
        <v>1.1599999999999999</v>
      </c>
    </row>
    <row r="169" spans="1:83" ht="42.75">
      <c r="A169" s="38"/>
      <c r="B169" s="38" t="s">
        <v>325</v>
      </c>
      <c r="C169" s="38" t="s">
        <v>327</v>
      </c>
      <c r="D169" s="39" t="s">
        <v>97</v>
      </c>
      <c r="E169" s="40">
        <v>0.151</v>
      </c>
      <c r="F169" s="40"/>
      <c r="G169" s="40">
        <f>SmtRes!CX51</f>
        <v>1.0754220000000001</v>
      </c>
      <c r="H169" s="42">
        <f>SmtRes!CZ51</f>
        <v>28.13</v>
      </c>
      <c r="I169" s="41">
        <f>SmtRes!AI51</f>
        <v>1.29</v>
      </c>
      <c r="J169" s="42">
        <f>ROUND(H169*I169, 2)</f>
        <v>36.29</v>
      </c>
      <c r="K169" s="41"/>
      <c r="L169" s="42">
        <f>SmtRes!DF51</f>
        <v>39.03</v>
      </c>
    </row>
    <row r="170" spans="1:83" ht="57">
      <c r="A170" s="38"/>
      <c r="B170" s="38" t="s">
        <v>328</v>
      </c>
      <c r="C170" s="38" t="s">
        <v>330</v>
      </c>
      <c r="D170" s="39" t="s">
        <v>65</v>
      </c>
      <c r="E170" s="40">
        <v>0.02</v>
      </c>
      <c r="F170" s="40"/>
      <c r="G170" s="40">
        <f>SmtRes!CX53</f>
        <v>0.14244000000000001</v>
      </c>
      <c r="H170" s="42">
        <f>SmtRes!CZ53</f>
        <v>16496.03</v>
      </c>
      <c r="I170" s="41">
        <f>SmtRes!AI53</f>
        <v>1.05</v>
      </c>
      <c r="J170" s="42">
        <f>ROUND(H170*I170, 2)</f>
        <v>17320.830000000002</v>
      </c>
      <c r="K170" s="41"/>
      <c r="L170" s="42">
        <f>SmtRes!DF53</f>
        <v>2467.1799999999998</v>
      </c>
    </row>
    <row r="171" spans="1:83" ht="57">
      <c r="A171" s="38"/>
      <c r="B171" s="38" t="s">
        <v>331</v>
      </c>
      <c r="C171" s="38" t="s">
        <v>333</v>
      </c>
      <c r="D171" s="39" t="s">
        <v>65</v>
      </c>
      <c r="E171" s="40">
        <v>0.38</v>
      </c>
      <c r="F171" s="40"/>
      <c r="G171" s="40">
        <f>SmtRes!CX54</f>
        <v>2.7063600000000001</v>
      </c>
      <c r="H171" s="42">
        <f>SmtRes!CZ54</f>
        <v>5764.42</v>
      </c>
      <c r="I171" s="41">
        <f>SmtRes!AI54</f>
        <v>1.42</v>
      </c>
      <c r="J171" s="42">
        <f>ROUND(H171*I171, 2)</f>
        <v>8185.48</v>
      </c>
      <c r="K171" s="41"/>
      <c r="L171" s="42">
        <f>SmtRes!DF54</f>
        <v>22152.86</v>
      </c>
    </row>
    <row r="172" spans="1:83" ht="14.25">
      <c r="A172" s="38"/>
      <c r="B172" s="38" t="str">
        <f>EtalonRes!I52</f>
        <v>01.7.16.04</v>
      </c>
      <c r="C172" s="38" t="str">
        <f>EtalonRes!K52</f>
        <v>Опалубка инвентарная (амортизация)</v>
      </c>
      <c r="D172" s="39" t="str">
        <f>EtalonRes!O52</f>
        <v>КОМПЛ</v>
      </c>
      <c r="E172" s="40">
        <f>EtalonRes!X52</f>
        <v>0</v>
      </c>
      <c r="F172" s="40"/>
      <c r="G172" s="40">
        <f>ROUND(EtalonRes!AG52*Source!I34, 7)</f>
        <v>0</v>
      </c>
      <c r="H172" s="42"/>
      <c r="I172" s="41"/>
      <c r="J172" s="42"/>
      <c r="K172" s="41"/>
      <c r="L172" s="42"/>
    </row>
    <row r="173" spans="1:83" ht="14.25">
      <c r="A173" s="38"/>
      <c r="B173" s="38" t="str">
        <f>EtalonRes!I53</f>
        <v>04.1.02.05</v>
      </c>
      <c r="C173" s="46" t="str">
        <f>EtalonRes!K53</f>
        <v>Смеси бетонные тяжелого бетона</v>
      </c>
      <c r="D173" s="47" t="str">
        <f>EtalonRes!O53</f>
        <v>м3</v>
      </c>
      <c r="E173" s="48">
        <f>EtalonRes!X53</f>
        <v>1.02</v>
      </c>
      <c r="F173" s="48"/>
      <c r="G173" s="48">
        <f>ROUND(EtalonRes!AG53*Source!I34, 7)</f>
        <v>7.2644399999999996</v>
      </c>
      <c r="H173" s="49"/>
      <c r="I173" s="50"/>
      <c r="J173" s="49"/>
      <c r="K173" s="50"/>
      <c r="L173" s="49"/>
    </row>
    <row r="174" spans="1:83" ht="15">
      <c r="A174" s="38"/>
      <c r="B174" s="38"/>
      <c r="C174" s="53" t="s">
        <v>449</v>
      </c>
      <c r="D174" s="39"/>
      <c r="E174" s="40"/>
      <c r="F174" s="40"/>
      <c r="G174" s="40"/>
      <c r="H174" s="42"/>
      <c r="I174" s="41"/>
      <c r="J174" s="42"/>
      <c r="K174" s="41"/>
      <c r="L174" s="42">
        <f>L157+L159+L160+L167</f>
        <v>61560.39</v>
      </c>
    </row>
    <row r="175" spans="1:83" ht="42.75">
      <c r="A175" s="36" t="s">
        <v>473</v>
      </c>
      <c r="B175" s="38" t="str">
        <f>Source!F35</f>
        <v>04.1.02.05-0132</v>
      </c>
      <c r="C175" s="38" t="str">
        <f>Source!G35</f>
        <v>Смеси бетонные тяжелого бетона (БСТ) на щебне из гравия, класс В15, F(1)150, W4</v>
      </c>
      <c r="D175" s="39" t="str">
        <f>Source!H35</f>
        <v>м3</v>
      </c>
      <c r="E175" s="40">
        <f>SmtRes!AT52</f>
        <v>1.02</v>
      </c>
      <c r="F175" s="40"/>
      <c r="G175" s="40">
        <f>Source!I35</f>
        <v>7.2644400000000005</v>
      </c>
      <c r="H175" s="42"/>
      <c r="I175" s="41"/>
      <c r="J175" s="42">
        <f>Source!AK35</f>
        <v>6110.06</v>
      </c>
      <c r="K175" s="41"/>
      <c r="L175" s="42">
        <f>Source!P35</f>
        <v>44386.16</v>
      </c>
      <c r="AD175">
        <f>ROUND((Source!AT35/100)*((ROUND(ROUND(Source!AO35,2)*Source!I35, 2)+ROUND(ROUND(Source!AN35,2)*Source!I35, 2))), 2)</f>
        <v>0</v>
      </c>
      <c r="AE175">
        <f>ROUND((Source!AU35/100)*((ROUND(ROUND(Source!AO35,2)*Source!I35, 2)+ROUND(ROUND(Source!AN35,2)*Source!I35, 2))), 2)</f>
        <v>0</v>
      </c>
      <c r="AN175">
        <f>L175</f>
        <v>44386.16</v>
      </c>
      <c r="AW175">
        <f>L175</f>
        <v>44386.16</v>
      </c>
      <c r="AZ175">
        <f>Source!X35</f>
        <v>0</v>
      </c>
      <c r="BA175">
        <f>Source!Y35</f>
        <v>0</v>
      </c>
      <c r="CD175">
        <v>1</v>
      </c>
    </row>
    <row r="176" spans="1:83" ht="14.25">
      <c r="A176" s="38"/>
      <c r="B176" s="38"/>
      <c r="C176" s="38" t="s">
        <v>450</v>
      </c>
      <c r="D176" s="39"/>
      <c r="E176" s="40"/>
      <c r="F176" s="40"/>
      <c r="G176" s="40"/>
      <c r="H176" s="42"/>
      <c r="I176" s="41"/>
      <c r="J176" s="42"/>
      <c r="K176" s="41"/>
      <c r="L176" s="42">
        <f>SUM(AR155:AR179)+SUM(AS155:AS179)+SUM(AT155:AT179)+SUM(AU155:AU179)+SUM(AV155:AV179)</f>
        <v>35102.5</v>
      </c>
    </row>
    <row r="177" spans="1:101" ht="42.75">
      <c r="A177" s="38"/>
      <c r="B177" s="38" t="s">
        <v>73</v>
      </c>
      <c r="C177" s="38" t="s">
        <v>474</v>
      </c>
      <c r="D177" s="39" t="s">
        <v>452</v>
      </c>
      <c r="E177" s="40">
        <f>Source!BZ34</f>
        <v>102</v>
      </c>
      <c r="F177" s="40"/>
      <c r="G177" s="40">
        <f>Source!AT34</f>
        <v>102</v>
      </c>
      <c r="H177" s="42"/>
      <c r="I177" s="41"/>
      <c r="J177" s="42"/>
      <c r="K177" s="41"/>
      <c r="L177" s="42">
        <f>SUM(AZ155:AZ179)</f>
        <v>35804.550000000003</v>
      </c>
    </row>
    <row r="178" spans="1:101" ht="42.75">
      <c r="A178" s="46"/>
      <c r="B178" s="46" t="s">
        <v>74</v>
      </c>
      <c r="C178" s="46" t="s">
        <v>475</v>
      </c>
      <c r="D178" s="47" t="s">
        <v>452</v>
      </c>
      <c r="E178" s="48">
        <f>Source!CA34</f>
        <v>58</v>
      </c>
      <c r="F178" s="48"/>
      <c r="G178" s="48">
        <f>Source!AU34</f>
        <v>58</v>
      </c>
      <c r="H178" s="49"/>
      <c r="I178" s="50"/>
      <c r="J178" s="49"/>
      <c r="K178" s="50"/>
      <c r="L178" s="49">
        <f>SUM(BA155:BA179)</f>
        <v>20359.45</v>
      </c>
    </row>
    <row r="179" spans="1:101" ht="15">
      <c r="C179" s="112" t="s">
        <v>454</v>
      </c>
      <c r="D179" s="112"/>
      <c r="E179" s="112"/>
      <c r="F179" s="112"/>
      <c r="G179" s="112"/>
      <c r="H179" s="112"/>
      <c r="I179" s="113">
        <f>IF(E155&lt;&gt;0,K179/E155, 0)</f>
        <v>22761.941870261162</v>
      </c>
      <c r="J179" s="113"/>
      <c r="K179" s="113">
        <f>L157+L159+L167+L177+L178+L160+SUM(L175:L175)</f>
        <v>162110.54999999999</v>
      </c>
      <c r="L179" s="113"/>
      <c r="AD179">
        <f>ROUND((Source!AT34/100)*((ROUND(SUMIF(SmtRes!AQ44:'SmtRes'!AQ54,"=1",SmtRes!AD44:'SmtRes'!AD54)*Source!I34, 2)+ROUND(SUMIF(SmtRes!AQ44:'SmtRes'!AQ54,"=1",SmtRes!AC44:'SmtRes'!AC54)*Source!I34, 2))), 2)</f>
        <v>9506.61</v>
      </c>
      <c r="AE179">
        <f>ROUND((Source!AU34/100)*((ROUND(SUMIF(SmtRes!AQ44:'SmtRes'!AQ54,"=1",SmtRes!AD44:'SmtRes'!AD54)*Source!I34, 2)+ROUND(SUMIF(SmtRes!AQ44:'SmtRes'!AQ54,"=1",SmtRes!AC44:'SmtRes'!AC54)*Source!I34, 2))), 2)</f>
        <v>5405.72</v>
      </c>
      <c r="AN179" s="51">
        <f>L157+L159+L167+L177+L178+L160</f>
        <v>117724.39</v>
      </c>
      <c r="AO179" s="51">
        <f>L159</f>
        <v>1797.66</v>
      </c>
      <c r="AQ179" t="s">
        <v>455</v>
      </c>
      <c r="AR179" s="51">
        <f>L157</f>
        <v>34405.089999999997</v>
      </c>
      <c r="AT179" s="51">
        <f>L160</f>
        <v>697.41</v>
      </c>
      <c r="AV179" t="s">
        <v>455</v>
      </c>
      <c r="AW179" s="51">
        <f>L167</f>
        <v>24660.23</v>
      </c>
      <c r="AZ179">
        <f>Source!X34</f>
        <v>35804.550000000003</v>
      </c>
      <c r="BA179">
        <f>Source!Y34</f>
        <v>20359.45</v>
      </c>
      <c r="CD179">
        <v>1</v>
      </c>
    </row>
    <row r="180" spans="1:101" ht="71.25">
      <c r="A180" s="36" t="s">
        <v>79</v>
      </c>
      <c r="B180" s="38" t="s">
        <v>476</v>
      </c>
      <c r="C180" s="38" t="str">
        <f>Source!G36</f>
        <v>Облицовка наружных стен крупноразмерными многоцветными керамогранитными плитами на цементном растворе с затиркой швов: цементным раствором</v>
      </c>
      <c r="D180" s="39" t="str">
        <f>Source!H36</f>
        <v>100 м2</v>
      </c>
      <c r="E180" s="40">
        <f>Source!K36</f>
        <v>7.3999999999999996E-2</v>
      </c>
      <c r="F180" s="40"/>
      <c r="G180" s="40">
        <f>Source!I36</f>
        <v>7.3999999999999996E-2</v>
      </c>
      <c r="H180" s="42"/>
      <c r="I180" s="41"/>
      <c r="J180" s="42"/>
      <c r="K180" s="41"/>
      <c r="L180" s="42"/>
    </row>
    <row r="181" spans="1:101" ht="38.25">
      <c r="B181" s="55" t="s">
        <v>392</v>
      </c>
      <c r="C181" s="115" t="s">
        <v>471</v>
      </c>
      <c r="D181" s="115"/>
      <c r="E181" s="115"/>
      <c r="F181" s="115"/>
      <c r="G181" s="115"/>
      <c r="H181" s="115"/>
      <c r="I181" s="115"/>
      <c r="J181" s="115"/>
      <c r="K181" s="115"/>
      <c r="L181" s="115"/>
      <c r="CW181" s="56" t="s">
        <v>471</v>
      </c>
    </row>
    <row r="182" spans="1:101">
      <c r="C182" s="43" t="str">
        <f>"Объем: "&amp;Source!I36&amp;"=7,4/"&amp;"100"</f>
        <v>Объем: 0,074=7,4/100</v>
      </c>
    </row>
    <row r="183" spans="1:101" ht="15">
      <c r="A183" s="37"/>
      <c r="B183" s="40">
        <v>1</v>
      </c>
      <c r="C183" s="37" t="s">
        <v>443</v>
      </c>
      <c r="D183" s="39" t="s">
        <v>252</v>
      </c>
      <c r="E183" s="44"/>
      <c r="F183" s="40"/>
      <c r="G183" s="40">
        <f>Source!U36</f>
        <v>17.385929999999998</v>
      </c>
      <c r="H183" s="40"/>
      <c r="I183" s="40"/>
      <c r="J183" s="40"/>
      <c r="K183" s="40"/>
      <c r="L183" s="45">
        <f>SUM(L184:L184)-SUMIF(CE184:CE184, 1, L184:L184)</f>
        <v>6489.3</v>
      </c>
    </row>
    <row r="184" spans="1:101" ht="14.25">
      <c r="A184" s="38"/>
      <c r="B184" s="38" t="s">
        <v>334</v>
      </c>
      <c r="C184" s="38" t="s">
        <v>335</v>
      </c>
      <c r="D184" s="39" t="s">
        <v>252</v>
      </c>
      <c r="E184" s="40">
        <v>204.3</v>
      </c>
      <c r="F184" s="40">
        <f>ROUND(1.15,7)</f>
        <v>1.1499999999999999</v>
      </c>
      <c r="G184" s="40">
        <f>SmtRes!CX55</f>
        <v>17.385929999999998</v>
      </c>
      <c r="H184" s="42"/>
      <c r="I184" s="41"/>
      <c r="J184" s="42">
        <f>SmtRes!CZ55</f>
        <v>373.25</v>
      </c>
      <c r="K184" s="41"/>
      <c r="L184" s="42">
        <f>SmtRes!DI55</f>
        <v>6489.3</v>
      </c>
    </row>
    <row r="185" spans="1:101" ht="15">
      <c r="A185" s="37"/>
      <c r="B185" s="40">
        <v>2</v>
      </c>
      <c r="C185" s="37" t="s">
        <v>444</v>
      </c>
      <c r="D185" s="39"/>
      <c r="E185" s="44"/>
      <c r="F185" s="40"/>
      <c r="G185" s="40"/>
      <c r="H185" s="40"/>
      <c r="I185" s="40"/>
      <c r="J185" s="40"/>
      <c r="K185" s="40"/>
      <c r="L185" s="45">
        <f>SUM(L186:L190)-SUMIF(CE186:CE190, 1, L186:L190)</f>
        <v>16.940000000000001</v>
      </c>
    </row>
    <row r="186" spans="1:101" ht="15">
      <c r="A186" s="37"/>
      <c r="B186" s="40"/>
      <c r="C186" s="37" t="s">
        <v>447</v>
      </c>
      <c r="D186" s="39" t="s">
        <v>252</v>
      </c>
      <c r="E186" s="44"/>
      <c r="F186" s="40"/>
      <c r="G186" s="40">
        <f>Source!V36</f>
        <v>2.035E-2</v>
      </c>
      <c r="H186" s="40"/>
      <c r="I186" s="40"/>
      <c r="J186" s="40"/>
      <c r="K186" s="40"/>
      <c r="L186" s="45">
        <f>SUMIF(CE187:CE190, 1, L187:L190)</f>
        <v>8.74</v>
      </c>
      <c r="CE186">
        <v>1</v>
      </c>
    </row>
    <row r="187" spans="1:101" ht="28.5">
      <c r="A187" s="38"/>
      <c r="B187" s="38" t="s">
        <v>336</v>
      </c>
      <c r="C187" s="38" t="s">
        <v>338</v>
      </c>
      <c r="D187" s="39" t="s">
        <v>258</v>
      </c>
      <c r="E187" s="40">
        <v>0.09</v>
      </c>
      <c r="F187" s="40">
        <f>ROUND(1.25,7)</f>
        <v>1.25</v>
      </c>
      <c r="G187" s="40">
        <f>SmtRes!CX57</f>
        <v>8.3250000000000008E-3</v>
      </c>
      <c r="H187" s="42"/>
      <c r="I187" s="41"/>
      <c r="J187" s="42">
        <f>SmtRes!CZ57</f>
        <v>1050.8900000000001</v>
      </c>
      <c r="K187" s="41"/>
      <c r="L187" s="42">
        <f>SmtRes!DG57</f>
        <v>8.75</v>
      </c>
    </row>
    <row r="188" spans="1:101" ht="28.5">
      <c r="A188" s="38"/>
      <c r="B188" s="38" t="s">
        <v>259</v>
      </c>
      <c r="C188" s="38" t="s">
        <v>445</v>
      </c>
      <c r="D188" s="39" t="s">
        <v>252</v>
      </c>
      <c r="E188" s="40">
        <f>SmtRes!DO57*SmtRes!AT57</f>
        <v>0.09</v>
      </c>
      <c r="F188" s="40">
        <f>ROUND(1.25,7)</f>
        <v>1.25</v>
      </c>
      <c r="G188" s="40">
        <f>ROUND(E188*F188*G180, 7)</f>
        <v>8.3250000000000008E-3</v>
      </c>
      <c r="H188" s="42"/>
      <c r="I188" s="41"/>
      <c r="J188" s="42">
        <f>ROUND(SmtRes!AG57/SmtRes!DO57, 2)</f>
        <v>465.43</v>
      </c>
      <c r="K188" s="41"/>
      <c r="L188" s="42">
        <f>SmtRes!DH57</f>
        <v>3.87</v>
      </c>
      <c r="CE188">
        <v>1</v>
      </c>
    </row>
    <row r="189" spans="1:101" ht="28.5">
      <c r="A189" s="38"/>
      <c r="B189" s="38" t="s">
        <v>322</v>
      </c>
      <c r="C189" s="38" t="s">
        <v>324</v>
      </c>
      <c r="D189" s="39" t="s">
        <v>258</v>
      </c>
      <c r="E189" s="40">
        <v>0.13</v>
      </c>
      <c r="F189" s="40">
        <f>ROUND(1.25,7)</f>
        <v>1.25</v>
      </c>
      <c r="G189" s="40">
        <f>SmtRes!CX58</f>
        <v>1.2024999999999999E-2</v>
      </c>
      <c r="H189" s="42"/>
      <c r="I189" s="41"/>
      <c r="J189" s="42">
        <f>SmtRes!CZ58</f>
        <v>680.75</v>
      </c>
      <c r="K189" s="41"/>
      <c r="L189" s="42">
        <f>SmtRes!DG58</f>
        <v>8.19</v>
      </c>
    </row>
    <row r="190" spans="1:101" ht="28.5">
      <c r="A190" s="38"/>
      <c r="B190" s="38" t="s">
        <v>266</v>
      </c>
      <c r="C190" s="38" t="s">
        <v>446</v>
      </c>
      <c r="D190" s="39" t="s">
        <v>252</v>
      </c>
      <c r="E190" s="40">
        <f>SmtRes!DO58*SmtRes!AT58</f>
        <v>0.13</v>
      </c>
      <c r="F190" s="40">
        <f>ROUND(1.25,7)</f>
        <v>1.25</v>
      </c>
      <c r="G190" s="40">
        <f>ROUND(E190*F190*G180, 7)</f>
        <v>1.2024999999999999E-2</v>
      </c>
      <c r="H190" s="42"/>
      <c r="I190" s="41"/>
      <c r="J190" s="42">
        <f>ROUND(SmtRes!AG58/SmtRes!DO58, 2)</f>
        <v>404.99</v>
      </c>
      <c r="K190" s="41"/>
      <c r="L190" s="42">
        <f>SmtRes!DH58</f>
        <v>4.87</v>
      </c>
      <c r="CE190">
        <v>1</v>
      </c>
    </row>
    <row r="191" spans="1:101" ht="15">
      <c r="A191" s="37"/>
      <c r="B191" s="40">
        <v>4</v>
      </c>
      <c r="C191" s="37" t="s">
        <v>448</v>
      </c>
      <c r="D191" s="39"/>
      <c r="E191" s="44"/>
      <c r="F191" s="40"/>
      <c r="G191" s="40"/>
      <c r="H191" s="40"/>
      <c r="I191" s="40"/>
      <c r="J191" s="40"/>
      <c r="K191" s="40"/>
      <c r="L191" s="45">
        <f>SUM(L192:L196)-SUMIF(CE192:CE196, 1, L192:L196)</f>
        <v>492.43</v>
      </c>
    </row>
    <row r="192" spans="1:101" ht="14.25">
      <c r="A192" s="38"/>
      <c r="B192" s="38" t="s">
        <v>277</v>
      </c>
      <c r="C192" s="38" t="s">
        <v>279</v>
      </c>
      <c r="D192" s="39" t="s">
        <v>65</v>
      </c>
      <c r="E192" s="40">
        <v>0.14000000000000001</v>
      </c>
      <c r="F192" s="40"/>
      <c r="G192" s="40">
        <f>SmtRes!CX59</f>
        <v>1.0359999999999999E-2</v>
      </c>
      <c r="H192" s="42">
        <f>SmtRes!CZ59</f>
        <v>35.71</v>
      </c>
      <c r="I192" s="41">
        <f>SmtRes!AI59</f>
        <v>0.83</v>
      </c>
      <c r="J192" s="42">
        <f>ROUND(H192*I192, 2)</f>
        <v>29.64</v>
      </c>
      <c r="K192" s="41"/>
      <c r="L192" s="42">
        <f>SmtRes!DF59</f>
        <v>0.31</v>
      </c>
    </row>
    <row r="193" spans="1:82" ht="14.25">
      <c r="A193" s="38"/>
      <c r="B193" s="38" t="s">
        <v>339</v>
      </c>
      <c r="C193" s="38" t="s">
        <v>341</v>
      </c>
      <c r="D193" s="39" t="s">
        <v>342</v>
      </c>
      <c r="E193" s="40">
        <v>0.57999999999999996</v>
      </c>
      <c r="F193" s="40"/>
      <c r="G193" s="40">
        <f>SmtRes!CX60</f>
        <v>4.292E-2</v>
      </c>
      <c r="H193" s="42"/>
      <c r="I193" s="41"/>
      <c r="J193" s="42">
        <f>SmtRes!CZ60</f>
        <v>7.71</v>
      </c>
      <c r="K193" s="41"/>
      <c r="L193" s="42">
        <f>SmtRes!DF60</f>
        <v>0.33</v>
      </c>
    </row>
    <row r="194" spans="1:82" ht="14.25">
      <c r="A194" s="38"/>
      <c r="B194" s="38" t="s">
        <v>343</v>
      </c>
      <c r="C194" s="38" t="s">
        <v>345</v>
      </c>
      <c r="D194" s="39" t="s">
        <v>46</v>
      </c>
      <c r="E194" s="40">
        <v>1.1999999999999999E-3</v>
      </c>
      <c r="F194" s="40"/>
      <c r="G194" s="40">
        <f>SmtRes!CX61</f>
        <v>8.8800000000000004E-5</v>
      </c>
      <c r="H194" s="42"/>
      <c r="I194" s="41"/>
      <c r="J194" s="42">
        <f>SmtRes!CZ61</f>
        <v>76729.919999999998</v>
      </c>
      <c r="K194" s="41"/>
      <c r="L194" s="42">
        <f>SmtRes!DF61</f>
        <v>6.81</v>
      </c>
    </row>
    <row r="195" spans="1:82" ht="14.25">
      <c r="A195" s="38"/>
      <c r="B195" s="38" t="s">
        <v>346</v>
      </c>
      <c r="C195" s="38" t="s">
        <v>348</v>
      </c>
      <c r="D195" s="39" t="s">
        <v>349</v>
      </c>
      <c r="E195" s="40">
        <v>0.5</v>
      </c>
      <c r="F195" s="40"/>
      <c r="G195" s="40">
        <f>SmtRes!CX62</f>
        <v>3.6999999999999998E-2</v>
      </c>
      <c r="H195" s="42">
        <f>SmtRes!CZ62</f>
        <v>56.11</v>
      </c>
      <c r="I195" s="41">
        <f>SmtRes!AI62</f>
        <v>1.59</v>
      </c>
      <c r="J195" s="42">
        <f>ROUND(H195*I195, 2)</f>
        <v>89.21</v>
      </c>
      <c r="K195" s="41"/>
      <c r="L195" s="42">
        <f>SmtRes!DF62</f>
        <v>3.3</v>
      </c>
    </row>
    <row r="196" spans="1:82" ht="42.75">
      <c r="A196" s="38"/>
      <c r="B196" s="38" t="s">
        <v>350</v>
      </c>
      <c r="C196" s="38" t="s">
        <v>352</v>
      </c>
      <c r="D196" s="39" t="s">
        <v>349</v>
      </c>
      <c r="E196" s="40">
        <v>40</v>
      </c>
      <c r="F196" s="40"/>
      <c r="G196" s="40">
        <f>SmtRes!CX63</f>
        <v>2.96</v>
      </c>
      <c r="H196" s="42">
        <f>SmtRes!CZ63</f>
        <v>118.78</v>
      </c>
      <c r="I196" s="41">
        <f>SmtRes!AI63</f>
        <v>1.37</v>
      </c>
      <c r="J196" s="42">
        <f>ROUND(H196*I196, 2)</f>
        <v>162.72999999999999</v>
      </c>
      <c r="K196" s="41"/>
      <c r="L196" s="42">
        <f>SmtRes!DF63</f>
        <v>481.68</v>
      </c>
    </row>
    <row r="197" spans="1:82" ht="14.25">
      <c r="A197" s="38"/>
      <c r="B197" s="38" t="str">
        <f>EtalonRes!I65</f>
        <v>04.3.01.09</v>
      </c>
      <c r="C197" s="38" t="str">
        <f>EtalonRes!K65</f>
        <v>Растворы на цементном вяжущем</v>
      </c>
      <c r="D197" s="39" t="str">
        <f>EtalonRes!O65</f>
        <v>м3</v>
      </c>
      <c r="E197" s="40">
        <f>EtalonRes!X65</f>
        <v>2</v>
      </c>
      <c r="F197" s="40"/>
      <c r="G197" s="40">
        <f>ROUND(EtalonRes!AG65*Source!I36, 7)</f>
        <v>0.14799999999999999</v>
      </c>
      <c r="H197" s="42"/>
      <c r="I197" s="41"/>
      <c r="J197" s="42"/>
      <c r="K197" s="41"/>
      <c r="L197" s="42"/>
    </row>
    <row r="198" spans="1:82" ht="28.5">
      <c r="A198" s="38"/>
      <c r="B198" s="38" t="str">
        <f>EtalonRes!I66</f>
        <v>06.2.05.03</v>
      </c>
      <c r="C198" s="46" t="str">
        <f>EtalonRes!K66</f>
        <v>Плиты керамогранитные крупноразмерные</v>
      </c>
      <c r="D198" s="47" t="str">
        <f>EtalonRes!O66</f>
        <v>м2</v>
      </c>
      <c r="E198" s="48">
        <f>EtalonRes!X66</f>
        <v>102</v>
      </c>
      <c r="F198" s="48"/>
      <c r="G198" s="48">
        <f>ROUND(EtalonRes!AG66*Source!I36, 7)</f>
        <v>7.548</v>
      </c>
      <c r="H198" s="49"/>
      <c r="I198" s="50"/>
      <c r="J198" s="49"/>
      <c r="K198" s="50"/>
      <c r="L198" s="49"/>
    </row>
    <row r="199" spans="1:82" ht="15">
      <c r="A199" s="38"/>
      <c r="B199" s="38"/>
      <c r="C199" s="53" t="s">
        <v>449</v>
      </c>
      <c r="D199" s="39"/>
      <c r="E199" s="40"/>
      <c r="F199" s="40"/>
      <c r="G199" s="40"/>
      <c r="H199" s="42"/>
      <c r="I199" s="41"/>
      <c r="J199" s="42"/>
      <c r="K199" s="41"/>
      <c r="L199" s="42">
        <f>L183+L185+L186+L191</f>
        <v>7007.41</v>
      </c>
    </row>
    <row r="200" spans="1:82" ht="14.25">
      <c r="A200" s="38"/>
      <c r="B200" s="38"/>
      <c r="C200" s="38" t="s">
        <v>450</v>
      </c>
      <c r="D200" s="39"/>
      <c r="E200" s="40"/>
      <c r="F200" s="40"/>
      <c r="G200" s="40"/>
      <c r="H200" s="42"/>
      <c r="I200" s="41"/>
      <c r="J200" s="42"/>
      <c r="K200" s="41"/>
      <c r="L200" s="42">
        <f>SUM(AR180:AR203)+SUM(AS180:AS203)+SUM(AT180:AT203)+SUM(AU180:AU203)+SUM(AV180:AV203)</f>
        <v>6498.04</v>
      </c>
    </row>
    <row r="201" spans="1:82" ht="14.25">
      <c r="A201" s="38"/>
      <c r="B201" s="38" t="s">
        <v>85</v>
      </c>
      <c r="C201" s="38" t="s">
        <v>477</v>
      </c>
      <c r="D201" s="39" t="s">
        <v>452</v>
      </c>
      <c r="E201" s="40">
        <f>Source!BZ36</f>
        <v>100</v>
      </c>
      <c r="F201" s="40"/>
      <c r="G201" s="40">
        <f>Source!AT36</f>
        <v>100</v>
      </c>
      <c r="H201" s="42"/>
      <c r="I201" s="41"/>
      <c r="J201" s="42"/>
      <c r="K201" s="41"/>
      <c r="L201" s="42">
        <f>SUM(AZ180:AZ203)</f>
        <v>6498.04</v>
      </c>
    </row>
    <row r="202" spans="1:82" ht="14.25">
      <c r="A202" s="46"/>
      <c r="B202" s="46" t="s">
        <v>86</v>
      </c>
      <c r="C202" s="46" t="s">
        <v>478</v>
      </c>
      <c r="D202" s="47" t="s">
        <v>452</v>
      </c>
      <c r="E202" s="48">
        <f>Source!CA36</f>
        <v>49</v>
      </c>
      <c r="F202" s="48"/>
      <c r="G202" s="48">
        <f>Source!AU36</f>
        <v>49</v>
      </c>
      <c r="H202" s="49"/>
      <c r="I202" s="50"/>
      <c r="J202" s="49"/>
      <c r="K202" s="50"/>
      <c r="L202" s="49">
        <f>SUM(BA180:BA203)</f>
        <v>3184.04</v>
      </c>
    </row>
    <row r="203" spans="1:82" ht="15">
      <c r="C203" s="112" t="s">
        <v>454</v>
      </c>
      <c r="D203" s="112"/>
      <c r="E203" s="112"/>
      <c r="F203" s="112"/>
      <c r="G203" s="112"/>
      <c r="H203" s="112"/>
      <c r="I203" s="113">
        <f>IF(E180&lt;&gt;0,K203/E180, 0)</f>
        <v>225533.64864864867</v>
      </c>
      <c r="J203" s="113"/>
      <c r="K203" s="113">
        <f>L183+L185+L191+L201+L202+L186</f>
        <v>16689.490000000002</v>
      </c>
      <c r="L203" s="113"/>
      <c r="AD203">
        <f>ROUND((Source!AT36/100)*((ROUND(SUMIF(SmtRes!AQ55:'SmtRes'!AQ63,"=1",SmtRes!AD55:'SmtRes'!AD63)*Source!I36, 2)+ROUND(SUMIF(SmtRes!AQ55:'SmtRes'!AQ63,"=1",SmtRes!AC55:'SmtRes'!AC63)*Source!I36, 2))), 2)</f>
        <v>92.03</v>
      </c>
      <c r="AE203">
        <f>ROUND((Source!AU36/100)*((ROUND(SUMIF(SmtRes!AQ55:'SmtRes'!AQ63,"=1",SmtRes!AD55:'SmtRes'!AD63)*Source!I36, 2)+ROUND(SUMIF(SmtRes!AQ55:'SmtRes'!AQ63,"=1",SmtRes!AC55:'SmtRes'!AC63)*Source!I36, 2))), 2)</f>
        <v>45.09</v>
      </c>
      <c r="AN203" s="51">
        <f>L183+L185+L191+L201+L202+L186</f>
        <v>16689.490000000002</v>
      </c>
      <c r="AO203" s="51">
        <f>L185</f>
        <v>16.940000000000001</v>
      </c>
      <c r="AQ203" t="s">
        <v>455</v>
      </c>
      <c r="AR203" s="51">
        <f>L183</f>
        <v>6489.3</v>
      </c>
      <c r="AT203" s="51">
        <f>L186</f>
        <v>8.74</v>
      </c>
      <c r="AV203" t="s">
        <v>455</v>
      </c>
      <c r="AW203" s="51">
        <f>L191</f>
        <v>492.43</v>
      </c>
      <c r="AZ203">
        <f>Source!X36</f>
        <v>6498.04</v>
      </c>
      <c r="BA203">
        <f>Source!Y36</f>
        <v>3184.04</v>
      </c>
      <c r="CD203">
        <v>1</v>
      </c>
    </row>
    <row r="204" spans="1:82" ht="28.5">
      <c r="A204" s="57" t="s">
        <v>87</v>
      </c>
      <c r="B204" s="46" t="str">
        <f>Source!F37</f>
        <v>04.3.01.09-0015</v>
      </c>
      <c r="C204" s="46" t="str">
        <f>Source!G37</f>
        <v>Раствор готовый кладочный, цементный, М150</v>
      </c>
      <c r="D204" s="47" t="str">
        <f>Source!H37</f>
        <v>м3</v>
      </c>
      <c r="E204" s="48">
        <f>Source!K37</f>
        <v>0.25900000000000001</v>
      </c>
      <c r="F204" s="48"/>
      <c r="G204" s="48">
        <f>Source!I37</f>
        <v>0.25900000000000001</v>
      </c>
      <c r="H204" s="49"/>
      <c r="I204" s="50"/>
      <c r="J204" s="49">
        <f>Source!AL37</f>
        <v>6815.7</v>
      </c>
      <c r="K204" s="50"/>
      <c r="L204" s="49">
        <f>Source!P37</f>
        <v>1765.27</v>
      </c>
    </row>
    <row r="205" spans="1:82" ht="15">
      <c r="C205" s="112" t="s">
        <v>454</v>
      </c>
      <c r="D205" s="112"/>
      <c r="E205" s="112"/>
      <c r="F205" s="112"/>
      <c r="G205" s="112"/>
      <c r="H205" s="112"/>
      <c r="I205" s="113">
        <f>IF(E204&lt;&gt;0,K205/E204, 0)</f>
        <v>6815.7142857142853</v>
      </c>
      <c r="J205" s="113"/>
      <c r="K205" s="113">
        <f>L204</f>
        <v>1765.27</v>
      </c>
      <c r="L205" s="113"/>
      <c r="AD205">
        <f>ROUND((Source!AT37/100)*((ROUND(ROUND(Source!AO37,2)*Source!I37, 2)+ROUND(ROUND(Source!AN37,2)*Source!I37, 2))), 2)</f>
        <v>0</v>
      </c>
      <c r="AE205">
        <f>ROUND((Source!AU37/100)*((ROUND(ROUND(Source!AO37,2)*Source!I37, 2)+ROUND(ROUND(Source!AN37,2)*Source!I37, 2))), 2)</f>
        <v>0</v>
      </c>
      <c r="AN205" s="51">
        <f>L204</f>
        <v>1765.27</v>
      </c>
      <c r="AO205">
        <f>0</f>
        <v>0</v>
      </c>
      <c r="AQ205" t="s">
        <v>455</v>
      </c>
      <c r="AR205">
        <f>0</f>
        <v>0</v>
      </c>
      <c r="AT205">
        <f>0</f>
        <v>0</v>
      </c>
      <c r="AV205" t="s">
        <v>455</v>
      </c>
      <c r="AW205" s="51">
        <f>L204</f>
        <v>1765.27</v>
      </c>
      <c r="AZ205">
        <f>Source!X37</f>
        <v>0</v>
      </c>
      <c r="BA205">
        <f>Source!Y37</f>
        <v>0</v>
      </c>
      <c r="CD205">
        <v>1</v>
      </c>
    </row>
    <row r="206" spans="1:82" ht="57">
      <c r="A206" s="57" t="s">
        <v>94</v>
      </c>
      <c r="B206" s="46" t="str">
        <f>Source!F38</f>
        <v>13.2.01.01-1253</v>
      </c>
      <c r="C206" s="46" t="str">
        <f>Source!G38</f>
        <v>Плита гранитная облицовочная полированная, месторождение Кашина гора, размеры 300х600 мм, толщина 20 мм</v>
      </c>
      <c r="D206" s="47" t="str">
        <f>Source!H38</f>
        <v>м2</v>
      </c>
      <c r="E206" s="48">
        <f>Source!K38</f>
        <v>0.74</v>
      </c>
      <c r="F206" s="48"/>
      <c r="G206" s="48">
        <f>Source!I38</f>
        <v>0.74</v>
      </c>
      <c r="H206" s="49">
        <f>Source!AL38</f>
        <v>2857.34</v>
      </c>
      <c r="I206" s="50">
        <f>IF(Source!BC38&lt;&gt; 0, Source!BC38, 1)</f>
        <v>1.56</v>
      </c>
      <c r="J206" s="49">
        <f>ROUND(H206*I206, 2)</f>
        <v>4457.45</v>
      </c>
      <c r="K206" s="50"/>
      <c r="L206" s="49">
        <f>Source!P38</f>
        <v>3298.51</v>
      </c>
    </row>
    <row r="207" spans="1:82" ht="15">
      <c r="C207" s="112" t="s">
        <v>454</v>
      </c>
      <c r="D207" s="112"/>
      <c r="E207" s="112"/>
      <c r="F207" s="112"/>
      <c r="G207" s="112"/>
      <c r="H207" s="112"/>
      <c r="I207" s="113">
        <f>IF(E206&lt;&gt;0,K207/E206, 0)</f>
        <v>4457.4459459459467</v>
      </c>
      <c r="J207" s="113"/>
      <c r="K207" s="113">
        <f>L206</f>
        <v>3298.51</v>
      </c>
      <c r="L207" s="113"/>
      <c r="AD207">
        <f>ROUND((Source!AT38/100)*((ROUND(ROUND(Source!AO38,2)*Source!I38, 2)+ROUND(ROUND(Source!AN38,2)*Source!I38, 2))), 2)</f>
        <v>0</v>
      </c>
      <c r="AE207">
        <f>ROUND((Source!AU38/100)*((ROUND(ROUND(Source!AO38,2)*Source!I38, 2)+ROUND(ROUND(Source!AN38,2)*Source!I38, 2))), 2)</f>
        <v>0</v>
      </c>
      <c r="AN207" s="51">
        <f>L206</f>
        <v>3298.51</v>
      </c>
      <c r="AO207">
        <f>0</f>
        <v>0</v>
      </c>
      <c r="AQ207" t="s">
        <v>455</v>
      </c>
      <c r="AR207">
        <f>0</f>
        <v>0</v>
      </c>
      <c r="AT207">
        <f>0</f>
        <v>0</v>
      </c>
      <c r="AV207" t="s">
        <v>455</v>
      </c>
      <c r="AW207" s="51">
        <f>L206</f>
        <v>3298.51</v>
      </c>
      <c r="AZ207">
        <f>Source!X38</f>
        <v>0</v>
      </c>
      <c r="BA207">
        <f>Source!Y38</f>
        <v>0</v>
      </c>
      <c r="CD207">
        <v>1</v>
      </c>
    </row>
    <row r="208" spans="1:82" ht="42.75">
      <c r="A208" s="36" t="s">
        <v>99</v>
      </c>
      <c r="B208" s="38" t="s">
        <v>479</v>
      </c>
      <c r="C208" s="38" t="str">
        <f>Source!G39</f>
        <v>Устройство покрытий из гранитных плит при количестве плит на 1 м2: свыше 4 до 10 шт.</v>
      </c>
      <c r="D208" s="39" t="str">
        <f>Source!H39</f>
        <v>100 м2</v>
      </c>
      <c r="E208" s="40">
        <f>Source!K39</f>
        <v>0.17699999999999999</v>
      </c>
      <c r="F208" s="40"/>
      <c r="G208" s="40">
        <f>Source!I39</f>
        <v>0.17699999999999999</v>
      </c>
      <c r="H208" s="42"/>
      <c r="I208" s="41"/>
      <c r="J208" s="42"/>
      <c r="K208" s="41"/>
      <c r="L208" s="42"/>
    </row>
    <row r="209" spans="1:101" ht="38.25">
      <c r="B209" s="55" t="s">
        <v>392</v>
      </c>
      <c r="C209" s="115" t="s">
        <v>471</v>
      </c>
      <c r="D209" s="115"/>
      <c r="E209" s="115"/>
      <c r="F209" s="115"/>
      <c r="G209" s="115"/>
      <c r="H209" s="115"/>
      <c r="I209" s="115"/>
      <c r="J209" s="115"/>
      <c r="K209" s="115"/>
      <c r="L209" s="115"/>
      <c r="CW209" s="56" t="s">
        <v>471</v>
      </c>
    </row>
    <row r="210" spans="1:101">
      <c r="C210" s="43" t="str">
        <f>"Объем: "&amp;Source!I39&amp;"=17,7/"&amp;"100"</f>
        <v>Объем: 0,177=17,7/100</v>
      </c>
    </row>
    <row r="211" spans="1:101" ht="15">
      <c r="A211" s="37"/>
      <c r="B211" s="40">
        <v>1</v>
      </c>
      <c r="C211" s="37" t="s">
        <v>443</v>
      </c>
      <c r="D211" s="39" t="s">
        <v>252</v>
      </c>
      <c r="E211" s="44"/>
      <c r="F211" s="40"/>
      <c r="G211" s="40">
        <f>Source!U39</f>
        <v>87.933599999999998</v>
      </c>
      <c r="H211" s="40"/>
      <c r="I211" s="40"/>
      <c r="J211" s="40"/>
      <c r="K211" s="40"/>
      <c r="L211" s="45">
        <f>SUM(L212:L212)-SUMIF(CE212:CE212, 1, L212:L212)</f>
        <v>31625.32</v>
      </c>
    </row>
    <row r="212" spans="1:101" ht="14.25">
      <c r="A212" s="38"/>
      <c r="B212" s="38" t="s">
        <v>310</v>
      </c>
      <c r="C212" s="38" t="s">
        <v>311</v>
      </c>
      <c r="D212" s="39" t="s">
        <v>252</v>
      </c>
      <c r="E212" s="40">
        <v>432</v>
      </c>
      <c r="F212" s="40">
        <f>ROUND(1.15,7)</f>
        <v>1.1499999999999999</v>
      </c>
      <c r="G212" s="40">
        <f>SmtRes!CX64</f>
        <v>87.933599999999998</v>
      </c>
      <c r="H212" s="42"/>
      <c r="I212" s="41"/>
      <c r="J212" s="42">
        <f>SmtRes!CZ64</f>
        <v>359.65</v>
      </c>
      <c r="K212" s="41"/>
      <c r="L212" s="42">
        <f>SmtRes!DI64</f>
        <v>31625.32</v>
      </c>
    </row>
    <row r="213" spans="1:101" ht="15">
      <c r="A213" s="37"/>
      <c r="B213" s="40">
        <v>2</v>
      </c>
      <c r="C213" s="37" t="s">
        <v>444</v>
      </c>
      <c r="D213" s="39"/>
      <c r="E213" s="44"/>
      <c r="F213" s="40"/>
      <c r="G213" s="40"/>
      <c r="H213" s="40"/>
      <c r="I213" s="40"/>
      <c r="J213" s="40"/>
      <c r="K213" s="40"/>
      <c r="L213" s="45">
        <f>SUM(L214:L220)-SUMIF(CE214:CE220, 1, L214:L220)</f>
        <v>563.30999999999995</v>
      </c>
    </row>
    <row r="214" spans="1:101" ht="15">
      <c r="A214" s="37"/>
      <c r="B214" s="40"/>
      <c r="C214" s="37" t="s">
        <v>447</v>
      </c>
      <c r="D214" s="39" t="s">
        <v>252</v>
      </c>
      <c r="E214" s="44"/>
      <c r="F214" s="40"/>
      <c r="G214" s="40">
        <f>Source!V39</f>
        <v>0.62834999999999996</v>
      </c>
      <c r="H214" s="40"/>
      <c r="I214" s="40"/>
      <c r="J214" s="40"/>
      <c r="K214" s="40"/>
      <c r="L214" s="45">
        <f>SUMIF(CE215:CE220, 1, L215:L220)</f>
        <v>260.49</v>
      </c>
      <c r="CE214">
        <v>1</v>
      </c>
    </row>
    <row r="215" spans="1:101" ht="71.25">
      <c r="A215" s="38"/>
      <c r="B215" s="38" t="s">
        <v>353</v>
      </c>
      <c r="C215" s="38" t="s">
        <v>355</v>
      </c>
      <c r="D215" s="39" t="s">
        <v>258</v>
      </c>
      <c r="E215" s="40">
        <v>1.32</v>
      </c>
      <c r="F215" s="40">
        <f t="shared" ref="F215:F220" si="3">ROUND(1.25,7)</f>
        <v>1.25</v>
      </c>
      <c r="G215" s="40">
        <f>SmtRes!CX66</f>
        <v>0.29204999999999998</v>
      </c>
      <c r="H215" s="42"/>
      <c r="I215" s="41"/>
      <c r="J215" s="42">
        <f>SmtRes!CZ66</f>
        <v>1689.72</v>
      </c>
      <c r="K215" s="41"/>
      <c r="L215" s="42">
        <f>SmtRes!DG66</f>
        <v>493.48</v>
      </c>
    </row>
    <row r="216" spans="1:101" ht="28.5">
      <c r="A216" s="38"/>
      <c r="B216" s="38" t="s">
        <v>259</v>
      </c>
      <c r="C216" s="38" t="s">
        <v>445</v>
      </c>
      <c r="D216" s="39" t="s">
        <v>252</v>
      </c>
      <c r="E216" s="40">
        <f>SmtRes!DO66*SmtRes!AT66</f>
        <v>1.32</v>
      </c>
      <c r="F216" s="40">
        <f t="shared" si="3"/>
        <v>1.25</v>
      </c>
      <c r="G216" s="40">
        <f>ROUND(E216*F216*G208, 7)</f>
        <v>0.29204999999999998</v>
      </c>
      <c r="H216" s="42"/>
      <c r="I216" s="41"/>
      <c r="J216" s="42">
        <f>ROUND(SmtRes!AG66/SmtRes!DO66, 2)</f>
        <v>465.43</v>
      </c>
      <c r="K216" s="41"/>
      <c r="L216" s="42">
        <f>SmtRes!DH66</f>
        <v>135.93</v>
      </c>
      <c r="CE216">
        <v>1</v>
      </c>
    </row>
    <row r="217" spans="1:101" ht="42.75">
      <c r="A217" s="38"/>
      <c r="B217" s="38" t="s">
        <v>300</v>
      </c>
      <c r="C217" s="38" t="s">
        <v>302</v>
      </c>
      <c r="D217" s="39" t="s">
        <v>258</v>
      </c>
      <c r="E217" s="40">
        <v>1.1599999999999999</v>
      </c>
      <c r="F217" s="40">
        <f t="shared" si="3"/>
        <v>1.25</v>
      </c>
      <c r="G217" s="40">
        <f>SmtRes!CX67</f>
        <v>0.25664999999999999</v>
      </c>
      <c r="H217" s="42">
        <f>SmtRes!CZ67</f>
        <v>37.32</v>
      </c>
      <c r="I217" s="41">
        <f>SmtRes!AJ67</f>
        <v>1.63</v>
      </c>
      <c r="J217" s="42">
        <f>ROUND(H217*I217, 2)</f>
        <v>60.83</v>
      </c>
      <c r="K217" s="41"/>
      <c r="L217" s="42">
        <f>SmtRes!DG67</f>
        <v>15.61</v>
      </c>
    </row>
    <row r="218" spans="1:101" ht="28.5">
      <c r="A218" s="38"/>
      <c r="B218" s="38" t="s">
        <v>303</v>
      </c>
      <c r="C218" s="38" t="s">
        <v>458</v>
      </c>
      <c r="D218" s="39" t="s">
        <v>252</v>
      </c>
      <c r="E218" s="40">
        <f>SmtRes!DO67*SmtRes!AT67</f>
        <v>1.1599999999999999</v>
      </c>
      <c r="F218" s="40">
        <f t="shared" si="3"/>
        <v>1.25</v>
      </c>
      <c r="G218" s="40">
        <f>ROUND(E218*F218*G208, 7)</f>
        <v>0.25664999999999999</v>
      </c>
      <c r="H218" s="42"/>
      <c r="I218" s="41"/>
      <c r="J218" s="42">
        <f>ROUND(SmtRes!AG67/SmtRes!DO67, 2)</f>
        <v>359.65</v>
      </c>
      <c r="K218" s="41"/>
      <c r="L218" s="42">
        <f>SmtRes!DH67</f>
        <v>92.3</v>
      </c>
      <c r="CE218">
        <v>1</v>
      </c>
    </row>
    <row r="219" spans="1:101" ht="28.5">
      <c r="A219" s="38"/>
      <c r="B219" s="38" t="s">
        <v>322</v>
      </c>
      <c r="C219" s="38" t="s">
        <v>324</v>
      </c>
      <c r="D219" s="39" t="s">
        <v>258</v>
      </c>
      <c r="E219" s="40">
        <v>0.36</v>
      </c>
      <c r="F219" s="40">
        <f t="shared" si="3"/>
        <v>1.25</v>
      </c>
      <c r="G219" s="40">
        <f>SmtRes!CX68</f>
        <v>7.9649999999999999E-2</v>
      </c>
      <c r="H219" s="42"/>
      <c r="I219" s="41"/>
      <c r="J219" s="42">
        <f>SmtRes!CZ68</f>
        <v>680.75</v>
      </c>
      <c r="K219" s="41"/>
      <c r="L219" s="42">
        <f>SmtRes!DG68</f>
        <v>54.22</v>
      </c>
    </row>
    <row r="220" spans="1:101" ht="28.5">
      <c r="A220" s="38"/>
      <c r="B220" s="38" t="s">
        <v>266</v>
      </c>
      <c r="C220" s="38" t="s">
        <v>446</v>
      </c>
      <c r="D220" s="39" t="s">
        <v>252</v>
      </c>
      <c r="E220" s="40">
        <f>SmtRes!DO68*SmtRes!AT68</f>
        <v>0.36</v>
      </c>
      <c r="F220" s="40">
        <f t="shared" si="3"/>
        <v>1.25</v>
      </c>
      <c r="G220" s="40">
        <f>ROUND(E220*F220*G208, 7)</f>
        <v>7.9649999999999999E-2</v>
      </c>
      <c r="H220" s="42"/>
      <c r="I220" s="41"/>
      <c r="J220" s="42">
        <f>ROUND(SmtRes!AG68/SmtRes!DO68, 2)</f>
        <v>404.99</v>
      </c>
      <c r="K220" s="41"/>
      <c r="L220" s="42">
        <f>SmtRes!DH68</f>
        <v>32.26</v>
      </c>
      <c r="CE220">
        <v>1</v>
      </c>
    </row>
    <row r="221" spans="1:101" ht="15">
      <c r="A221" s="37"/>
      <c r="B221" s="40">
        <v>4</v>
      </c>
      <c r="C221" s="37" t="s">
        <v>448</v>
      </c>
      <c r="D221" s="39"/>
      <c r="E221" s="44"/>
      <c r="F221" s="40"/>
      <c r="G221" s="40"/>
      <c r="H221" s="40"/>
      <c r="I221" s="40"/>
      <c r="J221" s="40"/>
      <c r="K221" s="40"/>
      <c r="L221" s="45">
        <f>SUM(L222:L225)-SUMIF(CE222:CE225, 1, L222:L225)</f>
        <v>4012.98</v>
      </c>
    </row>
    <row r="222" spans="1:101" ht="14.25">
      <c r="A222" s="38"/>
      <c r="B222" s="38" t="s">
        <v>277</v>
      </c>
      <c r="C222" s="38" t="s">
        <v>279</v>
      </c>
      <c r="D222" s="39" t="s">
        <v>65</v>
      </c>
      <c r="E222" s="40">
        <v>3.85</v>
      </c>
      <c r="F222" s="40"/>
      <c r="G222" s="40">
        <f>SmtRes!CX69</f>
        <v>0.68145</v>
      </c>
      <c r="H222" s="42">
        <f>SmtRes!CZ69</f>
        <v>35.71</v>
      </c>
      <c r="I222" s="41">
        <f>SmtRes!AI69</f>
        <v>0.83</v>
      </c>
      <c r="J222" s="42">
        <f>ROUND(H222*I222, 2)</f>
        <v>29.64</v>
      </c>
      <c r="K222" s="41"/>
      <c r="L222" s="42">
        <f>SmtRes!DF69</f>
        <v>20.2</v>
      </c>
    </row>
    <row r="223" spans="1:101" ht="28.5">
      <c r="A223" s="38"/>
      <c r="B223" s="38" t="s">
        <v>356</v>
      </c>
      <c r="C223" s="38" t="s">
        <v>358</v>
      </c>
      <c r="D223" s="39" t="s">
        <v>65</v>
      </c>
      <c r="E223" s="40">
        <v>3.06</v>
      </c>
      <c r="F223" s="40"/>
      <c r="G223" s="40">
        <f>SmtRes!CX70</f>
        <v>0.54161999999999999</v>
      </c>
      <c r="H223" s="42">
        <f>SmtRes!CZ70</f>
        <v>565.20000000000005</v>
      </c>
      <c r="I223" s="41"/>
      <c r="J223" s="42"/>
      <c r="K223" s="41"/>
      <c r="L223" s="42">
        <f>SmtRes!DF70</f>
        <v>306.12</v>
      </c>
    </row>
    <row r="224" spans="1:101" ht="28.5">
      <c r="A224" s="38"/>
      <c r="B224" s="38" t="s">
        <v>359</v>
      </c>
      <c r="C224" s="38" t="s">
        <v>361</v>
      </c>
      <c r="D224" s="39" t="s">
        <v>65</v>
      </c>
      <c r="E224" s="40">
        <v>3</v>
      </c>
      <c r="F224" s="40"/>
      <c r="G224" s="40">
        <f>SmtRes!CX71</f>
        <v>0.53100000000000003</v>
      </c>
      <c r="H224" s="42"/>
      <c r="I224" s="41"/>
      <c r="J224" s="42">
        <f>SmtRes!CZ71</f>
        <v>6885.13</v>
      </c>
      <c r="K224" s="41"/>
      <c r="L224" s="42">
        <f>SmtRes!DF71</f>
        <v>3656</v>
      </c>
    </row>
    <row r="225" spans="1:101" ht="57">
      <c r="A225" s="38"/>
      <c r="B225" s="38" t="s">
        <v>328</v>
      </c>
      <c r="C225" s="38" t="s">
        <v>330</v>
      </c>
      <c r="D225" s="39" t="s">
        <v>65</v>
      </c>
      <c r="E225" s="40">
        <v>0.01</v>
      </c>
      <c r="F225" s="40"/>
      <c r="G225" s="40">
        <f>SmtRes!CX72</f>
        <v>1.7700000000000001E-3</v>
      </c>
      <c r="H225" s="42">
        <f>SmtRes!CZ72</f>
        <v>16496.03</v>
      </c>
      <c r="I225" s="41">
        <f>SmtRes!AI72</f>
        <v>1.05</v>
      </c>
      <c r="J225" s="42">
        <f>ROUND(H225*I225, 2)</f>
        <v>17320.830000000002</v>
      </c>
      <c r="K225" s="41"/>
      <c r="L225" s="42">
        <f>SmtRes!DF72</f>
        <v>30.66</v>
      </c>
    </row>
    <row r="226" spans="1:101" ht="14.25">
      <c r="A226" s="38"/>
      <c r="B226" s="38" t="str">
        <f>EtalonRes!I77</f>
        <v>13.2.01.01</v>
      </c>
      <c r="C226" s="46" t="str">
        <f>EtalonRes!K77</f>
        <v>Изделия из натурального камня</v>
      </c>
      <c r="D226" s="47" t="str">
        <f>EtalonRes!O77</f>
        <v>м2</v>
      </c>
      <c r="E226" s="48">
        <f>EtalonRes!X77</f>
        <v>100</v>
      </c>
      <c r="F226" s="48"/>
      <c r="G226" s="48">
        <f>ROUND(EtalonRes!AG77*Source!I39, 7)</f>
        <v>17.7</v>
      </c>
      <c r="H226" s="49"/>
      <c r="I226" s="50"/>
      <c r="J226" s="49"/>
      <c r="K226" s="50"/>
      <c r="L226" s="49"/>
    </row>
    <row r="227" spans="1:101" ht="15">
      <c r="A227" s="38"/>
      <c r="B227" s="38"/>
      <c r="C227" s="53" t="s">
        <v>449</v>
      </c>
      <c r="D227" s="39"/>
      <c r="E227" s="40"/>
      <c r="F227" s="40"/>
      <c r="G227" s="40"/>
      <c r="H227" s="42"/>
      <c r="I227" s="41"/>
      <c r="J227" s="42"/>
      <c r="K227" s="41"/>
      <c r="L227" s="42">
        <f>L211+L213+L214+L221</f>
        <v>36462.100000000006</v>
      </c>
    </row>
    <row r="228" spans="1:101" ht="57">
      <c r="A228" s="36" t="s">
        <v>480</v>
      </c>
      <c r="B228" s="38" t="str">
        <f>Source!F40</f>
        <v>13.2.01.01-1253</v>
      </c>
      <c r="C228" s="38" t="str">
        <f>Source!G40</f>
        <v>Плита гранитная облицовочная полированная, месторождение Кашина гора, размеры 300х600 мм, толщина 20 мм</v>
      </c>
      <c r="D228" s="39" t="str">
        <f>Source!H40</f>
        <v>м2</v>
      </c>
      <c r="E228" s="40">
        <f>SmtRes!AT73</f>
        <v>10.169491499999999</v>
      </c>
      <c r="F228" s="40"/>
      <c r="G228" s="40">
        <f>Source!I40</f>
        <v>1.8</v>
      </c>
      <c r="H228" s="42">
        <f>Source!AL40+Source!AO40+Source!AM40+Source!AN40</f>
        <v>2857.34</v>
      </c>
      <c r="I228" s="41">
        <f>IF(Source!BC40&lt;&gt; 0, Source!BC40, 1)</f>
        <v>1.56</v>
      </c>
      <c r="J228" s="42">
        <f>ROUND(H228*I228, 2)</f>
        <v>4457.45</v>
      </c>
      <c r="K228" s="41"/>
      <c r="L228" s="42">
        <f>Source!P40</f>
        <v>8023.41</v>
      </c>
      <c r="AD228">
        <f>ROUND((Source!AT40/100)*((ROUND(ROUND(Source!AO40,2)*Source!I40, 2)+ROUND(ROUND(Source!AN40,2)*Source!I40, 2))), 2)</f>
        <v>0</v>
      </c>
      <c r="AE228">
        <f>ROUND((Source!AU40/100)*((ROUND(ROUND(Source!AO40,2)*Source!I40, 2)+ROUND(ROUND(Source!AN40,2)*Source!I40, 2))), 2)</f>
        <v>0</v>
      </c>
      <c r="AN228">
        <f>L228</f>
        <v>8023.41</v>
      </c>
      <c r="AW228">
        <f>L228</f>
        <v>8023.41</v>
      </c>
      <c r="AZ228">
        <f>Source!X40</f>
        <v>0</v>
      </c>
      <c r="BA228">
        <f>Source!Y40</f>
        <v>0</v>
      </c>
      <c r="CD228">
        <v>1</v>
      </c>
    </row>
    <row r="229" spans="1:101" ht="14.25">
      <c r="A229" s="38"/>
      <c r="B229" s="38"/>
      <c r="C229" s="38" t="s">
        <v>450</v>
      </c>
      <c r="D229" s="39"/>
      <c r="E229" s="40"/>
      <c r="F229" s="40"/>
      <c r="G229" s="40"/>
      <c r="H229" s="42"/>
      <c r="I229" s="41"/>
      <c r="J229" s="42"/>
      <c r="K229" s="41"/>
      <c r="L229" s="42">
        <f>SUM(AR208:AR232)+SUM(AS208:AS232)+SUM(AT208:AT232)+SUM(AU208:AU232)+SUM(AV208:AV232)</f>
        <v>31885.81</v>
      </c>
    </row>
    <row r="230" spans="1:101" ht="14.25">
      <c r="A230" s="38"/>
      <c r="B230" s="38" t="s">
        <v>104</v>
      </c>
      <c r="C230" s="38" t="s">
        <v>464</v>
      </c>
      <c r="D230" s="39" t="s">
        <v>452</v>
      </c>
      <c r="E230" s="40">
        <f>Source!BZ39</f>
        <v>112</v>
      </c>
      <c r="F230" s="40"/>
      <c r="G230" s="40">
        <f>Source!AT39</f>
        <v>112</v>
      </c>
      <c r="H230" s="42"/>
      <c r="I230" s="41"/>
      <c r="J230" s="42"/>
      <c r="K230" s="41"/>
      <c r="L230" s="42">
        <f>SUM(AZ208:AZ232)</f>
        <v>35712.11</v>
      </c>
    </row>
    <row r="231" spans="1:101" ht="14.25">
      <c r="A231" s="46"/>
      <c r="B231" s="46" t="s">
        <v>105</v>
      </c>
      <c r="C231" s="46" t="s">
        <v>465</v>
      </c>
      <c r="D231" s="47" t="s">
        <v>452</v>
      </c>
      <c r="E231" s="48">
        <f>Source!CA39</f>
        <v>65</v>
      </c>
      <c r="F231" s="48"/>
      <c r="G231" s="48">
        <f>Source!AU39</f>
        <v>65</v>
      </c>
      <c r="H231" s="49"/>
      <c r="I231" s="50"/>
      <c r="J231" s="49"/>
      <c r="K231" s="50"/>
      <c r="L231" s="49">
        <f>SUM(BA208:BA232)</f>
        <v>20725.78</v>
      </c>
    </row>
    <row r="232" spans="1:101" ht="15">
      <c r="C232" s="112" t="s">
        <v>454</v>
      </c>
      <c r="D232" s="112"/>
      <c r="E232" s="112"/>
      <c r="F232" s="112"/>
      <c r="G232" s="112"/>
      <c r="H232" s="112"/>
      <c r="I232" s="113">
        <f>IF(E208&lt;&gt;0,K232/E208, 0)</f>
        <v>570188.70056497178</v>
      </c>
      <c r="J232" s="113"/>
      <c r="K232" s="113">
        <f>L211+L213+L221+L230+L231+L214+SUM(L228:L228)</f>
        <v>100923.40000000001</v>
      </c>
      <c r="L232" s="113"/>
      <c r="AD232">
        <f>ROUND((Source!AT39/100)*((ROUND(SUMIF(SmtRes!AQ64:'SmtRes'!AQ73,"=1",SmtRes!AD64:'SmtRes'!AD73)*Source!I39, 2)+ROUND(SUMIF(SmtRes!AQ64:'SmtRes'!AQ73,"=1",SmtRes!AC64:'SmtRes'!AC73)*Source!I39, 2))), 2)</f>
        <v>315.14999999999998</v>
      </c>
      <c r="AE232">
        <f>ROUND((Source!AU39/100)*((ROUND(SUMIF(SmtRes!AQ64:'SmtRes'!AQ73,"=1",SmtRes!AD64:'SmtRes'!AD73)*Source!I39, 2)+ROUND(SUMIF(SmtRes!AQ64:'SmtRes'!AQ73,"=1",SmtRes!AC64:'SmtRes'!AC73)*Source!I39, 2))), 2)</f>
        <v>182.9</v>
      </c>
      <c r="AN232" s="51">
        <f>L211+L213+L221+L230+L231+L214</f>
        <v>92899.99</v>
      </c>
      <c r="AO232" s="51">
        <f>L213</f>
        <v>563.30999999999995</v>
      </c>
      <c r="AQ232" t="s">
        <v>455</v>
      </c>
      <c r="AR232" s="51">
        <f>L211</f>
        <v>31625.32</v>
      </c>
      <c r="AT232" s="51">
        <f>L214</f>
        <v>260.49</v>
      </c>
      <c r="AV232" t="s">
        <v>455</v>
      </c>
      <c r="AW232" s="51">
        <f>L221</f>
        <v>4012.98</v>
      </c>
      <c r="AZ232">
        <f>Source!X39</f>
        <v>35712.11</v>
      </c>
      <c r="BA232">
        <f>Source!Y39</f>
        <v>20725.78</v>
      </c>
      <c r="CD232">
        <v>1</v>
      </c>
    </row>
    <row r="233" spans="1:101" ht="42.75">
      <c r="A233" s="36" t="s">
        <v>107</v>
      </c>
      <c r="B233" s="38" t="s">
        <v>481</v>
      </c>
      <c r="C233" s="38" t="str">
        <f>Source!G41</f>
        <v>Облицовка ступеней керамогранитными плитками толщиной до 15 мм</v>
      </c>
      <c r="D233" s="39" t="str">
        <f>Source!H41</f>
        <v>100 м2</v>
      </c>
      <c r="E233" s="40">
        <f>Source!K41</f>
        <v>0.10403999999999999</v>
      </c>
      <c r="F233" s="40"/>
      <c r="G233" s="40">
        <f>Source!I41</f>
        <v>0.10403999999999999</v>
      </c>
      <c r="H233" s="42"/>
      <c r="I233" s="41"/>
      <c r="J233" s="42"/>
      <c r="K233" s="41"/>
      <c r="L233" s="42"/>
    </row>
    <row r="234" spans="1:101" ht="38.25">
      <c r="B234" s="55" t="s">
        <v>392</v>
      </c>
      <c r="C234" s="115" t="s">
        <v>471</v>
      </c>
      <c r="D234" s="115"/>
      <c r="E234" s="115"/>
      <c r="F234" s="115"/>
      <c r="G234" s="115"/>
      <c r="H234" s="115"/>
      <c r="I234" s="115"/>
      <c r="J234" s="115"/>
      <c r="K234" s="115"/>
      <c r="L234" s="115"/>
      <c r="CW234" s="56" t="s">
        <v>471</v>
      </c>
    </row>
    <row r="235" spans="1:101">
      <c r="C235" s="43" t="str">
        <f>"Объем: "&amp;Source!I41&amp;"=10,404/"&amp;"100"</f>
        <v>Объем: 0,10404=10,404/100</v>
      </c>
    </row>
    <row r="236" spans="1:101" ht="15">
      <c r="A236" s="37"/>
      <c r="B236" s="40">
        <v>1</v>
      </c>
      <c r="C236" s="37" t="s">
        <v>443</v>
      </c>
      <c r="D236" s="39" t="s">
        <v>252</v>
      </c>
      <c r="E236" s="44"/>
      <c r="F236" s="40"/>
      <c r="G236" s="40">
        <f>Source!U41</f>
        <v>45.246527800000003</v>
      </c>
      <c r="H236" s="40"/>
      <c r="I236" s="40"/>
      <c r="J236" s="40"/>
      <c r="K236" s="40"/>
      <c r="L236" s="45">
        <f>SUM(L237:L237)-SUMIF(CE237:CE237, 1, L237:L237)</f>
        <v>17503.62</v>
      </c>
    </row>
    <row r="237" spans="1:101" ht="14.25">
      <c r="A237" s="38"/>
      <c r="B237" s="38" t="s">
        <v>362</v>
      </c>
      <c r="C237" s="38" t="s">
        <v>363</v>
      </c>
      <c r="D237" s="39" t="s">
        <v>252</v>
      </c>
      <c r="E237" s="40">
        <v>378.17</v>
      </c>
      <c r="F237" s="40">
        <f>ROUND(1.15,7)</f>
        <v>1.1499999999999999</v>
      </c>
      <c r="G237" s="40">
        <f>SmtRes!CX74</f>
        <v>45.246527800000003</v>
      </c>
      <c r="H237" s="42"/>
      <c r="I237" s="41"/>
      <c r="J237" s="42">
        <f>SmtRes!CZ74</f>
        <v>386.85</v>
      </c>
      <c r="K237" s="41"/>
      <c r="L237" s="42">
        <f>SmtRes!DI74</f>
        <v>17503.62</v>
      </c>
    </row>
    <row r="238" spans="1:101" ht="15">
      <c r="A238" s="37"/>
      <c r="B238" s="40">
        <v>2</v>
      </c>
      <c r="C238" s="37" t="s">
        <v>444</v>
      </c>
      <c r="D238" s="39"/>
      <c r="E238" s="44"/>
      <c r="F238" s="40"/>
      <c r="G238" s="40"/>
      <c r="H238" s="40"/>
      <c r="I238" s="40"/>
      <c r="J238" s="40"/>
      <c r="K238" s="40"/>
      <c r="L238" s="45">
        <f>SUM(L239:L247)-SUMIF(CE239:CE247, 1, L239:L247)</f>
        <v>58.600000000000051</v>
      </c>
    </row>
    <row r="239" spans="1:101" ht="15">
      <c r="A239" s="37"/>
      <c r="B239" s="40"/>
      <c r="C239" s="37" t="s">
        <v>447</v>
      </c>
      <c r="D239" s="39" t="s">
        <v>252</v>
      </c>
      <c r="E239" s="44"/>
      <c r="F239" s="40"/>
      <c r="G239" s="40">
        <f>Source!V41</f>
        <v>0.29781449999999998</v>
      </c>
      <c r="H239" s="40"/>
      <c r="I239" s="40"/>
      <c r="J239" s="40"/>
      <c r="K239" s="40"/>
      <c r="L239" s="45">
        <f>SUMIF(CE240:CE247, 1, L240:L247)</f>
        <v>119.14999999999999</v>
      </c>
      <c r="CE239">
        <v>1</v>
      </c>
    </row>
    <row r="240" spans="1:101" ht="28.5">
      <c r="A240" s="38"/>
      <c r="B240" s="38" t="s">
        <v>364</v>
      </c>
      <c r="C240" s="38" t="s">
        <v>366</v>
      </c>
      <c r="D240" s="39" t="s">
        <v>258</v>
      </c>
      <c r="E240" s="40">
        <v>0.34</v>
      </c>
      <c r="F240" s="40">
        <f t="shared" ref="F240:F247" si="4">ROUND(1.25,7)</f>
        <v>1.25</v>
      </c>
      <c r="G240" s="40">
        <f>SmtRes!CX76</f>
        <v>4.4216999999999999E-2</v>
      </c>
      <c r="H240" s="42">
        <f>SmtRes!CZ76</f>
        <v>251.77</v>
      </c>
      <c r="I240" s="41">
        <f>SmtRes!AJ76</f>
        <v>1.54</v>
      </c>
      <c r="J240" s="42">
        <f>ROUND(H240*I240, 2)</f>
        <v>387.73</v>
      </c>
      <c r="K240" s="41"/>
      <c r="L240" s="42">
        <f>SmtRes!DG76</f>
        <v>17.14</v>
      </c>
    </row>
    <row r="241" spans="1:83" ht="28.5">
      <c r="A241" s="38"/>
      <c r="B241" s="38" t="s">
        <v>315</v>
      </c>
      <c r="C241" s="38" t="s">
        <v>472</v>
      </c>
      <c r="D241" s="39" t="s">
        <v>252</v>
      </c>
      <c r="E241" s="40">
        <f>SmtRes!DO76*SmtRes!AT76</f>
        <v>0.34</v>
      </c>
      <c r="F241" s="40">
        <f t="shared" si="4"/>
        <v>1.25</v>
      </c>
      <c r="G241" s="40">
        <f>ROUND(E241*F241*G233, 7)</f>
        <v>4.4216999999999999E-2</v>
      </c>
      <c r="H241" s="42"/>
      <c r="I241" s="41"/>
      <c r="J241" s="42">
        <f>ROUND(SmtRes!AG76/SmtRes!DO76, 2)</f>
        <v>544.01</v>
      </c>
      <c r="K241" s="41"/>
      <c r="L241" s="42">
        <f>SmtRes!DH76</f>
        <v>24.05</v>
      </c>
      <c r="CE241">
        <v>1</v>
      </c>
    </row>
    <row r="242" spans="1:83" ht="28.5">
      <c r="A242" s="38"/>
      <c r="B242" s="38" t="s">
        <v>312</v>
      </c>
      <c r="C242" s="38" t="s">
        <v>314</v>
      </c>
      <c r="D242" s="39" t="s">
        <v>258</v>
      </c>
      <c r="E242" s="40">
        <v>0.13</v>
      </c>
      <c r="F242" s="40">
        <f t="shared" si="4"/>
        <v>1.25</v>
      </c>
      <c r="G242" s="40">
        <f>SmtRes!CX77</f>
        <v>1.6906500000000001E-2</v>
      </c>
      <c r="H242" s="42"/>
      <c r="I242" s="41"/>
      <c r="J242" s="42">
        <f>SmtRes!CZ77</f>
        <v>1719.93</v>
      </c>
      <c r="K242" s="41"/>
      <c r="L242" s="42">
        <f>SmtRes!DG77</f>
        <v>29.08</v>
      </c>
    </row>
    <row r="243" spans="1:83" ht="28.5">
      <c r="A243" s="38"/>
      <c r="B243" s="38" t="s">
        <v>315</v>
      </c>
      <c r="C243" s="38" t="s">
        <v>472</v>
      </c>
      <c r="D243" s="39" t="s">
        <v>252</v>
      </c>
      <c r="E243" s="40">
        <f>SmtRes!DO77*SmtRes!AT77</f>
        <v>0.13</v>
      </c>
      <c r="F243" s="40">
        <f t="shared" si="4"/>
        <v>1.25</v>
      </c>
      <c r="G243" s="40">
        <f>ROUND(E243*F243*G233, 7)</f>
        <v>1.6906500000000001E-2</v>
      </c>
      <c r="H243" s="42"/>
      <c r="I243" s="41"/>
      <c r="J243" s="42">
        <f>ROUND(SmtRes!AG77/SmtRes!DO77, 2)</f>
        <v>544.01</v>
      </c>
      <c r="K243" s="41"/>
      <c r="L243" s="42">
        <f>SmtRes!DH77</f>
        <v>9.1999999999999993</v>
      </c>
      <c r="CE243">
        <v>1</v>
      </c>
    </row>
    <row r="244" spans="1:83" ht="28.5">
      <c r="A244" s="38"/>
      <c r="B244" s="38" t="s">
        <v>367</v>
      </c>
      <c r="C244" s="38" t="s">
        <v>369</v>
      </c>
      <c r="D244" s="39" t="s">
        <v>258</v>
      </c>
      <c r="E244" s="40">
        <v>1.69</v>
      </c>
      <c r="F244" s="40">
        <f t="shared" si="4"/>
        <v>1.25</v>
      </c>
      <c r="G244" s="40">
        <f>SmtRes!CX78</f>
        <v>0.21978449999999999</v>
      </c>
      <c r="H244" s="42">
        <f>SmtRes!CZ78</f>
        <v>2.31</v>
      </c>
      <c r="I244" s="41">
        <f>SmtRes!AJ78</f>
        <v>1.72</v>
      </c>
      <c r="J244" s="42">
        <f>ROUND(H244*I244, 2)</f>
        <v>3.97</v>
      </c>
      <c r="K244" s="41"/>
      <c r="L244" s="42">
        <f>SmtRes!DG78</f>
        <v>0.87</v>
      </c>
    </row>
    <row r="245" spans="1:83" ht="28.5">
      <c r="A245" s="38"/>
      <c r="B245" s="38" t="s">
        <v>303</v>
      </c>
      <c r="C245" s="38" t="s">
        <v>458</v>
      </c>
      <c r="D245" s="39" t="s">
        <v>252</v>
      </c>
      <c r="E245" s="40">
        <f>SmtRes!DO78*SmtRes!AT78</f>
        <v>1.69</v>
      </c>
      <c r="F245" s="40">
        <f t="shared" si="4"/>
        <v>1.25</v>
      </c>
      <c r="G245" s="40">
        <f>ROUND(E245*F245*G233, 7)</f>
        <v>0.21978449999999999</v>
      </c>
      <c r="H245" s="42"/>
      <c r="I245" s="41"/>
      <c r="J245" s="42">
        <f>ROUND(SmtRes!AG78/SmtRes!DO78, 2)</f>
        <v>359.65</v>
      </c>
      <c r="K245" s="41"/>
      <c r="L245" s="42">
        <f>SmtRes!DH78</f>
        <v>79.05</v>
      </c>
      <c r="CE245">
        <v>1</v>
      </c>
    </row>
    <row r="246" spans="1:83" ht="28.5">
      <c r="A246" s="38"/>
      <c r="B246" s="38" t="s">
        <v>322</v>
      </c>
      <c r="C246" s="38" t="s">
        <v>324</v>
      </c>
      <c r="D246" s="39" t="s">
        <v>258</v>
      </c>
      <c r="E246" s="40">
        <v>0.13</v>
      </c>
      <c r="F246" s="40">
        <f t="shared" si="4"/>
        <v>1.25</v>
      </c>
      <c r="G246" s="40">
        <f>SmtRes!CX79</f>
        <v>1.6906500000000001E-2</v>
      </c>
      <c r="H246" s="42"/>
      <c r="I246" s="41"/>
      <c r="J246" s="42">
        <f>SmtRes!CZ79</f>
        <v>680.75</v>
      </c>
      <c r="K246" s="41"/>
      <c r="L246" s="42">
        <f>SmtRes!DG79</f>
        <v>11.51</v>
      </c>
    </row>
    <row r="247" spans="1:83" ht="28.5">
      <c r="A247" s="38"/>
      <c r="B247" s="38" t="s">
        <v>266</v>
      </c>
      <c r="C247" s="38" t="s">
        <v>446</v>
      </c>
      <c r="D247" s="39" t="s">
        <v>252</v>
      </c>
      <c r="E247" s="40">
        <f>SmtRes!DO79*SmtRes!AT79</f>
        <v>0.13</v>
      </c>
      <c r="F247" s="40">
        <f t="shared" si="4"/>
        <v>1.25</v>
      </c>
      <c r="G247" s="40">
        <f>ROUND(E247*F247*G233, 7)</f>
        <v>1.6906500000000001E-2</v>
      </c>
      <c r="H247" s="42"/>
      <c r="I247" s="41"/>
      <c r="J247" s="42">
        <f>ROUND(SmtRes!AG79/SmtRes!DO79, 2)</f>
        <v>404.99</v>
      </c>
      <c r="K247" s="41"/>
      <c r="L247" s="42">
        <f>SmtRes!DH79</f>
        <v>6.85</v>
      </c>
      <c r="CE247">
        <v>1</v>
      </c>
    </row>
    <row r="248" spans="1:83" ht="15">
      <c r="A248" s="37"/>
      <c r="B248" s="40">
        <v>4</v>
      </c>
      <c r="C248" s="37" t="s">
        <v>448</v>
      </c>
      <c r="D248" s="39"/>
      <c r="E248" s="44"/>
      <c r="F248" s="40"/>
      <c r="G248" s="40"/>
      <c r="H248" s="40"/>
      <c r="I248" s="40"/>
      <c r="J248" s="40"/>
      <c r="K248" s="40"/>
      <c r="L248" s="45">
        <f>SUM(L249:L251)-SUMIF(CE249:CE251, 1, L249:L251)</f>
        <v>167.44</v>
      </c>
    </row>
    <row r="249" spans="1:83" ht="14.25">
      <c r="A249" s="38"/>
      <c r="B249" s="38" t="s">
        <v>277</v>
      </c>
      <c r="C249" s="38" t="s">
        <v>279</v>
      </c>
      <c r="D249" s="39" t="s">
        <v>65</v>
      </c>
      <c r="E249" s="40">
        <v>0.45</v>
      </c>
      <c r="F249" s="40"/>
      <c r="G249" s="40">
        <f>SmtRes!CX80</f>
        <v>4.6817999999999999E-2</v>
      </c>
      <c r="H249" s="42">
        <f>SmtRes!CZ80</f>
        <v>35.71</v>
      </c>
      <c r="I249" s="41">
        <f>SmtRes!AI80</f>
        <v>0.83</v>
      </c>
      <c r="J249" s="42">
        <f>ROUND(H249*I249, 2)</f>
        <v>29.64</v>
      </c>
      <c r="K249" s="41"/>
      <c r="L249" s="42">
        <f>SmtRes!DF80</f>
        <v>1.39</v>
      </c>
    </row>
    <row r="250" spans="1:83" ht="14.25">
      <c r="A250" s="38"/>
      <c r="B250" s="38" t="s">
        <v>339</v>
      </c>
      <c r="C250" s="38" t="s">
        <v>341</v>
      </c>
      <c r="D250" s="39" t="s">
        <v>342</v>
      </c>
      <c r="E250" s="40">
        <v>5.8500000000000003E-2</v>
      </c>
      <c r="F250" s="40"/>
      <c r="G250" s="40">
        <f>SmtRes!CX81</f>
        <v>6.0863000000000002E-3</v>
      </c>
      <c r="H250" s="42"/>
      <c r="I250" s="41"/>
      <c r="J250" s="42">
        <f>SmtRes!CZ81</f>
        <v>7.71</v>
      </c>
      <c r="K250" s="41"/>
      <c r="L250" s="42">
        <f>SmtRes!DF81</f>
        <v>0.05</v>
      </c>
    </row>
    <row r="251" spans="1:83" ht="42.75">
      <c r="A251" s="38"/>
      <c r="B251" s="38" t="s">
        <v>370</v>
      </c>
      <c r="C251" s="38" t="s">
        <v>372</v>
      </c>
      <c r="D251" s="39" t="s">
        <v>46</v>
      </c>
      <c r="E251" s="40">
        <v>2.1000000000000001E-2</v>
      </c>
      <c r="F251" s="40"/>
      <c r="G251" s="40">
        <f>SmtRes!CX82</f>
        <v>2.1848000000000002E-3</v>
      </c>
      <c r="H251" s="42">
        <f>SmtRes!CZ82</f>
        <v>37800.300000000003</v>
      </c>
      <c r="I251" s="41">
        <f>SmtRes!AI82</f>
        <v>2.0099999999999998</v>
      </c>
      <c r="J251" s="42">
        <f>ROUND(H251*I251, 2)</f>
        <v>75978.600000000006</v>
      </c>
      <c r="K251" s="41"/>
      <c r="L251" s="42">
        <f>SmtRes!DF82</f>
        <v>166</v>
      </c>
    </row>
    <row r="252" spans="1:83" ht="14.25">
      <c r="A252" s="38"/>
      <c r="B252" s="38" t="str">
        <f>EtalonRes!I87</f>
        <v>06.2.05.03</v>
      </c>
      <c r="C252" s="38" t="str">
        <f>EtalonRes!K87</f>
        <v>Плитки керамогранитные</v>
      </c>
      <c r="D252" s="39" t="str">
        <f>EtalonRes!O87</f>
        <v>м2</v>
      </c>
      <c r="E252" s="40">
        <f>EtalonRes!X87</f>
        <v>102</v>
      </c>
      <c r="F252" s="40"/>
      <c r="G252" s="40">
        <f>ROUND(EtalonRes!AG87*Source!I41, 7)</f>
        <v>10.612080000000001</v>
      </c>
      <c r="H252" s="42"/>
      <c r="I252" s="41"/>
      <c r="J252" s="42"/>
      <c r="K252" s="41"/>
      <c r="L252" s="42"/>
    </row>
    <row r="253" spans="1:83" ht="14.25">
      <c r="A253" s="38"/>
      <c r="B253" s="38" t="str">
        <f>EtalonRes!I88</f>
        <v>11.2.04.05</v>
      </c>
      <c r="C253" s="38" t="str">
        <f>EtalonRes!K88</f>
        <v>Рейки деревянные</v>
      </c>
      <c r="D253" s="39" t="str">
        <f>EtalonRes!O88</f>
        <v>м3</v>
      </c>
      <c r="E253" s="40">
        <f>EtalonRes!X88</f>
        <v>0.01</v>
      </c>
      <c r="F253" s="40"/>
      <c r="G253" s="40">
        <f>ROUND(EtalonRes!AG88*Source!I41, 7)</f>
        <v>1.0403999999999999E-3</v>
      </c>
      <c r="H253" s="42"/>
      <c r="I253" s="41"/>
      <c r="J253" s="42"/>
      <c r="K253" s="41"/>
      <c r="L253" s="42"/>
    </row>
    <row r="254" spans="1:83" ht="28.5">
      <c r="A254" s="38"/>
      <c r="B254" s="38" t="str">
        <f>EtalonRes!I89</f>
        <v>14.1.06.02</v>
      </c>
      <c r="C254" s="46" t="str">
        <f>EtalonRes!K89</f>
        <v>Клей для облицовочных работ (сухая смесь)</v>
      </c>
      <c r="D254" s="47" t="str">
        <f>EtalonRes!O89</f>
        <v>т</v>
      </c>
      <c r="E254" s="48">
        <f>EtalonRes!X89</f>
        <v>1.2</v>
      </c>
      <c r="F254" s="48"/>
      <c r="G254" s="48">
        <f>ROUND(EtalonRes!AG89*Source!I41, 7)</f>
        <v>0.124848</v>
      </c>
      <c r="H254" s="49"/>
      <c r="I254" s="50"/>
      <c r="J254" s="49"/>
      <c r="K254" s="50"/>
      <c r="L254" s="49"/>
    </row>
    <row r="255" spans="1:83" ht="15">
      <c r="A255" s="38"/>
      <c r="B255" s="38"/>
      <c r="C255" s="53" t="s">
        <v>449</v>
      </c>
      <c r="D255" s="39"/>
      <c r="E255" s="40"/>
      <c r="F255" s="40"/>
      <c r="G255" s="40"/>
      <c r="H255" s="42"/>
      <c r="I255" s="41"/>
      <c r="J255" s="42"/>
      <c r="K255" s="41"/>
      <c r="L255" s="42">
        <f>L236+L238+L239+L248</f>
        <v>17848.809999999998</v>
      </c>
    </row>
    <row r="256" spans="1:83" ht="14.25">
      <c r="A256" s="38"/>
      <c r="B256" s="38"/>
      <c r="C256" s="38" t="s">
        <v>450</v>
      </c>
      <c r="D256" s="39"/>
      <c r="E256" s="40"/>
      <c r="F256" s="40"/>
      <c r="G256" s="40"/>
      <c r="H256" s="42"/>
      <c r="I256" s="41"/>
      <c r="J256" s="42"/>
      <c r="K256" s="41"/>
      <c r="L256" s="42">
        <f>SUM(AR233:AR259)+SUM(AS233:AS259)+SUM(AT233:AT259)+SUM(AU233:AU259)+SUM(AV233:AV259)</f>
        <v>17622.77</v>
      </c>
    </row>
    <row r="257" spans="1:82" ht="14.25">
      <c r="A257" s="38"/>
      <c r="B257" s="38" t="s">
        <v>85</v>
      </c>
      <c r="C257" s="38" t="s">
        <v>477</v>
      </c>
      <c r="D257" s="39" t="s">
        <v>452</v>
      </c>
      <c r="E257" s="40">
        <f>Source!BZ41</f>
        <v>100</v>
      </c>
      <c r="F257" s="40"/>
      <c r="G257" s="40">
        <f>Source!AT41</f>
        <v>100</v>
      </c>
      <c r="H257" s="42"/>
      <c r="I257" s="41"/>
      <c r="J257" s="42"/>
      <c r="K257" s="41"/>
      <c r="L257" s="42">
        <f>SUM(AZ233:AZ259)</f>
        <v>17622.77</v>
      </c>
    </row>
    <row r="258" spans="1:82" ht="14.25">
      <c r="A258" s="46"/>
      <c r="B258" s="46" t="s">
        <v>86</v>
      </c>
      <c r="C258" s="46" t="s">
        <v>478</v>
      </c>
      <c r="D258" s="47" t="s">
        <v>452</v>
      </c>
      <c r="E258" s="48">
        <f>Source!CA41</f>
        <v>49</v>
      </c>
      <c r="F258" s="48"/>
      <c r="G258" s="48">
        <f>Source!AU41</f>
        <v>49</v>
      </c>
      <c r="H258" s="49"/>
      <c r="I258" s="50"/>
      <c r="J258" s="49"/>
      <c r="K258" s="50"/>
      <c r="L258" s="49">
        <f>SUM(BA233:BA259)</f>
        <v>8635.16</v>
      </c>
    </row>
    <row r="259" spans="1:82" ht="15">
      <c r="C259" s="112" t="s">
        <v>454</v>
      </c>
      <c r="D259" s="112"/>
      <c r="E259" s="112"/>
      <c r="F259" s="112"/>
      <c r="G259" s="112"/>
      <c r="H259" s="112"/>
      <c r="I259" s="113">
        <f>IF(E233&lt;&gt;0,K259/E233, 0)</f>
        <v>423940.21530180698</v>
      </c>
      <c r="J259" s="113"/>
      <c r="K259" s="113">
        <f>L236+L238+L248+L257+L258+L239</f>
        <v>44106.74</v>
      </c>
      <c r="L259" s="113"/>
      <c r="AD259">
        <f>ROUND((Source!AT41/100)*((ROUND(SUMIF(SmtRes!AQ74:'SmtRes'!AQ82,"=1",SmtRes!AD74:'SmtRes'!AD82)*Source!I41, 2)+ROUND(SUMIF(SmtRes!AQ74:'SmtRes'!AQ82,"=1",SmtRes!AC74:'SmtRes'!AC82)*Source!I41, 2))), 2)</f>
        <v>233</v>
      </c>
      <c r="AE259">
        <f>ROUND((Source!AU41/100)*((ROUND(SUMIF(SmtRes!AQ74:'SmtRes'!AQ82,"=1",SmtRes!AD74:'SmtRes'!AD82)*Source!I41, 2)+ROUND(SUMIF(SmtRes!AQ74:'SmtRes'!AQ82,"=1",SmtRes!AC74:'SmtRes'!AC82)*Source!I41, 2))), 2)</f>
        <v>114.17</v>
      </c>
      <c r="AN259" s="51">
        <f>L236+L238+L248+L257+L258+L239</f>
        <v>44106.74</v>
      </c>
      <c r="AO259" s="51">
        <f>L238</f>
        <v>58.600000000000051</v>
      </c>
      <c r="AQ259" t="s">
        <v>455</v>
      </c>
      <c r="AR259" s="51">
        <f>L236</f>
        <v>17503.62</v>
      </c>
      <c r="AT259" s="51">
        <f>L239</f>
        <v>119.14999999999999</v>
      </c>
      <c r="AV259" t="s">
        <v>455</v>
      </c>
      <c r="AW259" s="51">
        <f>L248</f>
        <v>167.44</v>
      </c>
      <c r="AZ259">
        <f>Source!X41</f>
        <v>17622.77</v>
      </c>
      <c r="BA259">
        <f>Source!Y41</f>
        <v>8635.16</v>
      </c>
      <c r="CD259">
        <v>1</v>
      </c>
    </row>
    <row r="260" spans="1:82" ht="28.5">
      <c r="A260" s="57" t="s">
        <v>111</v>
      </c>
      <c r="B260" s="46" t="str">
        <f>Source!F42</f>
        <v>04.3.01.09-0015</v>
      </c>
      <c r="C260" s="46" t="str">
        <f>Source!G42</f>
        <v>Раствор готовый кладочный, цементный, М150</v>
      </c>
      <c r="D260" s="47" t="str">
        <f>Source!H42</f>
        <v>м3</v>
      </c>
      <c r="E260" s="48">
        <f>Source!K42</f>
        <v>0.37454399999999999</v>
      </c>
      <c r="F260" s="48"/>
      <c r="G260" s="48">
        <f>Source!I42</f>
        <v>0.37454399999999999</v>
      </c>
      <c r="H260" s="49"/>
      <c r="I260" s="50"/>
      <c r="J260" s="49">
        <f>Source!AL42</f>
        <v>6815.7</v>
      </c>
      <c r="K260" s="50"/>
      <c r="L260" s="49">
        <f>Source!P42</f>
        <v>2552.7800000000002</v>
      </c>
    </row>
    <row r="261" spans="1:82" ht="15">
      <c r="C261" s="112" t="s">
        <v>454</v>
      </c>
      <c r="D261" s="112"/>
      <c r="E261" s="112"/>
      <c r="F261" s="112"/>
      <c r="G261" s="112"/>
      <c r="H261" s="112"/>
      <c r="I261" s="113">
        <f>IF(E260&lt;&gt;0,K261/E260, 0)</f>
        <v>6815.7012260241791</v>
      </c>
      <c r="J261" s="113"/>
      <c r="K261" s="113">
        <f>L260</f>
        <v>2552.7800000000002</v>
      </c>
      <c r="L261" s="113"/>
      <c r="AD261">
        <f>ROUND((Source!AT42/100)*((ROUND(ROUND(Source!AO42,2)*Source!I42, 2)+ROUND(ROUND(Source!AN42,2)*Source!I42, 2))), 2)</f>
        <v>0</v>
      </c>
      <c r="AE261">
        <f>ROUND((Source!AU42/100)*((ROUND(ROUND(Source!AO42,2)*Source!I42, 2)+ROUND(ROUND(Source!AN42,2)*Source!I42, 2))), 2)</f>
        <v>0</v>
      </c>
      <c r="AN261" s="51">
        <f>L260</f>
        <v>2552.7800000000002</v>
      </c>
      <c r="AO261">
        <f>0</f>
        <v>0</v>
      </c>
      <c r="AQ261" t="s">
        <v>455</v>
      </c>
      <c r="AR261">
        <f>0</f>
        <v>0</v>
      </c>
      <c r="AT261">
        <f>0</f>
        <v>0</v>
      </c>
      <c r="AV261" t="s">
        <v>455</v>
      </c>
      <c r="AW261" s="51">
        <f>L260</f>
        <v>2552.7800000000002</v>
      </c>
      <c r="AZ261">
        <f>Source!X42</f>
        <v>0</v>
      </c>
      <c r="BA261">
        <f>Source!Y42</f>
        <v>0</v>
      </c>
      <c r="CD261">
        <v>1</v>
      </c>
    </row>
    <row r="262" spans="1:82" ht="57">
      <c r="A262" s="57" t="s">
        <v>112</v>
      </c>
      <c r="B262" s="46" t="str">
        <f>Source!F43</f>
        <v>13.2.01.01-1253</v>
      </c>
      <c r="C262" s="46" t="str">
        <f>Source!G43</f>
        <v>Плита гранитная облицовочная полированная, месторождение Кашина гора, размеры 300х600 мм, толщина 20 мм</v>
      </c>
      <c r="D262" s="47" t="str">
        <f>Source!H43</f>
        <v>м2</v>
      </c>
      <c r="E262" s="48">
        <f>Source!K43</f>
        <v>1.0612079999999999</v>
      </c>
      <c r="F262" s="48"/>
      <c r="G262" s="48">
        <f>Source!I43</f>
        <v>1.0612079999999999</v>
      </c>
      <c r="H262" s="49">
        <f>Source!AL43</f>
        <v>2857.34</v>
      </c>
      <c r="I262" s="50">
        <f>IF(Source!BC43&lt;&gt; 0, Source!BC43, 1)</f>
        <v>1.56</v>
      </c>
      <c r="J262" s="49">
        <f>ROUND(H262*I262, 2)</f>
        <v>4457.45</v>
      </c>
      <c r="K262" s="50"/>
      <c r="L262" s="49">
        <f>Source!P43</f>
        <v>4730.28</v>
      </c>
    </row>
    <row r="263" spans="1:82" ht="15">
      <c r="C263" s="112" t="s">
        <v>454</v>
      </c>
      <c r="D263" s="112"/>
      <c r="E263" s="112"/>
      <c r="F263" s="112"/>
      <c r="G263" s="112"/>
      <c r="H263" s="112"/>
      <c r="I263" s="113">
        <f>IF(E262&lt;&gt;0,K263/E262, 0)</f>
        <v>4457.448492661194</v>
      </c>
      <c r="J263" s="113"/>
      <c r="K263" s="113">
        <f>L262</f>
        <v>4730.28</v>
      </c>
      <c r="L263" s="113"/>
      <c r="AD263">
        <f>ROUND((Source!AT43/100)*((ROUND(ROUND(Source!AO43,2)*Source!I43, 2)+ROUND(ROUND(Source!AN43,2)*Source!I43, 2))), 2)</f>
        <v>0</v>
      </c>
      <c r="AE263">
        <f>ROUND((Source!AU43/100)*((ROUND(ROUND(Source!AO43,2)*Source!I43, 2)+ROUND(ROUND(Source!AN43,2)*Source!I43, 2))), 2)</f>
        <v>0</v>
      </c>
      <c r="AN263" s="51">
        <f>L262</f>
        <v>4730.28</v>
      </c>
      <c r="AO263">
        <f>0</f>
        <v>0</v>
      </c>
      <c r="AQ263" t="s">
        <v>455</v>
      </c>
      <c r="AR263">
        <f>0</f>
        <v>0</v>
      </c>
      <c r="AT263">
        <f>0</f>
        <v>0</v>
      </c>
      <c r="AV263" t="s">
        <v>455</v>
      </c>
      <c r="AW263" s="51">
        <f>L262</f>
        <v>4730.28</v>
      </c>
      <c r="AZ263">
        <f>Source!X43</f>
        <v>0</v>
      </c>
      <c r="BA263">
        <f>Source!Y43</f>
        <v>0</v>
      </c>
      <c r="CD263">
        <v>1</v>
      </c>
    </row>
    <row r="265" spans="1:82" ht="15">
      <c r="A265" s="62"/>
      <c r="B265" s="63"/>
      <c r="C265" s="114" t="s">
        <v>482</v>
      </c>
      <c r="D265" s="114"/>
      <c r="E265" s="114"/>
      <c r="F265" s="114"/>
      <c r="G265" s="114"/>
      <c r="H265" s="114"/>
      <c r="I265" s="64"/>
      <c r="J265" s="62"/>
      <c r="K265" s="65"/>
      <c r="L265" s="64"/>
    </row>
    <row r="267" spans="1:82" ht="15">
      <c r="A267" s="59"/>
      <c r="B267" s="60"/>
      <c r="C267" s="106" t="s">
        <v>483</v>
      </c>
      <c r="D267" s="106"/>
      <c r="E267" s="106"/>
      <c r="F267" s="106"/>
      <c r="G267" s="106"/>
      <c r="H267" s="106"/>
      <c r="I267" s="45"/>
      <c r="J267" s="59"/>
      <c r="K267" s="61"/>
      <c r="L267" s="45">
        <f>L269+L284+L285</f>
        <v>474003.20000000007</v>
      </c>
    </row>
    <row r="268" spans="1:82" ht="14.25">
      <c r="A268" s="54"/>
      <c r="B268" s="58"/>
      <c r="C268" s="105" t="s">
        <v>484</v>
      </c>
      <c r="D268" s="104"/>
      <c r="E268" s="104"/>
      <c r="F268" s="104"/>
      <c r="G268" s="104"/>
      <c r="H268" s="104"/>
      <c r="I268" s="42"/>
      <c r="J268" s="54"/>
      <c r="K268" s="40"/>
      <c r="L268" s="42"/>
    </row>
    <row r="269" spans="1:82" ht="14.25">
      <c r="A269" s="54"/>
      <c r="B269" s="58"/>
      <c r="C269" s="104" t="s">
        <v>485</v>
      </c>
      <c r="D269" s="104"/>
      <c r="E269" s="104"/>
      <c r="F269" s="104"/>
      <c r="G269" s="104"/>
      <c r="H269" s="104"/>
      <c r="I269" s="42"/>
      <c r="J269" s="54"/>
      <c r="K269" s="40"/>
      <c r="L269" s="42">
        <f>L271+L272+L278+L282</f>
        <v>247133.15000000002</v>
      </c>
    </row>
    <row r="270" spans="1:82" ht="14.25">
      <c r="A270" s="54"/>
      <c r="B270" s="58"/>
      <c r="C270" s="105" t="s">
        <v>484</v>
      </c>
      <c r="D270" s="104"/>
      <c r="E270" s="104"/>
      <c r="F270" s="104"/>
      <c r="G270" s="104"/>
      <c r="H270" s="104"/>
      <c r="I270" s="42"/>
      <c r="J270" s="54"/>
      <c r="K270" s="40"/>
      <c r="L270" s="42"/>
    </row>
    <row r="271" spans="1:82" ht="14.25">
      <c r="A271" s="54"/>
      <c r="B271" s="58"/>
      <c r="C271" s="104" t="s">
        <v>486</v>
      </c>
      <c r="D271" s="104"/>
      <c r="E271" s="104"/>
      <c r="F271" s="104"/>
      <c r="G271" s="104"/>
      <c r="H271" s="104"/>
      <c r="I271" s="42"/>
      <c r="J271" s="54"/>
      <c r="K271" s="40"/>
      <c r="L271" s="42">
        <f>SUMIF(CD58:CD263, 1, AR58:AR263)</f>
        <v>140087.28</v>
      </c>
    </row>
    <row r="272" spans="1:82" ht="14.25" hidden="1">
      <c r="A272" s="54"/>
      <c r="B272" s="58"/>
      <c r="C272" s="104" t="s">
        <v>487</v>
      </c>
      <c r="D272" s="104"/>
      <c r="E272" s="104"/>
      <c r="F272" s="104"/>
      <c r="G272" s="104"/>
      <c r="H272" s="104"/>
      <c r="I272" s="42"/>
      <c r="J272" s="54"/>
      <c r="K272" s="40"/>
      <c r="L272" s="42">
        <f>L274+L277+L276</f>
        <v>12107.419999999998</v>
      </c>
    </row>
    <row r="273" spans="1:12" ht="14.25" hidden="1">
      <c r="A273" s="54"/>
      <c r="B273" s="58"/>
      <c r="C273" s="105" t="s">
        <v>488</v>
      </c>
      <c r="D273" s="104"/>
      <c r="E273" s="104"/>
      <c r="F273" s="104"/>
      <c r="G273" s="104"/>
      <c r="H273" s="104"/>
      <c r="I273" s="42"/>
      <c r="J273" s="54"/>
      <c r="K273" s="40"/>
      <c r="L273" s="42"/>
    </row>
    <row r="274" spans="1:12" ht="14.25">
      <c r="A274" s="54"/>
      <c r="B274" s="58"/>
      <c r="C274" s="104" t="s">
        <v>487</v>
      </c>
      <c r="D274" s="104"/>
      <c r="E274" s="104"/>
      <c r="F274" s="104"/>
      <c r="G274" s="104"/>
      <c r="H274" s="104"/>
      <c r="I274" s="42"/>
      <c r="J274" s="54"/>
      <c r="K274" s="40"/>
      <c r="L274" s="42">
        <f>SUMIF(CD58:CD263, 1, AO58:AO263)</f>
        <v>7796.82</v>
      </c>
    </row>
    <row r="275" spans="1:12" ht="14.25" hidden="1">
      <c r="A275" s="54"/>
      <c r="B275" s="58"/>
      <c r="C275" s="105" t="s">
        <v>489</v>
      </c>
      <c r="D275" s="104"/>
      <c r="E275" s="104"/>
      <c r="F275" s="104"/>
      <c r="G275" s="104"/>
      <c r="H275" s="104"/>
      <c r="I275" s="42"/>
      <c r="J275" s="54"/>
      <c r="K275" s="40"/>
      <c r="L275" s="42"/>
    </row>
    <row r="276" spans="1:12" ht="14.25">
      <c r="A276" s="54"/>
      <c r="B276" s="58"/>
      <c r="C276" s="104" t="s">
        <v>498</v>
      </c>
      <c r="D276" s="104"/>
      <c r="E276" s="104"/>
      <c r="F276" s="104"/>
      <c r="G276" s="104"/>
      <c r="H276" s="104"/>
      <c r="I276" s="42"/>
      <c r="J276" s="54"/>
      <c r="K276" s="40"/>
      <c r="L276" s="42">
        <f>SUMIF(CD58:CD263, 1, AT58:AT263)</f>
        <v>4310.5999999999985</v>
      </c>
    </row>
    <row r="277" spans="1:12" ht="14.25" hidden="1">
      <c r="A277" s="54"/>
      <c r="B277" s="58"/>
      <c r="C277" s="104" t="s">
        <v>490</v>
      </c>
      <c r="D277" s="104"/>
      <c r="E277" s="104"/>
      <c r="F277" s="104"/>
      <c r="G277" s="104"/>
      <c r="H277" s="104"/>
      <c r="I277" s="42"/>
      <c r="J277" s="54"/>
      <c r="K277" s="40"/>
      <c r="L277" s="42">
        <f>SUMIF(CD58:CD263, 1, AV58:AV263)</f>
        <v>0</v>
      </c>
    </row>
    <row r="278" spans="1:12" ht="14.25">
      <c r="A278" s="54"/>
      <c r="B278" s="58"/>
      <c r="C278" s="104" t="s">
        <v>491</v>
      </c>
      <c r="D278" s="104"/>
      <c r="E278" s="104"/>
      <c r="F278" s="104"/>
      <c r="G278" s="104"/>
      <c r="H278" s="104"/>
      <c r="I278" s="42"/>
      <c r="J278" s="54"/>
      <c r="K278" s="40"/>
      <c r="L278" s="42">
        <f>L280+L281</f>
        <v>94938.45</v>
      </c>
    </row>
    <row r="279" spans="1:12" ht="14.25">
      <c r="A279" s="54"/>
      <c r="B279" s="58"/>
      <c r="C279" s="105" t="s">
        <v>488</v>
      </c>
      <c r="D279" s="104"/>
      <c r="E279" s="104"/>
      <c r="F279" s="104"/>
      <c r="G279" s="104"/>
      <c r="H279" s="104"/>
      <c r="I279" s="42"/>
      <c r="J279" s="54"/>
      <c r="K279" s="40"/>
      <c r="L279" s="42"/>
    </row>
    <row r="280" spans="1:12" ht="14.25">
      <c r="A280" s="54"/>
      <c r="B280" s="58"/>
      <c r="C280" s="104" t="s">
        <v>492</v>
      </c>
      <c r="D280" s="104"/>
      <c r="E280" s="104"/>
      <c r="F280" s="104"/>
      <c r="G280" s="104"/>
      <c r="H280" s="104"/>
      <c r="I280" s="42"/>
      <c r="J280" s="54"/>
      <c r="K280" s="40"/>
      <c r="L280" s="42">
        <f>SUMIF(CD58:CD263, 1, AW58:AW263)-SUMIF(CD58:CD263, 1, BK58:BK263)</f>
        <v>94938.45</v>
      </c>
    </row>
    <row r="281" spans="1:12" ht="14.25" hidden="1">
      <c r="A281" s="54"/>
      <c r="B281" s="58"/>
      <c r="C281" s="104" t="s">
        <v>493</v>
      </c>
      <c r="D281" s="104"/>
      <c r="E281" s="104"/>
      <c r="F281" s="104"/>
      <c r="G281" s="104"/>
      <c r="H281" s="104"/>
      <c r="I281" s="42"/>
      <c r="J281" s="54"/>
      <c r="K281" s="40"/>
      <c r="L281" s="42">
        <f>SUMIF(CD58:CD263, 1, BC58:BC263)</f>
        <v>0</v>
      </c>
    </row>
    <row r="282" spans="1:12" ht="14.25" hidden="1">
      <c r="A282" s="54"/>
      <c r="B282" s="58"/>
      <c r="C282" s="104" t="s">
        <v>494</v>
      </c>
      <c r="D282" s="104"/>
      <c r="E282" s="104"/>
      <c r="F282" s="104"/>
      <c r="G282" s="104"/>
      <c r="H282" s="104"/>
      <c r="I282" s="42"/>
      <c r="J282" s="54"/>
      <c r="K282" s="40"/>
      <c r="L282" s="42">
        <f>SUMIF(CD58:CD263, 1, BB58:BB263)</f>
        <v>0</v>
      </c>
    </row>
    <row r="283" spans="1:12" ht="14.25">
      <c r="A283" s="54"/>
      <c r="B283" s="58"/>
      <c r="C283" s="104" t="s">
        <v>495</v>
      </c>
      <c r="D283" s="104"/>
      <c r="E283" s="104"/>
      <c r="F283" s="104"/>
      <c r="G283" s="104"/>
      <c r="H283" s="104"/>
      <c r="I283" s="42"/>
      <c r="J283" s="54"/>
      <c r="K283" s="40"/>
      <c r="L283" s="42">
        <f>SUMIF(CD58:CD263, 1, AR58:AR263)+SUMIF(CD58:CD263, 1, AT58:AT263)+SUMIF(CD58:CD263, 1, AV58:AV263)</f>
        <v>144397.88</v>
      </c>
    </row>
    <row r="284" spans="1:12" ht="14.25">
      <c r="A284" s="54"/>
      <c r="B284" s="58"/>
      <c r="C284" s="104" t="s">
        <v>496</v>
      </c>
      <c r="D284" s="104"/>
      <c r="E284" s="104"/>
      <c r="F284" s="104"/>
      <c r="G284" s="104"/>
      <c r="H284" s="104"/>
      <c r="I284" s="42"/>
      <c r="J284" s="54"/>
      <c r="K284" s="40"/>
      <c r="L284" s="42">
        <f>SUMIF(CD58:CD263, 1, AZ58:AZ263)</f>
        <v>146939.62999999998</v>
      </c>
    </row>
    <row r="285" spans="1:12" ht="14.25">
      <c r="A285" s="54"/>
      <c r="B285" s="58"/>
      <c r="C285" s="104" t="s">
        <v>497</v>
      </c>
      <c r="D285" s="104"/>
      <c r="E285" s="104"/>
      <c r="F285" s="104"/>
      <c r="G285" s="104"/>
      <c r="H285" s="104"/>
      <c r="I285" s="42"/>
      <c r="J285" s="54"/>
      <c r="K285" s="40"/>
      <c r="L285" s="42">
        <f>SUMIF(CD58:CD263, 1, BA58:BA263)</f>
        <v>79930.420000000013</v>
      </c>
    </row>
    <row r="286" spans="1:12" hidden="1"/>
    <row r="287" spans="1:12" ht="15" hidden="1">
      <c r="A287" s="59"/>
      <c r="B287" s="60"/>
      <c r="C287" s="106" t="s">
        <v>499</v>
      </c>
      <c r="D287" s="106"/>
      <c r="E287" s="106"/>
      <c r="F287" s="106"/>
      <c r="G287" s="106"/>
      <c r="H287" s="106"/>
      <c r="I287" s="45"/>
      <c r="J287" s="59"/>
      <c r="K287" s="61"/>
      <c r="L287" s="45">
        <f>L289+L304+L305</f>
        <v>0</v>
      </c>
    </row>
    <row r="288" spans="1:12" ht="14.25" hidden="1">
      <c r="A288" s="54"/>
      <c r="B288" s="58"/>
      <c r="C288" s="105" t="s">
        <v>484</v>
      </c>
      <c r="D288" s="104"/>
      <c r="E288" s="104"/>
      <c r="F288" s="104"/>
      <c r="G288" s="104"/>
      <c r="H288" s="104"/>
      <c r="I288" s="42"/>
      <c r="J288" s="54"/>
      <c r="K288" s="40"/>
      <c r="L288" s="42"/>
    </row>
    <row r="289" spans="1:12" ht="14.25" hidden="1">
      <c r="A289" s="54"/>
      <c r="B289" s="58"/>
      <c r="C289" s="104" t="s">
        <v>485</v>
      </c>
      <c r="D289" s="104"/>
      <c r="E289" s="104"/>
      <c r="F289" s="104"/>
      <c r="G289" s="104"/>
      <c r="H289" s="104"/>
      <c r="I289" s="42"/>
      <c r="J289" s="54"/>
      <c r="K289" s="40"/>
      <c r="L289" s="42">
        <f>L291+L292+L298+L302</f>
        <v>0</v>
      </c>
    </row>
    <row r="290" spans="1:12" ht="14.25" hidden="1">
      <c r="A290" s="54"/>
      <c r="B290" s="58"/>
      <c r="C290" s="105" t="s">
        <v>484</v>
      </c>
      <c r="D290" s="104"/>
      <c r="E290" s="104"/>
      <c r="F290" s="104"/>
      <c r="G290" s="104"/>
      <c r="H290" s="104"/>
      <c r="I290" s="42"/>
      <c r="J290" s="54"/>
      <c r="K290" s="40"/>
      <c r="L290" s="42"/>
    </row>
    <row r="291" spans="1:12" ht="14.25" hidden="1">
      <c r="A291" s="54"/>
      <c r="B291" s="58"/>
      <c r="C291" s="104" t="s">
        <v>486</v>
      </c>
      <c r="D291" s="104"/>
      <c r="E291" s="104"/>
      <c r="F291" s="104"/>
      <c r="G291" s="104"/>
      <c r="H291" s="104"/>
      <c r="I291" s="42"/>
      <c r="J291" s="54"/>
      <c r="K291" s="40"/>
      <c r="L291" s="42">
        <f>SUMIF(CD58:CD285, 2, AR58:AR285)</f>
        <v>0</v>
      </c>
    </row>
    <row r="292" spans="1:12" ht="14.25" hidden="1">
      <c r="A292" s="54"/>
      <c r="B292" s="58"/>
      <c r="C292" s="104" t="s">
        <v>487</v>
      </c>
      <c r="D292" s="104"/>
      <c r="E292" s="104"/>
      <c r="F292" s="104"/>
      <c r="G292" s="104"/>
      <c r="H292" s="104"/>
      <c r="I292" s="42"/>
      <c r="J292" s="54"/>
      <c r="K292" s="40"/>
      <c r="L292" s="42">
        <f>L294+L297+L296</f>
        <v>0</v>
      </c>
    </row>
    <row r="293" spans="1:12" ht="14.25" hidden="1">
      <c r="A293" s="54"/>
      <c r="B293" s="58"/>
      <c r="C293" s="105" t="s">
        <v>488</v>
      </c>
      <c r="D293" s="104"/>
      <c r="E293" s="104"/>
      <c r="F293" s="104"/>
      <c r="G293" s="104"/>
      <c r="H293" s="104"/>
      <c r="I293" s="42"/>
      <c r="J293" s="54"/>
      <c r="K293" s="40"/>
      <c r="L293" s="42"/>
    </row>
    <row r="294" spans="1:12" ht="14.25" hidden="1">
      <c r="A294" s="54"/>
      <c r="B294" s="58"/>
      <c r="C294" s="104" t="s">
        <v>487</v>
      </c>
      <c r="D294" s="104"/>
      <c r="E294" s="104"/>
      <c r="F294" s="104"/>
      <c r="G294" s="104"/>
      <c r="H294" s="104"/>
      <c r="I294" s="42"/>
      <c r="J294" s="54"/>
      <c r="K294" s="40"/>
      <c r="L294" s="42">
        <f>SUMIF(CD58:CD285, 2, AO58:AO285)</f>
        <v>0</v>
      </c>
    </row>
    <row r="295" spans="1:12" ht="14.25" hidden="1">
      <c r="A295" s="54"/>
      <c r="B295" s="58"/>
      <c r="C295" s="105" t="s">
        <v>489</v>
      </c>
      <c r="D295" s="104"/>
      <c r="E295" s="104"/>
      <c r="F295" s="104"/>
      <c r="G295" s="104"/>
      <c r="H295" s="104"/>
      <c r="I295" s="42"/>
      <c r="J295" s="54"/>
      <c r="K295" s="40"/>
      <c r="L295" s="42"/>
    </row>
    <row r="296" spans="1:12" ht="14.25" hidden="1">
      <c r="A296" s="54"/>
      <c r="B296" s="58"/>
      <c r="C296" s="104" t="s">
        <v>498</v>
      </c>
      <c r="D296" s="104"/>
      <c r="E296" s="104"/>
      <c r="F296" s="104"/>
      <c r="G296" s="104"/>
      <c r="H296" s="104"/>
      <c r="I296" s="42"/>
      <c r="J296" s="54"/>
      <c r="K296" s="40"/>
      <c r="L296" s="42">
        <f>SUMIF(CD58:CD285, 2, AT58:AT285)</f>
        <v>0</v>
      </c>
    </row>
    <row r="297" spans="1:12" ht="14.25" hidden="1">
      <c r="A297" s="54"/>
      <c r="B297" s="58"/>
      <c r="C297" s="104" t="s">
        <v>490</v>
      </c>
      <c r="D297" s="104"/>
      <c r="E297" s="104"/>
      <c r="F297" s="104"/>
      <c r="G297" s="104"/>
      <c r="H297" s="104"/>
      <c r="I297" s="42"/>
      <c r="J297" s="54"/>
      <c r="K297" s="40"/>
      <c r="L297" s="42">
        <f>SUMIF(CD58:CD285, 2, AV58:AV285)</f>
        <v>0</v>
      </c>
    </row>
    <row r="298" spans="1:12" ht="14.25" hidden="1">
      <c r="A298" s="54"/>
      <c r="B298" s="58"/>
      <c r="C298" s="104" t="s">
        <v>491</v>
      </c>
      <c r="D298" s="104"/>
      <c r="E298" s="104"/>
      <c r="F298" s="104"/>
      <c r="G298" s="104"/>
      <c r="H298" s="104"/>
      <c r="I298" s="42"/>
      <c r="J298" s="54"/>
      <c r="K298" s="40"/>
      <c r="L298" s="42">
        <f>L300+L301</f>
        <v>0</v>
      </c>
    </row>
    <row r="299" spans="1:12" ht="14.25" hidden="1">
      <c r="A299" s="54"/>
      <c r="B299" s="58"/>
      <c r="C299" s="105" t="s">
        <v>488</v>
      </c>
      <c r="D299" s="104"/>
      <c r="E299" s="104"/>
      <c r="F299" s="104"/>
      <c r="G299" s="104"/>
      <c r="H299" s="104"/>
      <c r="I299" s="42"/>
      <c r="J299" s="54"/>
      <c r="K299" s="40"/>
      <c r="L299" s="42"/>
    </row>
    <row r="300" spans="1:12" ht="14.25" hidden="1">
      <c r="A300" s="54"/>
      <c r="B300" s="58"/>
      <c r="C300" s="104" t="s">
        <v>492</v>
      </c>
      <c r="D300" s="104"/>
      <c r="E300" s="104"/>
      <c r="F300" s="104"/>
      <c r="G300" s="104"/>
      <c r="H300" s="104"/>
      <c r="I300" s="42"/>
      <c r="J300" s="54"/>
      <c r="K300" s="40"/>
      <c r="L300" s="42">
        <f>SUMIF(CD58:CD285, 2, AW58:AW285)-SUMIF(CD58:CD285, 2, BK58:BK285)</f>
        <v>0</v>
      </c>
    </row>
    <row r="301" spans="1:12" ht="14.25" hidden="1">
      <c r="A301" s="54"/>
      <c r="B301" s="58"/>
      <c r="C301" s="104" t="s">
        <v>493</v>
      </c>
      <c r="D301" s="104"/>
      <c r="E301" s="104"/>
      <c r="F301" s="104"/>
      <c r="G301" s="104"/>
      <c r="H301" s="104"/>
      <c r="I301" s="42"/>
      <c r="J301" s="54"/>
      <c r="K301" s="40"/>
      <c r="L301" s="42">
        <f>SUMIF(CD58:CD285, 2, BC58:BC285)</f>
        <v>0</v>
      </c>
    </row>
    <row r="302" spans="1:12" ht="14.25" hidden="1">
      <c r="A302" s="54"/>
      <c r="B302" s="58"/>
      <c r="C302" s="104" t="s">
        <v>494</v>
      </c>
      <c r="D302" s="104"/>
      <c r="E302" s="104"/>
      <c r="F302" s="104"/>
      <c r="G302" s="104"/>
      <c r="H302" s="104"/>
      <c r="I302" s="42"/>
      <c r="J302" s="54"/>
      <c r="K302" s="40"/>
      <c r="L302" s="42">
        <f>SUMIF(CD58:CD285, 2, BB58:BB285)</f>
        <v>0</v>
      </c>
    </row>
    <row r="303" spans="1:12" ht="14.25" hidden="1">
      <c r="A303" s="54"/>
      <c r="B303" s="58"/>
      <c r="C303" s="104" t="s">
        <v>495</v>
      </c>
      <c r="D303" s="104"/>
      <c r="E303" s="104"/>
      <c r="F303" s="104"/>
      <c r="G303" s="104"/>
      <c r="H303" s="104"/>
      <c r="I303" s="42"/>
      <c r="J303" s="54"/>
      <c r="K303" s="40"/>
      <c r="L303" s="42">
        <f>SUMIF(CD58:CD285, 2, AR58:AR285)+SUMIF(CD58:CD285, 2, AT58:AT285)+SUMIF(CD58:CD285, 2, AV58:AV285)</f>
        <v>0</v>
      </c>
    </row>
    <row r="304" spans="1:12" ht="14.25" hidden="1">
      <c r="A304" s="54"/>
      <c r="B304" s="58"/>
      <c r="C304" s="104" t="s">
        <v>496</v>
      </c>
      <c r="D304" s="104"/>
      <c r="E304" s="104"/>
      <c r="F304" s="104"/>
      <c r="G304" s="104"/>
      <c r="H304" s="104"/>
      <c r="I304" s="42"/>
      <c r="J304" s="54"/>
      <c r="K304" s="40"/>
      <c r="L304" s="42">
        <f>SUMIF(CD58:CD285, 2, AZ58:AZ285)</f>
        <v>0</v>
      </c>
    </row>
    <row r="305" spans="1:12" ht="14.25" hidden="1">
      <c r="A305" s="54"/>
      <c r="B305" s="58"/>
      <c r="C305" s="104" t="s">
        <v>497</v>
      </c>
      <c r="D305" s="104"/>
      <c r="E305" s="104"/>
      <c r="F305" s="104"/>
      <c r="G305" s="104"/>
      <c r="H305" s="104"/>
      <c r="I305" s="42"/>
      <c r="J305" s="54"/>
      <c r="K305" s="40"/>
      <c r="L305" s="42">
        <f>SUMIF(CD58:CD285, 2, BA58:BA285)</f>
        <v>0</v>
      </c>
    </row>
    <row r="306" spans="1:12" hidden="1"/>
    <row r="307" spans="1:12" ht="15" hidden="1">
      <c r="A307" s="59"/>
      <c r="B307" s="60"/>
      <c r="C307" s="106" t="s">
        <v>500</v>
      </c>
      <c r="D307" s="106"/>
      <c r="E307" s="106"/>
      <c r="F307" s="106"/>
      <c r="G307" s="106"/>
      <c r="H307" s="106"/>
      <c r="I307" s="45"/>
      <c r="J307" s="59"/>
      <c r="K307" s="61"/>
      <c r="L307" s="45">
        <f>L309+L310</f>
        <v>0</v>
      </c>
    </row>
    <row r="308" spans="1:12" ht="14.25" hidden="1">
      <c r="A308" s="54"/>
      <c r="B308" s="58"/>
      <c r="C308" s="105" t="s">
        <v>484</v>
      </c>
      <c r="D308" s="104"/>
      <c r="E308" s="104"/>
      <c r="F308" s="104"/>
      <c r="G308" s="104"/>
      <c r="H308" s="104"/>
      <c r="I308" s="42"/>
      <c r="J308" s="54"/>
      <c r="K308" s="40"/>
      <c r="L308" s="42"/>
    </row>
    <row r="309" spans="1:12" ht="14.25" hidden="1">
      <c r="A309" s="54"/>
      <c r="B309" s="58"/>
      <c r="C309" s="104" t="s">
        <v>501</v>
      </c>
      <c r="D309" s="104"/>
      <c r="E309" s="104"/>
      <c r="F309" s="104"/>
      <c r="G309" s="104"/>
      <c r="H309" s="104"/>
      <c r="I309" s="42"/>
      <c r="J309" s="54"/>
      <c r="K309" s="40"/>
      <c r="L309" s="42">
        <f>SUMIF(CD58:CD305, 3, BK58:BK305)</f>
        <v>0</v>
      </c>
    </row>
    <row r="310" spans="1:12" ht="14.25" hidden="1">
      <c r="A310" s="54"/>
      <c r="B310" s="58"/>
      <c r="C310" s="104" t="s">
        <v>502</v>
      </c>
      <c r="D310" s="104"/>
      <c r="E310" s="104"/>
      <c r="F310" s="104"/>
      <c r="G310" s="104"/>
      <c r="H310" s="104"/>
      <c r="I310" s="42"/>
      <c r="J310" s="54"/>
      <c r="K310" s="40"/>
      <c r="L310" s="42">
        <f>SUMIF(CD58:CD305, 3, BD58:BD305)</f>
        <v>0</v>
      </c>
    </row>
    <row r="311" spans="1:12" hidden="1"/>
    <row r="312" spans="1:12" ht="15" hidden="1">
      <c r="A312" s="59"/>
      <c r="B312" s="60"/>
      <c r="C312" s="106" t="s">
        <v>503</v>
      </c>
      <c r="D312" s="106"/>
      <c r="E312" s="106"/>
      <c r="F312" s="106"/>
      <c r="G312" s="106"/>
      <c r="H312" s="106"/>
      <c r="I312" s="45"/>
      <c r="J312" s="59"/>
      <c r="K312" s="61"/>
      <c r="L312" s="45">
        <f>L320+L335+L336+L314+L315+L316+L317</f>
        <v>0</v>
      </c>
    </row>
    <row r="313" spans="1:12" ht="14.25" hidden="1">
      <c r="A313" s="54"/>
      <c r="B313" s="58"/>
      <c r="C313" s="105" t="s">
        <v>484</v>
      </c>
      <c r="D313" s="104"/>
      <c r="E313" s="104"/>
      <c r="F313" s="104"/>
      <c r="G313" s="104"/>
      <c r="H313" s="104"/>
      <c r="I313" s="42"/>
      <c r="J313" s="54"/>
      <c r="K313" s="40"/>
      <c r="L313" s="42"/>
    </row>
    <row r="314" spans="1:12" ht="14.25" hidden="1">
      <c r="A314" s="54"/>
      <c r="B314" s="58"/>
      <c r="C314" s="104" t="s">
        <v>504</v>
      </c>
      <c r="D314" s="104"/>
      <c r="E314" s="104"/>
      <c r="F314" s="104"/>
      <c r="G314" s="104"/>
      <c r="H314" s="104"/>
      <c r="I314" s="42"/>
      <c r="J314" s="54"/>
      <c r="K314" s="40"/>
      <c r="L314" s="42"/>
    </row>
    <row r="315" spans="1:12" ht="14.25" hidden="1">
      <c r="A315" s="54"/>
      <c r="B315" s="58"/>
      <c r="C315" s="104" t="s">
        <v>504</v>
      </c>
      <c r="D315" s="104"/>
      <c r="E315" s="104"/>
      <c r="F315" s="104"/>
      <c r="G315" s="104"/>
      <c r="H315" s="104"/>
      <c r="I315" s="42"/>
      <c r="J315" s="54"/>
      <c r="K315" s="40"/>
      <c r="L315" s="42">
        <f>SUM(BQ58:BQ310)</f>
        <v>0</v>
      </c>
    </row>
    <row r="316" spans="1:12" ht="14.25" hidden="1">
      <c r="A316" s="54"/>
      <c r="B316" s="58"/>
      <c r="C316" s="104" t="s">
        <v>505</v>
      </c>
      <c r="D316" s="104"/>
      <c r="E316" s="104"/>
      <c r="F316" s="104"/>
      <c r="G316" s="104"/>
      <c r="H316" s="104"/>
      <c r="I316" s="42"/>
      <c r="J316" s="54"/>
      <c r="K316" s="40"/>
      <c r="L316" s="42">
        <f>SUMIF(CD58:CD310, 4, BB58:BB310)+SUMIF(CD58:CD310, 4, BC58:BC310)+SUMIF(CD58:CD310, 4, BD58:BD310)</f>
        <v>0</v>
      </c>
    </row>
    <row r="317" spans="1:12" ht="14.25" hidden="1">
      <c r="A317" s="54"/>
      <c r="B317" s="58"/>
      <c r="C317" s="104" t="s">
        <v>506</v>
      </c>
      <c r="D317" s="104"/>
      <c r="E317" s="104"/>
      <c r="F317" s="104"/>
      <c r="G317" s="104"/>
      <c r="H317" s="104"/>
      <c r="I317" s="42"/>
      <c r="J317" s="54"/>
      <c r="K317" s="40"/>
      <c r="L317" s="42">
        <f>SUM(BO58:BO310)</f>
        <v>0</v>
      </c>
    </row>
    <row r="318" spans="1:12" ht="14.25" hidden="1">
      <c r="A318" s="54"/>
      <c r="B318" s="58"/>
      <c r="C318" s="104" t="s">
        <v>507</v>
      </c>
      <c r="D318" s="104"/>
      <c r="E318" s="104"/>
      <c r="F318" s="104"/>
      <c r="G318" s="104"/>
      <c r="H318" s="104"/>
      <c r="I318" s="42"/>
      <c r="J318" s="54"/>
      <c r="K318" s="40"/>
      <c r="L318" s="42">
        <f>L320+L335+L336</f>
        <v>0</v>
      </c>
    </row>
    <row r="319" spans="1:12" ht="14.25" hidden="1">
      <c r="A319" s="54"/>
      <c r="B319" s="58"/>
      <c r="C319" s="105" t="s">
        <v>484</v>
      </c>
      <c r="D319" s="104"/>
      <c r="E319" s="104"/>
      <c r="F319" s="104"/>
      <c r="G319" s="104"/>
      <c r="H319" s="104"/>
      <c r="I319" s="42"/>
      <c r="J319" s="54"/>
      <c r="K319" s="40"/>
      <c r="L319" s="42"/>
    </row>
    <row r="320" spans="1:12" ht="14.25" hidden="1">
      <c r="A320" s="54"/>
      <c r="B320" s="58"/>
      <c r="C320" s="104" t="s">
        <v>485</v>
      </c>
      <c r="D320" s="104"/>
      <c r="E320" s="104"/>
      <c r="F320" s="104"/>
      <c r="G320" s="104"/>
      <c r="H320" s="104"/>
      <c r="I320" s="42"/>
      <c r="J320" s="54"/>
      <c r="K320" s="40"/>
      <c r="L320" s="42">
        <f>L322+L323+L329+L333</f>
        <v>0</v>
      </c>
    </row>
    <row r="321" spans="1:12" ht="14.25" hidden="1">
      <c r="A321" s="54"/>
      <c r="B321" s="58"/>
      <c r="C321" s="105" t="s">
        <v>484</v>
      </c>
      <c r="D321" s="104"/>
      <c r="E321" s="104"/>
      <c r="F321" s="104"/>
      <c r="G321" s="104"/>
      <c r="H321" s="104"/>
      <c r="I321" s="42"/>
      <c r="J321" s="54"/>
      <c r="K321" s="40"/>
      <c r="L321" s="42"/>
    </row>
    <row r="322" spans="1:12" ht="14.25" hidden="1">
      <c r="A322" s="54"/>
      <c r="B322" s="58"/>
      <c r="C322" s="104" t="s">
        <v>486</v>
      </c>
      <c r="D322" s="104"/>
      <c r="E322" s="104"/>
      <c r="F322" s="104"/>
      <c r="G322" s="104"/>
      <c r="H322" s="104"/>
      <c r="I322" s="42"/>
      <c r="J322" s="54"/>
      <c r="K322" s="40"/>
      <c r="L322" s="42">
        <f>SUMIF(CD58:CD310, 4, AR58:AR310)</f>
        <v>0</v>
      </c>
    </row>
    <row r="323" spans="1:12" ht="14.25" hidden="1">
      <c r="A323" s="54"/>
      <c r="B323" s="58"/>
      <c r="C323" s="104" t="s">
        <v>487</v>
      </c>
      <c r="D323" s="104"/>
      <c r="E323" s="104"/>
      <c r="F323" s="104"/>
      <c r="G323" s="104"/>
      <c r="H323" s="104"/>
      <c r="I323" s="42"/>
      <c r="J323" s="54"/>
      <c r="K323" s="40"/>
      <c r="L323" s="42">
        <f>L325+L328+L327</f>
        <v>0</v>
      </c>
    </row>
    <row r="324" spans="1:12" ht="14.25" hidden="1">
      <c r="A324" s="54"/>
      <c r="B324" s="58"/>
      <c r="C324" s="105" t="s">
        <v>488</v>
      </c>
      <c r="D324" s="104"/>
      <c r="E324" s="104"/>
      <c r="F324" s="104"/>
      <c r="G324" s="104"/>
      <c r="H324" s="104"/>
      <c r="I324" s="42"/>
      <c r="J324" s="54"/>
      <c r="K324" s="40"/>
      <c r="L324" s="42"/>
    </row>
    <row r="325" spans="1:12" ht="14.25" hidden="1">
      <c r="A325" s="54"/>
      <c r="B325" s="58"/>
      <c r="C325" s="104" t="s">
        <v>487</v>
      </c>
      <c r="D325" s="104"/>
      <c r="E325" s="104"/>
      <c r="F325" s="104"/>
      <c r="G325" s="104"/>
      <c r="H325" s="104"/>
      <c r="I325" s="42"/>
      <c r="J325" s="54"/>
      <c r="K325" s="40"/>
      <c r="L325" s="42">
        <f>SUMIF(CD58:CD310, 4, AO58:AO310)</f>
        <v>0</v>
      </c>
    </row>
    <row r="326" spans="1:12" ht="14.25" hidden="1">
      <c r="A326" s="54"/>
      <c r="B326" s="58"/>
      <c r="C326" s="105" t="s">
        <v>489</v>
      </c>
      <c r="D326" s="104"/>
      <c r="E326" s="104"/>
      <c r="F326" s="104"/>
      <c r="G326" s="104"/>
      <c r="H326" s="104"/>
      <c r="I326" s="42"/>
      <c r="J326" s="54"/>
      <c r="K326" s="40"/>
      <c r="L326" s="42"/>
    </row>
    <row r="327" spans="1:12" ht="14.25" hidden="1">
      <c r="A327" s="54"/>
      <c r="B327" s="58"/>
      <c r="C327" s="104" t="s">
        <v>498</v>
      </c>
      <c r="D327" s="104"/>
      <c r="E327" s="104"/>
      <c r="F327" s="104"/>
      <c r="G327" s="104"/>
      <c r="H327" s="104"/>
      <c r="I327" s="42"/>
      <c r="J327" s="54"/>
      <c r="K327" s="40"/>
      <c r="L327" s="42">
        <f>SUMIF(CD58:CD310, 4, AT58:AT310)</f>
        <v>0</v>
      </c>
    </row>
    <row r="328" spans="1:12" ht="14.25" hidden="1">
      <c r="A328" s="54"/>
      <c r="B328" s="58"/>
      <c r="C328" s="104" t="s">
        <v>490</v>
      </c>
      <c r="D328" s="104"/>
      <c r="E328" s="104"/>
      <c r="F328" s="104"/>
      <c r="G328" s="104"/>
      <c r="H328" s="104"/>
      <c r="I328" s="42"/>
      <c r="J328" s="54"/>
      <c r="K328" s="40"/>
      <c r="L328" s="42">
        <f>SUMIF(CD58:CD310, 4, AV58:AV310)</f>
        <v>0</v>
      </c>
    </row>
    <row r="329" spans="1:12" ht="14.25" hidden="1">
      <c r="A329" s="54"/>
      <c r="B329" s="58"/>
      <c r="C329" s="104" t="s">
        <v>491</v>
      </c>
      <c r="D329" s="104"/>
      <c r="E329" s="104"/>
      <c r="F329" s="104"/>
      <c r="G329" s="104"/>
      <c r="H329" s="104"/>
      <c r="I329" s="42"/>
      <c r="J329" s="54"/>
      <c r="K329" s="40"/>
      <c r="L329" s="42">
        <f>L331+L332</f>
        <v>0</v>
      </c>
    </row>
    <row r="330" spans="1:12" ht="14.25" hidden="1">
      <c r="A330" s="54"/>
      <c r="B330" s="58"/>
      <c r="C330" s="105" t="s">
        <v>488</v>
      </c>
      <c r="D330" s="104"/>
      <c r="E330" s="104"/>
      <c r="F330" s="104"/>
      <c r="G330" s="104"/>
      <c r="H330" s="104"/>
      <c r="I330" s="42"/>
      <c r="J330" s="54"/>
      <c r="K330" s="40"/>
      <c r="L330" s="42"/>
    </row>
    <row r="331" spans="1:12" ht="14.25" hidden="1">
      <c r="A331" s="54"/>
      <c r="B331" s="58"/>
      <c r="C331" s="104" t="s">
        <v>492</v>
      </c>
      <c r="D331" s="104"/>
      <c r="E331" s="104"/>
      <c r="F331" s="104"/>
      <c r="G331" s="104"/>
      <c r="H331" s="104"/>
      <c r="I331" s="42"/>
      <c r="J331" s="54"/>
      <c r="K331" s="40"/>
      <c r="L331" s="42">
        <f>SUMIF(CD58:CD310, 4, AW58:AW310)-SUMIF(CD58:CD310, 4, BK58:BK310)</f>
        <v>0</v>
      </c>
    </row>
    <row r="332" spans="1:12" ht="14.25" hidden="1">
      <c r="A332" s="54"/>
      <c r="B332" s="58"/>
      <c r="C332" s="104" t="s">
        <v>493</v>
      </c>
      <c r="D332" s="104"/>
      <c r="E332" s="104"/>
      <c r="F332" s="104"/>
      <c r="G332" s="104"/>
      <c r="H332" s="104"/>
      <c r="I332" s="42"/>
      <c r="J332" s="54"/>
      <c r="K332" s="40"/>
      <c r="L332" s="42">
        <f>SUMIF(CD58:CD310, 4, BC58:BC310)</f>
        <v>0</v>
      </c>
    </row>
    <row r="333" spans="1:12" ht="14.25" hidden="1">
      <c r="A333" s="54"/>
      <c r="B333" s="58"/>
      <c r="C333" s="104" t="s">
        <v>494</v>
      </c>
      <c r="D333" s="104"/>
      <c r="E333" s="104"/>
      <c r="F333" s="104"/>
      <c r="G333" s="104"/>
      <c r="H333" s="104"/>
      <c r="I333" s="42"/>
      <c r="J333" s="54"/>
      <c r="K333" s="40"/>
      <c r="L333" s="42">
        <f>SUMIF(CD58:CD310, 4, BB58:BB310)</f>
        <v>0</v>
      </c>
    </row>
    <row r="334" spans="1:12" ht="14.25" hidden="1">
      <c r="A334" s="54"/>
      <c r="B334" s="58"/>
      <c r="C334" s="104" t="s">
        <v>495</v>
      </c>
      <c r="D334" s="104"/>
      <c r="E334" s="104"/>
      <c r="F334" s="104"/>
      <c r="G334" s="104"/>
      <c r="H334" s="104"/>
      <c r="I334" s="42"/>
      <c r="J334" s="54"/>
      <c r="K334" s="40"/>
      <c r="L334" s="42">
        <f>SUMIF(CD58:CD310, 4, AR58:AR310)+SUMIF(CD58:CD310, 4, AT58:AT310)+SUMIF(CD58:CD310, 4, AV58:AV310)</f>
        <v>0</v>
      </c>
    </row>
    <row r="335" spans="1:12" ht="14.25" hidden="1">
      <c r="A335" s="54"/>
      <c r="B335" s="58"/>
      <c r="C335" s="104" t="s">
        <v>496</v>
      </c>
      <c r="D335" s="104"/>
      <c r="E335" s="104"/>
      <c r="F335" s="104"/>
      <c r="G335" s="104"/>
      <c r="H335" s="104"/>
      <c r="I335" s="42"/>
      <c r="J335" s="54"/>
      <c r="K335" s="40"/>
      <c r="L335" s="42">
        <f>SUMIF(CD58:CD310, 4, AZ58:AZ310)</f>
        <v>0</v>
      </c>
    </row>
    <row r="336" spans="1:12" ht="14.25" hidden="1">
      <c r="A336" s="54"/>
      <c r="B336" s="58"/>
      <c r="C336" s="104" t="s">
        <v>497</v>
      </c>
      <c r="D336" s="104"/>
      <c r="E336" s="104"/>
      <c r="F336" s="104"/>
      <c r="G336" s="104"/>
      <c r="H336" s="104"/>
      <c r="I336" s="42"/>
      <c r="J336" s="54"/>
      <c r="K336" s="40"/>
      <c r="L336" s="42">
        <f>SUMIF(CD58:CD310, 4, BA58:BA310)</f>
        <v>0</v>
      </c>
    </row>
    <row r="338" spans="1:12" ht="15">
      <c r="A338" s="59"/>
      <c r="B338" s="60"/>
      <c r="C338" s="106" t="s">
        <v>508</v>
      </c>
      <c r="D338" s="106"/>
      <c r="E338" s="106"/>
      <c r="F338" s="106"/>
      <c r="G338" s="106"/>
      <c r="H338" s="106"/>
      <c r="I338" s="45"/>
      <c r="J338" s="59"/>
      <c r="K338" s="61"/>
      <c r="L338" s="45">
        <f>L267+L287+L307+L312</f>
        <v>474003.20000000007</v>
      </c>
    </row>
    <row r="339" spans="1:12" ht="14.25">
      <c r="A339" s="54"/>
      <c r="B339" s="58"/>
      <c r="C339" s="105" t="s">
        <v>484</v>
      </c>
      <c r="D339" s="104"/>
      <c r="E339" s="104"/>
      <c r="F339" s="104"/>
      <c r="G339" s="104"/>
      <c r="H339" s="104"/>
      <c r="I339" s="42"/>
      <c r="J339" s="54"/>
      <c r="K339" s="40"/>
      <c r="L339" s="42"/>
    </row>
    <row r="340" spans="1:12" ht="14.25">
      <c r="A340" s="54"/>
      <c r="B340" s="58"/>
      <c r="C340" s="104" t="s">
        <v>485</v>
      </c>
      <c r="D340" s="104"/>
      <c r="E340" s="104"/>
      <c r="F340" s="104"/>
      <c r="G340" s="104"/>
      <c r="H340" s="104"/>
      <c r="I340" s="42"/>
      <c r="J340" s="54"/>
      <c r="K340" s="40"/>
      <c r="L340" s="42">
        <f>L342+L343+L349+L353</f>
        <v>247133.15000000002</v>
      </c>
    </row>
    <row r="341" spans="1:12" ht="14.25">
      <c r="A341" s="54"/>
      <c r="B341" s="58"/>
      <c r="C341" s="105" t="s">
        <v>484</v>
      </c>
      <c r="D341" s="104"/>
      <c r="E341" s="104"/>
      <c r="F341" s="104"/>
      <c r="G341" s="104"/>
      <c r="H341" s="104"/>
      <c r="I341" s="42"/>
      <c r="J341" s="54"/>
      <c r="K341" s="40"/>
      <c r="L341" s="42"/>
    </row>
    <row r="342" spans="1:12" ht="14.25">
      <c r="A342" s="54"/>
      <c r="B342" s="58"/>
      <c r="C342" s="104" t="s">
        <v>486</v>
      </c>
      <c r="D342" s="104"/>
      <c r="E342" s="104"/>
      <c r="F342" s="104"/>
      <c r="G342" s="104"/>
      <c r="H342" s="104"/>
      <c r="I342" s="42"/>
      <c r="J342" s="54"/>
      <c r="K342" s="40"/>
      <c r="L342" s="42">
        <f>SUM(AR58:AR336)</f>
        <v>140087.28</v>
      </c>
    </row>
    <row r="343" spans="1:12" ht="14.25" hidden="1">
      <c r="A343" s="54"/>
      <c r="B343" s="58"/>
      <c r="C343" s="104" t="s">
        <v>487</v>
      </c>
      <c r="D343" s="104"/>
      <c r="E343" s="104"/>
      <c r="F343" s="104"/>
      <c r="G343" s="104"/>
      <c r="H343" s="104"/>
      <c r="I343" s="42"/>
      <c r="J343" s="54"/>
      <c r="K343" s="40"/>
      <c r="L343" s="42">
        <f>L345+L348+L347</f>
        <v>12107.419999999998</v>
      </c>
    </row>
    <row r="344" spans="1:12" ht="14.25" hidden="1">
      <c r="A344" s="54"/>
      <c r="B344" s="58"/>
      <c r="C344" s="105" t="s">
        <v>488</v>
      </c>
      <c r="D344" s="104"/>
      <c r="E344" s="104"/>
      <c r="F344" s="104"/>
      <c r="G344" s="104"/>
      <c r="H344" s="104"/>
      <c r="I344" s="42"/>
      <c r="J344" s="54"/>
      <c r="K344" s="40"/>
      <c r="L344" s="42"/>
    </row>
    <row r="345" spans="1:12" ht="14.25">
      <c r="A345" s="54"/>
      <c r="B345" s="58"/>
      <c r="C345" s="104" t="s">
        <v>487</v>
      </c>
      <c r="D345" s="104"/>
      <c r="E345" s="104"/>
      <c r="F345" s="104"/>
      <c r="G345" s="104"/>
      <c r="H345" s="104"/>
      <c r="I345" s="42"/>
      <c r="J345" s="54"/>
      <c r="K345" s="40"/>
      <c r="L345" s="42">
        <f>SUM(AO58:AO336)</f>
        <v>7796.82</v>
      </c>
    </row>
    <row r="346" spans="1:12" ht="14.25" hidden="1">
      <c r="A346" s="54"/>
      <c r="B346" s="58"/>
      <c r="C346" s="105" t="s">
        <v>489</v>
      </c>
      <c r="D346" s="104"/>
      <c r="E346" s="104"/>
      <c r="F346" s="104"/>
      <c r="G346" s="104"/>
      <c r="H346" s="104"/>
      <c r="I346" s="42"/>
      <c r="J346" s="54"/>
      <c r="K346" s="40"/>
      <c r="L346" s="42"/>
    </row>
    <row r="347" spans="1:12" ht="14.25">
      <c r="A347" s="54"/>
      <c r="B347" s="58"/>
      <c r="C347" s="104" t="s">
        <v>498</v>
      </c>
      <c r="D347" s="104"/>
      <c r="E347" s="104"/>
      <c r="F347" s="104"/>
      <c r="G347" s="104"/>
      <c r="H347" s="104"/>
      <c r="I347" s="42"/>
      <c r="J347" s="54"/>
      <c r="K347" s="40"/>
      <c r="L347" s="42">
        <f>SUM(AT58:AT336)</f>
        <v>4310.5999999999985</v>
      </c>
    </row>
    <row r="348" spans="1:12" ht="14.25" hidden="1">
      <c r="A348" s="54"/>
      <c r="B348" s="58"/>
      <c r="C348" s="104" t="s">
        <v>490</v>
      </c>
      <c r="D348" s="104"/>
      <c r="E348" s="104"/>
      <c r="F348" s="104"/>
      <c r="G348" s="104"/>
      <c r="H348" s="104"/>
      <c r="I348" s="42"/>
      <c r="J348" s="54"/>
      <c r="K348" s="40"/>
      <c r="L348" s="42">
        <f>SUM(AV58:AV336)</f>
        <v>0</v>
      </c>
    </row>
    <row r="349" spans="1:12" ht="14.25">
      <c r="A349" s="54"/>
      <c r="B349" s="58"/>
      <c r="C349" s="104" t="s">
        <v>491</v>
      </c>
      <c r="D349" s="104"/>
      <c r="E349" s="104"/>
      <c r="F349" s="104"/>
      <c r="G349" s="104"/>
      <c r="H349" s="104"/>
      <c r="I349" s="42"/>
      <c r="J349" s="54"/>
      <c r="K349" s="40"/>
      <c r="L349" s="42">
        <f>L351+L352</f>
        <v>94938.45</v>
      </c>
    </row>
    <row r="350" spans="1:12" ht="14.25">
      <c r="A350" s="54"/>
      <c r="B350" s="58"/>
      <c r="C350" s="105" t="s">
        <v>488</v>
      </c>
      <c r="D350" s="104"/>
      <c r="E350" s="104"/>
      <c r="F350" s="104"/>
      <c r="G350" s="104"/>
      <c r="H350" s="104"/>
      <c r="I350" s="42"/>
      <c r="J350" s="54"/>
      <c r="K350" s="40"/>
      <c r="L350" s="42"/>
    </row>
    <row r="351" spans="1:12" ht="14.25">
      <c r="A351" s="54"/>
      <c r="B351" s="58"/>
      <c r="C351" s="104" t="s">
        <v>492</v>
      </c>
      <c r="D351" s="104"/>
      <c r="E351" s="104"/>
      <c r="F351" s="104"/>
      <c r="G351" s="104"/>
      <c r="H351" s="104"/>
      <c r="I351" s="42"/>
      <c r="J351" s="54"/>
      <c r="K351" s="40"/>
      <c r="L351" s="42">
        <f>SUM(AW58:AW336)-SUM(BK58:BK336)</f>
        <v>94938.45</v>
      </c>
    </row>
    <row r="352" spans="1:12" ht="14.25" hidden="1">
      <c r="A352" s="54"/>
      <c r="B352" s="58"/>
      <c r="C352" s="104" t="s">
        <v>493</v>
      </c>
      <c r="D352" s="104"/>
      <c r="E352" s="104"/>
      <c r="F352" s="104"/>
      <c r="G352" s="104"/>
      <c r="H352" s="104"/>
      <c r="I352" s="42"/>
      <c r="J352" s="54"/>
      <c r="K352" s="40"/>
      <c r="L352" s="42">
        <f>SUM(BC58:BC336)</f>
        <v>0</v>
      </c>
    </row>
    <row r="353" spans="1:12" ht="14.25" hidden="1">
      <c r="A353" s="54"/>
      <c r="B353" s="58"/>
      <c r="C353" s="104" t="s">
        <v>494</v>
      </c>
      <c r="D353" s="104"/>
      <c r="E353" s="104"/>
      <c r="F353" s="104"/>
      <c r="G353" s="104"/>
      <c r="H353" s="104"/>
      <c r="I353" s="42"/>
      <c r="J353" s="54"/>
      <c r="K353" s="40"/>
      <c r="L353" s="42">
        <f>SUM(BB58:BB336)</f>
        <v>0</v>
      </c>
    </row>
    <row r="354" spans="1:12" ht="14.25">
      <c r="A354" s="54"/>
      <c r="B354" s="58"/>
      <c r="C354" s="104" t="s">
        <v>509</v>
      </c>
      <c r="D354" s="104"/>
      <c r="E354" s="104"/>
      <c r="F354" s="104"/>
      <c r="G354" s="104"/>
      <c r="H354" s="104"/>
      <c r="I354" s="42"/>
      <c r="J354" s="54"/>
      <c r="K354" s="40"/>
      <c r="L354" s="42">
        <f>SUM(AR58:AR336)+SUM(AT58:AT336)+SUM(AV58:AV336)</f>
        <v>144397.88</v>
      </c>
    </row>
    <row r="355" spans="1:12" ht="14.25">
      <c r="A355" s="54"/>
      <c r="B355" s="58"/>
      <c r="C355" s="104" t="s">
        <v>510</v>
      </c>
      <c r="D355" s="104"/>
      <c r="E355" s="104"/>
      <c r="F355" s="104"/>
      <c r="G355" s="104"/>
      <c r="H355" s="104"/>
      <c r="I355" s="42"/>
      <c r="J355" s="54"/>
      <c r="K355" s="40"/>
      <c r="L355" s="42">
        <f>SUM(AZ58:AZ336)</f>
        <v>146939.62999999998</v>
      </c>
    </row>
    <row r="356" spans="1:12" ht="14.25">
      <c r="A356" s="54"/>
      <c r="B356" s="58"/>
      <c r="C356" s="104" t="s">
        <v>511</v>
      </c>
      <c r="D356" s="104"/>
      <c r="E356" s="104"/>
      <c r="F356" s="104"/>
      <c r="G356" s="104"/>
      <c r="H356" s="104"/>
      <c r="I356" s="42"/>
      <c r="J356" s="54"/>
      <c r="K356" s="40"/>
      <c r="L356" s="42">
        <f>SUM(BA58:BA336)</f>
        <v>79930.420000000013</v>
      </c>
    </row>
    <row r="357" spans="1:12" ht="14.25" hidden="1">
      <c r="A357" s="54"/>
      <c r="B357" s="58"/>
      <c r="C357" s="104" t="s">
        <v>512</v>
      </c>
      <c r="D357" s="104"/>
      <c r="E357" s="104"/>
      <c r="F357" s="104"/>
      <c r="G357" s="104"/>
      <c r="H357" s="104"/>
      <c r="I357" s="42"/>
      <c r="J357" s="54"/>
      <c r="K357" s="40"/>
      <c r="L357" s="42">
        <f>L359+L360</f>
        <v>0</v>
      </c>
    </row>
    <row r="358" spans="1:12" ht="14.25" hidden="1">
      <c r="A358" s="54"/>
      <c r="B358" s="58"/>
      <c r="C358" s="105" t="s">
        <v>484</v>
      </c>
      <c r="D358" s="104"/>
      <c r="E358" s="104"/>
      <c r="F358" s="104"/>
      <c r="G358" s="104"/>
      <c r="H358" s="104"/>
      <c r="I358" s="42"/>
      <c r="J358" s="54"/>
      <c r="K358" s="40"/>
      <c r="L358" s="42"/>
    </row>
    <row r="359" spans="1:12" ht="14.25" hidden="1">
      <c r="A359" s="54"/>
      <c r="B359" s="58"/>
      <c r="C359" s="104" t="s">
        <v>501</v>
      </c>
      <c r="D359" s="104"/>
      <c r="E359" s="104"/>
      <c r="F359" s="104"/>
      <c r="G359" s="104"/>
      <c r="H359" s="104"/>
      <c r="I359" s="42"/>
      <c r="J359" s="54"/>
      <c r="K359" s="40"/>
      <c r="L359" s="42">
        <f>SUM(BK58:BK336)</f>
        <v>0</v>
      </c>
    </row>
    <row r="360" spans="1:12" ht="14.25" hidden="1">
      <c r="A360" s="54"/>
      <c r="B360" s="58"/>
      <c r="C360" s="104" t="s">
        <v>502</v>
      </c>
      <c r="D360" s="104"/>
      <c r="E360" s="104"/>
      <c r="F360" s="104"/>
      <c r="G360" s="104"/>
      <c r="H360" s="104"/>
      <c r="I360" s="42"/>
      <c r="J360" s="54"/>
      <c r="K360" s="40"/>
      <c r="L360" s="42">
        <f>SUM(BD58:BD336)</f>
        <v>0</v>
      </c>
    </row>
    <row r="361" spans="1:12" ht="14.25" hidden="1">
      <c r="A361" s="54"/>
      <c r="B361" s="58"/>
      <c r="C361" s="104" t="s">
        <v>513</v>
      </c>
      <c r="D361" s="104"/>
      <c r="E361" s="104"/>
      <c r="F361" s="104"/>
      <c r="G361" s="104"/>
      <c r="H361" s="104"/>
      <c r="I361" s="42"/>
      <c r="J361" s="54"/>
      <c r="K361" s="40"/>
      <c r="L361" s="42">
        <f>L312</f>
        <v>0</v>
      </c>
    </row>
    <row r="362" spans="1:12" ht="14.25">
      <c r="A362" s="54"/>
      <c r="B362" s="58"/>
      <c r="C362" s="106" t="s">
        <v>514</v>
      </c>
      <c r="D362" s="104"/>
      <c r="E362" s="104"/>
      <c r="F362" s="104"/>
      <c r="G362" s="104"/>
      <c r="H362" s="104"/>
      <c r="I362" s="42"/>
      <c r="J362" s="54"/>
      <c r="K362" s="40"/>
      <c r="L362" s="42"/>
    </row>
    <row r="363" spans="1:12" ht="14.25" hidden="1">
      <c r="A363" s="54"/>
      <c r="B363" s="58"/>
      <c r="C363" s="104" t="s">
        <v>515</v>
      </c>
      <c r="D363" s="104"/>
      <c r="E363" s="104"/>
      <c r="F363" s="104"/>
      <c r="G363" s="104"/>
      <c r="H363" s="104"/>
      <c r="I363" s="42"/>
      <c r="J363" s="54"/>
      <c r="K363" s="40"/>
      <c r="L363" s="42">
        <f>SUM(AX58:AX336)</f>
        <v>0</v>
      </c>
    </row>
    <row r="364" spans="1:12" ht="14.25" hidden="1">
      <c r="A364" s="54"/>
      <c r="B364" s="58"/>
      <c r="C364" s="104" t="s">
        <v>516</v>
      </c>
      <c r="D364" s="104"/>
      <c r="E364" s="104"/>
      <c r="F364" s="104"/>
      <c r="G364" s="104"/>
      <c r="H364" s="104"/>
      <c r="I364" s="42"/>
      <c r="J364" s="54"/>
      <c r="K364" s="40"/>
      <c r="L364" s="42">
        <f>SUM(AY58:AY336)</f>
        <v>0</v>
      </c>
    </row>
    <row r="365" spans="1:12" ht="14.25">
      <c r="A365" s="54"/>
      <c r="B365" s="58"/>
      <c r="C365" s="104" t="s">
        <v>517</v>
      </c>
      <c r="D365" s="104"/>
      <c r="E365" s="104"/>
      <c r="F365" s="110"/>
      <c r="G365" s="44">
        <f>Source!F67</f>
        <v>392.06802779999998</v>
      </c>
      <c r="H365" s="54"/>
      <c r="I365" s="54"/>
      <c r="J365" s="54"/>
      <c r="K365" s="54"/>
      <c r="L365" s="54"/>
    </row>
    <row r="366" spans="1:12" ht="14.25">
      <c r="A366" s="54"/>
      <c r="B366" s="58"/>
      <c r="C366" s="104" t="s">
        <v>518</v>
      </c>
      <c r="D366" s="104"/>
      <c r="E366" s="104"/>
      <c r="F366" s="110"/>
      <c r="G366" s="44">
        <f>Source!F68</f>
        <v>10.6010715</v>
      </c>
      <c r="H366" s="54"/>
      <c r="I366" s="54"/>
      <c r="J366" s="54"/>
      <c r="K366" s="54"/>
      <c r="L366" s="54"/>
    </row>
    <row r="368" spans="1:12" ht="14.25">
      <c r="C368" s="111" t="str">
        <f>Source!H74</f>
        <v>Итого</v>
      </c>
      <c r="D368" s="111"/>
      <c r="E368" s="111"/>
      <c r="F368" s="111"/>
      <c r="G368" s="111"/>
      <c r="H368" s="111"/>
      <c r="I368" s="111"/>
      <c r="J368" s="111"/>
      <c r="K368" s="111"/>
      <c r="L368" s="52">
        <f>IF(Source!Y74=0, "", Source!Y74)</f>
        <v>474003.20000000001</v>
      </c>
    </row>
    <row r="369" spans="1:12" ht="14.25">
      <c r="C369" s="111" t="str">
        <f>Source!H75</f>
        <v>Компенсация НДС 22% при УСН за материалы, оборудование, машины и механизмы</v>
      </c>
      <c r="D369" s="111"/>
      <c r="E369" s="111"/>
      <c r="F369" s="111"/>
      <c r="G369" s="111"/>
      <c r="H369" s="111"/>
      <c r="I369" s="111"/>
      <c r="J369" s="111"/>
      <c r="K369" s="111"/>
      <c r="L369" s="52">
        <f>IF(Source!Y75=0, "", Source!Y75)</f>
        <v>22601.759999999998</v>
      </c>
    </row>
    <row r="370" spans="1:12" ht="14.25">
      <c r="C370" s="111" t="str">
        <f>Source!H76</f>
        <v>ВСЕГО c компенсацией НДС 22%</v>
      </c>
      <c r="D370" s="111"/>
      <c r="E370" s="111"/>
      <c r="F370" s="111"/>
      <c r="G370" s="111"/>
      <c r="H370" s="111"/>
      <c r="I370" s="111"/>
      <c r="J370" s="111"/>
      <c r="K370" s="111"/>
      <c r="L370" s="52">
        <f>IF(Source!Y76=0, "", Source!Y76)</f>
        <v>496604.96</v>
      </c>
    </row>
    <row r="371" spans="1:12" ht="14.25">
      <c r="C371" s="66" t="s">
        <v>559</v>
      </c>
      <c r="D371" s="66"/>
      <c r="E371" s="66"/>
      <c r="F371" s="66"/>
      <c r="G371" s="66"/>
      <c r="H371" s="66"/>
      <c r="I371" s="66"/>
      <c r="J371" s="66"/>
      <c r="K371" s="66"/>
      <c r="L371" s="52">
        <f>L370*0.05</f>
        <v>24830.248000000003</v>
      </c>
    </row>
    <row r="372" spans="1:12" ht="14.25">
      <c r="C372" s="66" t="s">
        <v>560</v>
      </c>
      <c r="D372" s="66"/>
      <c r="E372" s="66"/>
      <c r="F372" s="66"/>
      <c r="G372" s="66"/>
      <c r="H372" s="66"/>
      <c r="I372" s="66"/>
      <c r="J372" s="66"/>
      <c r="K372" s="66"/>
      <c r="L372" s="52">
        <f>L370+L371</f>
        <v>521435.20800000004</v>
      </c>
    </row>
    <row r="373" spans="1:12" ht="14.25">
      <c r="C373" s="100"/>
      <c r="D373" s="100"/>
      <c r="E373" s="100"/>
      <c r="F373" s="100"/>
      <c r="G373" s="100"/>
      <c r="H373" s="100"/>
      <c r="I373" s="100"/>
      <c r="J373" s="100"/>
      <c r="K373" s="100"/>
      <c r="L373" s="52"/>
    </row>
    <row r="374" spans="1:12" ht="14.25">
      <c r="C374" s="100"/>
      <c r="D374" s="100"/>
      <c r="E374" s="100"/>
      <c r="F374" s="100"/>
      <c r="G374" s="100"/>
      <c r="H374" s="100"/>
      <c r="I374" s="100"/>
      <c r="J374" s="100"/>
      <c r="K374" s="100"/>
      <c r="L374" s="52"/>
    </row>
    <row r="377" spans="1:12" ht="14.25" customHeight="1">
      <c r="A377" s="107" t="s">
        <v>519</v>
      </c>
      <c r="B377" s="107"/>
      <c r="C377" s="108" t="s">
        <v>561</v>
      </c>
      <c r="D377" s="108"/>
      <c r="E377" s="108"/>
      <c r="F377" s="108"/>
      <c r="G377" s="108"/>
      <c r="H377" s="109"/>
      <c r="I377" s="109"/>
      <c r="J377" s="109"/>
      <c r="K377" s="109"/>
      <c r="L377" s="98"/>
    </row>
    <row r="378" spans="1:12" ht="14.25" customHeight="1">
      <c r="A378" s="99"/>
      <c r="B378" s="99"/>
      <c r="C378" s="103" t="s">
        <v>520</v>
      </c>
      <c r="D378" s="103"/>
      <c r="E378" s="103"/>
      <c r="F378" s="103"/>
      <c r="G378" s="103"/>
      <c r="H378" s="99"/>
      <c r="I378" s="99"/>
      <c r="J378" s="99"/>
      <c r="K378" s="99"/>
      <c r="L378" s="98"/>
    </row>
    <row r="379" spans="1:12" ht="14.25" customHeight="1">
      <c r="A379" s="99"/>
      <c r="B379" s="99"/>
      <c r="C379" s="99"/>
      <c r="D379" s="99"/>
      <c r="E379" s="99"/>
      <c r="F379" s="99"/>
      <c r="G379" s="99"/>
      <c r="H379" s="99"/>
      <c r="I379" s="99"/>
      <c r="J379" s="99"/>
      <c r="K379" s="99"/>
      <c r="L379" s="98"/>
    </row>
    <row r="380" spans="1:12" ht="14.25" customHeight="1">
      <c r="A380" s="107" t="s">
        <v>521</v>
      </c>
      <c r="B380" s="107"/>
      <c r="C380" s="108" t="s">
        <v>562</v>
      </c>
      <c r="D380" s="108"/>
      <c r="E380" s="108"/>
      <c r="F380" s="108"/>
      <c r="G380" s="108"/>
      <c r="H380" s="109"/>
      <c r="I380" s="109"/>
      <c r="J380" s="109"/>
      <c r="K380" s="109"/>
      <c r="L380" s="98"/>
    </row>
    <row r="381" spans="1:12" ht="14.25" customHeight="1">
      <c r="A381" s="99"/>
      <c r="B381" s="99"/>
      <c r="C381" s="103" t="s">
        <v>520</v>
      </c>
      <c r="D381" s="103"/>
      <c r="E381" s="103"/>
      <c r="F381" s="103"/>
      <c r="G381" s="103"/>
      <c r="H381" s="99"/>
      <c r="I381" s="99"/>
      <c r="J381" s="99"/>
      <c r="K381" s="99"/>
      <c r="L381" s="98"/>
    </row>
  </sheetData>
  <mergeCells count="193">
    <mergeCell ref="B7:E7"/>
    <mergeCell ref="H7:L7"/>
    <mergeCell ref="A10:E10"/>
    <mergeCell ref="F10:L10"/>
    <mergeCell ref="A12:E12"/>
    <mergeCell ref="F12:L12"/>
    <mergeCell ref="B3:E3"/>
    <mergeCell ref="H3:L3"/>
    <mergeCell ref="A28:L28"/>
    <mergeCell ref="B4:E4"/>
    <mergeCell ref="H4:L4"/>
    <mergeCell ref="B6:E6"/>
    <mergeCell ref="H6:L6"/>
    <mergeCell ref="A31:L31"/>
    <mergeCell ref="A20:E20"/>
    <mergeCell ref="F20:L20"/>
    <mergeCell ref="A22:E22"/>
    <mergeCell ref="F22:L22"/>
    <mergeCell ref="A24:E24"/>
    <mergeCell ref="F24:L24"/>
    <mergeCell ref="A14:E14"/>
    <mergeCell ref="F14:L14"/>
    <mergeCell ref="A16:E16"/>
    <mergeCell ref="F16:L16"/>
    <mergeCell ref="A18:E18"/>
    <mergeCell ref="F18:L18"/>
    <mergeCell ref="A27:L27"/>
    <mergeCell ref="A52:A56"/>
    <mergeCell ref="B52:B56"/>
    <mergeCell ref="C52:C56"/>
    <mergeCell ref="D52:D56"/>
    <mergeCell ref="C39:L39"/>
    <mergeCell ref="C40:L40"/>
    <mergeCell ref="C44:D44"/>
    <mergeCell ref="C47:D47"/>
    <mergeCell ref="C48:D48"/>
    <mergeCell ref="E52:G55"/>
    <mergeCell ref="H52:L55"/>
    <mergeCell ref="C85:H85"/>
    <mergeCell ref="I85:J85"/>
    <mergeCell ref="K85:L85"/>
    <mergeCell ref="C112:H112"/>
    <mergeCell ref="I112:J112"/>
    <mergeCell ref="K112:L112"/>
    <mergeCell ref="C49:D49"/>
    <mergeCell ref="C50:D50"/>
    <mergeCell ref="C154:H154"/>
    <mergeCell ref="I154:J154"/>
    <mergeCell ref="K154:L154"/>
    <mergeCell ref="C156:L156"/>
    <mergeCell ref="C179:H179"/>
    <mergeCell ref="I179:J179"/>
    <mergeCell ref="K179:L179"/>
    <mergeCell ref="C128:H128"/>
    <mergeCell ref="I128:J128"/>
    <mergeCell ref="K128:L128"/>
    <mergeCell ref="C144:H144"/>
    <mergeCell ref="I144:J144"/>
    <mergeCell ref="K144:L144"/>
    <mergeCell ref="C207:H207"/>
    <mergeCell ref="I207:J207"/>
    <mergeCell ref="K207:L207"/>
    <mergeCell ref="C209:L209"/>
    <mergeCell ref="C232:H232"/>
    <mergeCell ref="I232:J232"/>
    <mergeCell ref="K232:L232"/>
    <mergeCell ref="C181:L181"/>
    <mergeCell ref="C203:H203"/>
    <mergeCell ref="I203:J203"/>
    <mergeCell ref="K203:L203"/>
    <mergeCell ref="C205:H205"/>
    <mergeCell ref="I205:J205"/>
    <mergeCell ref="K205:L205"/>
    <mergeCell ref="C263:H263"/>
    <mergeCell ref="I263:J263"/>
    <mergeCell ref="K263:L263"/>
    <mergeCell ref="C265:H265"/>
    <mergeCell ref="C267:H267"/>
    <mergeCell ref="C268:H268"/>
    <mergeCell ref="C234:L234"/>
    <mergeCell ref="C259:H259"/>
    <mergeCell ref="I259:J259"/>
    <mergeCell ref="K259:L259"/>
    <mergeCell ref="C261:H261"/>
    <mergeCell ref="I261:J261"/>
    <mergeCell ref="K261:L261"/>
    <mergeCell ref="C275:H275"/>
    <mergeCell ref="C276:H276"/>
    <mergeCell ref="C277:H277"/>
    <mergeCell ref="C278:H278"/>
    <mergeCell ref="C279:H279"/>
    <mergeCell ref="C280:H280"/>
    <mergeCell ref="C269:H269"/>
    <mergeCell ref="C270:H270"/>
    <mergeCell ref="C271:H271"/>
    <mergeCell ref="C272:H272"/>
    <mergeCell ref="C273:H273"/>
    <mergeCell ref="C274:H274"/>
    <mergeCell ref="C288:H288"/>
    <mergeCell ref="C289:H289"/>
    <mergeCell ref="C290:H290"/>
    <mergeCell ref="C291:H291"/>
    <mergeCell ref="C292:H292"/>
    <mergeCell ref="C293:H293"/>
    <mergeCell ref="C281:H281"/>
    <mergeCell ref="C282:H282"/>
    <mergeCell ref="C283:H283"/>
    <mergeCell ref="C284:H284"/>
    <mergeCell ref="C285:H285"/>
    <mergeCell ref="C287:H287"/>
    <mergeCell ref="C300:H300"/>
    <mergeCell ref="C301:H301"/>
    <mergeCell ref="C302:H302"/>
    <mergeCell ref="C303:H303"/>
    <mergeCell ref="C304:H304"/>
    <mergeCell ref="C305:H305"/>
    <mergeCell ref="C294:H294"/>
    <mergeCell ref="C295:H295"/>
    <mergeCell ref="C296:H296"/>
    <mergeCell ref="C297:H297"/>
    <mergeCell ref="C298:H298"/>
    <mergeCell ref="C299:H299"/>
    <mergeCell ref="C314:H314"/>
    <mergeCell ref="C315:H315"/>
    <mergeCell ref="C316:H316"/>
    <mergeCell ref="C317:H317"/>
    <mergeCell ref="C318:H318"/>
    <mergeCell ref="C319:H319"/>
    <mergeCell ref="C307:H307"/>
    <mergeCell ref="C308:H308"/>
    <mergeCell ref="C309:H309"/>
    <mergeCell ref="C310:H310"/>
    <mergeCell ref="C312:H312"/>
    <mergeCell ref="C313:H313"/>
    <mergeCell ref="C326:H326"/>
    <mergeCell ref="C327:H327"/>
    <mergeCell ref="C328:H328"/>
    <mergeCell ref="C329:H329"/>
    <mergeCell ref="C330:H330"/>
    <mergeCell ref="C331:H331"/>
    <mergeCell ref="C320:H320"/>
    <mergeCell ref="C321:H321"/>
    <mergeCell ref="C322:H322"/>
    <mergeCell ref="C323:H323"/>
    <mergeCell ref="C324:H324"/>
    <mergeCell ref="C325:H325"/>
    <mergeCell ref="C342:H342"/>
    <mergeCell ref="C343:H343"/>
    <mergeCell ref="C344:H344"/>
    <mergeCell ref="C332:H332"/>
    <mergeCell ref="C333:H333"/>
    <mergeCell ref="C334:H334"/>
    <mergeCell ref="C335:H335"/>
    <mergeCell ref="C336:H336"/>
    <mergeCell ref="C338:H338"/>
    <mergeCell ref="C381:G381"/>
    <mergeCell ref="A377:B377"/>
    <mergeCell ref="C377:G377"/>
    <mergeCell ref="H377:K377"/>
    <mergeCell ref="A380:B380"/>
    <mergeCell ref="C380:G380"/>
    <mergeCell ref="H380:K380"/>
    <mergeCell ref="C363:H363"/>
    <mergeCell ref="C364:H364"/>
    <mergeCell ref="C365:F365"/>
    <mergeCell ref="C366:F366"/>
    <mergeCell ref="C368:K368"/>
    <mergeCell ref="C369:K369"/>
    <mergeCell ref="C370:K370"/>
    <mergeCell ref="A34:L34"/>
    <mergeCell ref="A33:L33"/>
    <mergeCell ref="C378:G378"/>
    <mergeCell ref="C357:H357"/>
    <mergeCell ref="C358:H358"/>
    <mergeCell ref="C359:H359"/>
    <mergeCell ref="C360:H360"/>
    <mergeCell ref="C361:H361"/>
    <mergeCell ref="C362:H362"/>
    <mergeCell ref="C351:H351"/>
    <mergeCell ref="C352:H352"/>
    <mergeCell ref="C353:H353"/>
    <mergeCell ref="C354:H354"/>
    <mergeCell ref="C355:H355"/>
    <mergeCell ref="C356:H356"/>
    <mergeCell ref="C345:H345"/>
    <mergeCell ref="C346:H346"/>
    <mergeCell ref="C347:H347"/>
    <mergeCell ref="C348:H348"/>
    <mergeCell ref="C349:H349"/>
    <mergeCell ref="C350:H350"/>
    <mergeCell ref="C339:H339"/>
    <mergeCell ref="C340:H340"/>
    <mergeCell ref="C341:H341"/>
  </mergeCells>
  <pageMargins left="0.4" right="0.2" top="0.2" bottom="0.4" header="0.2" footer="0.2"/>
  <pageSetup paperSize="9" scale="48" fitToHeight="0" orientation="portrait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W359"/>
  <sheetViews>
    <sheetView zoomScaleNormal="100" workbookViewId="0">
      <selection activeCell="A244" sqref="A244"/>
    </sheetView>
  </sheetViews>
  <sheetFormatPr defaultRowHeight="12.75"/>
  <cols>
    <col min="1" max="2" width="5.7109375" customWidth="1"/>
    <col min="3" max="3" width="20.7109375" customWidth="1"/>
    <col min="4" max="4" width="40.7109375" customWidth="1"/>
    <col min="5" max="5" width="10.7109375" customWidth="1"/>
    <col min="6" max="13" width="15.7109375" customWidth="1"/>
    <col min="15" max="100" width="0" hidden="1" customWidth="1"/>
    <col min="101" max="101" width="173.7109375" hidden="1" customWidth="1"/>
  </cols>
  <sheetData>
    <row r="1" spans="1:13">
      <c r="A1" s="8" t="str">
        <f>Source!B1</f>
        <v>Smeta.RU  (495) 974-1589</v>
      </c>
    </row>
    <row r="2" spans="1:13" ht="12.75" customHeight="1">
      <c r="A2" s="24"/>
      <c r="B2" s="24"/>
      <c r="C2" s="24"/>
      <c r="D2" s="24"/>
      <c r="E2" s="24"/>
      <c r="F2" s="24"/>
      <c r="G2" s="24"/>
      <c r="H2" s="24"/>
      <c r="I2" s="24"/>
      <c r="J2" s="173" t="s">
        <v>522</v>
      </c>
      <c r="K2" s="173"/>
      <c r="L2" s="173"/>
      <c r="M2" s="173"/>
    </row>
    <row r="3" spans="1:13" ht="12.75" customHeight="1">
      <c r="A3" s="24"/>
      <c r="B3" s="24"/>
      <c r="C3" s="24"/>
      <c r="D3" s="24"/>
      <c r="E3" s="24"/>
      <c r="F3" s="24"/>
      <c r="G3" s="24"/>
      <c r="H3" s="24"/>
      <c r="I3" s="173" t="s">
        <v>523</v>
      </c>
      <c r="J3" s="173"/>
      <c r="K3" s="173"/>
      <c r="L3" s="173"/>
      <c r="M3" s="173"/>
    </row>
    <row r="4" spans="1:13" ht="12.75" customHeight="1">
      <c r="A4" s="24"/>
      <c r="B4" s="24"/>
      <c r="C4" s="24"/>
      <c r="D4" s="24"/>
      <c r="E4" s="24"/>
      <c r="F4" s="24"/>
      <c r="G4" s="24"/>
      <c r="H4" s="24"/>
      <c r="I4" s="24"/>
      <c r="J4" s="173" t="s">
        <v>524</v>
      </c>
      <c r="K4" s="173"/>
      <c r="L4" s="173"/>
      <c r="M4" s="173"/>
    </row>
    <row r="5" spans="1:13" ht="12.75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3" ht="14.2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167" t="s">
        <v>525</v>
      </c>
      <c r="L6" s="167"/>
      <c r="M6" s="167"/>
    </row>
    <row r="7" spans="1:13" ht="28.5" customHeight="1">
      <c r="A7" s="24"/>
      <c r="B7" s="24"/>
      <c r="C7" s="24"/>
      <c r="D7" s="24"/>
      <c r="E7" s="24"/>
      <c r="F7" s="24"/>
      <c r="G7" s="24"/>
      <c r="H7" s="24"/>
      <c r="I7" s="24"/>
      <c r="J7" s="72" t="s">
        <v>526</v>
      </c>
      <c r="K7" s="154">
        <v>322005</v>
      </c>
      <c r="L7" s="155"/>
      <c r="M7" s="156"/>
    </row>
    <row r="8" spans="1:13" ht="12.75" customHeight="1">
      <c r="A8" s="24"/>
      <c r="B8" s="24"/>
      <c r="C8" s="24"/>
      <c r="D8" s="24"/>
      <c r="E8" s="24"/>
      <c r="F8" s="24"/>
      <c r="G8" s="24"/>
      <c r="H8" s="24"/>
      <c r="I8" s="24"/>
      <c r="J8" s="74"/>
      <c r="K8" s="163" t="str">
        <f>IF(Source!AT15 &lt;&gt; "", Source!AT15, "")</f>
        <v/>
      </c>
      <c r="L8" s="164"/>
      <c r="M8" s="165"/>
    </row>
    <row r="9" spans="1:13" ht="14.25" customHeight="1">
      <c r="A9" s="169" t="s">
        <v>527</v>
      </c>
      <c r="B9" s="169"/>
      <c r="C9" s="170" t="str">
        <f>IF(Source!BA15 &lt;&gt; "", Source!BA15, IF(Source!AU15 &lt;&gt; "", Source!AU15, ""))</f>
        <v/>
      </c>
      <c r="D9" s="170"/>
      <c r="E9" s="170"/>
      <c r="F9" s="170"/>
      <c r="G9" s="170"/>
      <c r="H9" s="170"/>
      <c r="I9" s="170"/>
      <c r="J9" s="75" t="s">
        <v>528</v>
      </c>
      <c r="K9" s="166"/>
      <c r="L9" s="167"/>
      <c r="M9" s="168"/>
    </row>
    <row r="10" spans="1:13" ht="12.75" customHeight="1">
      <c r="A10" s="24"/>
      <c r="B10" s="24"/>
      <c r="C10" s="138" t="s">
        <v>529</v>
      </c>
      <c r="D10" s="138"/>
      <c r="E10" s="138"/>
      <c r="F10" s="138"/>
      <c r="G10" s="138"/>
      <c r="H10" s="138"/>
      <c r="I10" s="138"/>
      <c r="J10" s="74"/>
      <c r="K10" s="163" t="str">
        <f>IF(Source!AK15 &lt;&gt; "", Source!AK15, "")</f>
        <v/>
      </c>
      <c r="L10" s="164"/>
      <c r="M10" s="165"/>
    </row>
    <row r="11" spans="1:13" ht="14.25" customHeight="1">
      <c r="A11" s="169" t="s">
        <v>530</v>
      </c>
      <c r="B11" s="169"/>
      <c r="C11" s="170" t="str">
        <f>IF(Source!AX12&lt;&gt; "", Source!AX12, IF(Source!AJ12 &lt;&gt; "", Source!AJ12, ""))</f>
        <v/>
      </c>
      <c r="D11" s="170"/>
      <c r="E11" s="170"/>
      <c r="F11" s="170"/>
      <c r="G11" s="170"/>
      <c r="H11" s="170"/>
      <c r="I11" s="170"/>
      <c r="J11" s="75" t="s">
        <v>528</v>
      </c>
      <c r="K11" s="166"/>
      <c r="L11" s="167"/>
      <c r="M11" s="168"/>
    </row>
    <row r="12" spans="1:13" ht="12.75" customHeight="1">
      <c r="A12" s="24"/>
      <c r="B12" s="24"/>
      <c r="C12" s="138" t="s">
        <v>529</v>
      </c>
      <c r="D12" s="138"/>
      <c r="E12" s="138"/>
      <c r="F12" s="138"/>
      <c r="G12" s="138"/>
      <c r="H12" s="138"/>
      <c r="I12" s="138"/>
      <c r="J12" s="74"/>
      <c r="K12" s="163" t="str">
        <f>IF(Source!AO15 &lt;&gt; "", Source!AO15, "")</f>
        <v/>
      </c>
      <c r="L12" s="164"/>
      <c r="M12" s="165"/>
    </row>
    <row r="13" spans="1:13" ht="14.25" customHeight="1">
      <c r="A13" s="169" t="s">
        <v>531</v>
      </c>
      <c r="B13" s="169"/>
      <c r="C13" s="170" t="str">
        <f>IF(Source!AY12&lt;&gt; "", Source!AY12, IF(Source!AN12 &lt;&gt; "", Source!AN12, ""))</f>
        <v/>
      </c>
      <c r="D13" s="170"/>
      <c r="E13" s="170"/>
      <c r="F13" s="170"/>
      <c r="G13" s="170"/>
      <c r="H13" s="170"/>
      <c r="I13" s="170"/>
      <c r="J13" s="75" t="s">
        <v>528</v>
      </c>
      <c r="K13" s="166"/>
      <c r="L13" s="167"/>
      <c r="M13" s="168"/>
    </row>
    <row r="14" spans="1:13" ht="12.75" customHeight="1">
      <c r="A14" s="24"/>
      <c r="B14" s="24"/>
      <c r="C14" s="138" t="s">
        <v>529</v>
      </c>
      <c r="D14" s="138"/>
      <c r="E14" s="138"/>
      <c r="F14" s="138"/>
      <c r="G14" s="138"/>
      <c r="H14" s="138"/>
      <c r="I14" s="138"/>
      <c r="J14" s="74"/>
      <c r="K14" s="163" t="str">
        <f>IF(Source!CO15 &lt;&gt; "", Source!CO15, "")</f>
        <v/>
      </c>
      <c r="L14" s="164"/>
      <c r="M14" s="165"/>
    </row>
    <row r="15" spans="1:13" ht="14.25" customHeight="1">
      <c r="A15" s="169" t="s">
        <v>532</v>
      </c>
      <c r="B15" s="169"/>
      <c r="C15" s="170" t="s">
        <v>5</v>
      </c>
      <c r="D15" s="170"/>
      <c r="E15" s="170"/>
      <c r="F15" s="170"/>
      <c r="G15" s="170"/>
      <c r="H15" s="170"/>
      <c r="I15" s="170"/>
      <c r="J15" s="76"/>
      <c r="K15" s="166"/>
      <c r="L15" s="167"/>
      <c r="M15" s="168"/>
    </row>
    <row r="16" spans="1:13" ht="12.75" customHeight="1">
      <c r="A16" s="24"/>
      <c r="B16" s="24"/>
      <c r="C16" s="138" t="s">
        <v>533</v>
      </c>
      <c r="D16" s="138"/>
      <c r="E16" s="138"/>
      <c r="F16" s="138"/>
      <c r="G16" s="138"/>
      <c r="H16" s="138"/>
      <c r="I16" s="138"/>
      <c r="J16" s="74"/>
      <c r="K16" s="163" t="str">
        <f>IF(Source!CP15 &lt;&gt; "", Source!CP15, "")</f>
        <v/>
      </c>
      <c r="L16" s="164"/>
      <c r="M16" s="165"/>
    </row>
    <row r="17" spans="1:13" ht="14.25" customHeight="1">
      <c r="A17" s="169" t="s">
        <v>534</v>
      </c>
      <c r="B17" s="169"/>
      <c r="C17" s="170" t="str">
        <f>IF(Source!G12&lt;&gt;"Новый объект", Source!G12, "")</f>
        <v>Ремонт крыльца</v>
      </c>
      <c r="D17" s="170"/>
      <c r="E17" s="170"/>
      <c r="F17" s="170"/>
      <c r="G17" s="170"/>
      <c r="H17" s="170"/>
      <c r="I17" s="170"/>
      <c r="J17" s="76"/>
      <c r="K17" s="166"/>
      <c r="L17" s="167"/>
      <c r="M17" s="168"/>
    </row>
    <row r="18" spans="1:13" ht="12.75" customHeight="1">
      <c r="A18" s="24"/>
      <c r="B18" s="24"/>
      <c r="C18" s="138" t="s">
        <v>535</v>
      </c>
      <c r="D18" s="138"/>
      <c r="E18" s="138"/>
      <c r="F18" s="138"/>
      <c r="G18" s="138"/>
      <c r="H18" s="138"/>
      <c r="I18" s="138"/>
      <c r="J18" s="24"/>
      <c r="K18" s="78"/>
      <c r="L18" s="78"/>
      <c r="M18" s="78"/>
    </row>
    <row r="19" spans="1:13" ht="14.25" customHeight="1">
      <c r="A19" s="24"/>
      <c r="B19" s="24"/>
      <c r="C19" s="24"/>
      <c r="D19" s="24"/>
      <c r="E19" s="24"/>
      <c r="F19" s="24"/>
      <c r="G19" s="24"/>
      <c r="H19" s="171" t="s">
        <v>536</v>
      </c>
      <c r="I19" s="171"/>
      <c r="J19" s="172"/>
      <c r="K19" s="154" t="str">
        <f>IF(Source!CQ15 &lt;&gt; "", Source!CQ15, "")</f>
        <v/>
      </c>
      <c r="L19" s="155"/>
      <c r="M19" s="156"/>
    </row>
    <row r="20" spans="1:13" ht="14.25" customHeight="1">
      <c r="A20" s="24"/>
      <c r="B20" s="24"/>
      <c r="C20" s="24"/>
      <c r="D20" s="24"/>
      <c r="E20" s="24"/>
      <c r="F20" s="24"/>
      <c r="G20" s="24"/>
      <c r="H20" s="152" t="s">
        <v>537</v>
      </c>
      <c r="I20" s="153"/>
      <c r="J20" s="79" t="s">
        <v>538</v>
      </c>
      <c r="K20" s="154" t="str">
        <f>IF(Source!CR15 &lt;&gt; "", Source!CR15, "")</f>
        <v/>
      </c>
      <c r="L20" s="155"/>
      <c r="M20" s="156"/>
    </row>
    <row r="21" spans="1:13" ht="14.25" customHeight="1">
      <c r="A21" s="24"/>
      <c r="B21" s="24"/>
      <c r="C21" s="24"/>
      <c r="D21" s="24"/>
      <c r="E21" s="24"/>
      <c r="F21" s="24"/>
      <c r="G21" s="24"/>
      <c r="H21" s="24"/>
      <c r="I21" s="73"/>
      <c r="J21" s="79" t="s">
        <v>539</v>
      </c>
      <c r="K21" s="157" t="str">
        <f>IF(Source!CS15 &lt;&gt; 0, Source!CS15, "")</f>
        <v/>
      </c>
      <c r="L21" s="158"/>
      <c r="M21" s="159"/>
    </row>
    <row r="22" spans="1:13" ht="14.25" customHeight="1">
      <c r="A22" s="24"/>
      <c r="B22" s="24"/>
      <c r="C22" s="24"/>
      <c r="D22" s="24"/>
      <c r="E22" s="24"/>
      <c r="F22" s="24"/>
      <c r="G22" s="24"/>
      <c r="H22" s="24"/>
      <c r="I22" s="24"/>
      <c r="J22" s="80" t="s">
        <v>540</v>
      </c>
      <c r="K22" s="154" t="str">
        <f>IF(Source!CT15 &lt;&gt; "", Source!CT15, "")</f>
        <v/>
      </c>
      <c r="L22" s="155"/>
      <c r="M22" s="156"/>
    </row>
    <row r="23" spans="1:13" ht="12.75" customHeight="1">
      <c r="A23" s="24"/>
      <c r="B23" s="24"/>
      <c r="C23" s="24"/>
      <c r="D23" s="24"/>
      <c r="E23" s="24"/>
      <c r="F23" s="24"/>
      <c r="G23" s="81"/>
      <c r="H23" s="81"/>
      <c r="I23" s="81"/>
      <c r="J23" s="81"/>
      <c r="K23" s="77"/>
      <c r="L23" s="77"/>
      <c r="M23" s="77"/>
    </row>
    <row r="24" spans="1:13" ht="12.75" customHeight="1">
      <c r="A24" s="24"/>
      <c r="B24" s="24"/>
      <c r="C24" s="24"/>
      <c r="D24" s="24"/>
      <c r="E24" s="24"/>
      <c r="F24" s="74"/>
      <c r="G24" s="147" t="s">
        <v>541</v>
      </c>
      <c r="H24" s="127" t="s">
        <v>542</v>
      </c>
      <c r="I24" s="145" t="s">
        <v>543</v>
      </c>
      <c r="J24" s="162"/>
      <c r="K24" s="82"/>
      <c r="L24" s="24"/>
      <c r="M24" s="24"/>
    </row>
    <row r="25" spans="1:13" ht="12.75" customHeight="1">
      <c r="A25" s="24"/>
      <c r="B25" s="24"/>
      <c r="C25" s="24"/>
      <c r="D25" s="24"/>
      <c r="E25" s="24"/>
      <c r="F25" s="76"/>
      <c r="G25" s="160"/>
      <c r="H25" s="161"/>
      <c r="I25" s="31" t="s">
        <v>544</v>
      </c>
      <c r="J25" s="31" t="s">
        <v>545</v>
      </c>
      <c r="K25" s="82"/>
      <c r="L25" s="24"/>
      <c r="M25" s="24"/>
    </row>
    <row r="26" spans="1:13" ht="12.75" customHeight="1">
      <c r="A26" s="24"/>
      <c r="B26" s="24"/>
      <c r="C26" s="24"/>
      <c r="D26" s="24"/>
      <c r="E26" s="24"/>
      <c r="F26" s="73"/>
      <c r="G26" s="83" t="str">
        <f>IF(Source!CN15 &lt;&gt; "", Source!CN15, "")</f>
        <v/>
      </c>
      <c r="H26" s="84" t="str">
        <f>IF(Source!CX15 &lt;&gt; 0, Source!CX15, "")</f>
        <v/>
      </c>
      <c r="I26" s="84" t="str">
        <f>IF(Source!CV15 &lt;&gt; 0, Source!CV15, "")</f>
        <v/>
      </c>
      <c r="J26" s="84" t="str">
        <f>IF(Source!CW15 &lt;&gt; 0, Source!CW15, "")</f>
        <v/>
      </c>
      <c r="K26" s="82"/>
      <c r="L26" s="24"/>
      <c r="M26" s="24"/>
    </row>
    <row r="27" spans="1:13" ht="12.75" customHeight="1">
      <c r="A27" s="24"/>
      <c r="B27" s="24"/>
      <c r="C27" s="24"/>
      <c r="D27" s="24"/>
      <c r="E27" s="24"/>
      <c r="F27" s="24"/>
      <c r="G27" s="77"/>
      <c r="H27" s="77"/>
      <c r="I27" s="77"/>
      <c r="J27" s="77"/>
      <c r="K27" s="24"/>
      <c r="L27" s="24"/>
      <c r="M27" s="24"/>
    </row>
    <row r="28" spans="1:13" ht="18" customHeight="1">
      <c r="A28" s="143" t="s">
        <v>546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 ht="18" customHeight="1">
      <c r="A29" s="143" t="s">
        <v>547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 ht="12.75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 spans="1:13" ht="14.25" customHeight="1">
      <c r="A31" s="144" t="s">
        <v>441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</row>
    <row r="32" spans="1:13" ht="12.75" customHeight="1">
      <c r="A32" s="145" t="s">
        <v>425</v>
      </c>
      <c r="B32" s="146"/>
      <c r="C32" s="147" t="s">
        <v>426</v>
      </c>
      <c r="D32" s="127" t="s">
        <v>427</v>
      </c>
      <c r="E32" s="127" t="s">
        <v>428</v>
      </c>
      <c r="F32" s="116" t="s">
        <v>429</v>
      </c>
      <c r="G32" s="117"/>
      <c r="H32" s="118"/>
      <c r="I32" s="116" t="s">
        <v>430</v>
      </c>
      <c r="J32" s="117"/>
      <c r="K32" s="117"/>
      <c r="L32" s="117"/>
      <c r="M32" s="118"/>
    </row>
    <row r="33" spans="1:83" ht="12.75" customHeight="1">
      <c r="A33" s="127" t="s">
        <v>425</v>
      </c>
      <c r="B33" s="139" t="s">
        <v>548</v>
      </c>
      <c r="C33" s="148"/>
      <c r="D33" s="128"/>
      <c r="E33" s="128"/>
      <c r="F33" s="119"/>
      <c r="G33" s="120"/>
      <c r="H33" s="121"/>
      <c r="I33" s="150"/>
      <c r="J33" s="120"/>
      <c r="K33" s="120"/>
      <c r="L33" s="120"/>
      <c r="M33" s="121"/>
    </row>
    <row r="34" spans="1:83" ht="12.75" customHeight="1">
      <c r="A34" s="128"/>
      <c r="B34" s="140"/>
      <c r="C34" s="148"/>
      <c r="D34" s="128"/>
      <c r="E34" s="128"/>
      <c r="F34" s="119"/>
      <c r="G34" s="120"/>
      <c r="H34" s="121"/>
      <c r="I34" s="150"/>
      <c r="J34" s="120"/>
      <c r="K34" s="120"/>
      <c r="L34" s="120"/>
      <c r="M34" s="121"/>
    </row>
    <row r="35" spans="1:83" ht="12.75" customHeight="1">
      <c r="A35" s="128"/>
      <c r="B35" s="140"/>
      <c r="C35" s="148"/>
      <c r="D35" s="128"/>
      <c r="E35" s="128"/>
      <c r="F35" s="122"/>
      <c r="G35" s="123"/>
      <c r="H35" s="124"/>
      <c r="I35" s="151"/>
      <c r="J35" s="123"/>
      <c r="K35" s="123"/>
      <c r="L35" s="123"/>
      <c r="M35" s="124"/>
    </row>
    <row r="36" spans="1:83" ht="51" customHeight="1">
      <c r="A36" s="129"/>
      <c r="B36" s="141"/>
      <c r="C36" s="149"/>
      <c r="D36" s="129"/>
      <c r="E36" s="129"/>
      <c r="F36" s="31" t="s">
        <v>431</v>
      </c>
      <c r="G36" s="31" t="s">
        <v>432</v>
      </c>
      <c r="H36" s="32" t="s">
        <v>433</v>
      </c>
      <c r="I36" s="31" t="s">
        <v>434</v>
      </c>
      <c r="J36" s="31" t="s">
        <v>435</v>
      </c>
      <c r="K36" s="31" t="s">
        <v>436</v>
      </c>
      <c r="L36" s="31" t="s">
        <v>432</v>
      </c>
      <c r="M36" s="31" t="s">
        <v>437</v>
      </c>
    </row>
    <row r="37" spans="1:83" ht="12.75" customHeight="1">
      <c r="A37" s="85">
        <v>1</v>
      </c>
      <c r="B37" s="85">
        <v>2</v>
      </c>
      <c r="C37" s="85">
        <v>3</v>
      </c>
      <c r="D37" s="85">
        <v>4</v>
      </c>
      <c r="E37" s="85">
        <v>5</v>
      </c>
      <c r="F37" s="85">
        <v>6</v>
      </c>
      <c r="G37" s="85">
        <v>7</v>
      </c>
      <c r="H37" s="85">
        <v>8</v>
      </c>
      <c r="I37" s="85">
        <v>9</v>
      </c>
      <c r="J37" s="85">
        <v>10</v>
      </c>
      <c r="K37" s="85">
        <v>11</v>
      </c>
      <c r="L37" s="85">
        <v>12</v>
      </c>
      <c r="M37" s="85">
        <v>13</v>
      </c>
    </row>
    <row r="39" spans="1:83" ht="16.5">
      <c r="A39" s="142" t="s">
        <v>549</v>
      </c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</row>
    <row r="40" spans="1:83" ht="57">
      <c r="A40" s="36" t="s">
        <v>15</v>
      </c>
      <c r="B40" s="36" t="s">
        <v>15</v>
      </c>
      <c r="C40" s="38" t="s">
        <v>442</v>
      </c>
      <c r="D40" s="38" t="str">
        <f>Source!G24</f>
        <v>Разборка тротуаров: из природных материалов (плиты гранитные) на цементно-песчаном монтажном слое толщиной 50 мм</v>
      </c>
      <c r="E40" s="39" t="str">
        <f>Source!H24</f>
        <v>100 м2</v>
      </c>
      <c r="F40" s="40">
        <f>Source!K24</f>
        <v>7.9799999999999996E-2</v>
      </c>
      <c r="G40" s="40"/>
      <c r="H40" s="40">
        <f>Source!I24</f>
        <v>7.9799999999999996E-2</v>
      </c>
      <c r="I40" s="42"/>
      <c r="J40" s="41"/>
      <c r="K40" s="42"/>
      <c r="L40" s="41"/>
      <c r="M40" s="42"/>
    </row>
    <row r="41" spans="1:83">
      <c r="D41" s="43" t="str">
        <f>"Объем: "&amp;Source!I24&amp;"=7,98/"&amp;"100"</f>
        <v>Объем: 0,0798=7,98/100</v>
      </c>
    </row>
    <row r="42" spans="1:83" ht="15">
      <c r="A42" s="37"/>
      <c r="B42" s="37"/>
      <c r="C42" s="40">
        <v>1</v>
      </c>
      <c r="D42" s="37" t="s">
        <v>443</v>
      </c>
      <c r="E42" s="39" t="s">
        <v>252</v>
      </c>
      <c r="F42" s="44"/>
      <c r="G42" s="40"/>
      <c r="H42" s="40">
        <f>Source!U24</f>
        <v>17.795400000000001</v>
      </c>
      <c r="I42" s="40"/>
      <c r="J42" s="40"/>
      <c r="K42" s="40"/>
      <c r="L42" s="40"/>
      <c r="M42" s="45">
        <f>SUM(M43:M43)-SUMIF(CE43:CE43, 1, M43:M43)</f>
        <v>6131.23</v>
      </c>
    </row>
    <row r="43" spans="1:83" ht="14.25">
      <c r="A43" s="38"/>
      <c r="B43" s="38"/>
      <c r="C43" s="38" t="s">
        <v>250</v>
      </c>
      <c r="D43" s="38" t="s">
        <v>251</v>
      </c>
      <c r="E43" s="39" t="s">
        <v>252</v>
      </c>
      <c r="F43" s="40">
        <v>223</v>
      </c>
      <c r="G43" s="40"/>
      <c r="H43" s="40">
        <f>SmtRes!CX1</f>
        <v>17.795400000000001</v>
      </c>
      <c r="I43" s="42"/>
      <c r="J43" s="41"/>
      <c r="K43" s="42">
        <f>SmtRes!CZ1</f>
        <v>344.54</v>
      </c>
      <c r="L43" s="41"/>
      <c r="M43" s="42">
        <f>SmtRes!DI1</f>
        <v>6131.23</v>
      </c>
    </row>
    <row r="44" spans="1:83" ht="15">
      <c r="A44" s="37"/>
      <c r="B44" s="37"/>
      <c r="C44" s="40">
        <v>2</v>
      </c>
      <c r="D44" s="37" t="s">
        <v>444</v>
      </c>
      <c r="E44" s="39"/>
      <c r="F44" s="44"/>
      <c r="G44" s="40"/>
      <c r="H44" s="40"/>
      <c r="I44" s="40"/>
      <c r="J44" s="40"/>
      <c r="K44" s="40"/>
      <c r="L44" s="40"/>
      <c r="M44" s="45">
        <f>SUM(M45:M53)-SUMIF(CE45:CE53, 1, M45:M53)</f>
        <v>1167.4299999999998</v>
      </c>
    </row>
    <row r="45" spans="1:83" ht="15">
      <c r="A45" s="37"/>
      <c r="B45" s="37"/>
      <c r="C45" s="40"/>
      <c r="D45" s="37" t="s">
        <v>447</v>
      </c>
      <c r="E45" s="39" t="s">
        <v>252</v>
      </c>
      <c r="F45" s="44"/>
      <c r="G45" s="40"/>
      <c r="H45" s="40">
        <f>Source!V24</f>
        <v>1.9814339999999999</v>
      </c>
      <c r="I45" s="40"/>
      <c r="J45" s="40"/>
      <c r="K45" s="40"/>
      <c r="L45" s="40"/>
      <c r="M45" s="45">
        <f>SUMIF(CE46:CE53, 1, M46:M53)</f>
        <v>814.62</v>
      </c>
      <c r="CE45">
        <v>1</v>
      </c>
    </row>
    <row r="46" spans="1:83" ht="71.25">
      <c r="A46" s="38"/>
      <c r="B46" s="38"/>
      <c r="C46" s="38" t="s">
        <v>255</v>
      </c>
      <c r="D46" s="38" t="s">
        <v>257</v>
      </c>
      <c r="E46" s="39" t="s">
        <v>258</v>
      </c>
      <c r="F46" s="40">
        <v>2.52</v>
      </c>
      <c r="G46" s="40"/>
      <c r="H46" s="40">
        <f>SmtRes!CX3</f>
        <v>0.201096</v>
      </c>
      <c r="I46" s="42"/>
      <c r="J46" s="41"/>
      <c r="K46" s="42">
        <f>SmtRes!CZ3</f>
        <v>1680.01</v>
      </c>
      <c r="L46" s="41"/>
      <c r="M46" s="42">
        <f>SmtRes!DG3</f>
        <v>337.84</v>
      </c>
    </row>
    <row r="47" spans="1:83" ht="28.5">
      <c r="A47" s="38"/>
      <c r="B47" s="38"/>
      <c r="C47" s="38" t="s">
        <v>259</v>
      </c>
      <c r="D47" s="38" t="s">
        <v>445</v>
      </c>
      <c r="E47" s="39" t="s">
        <v>252</v>
      </c>
      <c r="F47" s="40">
        <f>SmtRes!DO3*SmtRes!AT3</f>
        <v>2.52</v>
      </c>
      <c r="G47" s="40"/>
      <c r="H47" s="40">
        <f>ROUND(F47*H40, 7)</f>
        <v>0.201096</v>
      </c>
      <c r="I47" s="42"/>
      <c r="J47" s="41"/>
      <c r="K47" s="42">
        <f>ROUND(SmtRes!AG3/SmtRes!DO3, 2)</f>
        <v>465.43</v>
      </c>
      <c r="L47" s="41"/>
      <c r="M47" s="42">
        <f>SmtRes!DH3</f>
        <v>93.6</v>
      </c>
      <c r="CE47">
        <v>1</v>
      </c>
    </row>
    <row r="48" spans="1:83" ht="42.75">
      <c r="A48" s="38"/>
      <c r="B48" s="38"/>
      <c r="C48" s="38" t="s">
        <v>260</v>
      </c>
      <c r="D48" s="38" t="s">
        <v>262</v>
      </c>
      <c r="E48" s="39" t="s">
        <v>258</v>
      </c>
      <c r="F48" s="40">
        <v>5.65</v>
      </c>
      <c r="G48" s="40"/>
      <c r="H48" s="40">
        <f>SmtRes!CX4</f>
        <v>0.45086999999999999</v>
      </c>
      <c r="I48" s="42">
        <f>SmtRes!CZ4</f>
        <v>100.65</v>
      </c>
      <c r="J48" s="41">
        <f>SmtRes!AJ4</f>
        <v>1.24</v>
      </c>
      <c r="K48" s="42">
        <f>ROUND(I48*J48, 2)</f>
        <v>124.81</v>
      </c>
      <c r="L48" s="41"/>
      <c r="M48" s="42">
        <f>SmtRes!DG4</f>
        <v>56.27</v>
      </c>
    </row>
    <row r="49" spans="1:83" ht="42.75">
      <c r="A49" s="38"/>
      <c r="B49" s="38"/>
      <c r="C49" s="38" t="s">
        <v>263</v>
      </c>
      <c r="D49" s="38" t="s">
        <v>265</v>
      </c>
      <c r="E49" s="39" t="s">
        <v>258</v>
      </c>
      <c r="F49" s="40">
        <v>0.01</v>
      </c>
      <c r="G49" s="40"/>
      <c r="H49" s="40">
        <f>SmtRes!CX5</f>
        <v>7.9799999999999999E-4</v>
      </c>
      <c r="I49" s="42">
        <f>SmtRes!CZ5</f>
        <v>1495.59</v>
      </c>
      <c r="J49" s="41">
        <f>SmtRes!AJ5</f>
        <v>1.43</v>
      </c>
      <c r="K49" s="42">
        <f>ROUND(I49*J49, 2)</f>
        <v>2138.69</v>
      </c>
      <c r="L49" s="41"/>
      <c r="M49" s="42">
        <f>SmtRes!DG5</f>
        <v>1.71</v>
      </c>
    </row>
    <row r="50" spans="1:83" ht="28.5">
      <c r="A50" s="38"/>
      <c r="B50" s="38"/>
      <c r="C50" s="38" t="s">
        <v>266</v>
      </c>
      <c r="D50" s="38" t="s">
        <v>446</v>
      </c>
      <c r="E50" s="39" t="s">
        <v>252</v>
      </c>
      <c r="F50" s="40">
        <f>SmtRes!DO5*SmtRes!AT5</f>
        <v>0.01</v>
      </c>
      <c r="G50" s="40"/>
      <c r="H50" s="40">
        <f>ROUND(F50*H40, 7)</f>
        <v>7.9799999999999999E-4</v>
      </c>
      <c r="I50" s="42"/>
      <c r="J50" s="41"/>
      <c r="K50" s="42">
        <f>ROUND(SmtRes!AG5/SmtRes!DO5, 2)</f>
        <v>404.99</v>
      </c>
      <c r="L50" s="41"/>
      <c r="M50" s="42">
        <f>SmtRes!DH5</f>
        <v>0.32</v>
      </c>
      <c r="CE50">
        <v>1</v>
      </c>
    </row>
    <row r="51" spans="1:83" ht="57">
      <c r="A51" s="38"/>
      <c r="B51" s="38"/>
      <c r="C51" s="38" t="s">
        <v>267</v>
      </c>
      <c r="D51" s="38" t="s">
        <v>269</v>
      </c>
      <c r="E51" s="39" t="s">
        <v>258</v>
      </c>
      <c r="F51" s="40">
        <v>22.3</v>
      </c>
      <c r="G51" s="40"/>
      <c r="H51" s="40">
        <f>SmtRes!CX6</f>
        <v>1.7795399999999999</v>
      </c>
      <c r="I51" s="42"/>
      <c r="J51" s="41"/>
      <c r="K51" s="42">
        <f>SmtRes!CZ6</f>
        <v>426.11</v>
      </c>
      <c r="L51" s="41"/>
      <c r="M51" s="42">
        <f>SmtRes!DG6</f>
        <v>758.28</v>
      </c>
    </row>
    <row r="52" spans="1:83" ht="28.5">
      <c r="A52" s="38"/>
      <c r="B52" s="38"/>
      <c r="C52" s="38" t="s">
        <v>266</v>
      </c>
      <c r="D52" s="38" t="s">
        <v>446</v>
      </c>
      <c r="E52" s="39" t="s">
        <v>252</v>
      </c>
      <c r="F52" s="40">
        <f>SmtRes!DO6*SmtRes!AT6</f>
        <v>22.3</v>
      </c>
      <c r="G52" s="40"/>
      <c r="H52" s="40">
        <f>ROUND(F52*H40, 7)</f>
        <v>1.7795399999999999</v>
      </c>
      <c r="I52" s="42"/>
      <c r="J52" s="41"/>
      <c r="K52" s="42">
        <f>ROUND(SmtRes!AG6/SmtRes!DO6, 2)</f>
        <v>404.99</v>
      </c>
      <c r="L52" s="41"/>
      <c r="M52" s="42">
        <f>SmtRes!DH6</f>
        <v>720.7</v>
      </c>
      <c r="CE52">
        <v>1</v>
      </c>
    </row>
    <row r="53" spans="1:83" ht="42.75">
      <c r="A53" s="38"/>
      <c r="B53" s="38"/>
      <c r="C53" s="38" t="s">
        <v>270</v>
      </c>
      <c r="D53" s="38" t="s">
        <v>272</v>
      </c>
      <c r="E53" s="39" t="s">
        <v>258</v>
      </c>
      <c r="F53" s="40">
        <v>36.799999999999997</v>
      </c>
      <c r="G53" s="40"/>
      <c r="H53" s="40">
        <f>SmtRes!CX7</f>
        <v>2.9366400000000001</v>
      </c>
      <c r="I53" s="42">
        <f>SmtRes!CZ7</f>
        <v>2.93</v>
      </c>
      <c r="J53" s="41">
        <f>SmtRes!AJ7</f>
        <v>1.55</v>
      </c>
      <c r="K53" s="42">
        <f>ROUND(I53*J53, 2)</f>
        <v>4.54</v>
      </c>
      <c r="L53" s="41"/>
      <c r="M53" s="42">
        <f>SmtRes!DG7</f>
        <v>13.33</v>
      </c>
    </row>
    <row r="54" spans="1:83" ht="15">
      <c r="A54" s="37"/>
      <c r="B54" s="37"/>
      <c r="C54" s="40">
        <v>4</v>
      </c>
      <c r="D54" s="37" t="s">
        <v>448</v>
      </c>
      <c r="E54" s="39"/>
      <c r="F54" s="44"/>
      <c r="G54" s="40"/>
      <c r="H54" s="40"/>
      <c r="I54" s="40"/>
      <c r="J54" s="40"/>
      <c r="K54" s="40"/>
      <c r="L54" s="40"/>
      <c r="M54" s="45">
        <f>SUM(M55:M61)-SUMIF(CE55:CE61, 1, M55:M61)</f>
        <v>277.22999999999996</v>
      </c>
    </row>
    <row r="55" spans="1:83" ht="14.25">
      <c r="A55" s="38"/>
      <c r="B55" s="38"/>
      <c r="C55" s="38" t="s">
        <v>273</v>
      </c>
      <c r="D55" s="38" t="s">
        <v>275</v>
      </c>
      <c r="E55" s="39" t="s">
        <v>276</v>
      </c>
      <c r="F55" s="40">
        <v>77.680000000000007</v>
      </c>
      <c r="G55" s="40"/>
      <c r="H55" s="40">
        <f>SmtRes!CX8</f>
        <v>6.1988640000000004</v>
      </c>
      <c r="I55" s="42">
        <f>SmtRes!CZ8</f>
        <v>10.16</v>
      </c>
      <c r="J55" s="41">
        <f>SmtRes!AI8</f>
        <v>1.4</v>
      </c>
      <c r="K55" s="42">
        <f t="shared" ref="K55:K61" si="0">ROUND(I55*J55, 2)</f>
        <v>14.22</v>
      </c>
      <c r="L55" s="41"/>
      <c r="M55" s="42">
        <f>SmtRes!DF8</f>
        <v>88.15</v>
      </c>
    </row>
    <row r="56" spans="1:83" ht="14.25">
      <c r="A56" s="38"/>
      <c r="B56" s="38"/>
      <c r="C56" s="38" t="s">
        <v>277</v>
      </c>
      <c r="D56" s="38" t="s">
        <v>279</v>
      </c>
      <c r="E56" s="39" t="s">
        <v>65</v>
      </c>
      <c r="F56" s="40">
        <v>7.4999999999999997E-3</v>
      </c>
      <c r="G56" s="40"/>
      <c r="H56" s="40">
        <f>SmtRes!CX9</f>
        <v>5.9849999999999997E-4</v>
      </c>
      <c r="I56" s="42">
        <f>SmtRes!CZ9</f>
        <v>35.71</v>
      </c>
      <c r="J56" s="41">
        <f>SmtRes!AI9</f>
        <v>0.83</v>
      </c>
      <c r="K56" s="42">
        <f t="shared" si="0"/>
        <v>29.64</v>
      </c>
      <c r="L56" s="41"/>
      <c r="M56" s="42">
        <f>SmtRes!DF9</f>
        <v>0.02</v>
      </c>
    </row>
    <row r="57" spans="1:83" ht="28.5">
      <c r="A57" s="38"/>
      <c r="B57" s="38"/>
      <c r="C57" s="38" t="s">
        <v>280</v>
      </c>
      <c r="D57" s="38" t="s">
        <v>282</v>
      </c>
      <c r="E57" s="39" t="s">
        <v>97</v>
      </c>
      <c r="F57" s="40">
        <v>28.41</v>
      </c>
      <c r="G57" s="40"/>
      <c r="H57" s="40">
        <f>SmtRes!CX10</f>
        <v>2.267118</v>
      </c>
      <c r="I57" s="42">
        <f>SmtRes!CZ10</f>
        <v>12.83</v>
      </c>
      <c r="J57" s="41">
        <f>SmtRes!AI10</f>
        <v>1.18</v>
      </c>
      <c r="K57" s="42">
        <f t="shared" si="0"/>
        <v>15.14</v>
      </c>
      <c r="L57" s="41"/>
      <c r="M57" s="42">
        <f>SmtRes!DF10</f>
        <v>34.32</v>
      </c>
    </row>
    <row r="58" spans="1:83" ht="42.75">
      <c r="A58" s="38"/>
      <c r="B58" s="38"/>
      <c r="C58" s="38" t="s">
        <v>283</v>
      </c>
      <c r="D58" s="38" t="s">
        <v>285</v>
      </c>
      <c r="E58" s="39" t="s">
        <v>46</v>
      </c>
      <c r="F58" s="40">
        <v>2.0500000000000001E-2</v>
      </c>
      <c r="G58" s="40"/>
      <c r="H58" s="40">
        <f>SmtRes!CX12</f>
        <v>1.6359E-3</v>
      </c>
      <c r="I58" s="42">
        <f>SmtRes!CZ12</f>
        <v>89073.2</v>
      </c>
      <c r="J58" s="41">
        <f>SmtRes!AI12</f>
        <v>0.77</v>
      </c>
      <c r="K58" s="42">
        <f t="shared" si="0"/>
        <v>68586.36</v>
      </c>
      <c r="L58" s="41"/>
      <c r="M58" s="42">
        <f>SmtRes!DF12</f>
        <v>112.2</v>
      </c>
    </row>
    <row r="59" spans="1:83" ht="57">
      <c r="A59" s="38"/>
      <c r="B59" s="38"/>
      <c r="C59" s="38" t="s">
        <v>286</v>
      </c>
      <c r="D59" s="38" t="s">
        <v>288</v>
      </c>
      <c r="E59" s="39" t="s">
        <v>65</v>
      </c>
      <c r="F59" s="40">
        <v>2.1999999999999999E-2</v>
      </c>
      <c r="G59" s="40"/>
      <c r="H59" s="40">
        <f>SmtRes!CX13</f>
        <v>1.7556E-3</v>
      </c>
      <c r="I59" s="42">
        <f>SmtRes!CZ13</f>
        <v>7555</v>
      </c>
      <c r="J59" s="41">
        <f>SmtRes!AI13</f>
        <v>1.42</v>
      </c>
      <c r="K59" s="42">
        <f t="shared" si="0"/>
        <v>10728.1</v>
      </c>
      <c r="L59" s="41"/>
      <c r="M59" s="42">
        <f>SmtRes!DF13</f>
        <v>18.829999999999998</v>
      </c>
    </row>
    <row r="60" spans="1:83" ht="28.5">
      <c r="A60" s="38"/>
      <c r="B60" s="38"/>
      <c r="C60" s="38" t="s">
        <v>289</v>
      </c>
      <c r="D60" s="38" t="s">
        <v>291</v>
      </c>
      <c r="E60" s="39" t="s">
        <v>28</v>
      </c>
      <c r="F60" s="40">
        <v>0.17</v>
      </c>
      <c r="G60" s="40"/>
      <c r="H60" s="40">
        <f>SmtRes!CX14</f>
        <v>1.3566E-2</v>
      </c>
      <c r="I60" s="42">
        <f>SmtRes!CZ14</f>
        <v>432.32</v>
      </c>
      <c r="J60" s="41">
        <f>SmtRes!AI14</f>
        <v>1.42</v>
      </c>
      <c r="K60" s="42">
        <f t="shared" si="0"/>
        <v>613.89</v>
      </c>
      <c r="L60" s="41"/>
      <c r="M60" s="42">
        <f>SmtRes!DF14</f>
        <v>8.33</v>
      </c>
    </row>
    <row r="61" spans="1:83" ht="14.25">
      <c r="A61" s="38"/>
      <c r="B61" s="38"/>
      <c r="C61" s="38" t="s">
        <v>292</v>
      </c>
      <c r="D61" s="38" t="s">
        <v>294</v>
      </c>
      <c r="E61" s="39" t="s">
        <v>295</v>
      </c>
      <c r="F61" s="40">
        <v>0.57999999999999996</v>
      </c>
      <c r="G61" s="40"/>
      <c r="H61" s="40">
        <f>SmtRes!CX15</f>
        <v>4.6283999999999999E-2</v>
      </c>
      <c r="I61" s="42">
        <f>SmtRes!CZ15</f>
        <v>237.35</v>
      </c>
      <c r="J61" s="41">
        <f>SmtRes!AI15</f>
        <v>1.4</v>
      </c>
      <c r="K61" s="42">
        <f t="shared" si="0"/>
        <v>332.29</v>
      </c>
      <c r="L61" s="41"/>
      <c r="M61" s="42">
        <f>SmtRes!DF15</f>
        <v>15.38</v>
      </c>
    </row>
    <row r="62" spans="1:83" ht="14.25">
      <c r="A62" s="38"/>
      <c r="B62" s="38"/>
      <c r="C62" s="38" t="str">
        <f>EtalonRes!I11</f>
        <v>01.7.17.06</v>
      </c>
      <c r="D62" s="46" t="str">
        <f>EtalonRes!K11</f>
        <v>Диск отрезной алмазный</v>
      </c>
      <c r="E62" s="47" t="str">
        <f>EtalonRes!O11</f>
        <v>ШТ</v>
      </c>
      <c r="F62" s="48">
        <f>EtalonRes!X11</f>
        <v>0.71</v>
      </c>
      <c r="G62" s="48"/>
      <c r="H62" s="48">
        <f>ROUND(EtalonRes!AG11*Source!I24, 7)</f>
        <v>5.6658E-2</v>
      </c>
      <c r="I62" s="49"/>
      <c r="J62" s="50"/>
      <c r="K62" s="49"/>
      <c r="L62" s="50"/>
      <c r="M62" s="49"/>
    </row>
    <row r="63" spans="1:83" ht="15">
      <c r="A63" s="38"/>
      <c r="B63" s="38"/>
      <c r="C63" s="38"/>
      <c r="D63" s="53" t="s">
        <v>449</v>
      </c>
      <c r="E63" s="39"/>
      <c r="F63" s="40"/>
      <c r="G63" s="40"/>
      <c r="H63" s="40"/>
      <c r="I63" s="42"/>
      <c r="J63" s="41"/>
      <c r="K63" s="42"/>
      <c r="L63" s="41"/>
      <c r="M63" s="42">
        <f>M42+M44+M45+M54</f>
        <v>8390.51</v>
      </c>
    </row>
    <row r="64" spans="1:83" ht="14.25">
      <c r="A64" s="38"/>
      <c r="B64" s="38"/>
      <c r="C64" s="38"/>
      <c r="D64" s="38" t="s">
        <v>450</v>
      </c>
      <c r="E64" s="39"/>
      <c r="F64" s="40"/>
      <c r="G64" s="40"/>
      <c r="H64" s="40"/>
      <c r="I64" s="42"/>
      <c r="J64" s="41"/>
      <c r="K64" s="42"/>
      <c r="L64" s="41"/>
      <c r="M64" s="42">
        <f>SUM(AR40:AR67)+SUM(AS40:AS67)+SUM(AT40:AT67)+SUM(AU40:AU67)+SUM(AV40:AV67)</f>
        <v>6945.8499999999995</v>
      </c>
    </row>
    <row r="65" spans="1:83" ht="14.25">
      <c r="A65" s="38"/>
      <c r="B65" s="38"/>
      <c r="C65" s="38" t="s">
        <v>23</v>
      </c>
      <c r="D65" s="38" t="s">
        <v>451</v>
      </c>
      <c r="E65" s="39" t="s">
        <v>452</v>
      </c>
      <c r="F65" s="40">
        <f>Source!BZ24</f>
        <v>102</v>
      </c>
      <c r="G65" s="40"/>
      <c r="H65" s="40">
        <f>Source!AT24</f>
        <v>102</v>
      </c>
      <c r="I65" s="42"/>
      <c r="J65" s="41"/>
      <c r="K65" s="42"/>
      <c r="L65" s="41"/>
      <c r="M65" s="42">
        <f>SUM(AZ40:AZ67)</f>
        <v>7084.77</v>
      </c>
    </row>
    <row r="66" spans="1:83" ht="14.25">
      <c r="A66" s="46"/>
      <c r="B66" s="46"/>
      <c r="C66" s="46" t="s">
        <v>24</v>
      </c>
      <c r="D66" s="46" t="s">
        <v>453</v>
      </c>
      <c r="E66" s="47" t="s">
        <v>452</v>
      </c>
      <c r="F66" s="48">
        <f>Source!CA24</f>
        <v>54</v>
      </c>
      <c r="G66" s="48"/>
      <c r="H66" s="48">
        <f>Source!AU24</f>
        <v>54</v>
      </c>
      <c r="I66" s="49"/>
      <c r="J66" s="50"/>
      <c r="K66" s="49"/>
      <c r="L66" s="50"/>
      <c r="M66" s="49">
        <f>SUM(BA40:BA67)</f>
        <v>3750.76</v>
      </c>
    </row>
    <row r="67" spans="1:83" ht="15">
      <c r="D67" s="112" t="s">
        <v>454</v>
      </c>
      <c r="E67" s="112"/>
      <c r="F67" s="112"/>
      <c r="G67" s="112"/>
      <c r="H67" s="112"/>
      <c r="I67" s="112"/>
      <c r="J67" s="113">
        <f>IF(F40&lt;&gt;0,L67/F40, 0)</f>
        <v>240927.81954887215</v>
      </c>
      <c r="K67" s="113"/>
      <c r="L67" s="113">
        <f>M42+M44+M54+M65+M66+M45</f>
        <v>19226.039999999997</v>
      </c>
      <c r="M67" s="113"/>
      <c r="AD67">
        <f>ROUND((Source!AT24/100)*((ROUND(SUMIF(SmtRes!AQ1:'SmtRes'!AQ15,"=1",SmtRes!AD1:'SmtRes'!AD15)*Source!I24, 2)+ROUND(SUMIF(SmtRes!AQ1:'SmtRes'!AQ15,"=1",SmtRes!AC1:'SmtRes'!AC15)*Source!I24, 2))), 2)</f>
        <v>131.86000000000001</v>
      </c>
      <c r="AE67">
        <f>ROUND((Source!AU24/100)*((ROUND(SUMIF(SmtRes!AQ1:'SmtRes'!AQ15,"=1",SmtRes!AD1:'SmtRes'!AD15)*Source!I24, 2)+ROUND(SUMIF(SmtRes!AQ1:'SmtRes'!AQ15,"=1",SmtRes!AC1:'SmtRes'!AC15)*Source!I24, 2))), 2)</f>
        <v>69.81</v>
      </c>
      <c r="AN67" s="51">
        <f>M42+M44+M54+M65+M66+M45</f>
        <v>19226.039999999997</v>
      </c>
      <c r="AO67" s="51">
        <f>M44</f>
        <v>1167.4299999999998</v>
      </c>
      <c r="AQ67" t="s">
        <v>455</v>
      </c>
      <c r="AR67" s="51">
        <f>M42</f>
        <v>6131.23</v>
      </c>
      <c r="AT67" s="51">
        <f>M45</f>
        <v>814.62</v>
      </c>
      <c r="AV67" t="s">
        <v>455</v>
      </c>
      <c r="AW67" s="51">
        <f>M54</f>
        <v>277.22999999999996</v>
      </c>
      <c r="AZ67">
        <f>Source!X24</f>
        <v>7084.77</v>
      </c>
      <c r="BA67">
        <f>Source!Y24</f>
        <v>3750.76</v>
      </c>
      <c r="CD67">
        <v>1</v>
      </c>
    </row>
    <row r="68" spans="1:83" ht="57">
      <c r="A68" s="36" t="s">
        <v>29</v>
      </c>
      <c r="B68" s="36" t="s">
        <v>29</v>
      </c>
      <c r="C68" s="38" t="s">
        <v>456</v>
      </c>
      <c r="D68" s="38" t="str">
        <f>Source!G26</f>
        <v>Разборка тротуаров: из мелкоштучных искусственных материалов (брусчатка) на цементно-песчаном монтажном слое толщиной 50 мм</v>
      </c>
      <c r="E68" s="39" t="str">
        <f>Source!H26</f>
        <v>100 м2</v>
      </c>
      <c r="F68" s="40">
        <f>Source!K26</f>
        <v>0.20230000000000001</v>
      </c>
      <c r="G68" s="40"/>
      <c r="H68" s="40">
        <f>Source!I26</f>
        <v>0.20230000000000001</v>
      </c>
      <c r="I68" s="42"/>
      <c r="J68" s="41"/>
      <c r="K68" s="42"/>
      <c r="L68" s="41"/>
      <c r="M68" s="42"/>
    </row>
    <row r="69" spans="1:83">
      <c r="D69" s="43" t="str">
        <f>"Объем: "&amp;Source!I26&amp;"=20,23/"&amp;"100"</f>
        <v>Объем: 0,2023=20,23/100</v>
      </c>
    </row>
    <row r="70" spans="1:83" ht="15">
      <c r="A70" s="37"/>
      <c r="B70" s="37"/>
      <c r="C70" s="40">
        <v>1</v>
      </c>
      <c r="D70" s="37" t="s">
        <v>443</v>
      </c>
      <c r="E70" s="39" t="s">
        <v>252</v>
      </c>
      <c r="F70" s="44"/>
      <c r="G70" s="40"/>
      <c r="H70" s="40">
        <f>Source!U26</f>
        <v>57.740465999999998</v>
      </c>
      <c r="I70" s="40"/>
      <c r="J70" s="40"/>
      <c r="K70" s="40"/>
      <c r="L70" s="40"/>
      <c r="M70" s="45">
        <f>SUM(M71:M71)-SUMIF(CE71:CE71, 1, M71:M71)</f>
        <v>19719.52</v>
      </c>
    </row>
    <row r="71" spans="1:83" ht="14.25">
      <c r="A71" s="38"/>
      <c r="B71" s="38"/>
      <c r="C71" s="38" t="s">
        <v>296</v>
      </c>
      <c r="D71" s="38" t="s">
        <v>297</v>
      </c>
      <c r="E71" s="39" t="s">
        <v>252</v>
      </c>
      <c r="F71" s="40">
        <v>285.42</v>
      </c>
      <c r="G71" s="40"/>
      <c r="H71" s="40">
        <f>SmtRes!CX16</f>
        <v>57.740465999999998</v>
      </c>
      <c r="I71" s="42"/>
      <c r="J71" s="41"/>
      <c r="K71" s="42">
        <f>SmtRes!CZ16</f>
        <v>341.52</v>
      </c>
      <c r="L71" s="41"/>
      <c r="M71" s="42">
        <f>SmtRes!DI16</f>
        <v>19719.52</v>
      </c>
    </row>
    <row r="72" spans="1:83" ht="15">
      <c r="A72" s="37"/>
      <c r="B72" s="37"/>
      <c r="C72" s="40">
        <v>2</v>
      </c>
      <c r="D72" s="37" t="s">
        <v>444</v>
      </c>
      <c r="E72" s="39"/>
      <c r="F72" s="44"/>
      <c r="G72" s="40"/>
      <c r="H72" s="40"/>
      <c r="I72" s="40"/>
      <c r="J72" s="40"/>
      <c r="K72" s="40"/>
      <c r="L72" s="40"/>
      <c r="M72" s="45">
        <f>SUM(M73:M81)-SUMIF(CE73:CE81, 1, M73:M81)</f>
        <v>2733.7200000000003</v>
      </c>
    </row>
    <row r="73" spans="1:83" ht="15">
      <c r="A73" s="37"/>
      <c r="B73" s="37"/>
      <c r="C73" s="40"/>
      <c r="D73" s="37" t="s">
        <v>447</v>
      </c>
      <c r="E73" s="39" t="s">
        <v>252</v>
      </c>
      <c r="F73" s="44"/>
      <c r="G73" s="40"/>
      <c r="H73" s="40">
        <f>Source!V26</f>
        <v>5.2112480000000003</v>
      </c>
      <c r="I73" s="40"/>
      <c r="J73" s="40"/>
      <c r="K73" s="40"/>
      <c r="L73" s="40"/>
      <c r="M73" s="45">
        <f>SUMIF(CE74:CE81, 1, M74:M81)</f>
        <v>2133.12</v>
      </c>
      <c r="CE73">
        <v>1</v>
      </c>
    </row>
    <row r="74" spans="1:83" ht="71.25">
      <c r="A74" s="38"/>
      <c r="B74" s="38"/>
      <c r="C74" s="38" t="s">
        <v>255</v>
      </c>
      <c r="D74" s="38" t="s">
        <v>257</v>
      </c>
      <c r="E74" s="39" t="s">
        <v>258</v>
      </c>
      <c r="F74" s="40">
        <v>1.85</v>
      </c>
      <c r="G74" s="40"/>
      <c r="H74" s="40">
        <f>SmtRes!CX18</f>
        <v>0.374255</v>
      </c>
      <c r="I74" s="42"/>
      <c r="J74" s="41"/>
      <c r="K74" s="42">
        <f>SmtRes!CZ18</f>
        <v>1680.01</v>
      </c>
      <c r="L74" s="41"/>
      <c r="M74" s="42">
        <f>SmtRes!DG18</f>
        <v>628.75</v>
      </c>
    </row>
    <row r="75" spans="1:83" ht="28.5">
      <c r="A75" s="38"/>
      <c r="B75" s="38"/>
      <c r="C75" s="38" t="s">
        <v>259</v>
      </c>
      <c r="D75" s="38" t="s">
        <v>445</v>
      </c>
      <c r="E75" s="39" t="s">
        <v>252</v>
      </c>
      <c r="F75" s="40">
        <f>SmtRes!DO18*SmtRes!AT18</f>
        <v>1.85</v>
      </c>
      <c r="G75" s="40"/>
      <c r="H75" s="40">
        <f>ROUND(F75*H68, 7)</f>
        <v>0.374255</v>
      </c>
      <c r="I75" s="42"/>
      <c r="J75" s="41"/>
      <c r="K75" s="42">
        <f>ROUND(SmtRes!AG18/SmtRes!DO18, 2)</f>
        <v>465.43</v>
      </c>
      <c r="L75" s="41"/>
      <c r="M75" s="42">
        <f>SmtRes!DH18</f>
        <v>174.19</v>
      </c>
      <c r="CE75">
        <v>1</v>
      </c>
    </row>
    <row r="76" spans="1:83" ht="42.75">
      <c r="A76" s="38"/>
      <c r="B76" s="38"/>
      <c r="C76" s="38" t="s">
        <v>260</v>
      </c>
      <c r="D76" s="38" t="s">
        <v>262</v>
      </c>
      <c r="E76" s="39" t="s">
        <v>258</v>
      </c>
      <c r="F76" s="40">
        <v>0.24</v>
      </c>
      <c r="G76" s="40"/>
      <c r="H76" s="40">
        <f>SmtRes!CX19</f>
        <v>4.8551999999999998E-2</v>
      </c>
      <c r="I76" s="42">
        <f>SmtRes!CZ19</f>
        <v>100.65</v>
      </c>
      <c r="J76" s="41">
        <f>SmtRes!AJ19</f>
        <v>1.24</v>
      </c>
      <c r="K76" s="42">
        <f>ROUND(I76*J76, 2)</f>
        <v>124.81</v>
      </c>
      <c r="L76" s="41"/>
      <c r="M76" s="42">
        <f>SmtRes!DG19</f>
        <v>6.06</v>
      </c>
    </row>
    <row r="77" spans="1:83" ht="42.75">
      <c r="A77" s="38"/>
      <c r="B77" s="38"/>
      <c r="C77" s="38" t="s">
        <v>263</v>
      </c>
      <c r="D77" s="38" t="s">
        <v>265</v>
      </c>
      <c r="E77" s="39" t="s">
        <v>258</v>
      </c>
      <c r="F77" s="40">
        <v>0.01</v>
      </c>
      <c r="G77" s="40"/>
      <c r="H77" s="40">
        <f>SmtRes!CX20</f>
        <v>2.0230000000000001E-3</v>
      </c>
      <c r="I77" s="42">
        <f>SmtRes!CZ20</f>
        <v>1495.59</v>
      </c>
      <c r="J77" s="41">
        <f>SmtRes!AJ20</f>
        <v>1.43</v>
      </c>
      <c r="K77" s="42">
        <f>ROUND(I77*J77, 2)</f>
        <v>2138.69</v>
      </c>
      <c r="L77" s="41"/>
      <c r="M77" s="42">
        <f>SmtRes!DG20</f>
        <v>4.33</v>
      </c>
    </row>
    <row r="78" spans="1:83" ht="28.5">
      <c r="A78" s="38"/>
      <c r="B78" s="38"/>
      <c r="C78" s="38" t="s">
        <v>266</v>
      </c>
      <c r="D78" s="38" t="s">
        <v>446</v>
      </c>
      <c r="E78" s="39" t="s">
        <v>252</v>
      </c>
      <c r="F78" s="40">
        <f>SmtRes!DO20*SmtRes!AT20</f>
        <v>0.01</v>
      </c>
      <c r="G78" s="40"/>
      <c r="H78" s="40">
        <f>ROUND(F78*H68, 7)</f>
        <v>2.0230000000000001E-3</v>
      </c>
      <c r="I78" s="42"/>
      <c r="J78" s="41"/>
      <c r="K78" s="42">
        <f>ROUND(SmtRes!AG20/SmtRes!DO20, 2)</f>
        <v>404.99</v>
      </c>
      <c r="L78" s="41"/>
      <c r="M78" s="42">
        <f>SmtRes!DH20</f>
        <v>0.82</v>
      </c>
      <c r="CE78">
        <v>1</v>
      </c>
    </row>
    <row r="79" spans="1:83" ht="57">
      <c r="A79" s="38"/>
      <c r="B79" s="38"/>
      <c r="C79" s="38" t="s">
        <v>267</v>
      </c>
      <c r="D79" s="38" t="s">
        <v>269</v>
      </c>
      <c r="E79" s="39" t="s">
        <v>258</v>
      </c>
      <c r="F79" s="40">
        <v>23.9</v>
      </c>
      <c r="G79" s="40"/>
      <c r="H79" s="40">
        <f>SmtRes!CX21</f>
        <v>4.8349700000000002</v>
      </c>
      <c r="I79" s="42"/>
      <c r="J79" s="41"/>
      <c r="K79" s="42">
        <f>SmtRes!CZ21</f>
        <v>426.11</v>
      </c>
      <c r="L79" s="41"/>
      <c r="M79" s="42">
        <f>SmtRes!DG21</f>
        <v>2060.23</v>
      </c>
    </row>
    <row r="80" spans="1:83" ht="28.5">
      <c r="A80" s="38"/>
      <c r="B80" s="38"/>
      <c r="C80" s="38" t="s">
        <v>266</v>
      </c>
      <c r="D80" s="38" t="s">
        <v>446</v>
      </c>
      <c r="E80" s="39" t="s">
        <v>252</v>
      </c>
      <c r="F80" s="40">
        <f>SmtRes!DO21*SmtRes!AT21</f>
        <v>23.9</v>
      </c>
      <c r="G80" s="40"/>
      <c r="H80" s="40">
        <f>ROUND(F80*H68, 7)</f>
        <v>4.8349700000000002</v>
      </c>
      <c r="I80" s="42"/>
      <c r="J80" s="41"/>
      <c r="K80" s="42">
        <f>ROUND(SmtRes!AG21/SmtRes!DO21, 2)</f>
        <v>404.99</v>
      </c>
      <c r="L80" s="41"/>
      <c r="M80" s="42">
        <f>SmtRes!DH21</f>
        <v>1958.11</v>
      </c>
      <c r="CE80">
        <v>1</v>
      </c>
    </row>
    <row r="81" spans="1:82" ht="42.75">
      <c r="A81" s="38"/>
      <c r="B81" s="38"/>
      <c r="C81" s="38" t="s">
        <v>270</v>
      </c>
      <c r="D81" s="38" t="s">
        <v>272</v>
      </c>
      <c r="E81" s="39" t="s">
        <v>258</v>
      </c>
      <c r="F81" s="40">
        <v>37.4</v>
      </c>
      <c r="G81" s="40"/>
      <c r="H81" s="40">
        <f>SmtRes!CX22</f>
        <v>7.56602</v>
      </c>
      <c r="I81" s="42">
        <f>SmtRes!CZ22</f>
        <v>2.93</v>
      </c>
      <c r="J81" s="41">
        <f>SmtRes!AJ22</f>
        <v>1.55</v>
      </c>
      <c r="K81" s="42">
        <f>ROUND(I81*J81, 2)</f>
        <v>4.54</v>
      </c>
      <c r="L81" s="41"/>
      <c r="M81" s="42">
        <f>SmtRes!DG22</f>
        <v>34.35</v>
      </c>
    </row>
    <row r="82" spans="1:82" ht="15">
      <c r="A82" s="37"/>
      <c r="B82" s="37"/>
      <c r="C82" s="40">
        <v>4</v>
      </c>
      <c r="D82" s="37" t="s">
        <v>448</v>
      </c>
      <c r="E82" s="39"/>
      <c r="F82" s="44"/>
      <c r="G82" s="40"/>
      <c r="H82" s="40"/>
      <c r="I82" s="40"/>
      <c r="J82" s="40"/>
      <c r="K82" s="40"/>
      <c r="L82" s="40"/>
      <c r="M82" s="45">
        <f>SUM(M83:M88)-SUMIF(CE83:CE88, 1, M83:M88)</f>
        <v>571.7299999999999</v>
      </c>
    </row>
    <row r="83" spans="1:82" ht="14.25">
      <c r="A83" s="38"/>
      <c r="B83" s="38"/>
      <c r="C83" s="38" t="s">
        <v>273</v>
      </c>
      <c r="D83" s="38" t="s">
        <v>275</v>
      </c>
      <c r="E83" s="39" t="s">
        <v>276</v>
      </c>
      <c r="F83" s="40">
        <v>68.3</v>
      </c>
      <c r="G83" s="40"/>
      <c r="H83" s="40">
        <f>SmtRes!CX23</f>
        <v>13.81709</v>
      </c>
      <c r="I83" s="42">
        <f>SmtRes!CZ23</f>
        <v>10.16</v>
      </c>
      <c r="J83" s="41">
        <f>SmtRes!AI23</f>
        <v>1.4</v>
      </c>
      <c r="K83" s="42">
        <f t="shared" ref="K83:K88" si="1">ROUND(I83*J83, 2)</f>
        <v>14.22</v>
      </c>
      <c r="L83" s="41"/>
      <c r="M83" s="42">
        <f>SmtRes!DF23</f>
        <v>196.48</v>
      </c>
    </row>
    <row r="84" spans="1:82" ht="14.25">
      <c r="A84" s="38"/>
      <c r="B84" s="38"/>
      <c r="C84" s="38" t="s">
        <v>277</v>
      </c>
      <c r="D84" s="38" t="s">
        <v>279</v>
      </c>
      <c r="E84" s="39" t="s">
        <v>65</v>
      </c>
      <c r="F84" s="40">
        <v>7.4999999999999997E-3</v>
      </c>
      <c r="G84" s="40"/>
      <c r="H84" s="40">
        <f>SmtRes!CX24</f>
        <v>1.5173000000000001E-3</v>
      </c>
      <c r="I84" s="42">
        <f>SmtRes!CZ24</f>
        <v>35.71</v>
      </c>
      <c r="J84" s="41">
        <f>SmtRes!AI24</f>
        <v>0.83</v>
      </c>
      <c r="K84" s="42">
        <f t="shared" si="1"/>
        <v>29.64</v>
      </c>
      <c r="L84" s="41"/>
      <c r="M84" s="42">
        <f>SmtRes!DF24</f>
        <v>0.04</v>
      </c>
    </row>
    <row r="85" spans="1:82" ht="28.5">
      <c r="A85" s="38"/>
      <c r="B85" s="38"/>
      <c r="C85" s="38" t="s">
        <v>280</v>
      </c>
      <c r="D85" s="38" t="s">
        <v>282</v>
      </c>
      <c r="E85" s="39" t="s">
        <v>97</v>
      </c>
      <c r="F85" s="40">
        <v>24.5</v>
      </c>
      <c r="G85" s="40"/>
      <c r="H85" s="40">
        <f>SmtRes!CX25</f>
        <v>4.9563499999999996</v>
      </c>
      <c r="I85" s="42">
        <f>SmtRes!CZ25</f>
        <v>12.83</v>
      </c>
      <c r="J85" s="41">
        <f>SmtRes!AI25</f>
        <v>1.18</v>
      </c>
      <c r="K85" s="42">
        <f t="shared" si="1"/>
        <v>15.14</v>
      </c>
      <c r="L85" s="41"/>
      <c r="M85" s="42">
        <f>SmtRes!DF25</f>
        <v>75.040000000000006</v>
      </c>
    </row>
    <row r="86" spans="1:82" ht="42.75">
      <c r="A86" s="38"/>
      <c r="B86" s="38"/>
      <c r="C86" s="38" t="s">
        <v>283</v>
      </c>
      <c r="D86" s="38" t="s">
        <v>285</v>
      </c>
      <c r="E86" s="39" t="s">
        <v>46</v>
      </c>
      <c r="F86" s="40">
        <v>1.7999999999999999E-2</v>
      </c>
      <c r="G86" s="40"/>
      <c r="H86" s="40">
        <f>SmtRes!CX27</f>
        <v>3.6413999999999999E-3</v>
      </c>
      <c r="I86" s="42">
        <f>SmtRes!CZ27</f>
        <v>89073.2</v>
      </c>
      <c r="J86" s="41">
        <f>SmtRes!AI27</f>
        <v>0.77</v>
      </c>
      <c r="K86" s="42">
        <f t="shared" si="1"/>
        <v>68586.36</v>
      </c>
      <c r="L86" s="41"/>
      <c r="M86" s="42">
        <f>SmtRes!DF27</f>
        <v>249.75</v>
      </c>
    </row>
    <row r="87" spans="1:82" ht="28.5">
      <c r="A87" s="38"/>
      <c r="B87" s="38"/>
      <c r="C87" s="38" t="s">
        <v>289</v>
      </c>
      <c r="D87" s="38" t="s">
        <v>291</v>
      </c>
      <c r="E87" s="39" t="s">
        <v>28</v>
      </c>
      <c r="F87" s="40">
        <v>0.13</v>
      </c>
      <c r="G87" s="40"/>
      <c r="H87" s="40">
        <f>SmtRes!CX28</f>
        <v>2.6298999999999999E-2</v>
      </c>
      <c r="I87" s="42">
        <f>SmtRes!CZ28</f>
        <v>432.32</v>
      </c>
      <c r="J87" s="41">
        <f>SmtRes!AI28</f>
        <v>1.42</v>
      </c>
      <c r="K87" s="42">
        <f t="shared" si="1"/>
        <v>613.89</v>
      </c>
      <c r="L87" s="41"/>
      <c r="M87" s="42">
        <f>SmtRes!DF28</f>
        <v>16.14</v>
      </c>
    </row>
    <row r="88" spans="1:82" ht="14.25">
      <c r="A88" s="38"/>
      <c r="B88" s="38"/>
      <c r="C88" s="38" t="s">
        <v>292</v>
      </c>
      <c r="D88" s="38" t="s">
        <v>294</v>
      </c>
      <c r="E88" s="39" t="s">
        <v>295</v>
      </c>
      <c r="F88" s="40">
        <v>0.51</v>
      </c>
      <c r="G88" s="40"/>
      <c r="H88" s="40">
        <f>SmtRes!CX29</f>
        <v>0.103173</v>
      </c>
      <c r="I88" s="42">
        <f>SmtRes!CZ29</f>
        <v>237.35</v>
      </c>
      <c r="J88" s="41">
        <f>SmtRes!AI29</f>
        <v>1.4</v>
      </c>
      <c r="K88" s="42">
        <f t="shared" si="1"/>
        <v>332.29</v>
      </c>
      <c r="L88" s="41"/>
      <c r="M88" s="42">
        <f>SmtRes!DF29</f>
        <v>34.28</v>
      </c>
    </row>
    <row r="89" spans="1:82" ht="14.25">
      <c r="A89" s="38"/>
      <c r="B89" s="38"/>
      <c r="C89" s="38" t="str">
        <f>EtalonRes!I26</f>
        <v>01.7.17.06</v>
      </c>
      <c r="D89" s="46" t="str">
        <f>EtalonRes!K26</f>
        <v>Диск отрезной алмазный</v>
      </c>
      <c r="E89" s="47" t="str">
        <f>EtalonRes!O26</f>
        <v>ШТ</v>
      </c>
      <c r="F89" s="48">
        <f>EtalonRes!X26</f>
        <v>3.0000000000000001E-3</v>
      </c>
      <c r="G89" s="48"/>
      <c r="H89" s="48">
        <f>ROUND(EtalonRes!AG26*Source!I26, 7)</f>
        <v>6.0689999999999995E-4</v>
      </c>
      <c r="I89" s="49"/>
      <c r="J89" s="50"/>
      <c r="K89" s="49"/>
      <c r="L89" s="50"/>
      <c r="M89" s="49"/>
    </row>
    <row r="90" spans="1:82" ht="15">
      <c r="A90" s="38"/>
      <c r="B90" s="38"/>
      <c r="C90" s="38"/>
      <c r="D90" s="53" t="s">
        <v>449</v>
      </c>
      <c r="E90" s="39"/>
      <c r="F90" s="40"/>
      <c r="G90" s="40"/>
      <c r="H90" s="40"/>
      <c r="I90" s="42"/>
      <c r="J90" s="41"/>
      <c r="K90" s="42"/>
      <c r="L90" s="41"/>
      <c r="M90" s="42">
        <f>M70+M72+M73+M82</f>
        <v>25158.09</v>
      </c>
    </row>
    <row r="91" spans="1:82" ht="14.25">
      <c r="A91" s="38"/>
      <c r="B91" s="38"/>
      <c r="C91" s="38"/>
      <c r="D91" s="38" t="s">
        <v>450</v>
      </c>
      <c r="E91" s="39"/>
      <c r="F91" s="40"/>
      <c r="G91" s="40"/>
      <c r="H91" s="40"/>
      <c r="I91" s="42"/>
      <c r="J91" s="41"/>
      <c r="K91" s="42"/>
      <c r="L91" s="41"/>
      <c r="M91" s="42">
        <f>SUM(AR68:AR94)+SUM(AS68:AS94)+SUM(AT68:AT94)+SUM(AU68:AU94)+SUM(AV68:AV94)</f>
        <v>21852.639999999999</v>
      </c>
    </row>
    <row r="92" spans="1:82" ht="14.25">
      <c r="A92" s="38"/>
      <c r="B92" s="38"/>
      <c r="C92" s="38" t="s">
        <v>23</v>
      </c>
      <c r="D92" s="38" t="s">
        <v>451</v>
      </c>
      <c r="E92" s="39" t="s">
        <v>452</v>
      </c>
      <c r="F92" s="40">
        <f>Source!BZ26</f>
        <v>102</v>
      </c>
      <c r="G92" s="40"/>
      <c r="H92" s="40">
        <f>Source!AT26</f>
        <v>102</v>
      </c>
      <c r="I92" s="42"/>
      <c r="J92" s="41"/>
      <c r="K92" s="42"/>
      <c r="L92" s="41"/>
      <c r="M92" s="42">
        <f>SUM(AZ68:AZ94)</f>
        <v>22289.69</v>
      </c>
    </row>
    <row r="93" spans="1:82" ht="14.25">
      <c r="A93" s="46"/>
      <c r="B93" s="46"/>
      <c r="C93" s="46" t="s">
        <v>24</v>
      </c>
      <c r="D93" s="46" t="s">
        <v>453</v>
      </c>
      <c r="E93" s="47" t="s">
        <v>452</v>
      </c>
      <c r="F93" s="48">
        <f>Source!CA26</f>
        <v>54</v>
      </c>
      <c r="G93" s="48"/>
      <c r="H93" s="48">
        <f>Source!AU26</f>
        <v>54</v>
      </c>
      <c r="I93" s="49"/>
      <c r="J93" s="50"/>
      <c r="K93" s="49"/>
      <c r="L93" s="50"/>
      <c r="M93" s="49">
        <f>SUM(BA68:BA94)</f>
        <v>11800.43</v>
      </c>
    </row>
    <row r="94" spans="1:82" ht="15">
      <c r="D94" s="112" t="s">
        <v>454</v>
      </c>
      <c r="E94" s="112"/>
      <c r="F94" s="112"/>
      <c r="G94" s="112"/>
      <c r="H94" s="112"/>
      <c r="I94" s="112"/>
      <c r="J94" s="113">
        <f>IF(F68&lt;&gt;0,L94/F68, 0)</f>
        <v>292873.01038062287</v>
      </c>
      <c r="K94" s="113"/>
      <c r="L94" s="113">
        <f>M70+M72+M82+M92+M93+M73</f>
        <v>59248.210000000006</v>
      </c>
      <c r="M94" s="113"/>
      <c r="AD94">
        <f>ROUND((Source!AT26/100)*((ROUND(SUMIF(SmtRes!AQ16:'SmtRes'!AQ29,"=1",SmtRes!AD16:'SmtRes'!AD29)*Source!I26, 2)+ROUND(SUMIF(SmtRes!AQ16:'SmtRes'!AQ29,"=1",SmtRes!AC16:'SmtRes'!AC29)*Source!I26, 2))), 2)</f>
        <v>333.65</v>
      </c>
      <c r="AE94">
        <f>ROUND((Source!AU26/100)*((ROUND(SUMIF(SmtRes!AQ16:'SmtRes'!AQ29,"=1",SmtRes!AD16:'SmtRes'!AD29)*Source!I26, 2)+ROUND(SUMIF(SmtRes!AQ16:'SmtRes'!AQ29,"=1",SmtRes!AC16:'SmtRes'!AC29)*Source!I26, 2))), 2)</f>
        <v>176.64</v>
      </c>
      <c r="AN94" s="51">
        <f>M70+M72+M82+M92+M93+M73</f>
        <v>59248.210000000006</v>
      </c>
      <c r="AO94" s="51">
        <f>M72</f>
        <v>2733.7200000000003</v>
      </c>
      <c r="AQ94" t="s">
        <v>455</v>
      </c>
      <c r="AR94" s="51">
        <f>M70</f>
        <v>19719.52</v>
      </c>
      <c r="AT94" s="51">
        <f>M73</f>
        <v>2133.12</v>
      </c>
      <c r="AV94" t="s">
        <v>455</v>
      </c>
      <c r="AW94" s="51">
        <f>M82</f>
        <v>571.7299999999999</v>
      </c>
      <c r="AZ94">
        <f>Source!X26</f>
        <v>22289.69</v>
      </c>
      <c r="BA94">
        <f>Source!Y26</f>
        <v>11800.43</v>
      </c>
      <c r="CD94">
        <v>1</v>
      </c>
    </row>
    <row r="95" spans="1:82" ht="28.5">
      <c r="A95" s="36" t="s">
        <v>34</v>
      </c>
      <c r="B95" s="36" t="s">
        <v>34</v>
      </c>
      <c r="C95" s="38" t="s">
        <v>457</v>
      </c>
      <c r="D95" s="38" t="str">
        <f>Source!G28</f>
        <v>Разборка облицовки стен: из гранитных плит</v>
      </c>
      <c r="E95" s="39" t="str">
        <f>Source!H28</f>
        <v>100 м2</v>
      </c>
      <c r="F95" s="40">
        <f>Source!K28</f>
        <v>7.3999999999999996E-2</v>
      </c>
      <c r="G95" s="40"/>
      <c r="H95" s="40">
        <f>Source!I28</f>
        <v>7.3999999999999996E-2</v>
      </c>
      <c r="I95" s="42"/>
      <c r="J95" s="41"/>
      <c r="K95" s="42"/>
      <c r="L95" s="41"/>
      <c r="M95" s="42"/>
    </row>
    <row r="96" spans="1:82">
      <c r="D96" s="43" t="str">
        <f>"Объем: "&amp;Source!I28&amp;"=7,4/"&amp;"100"</f>
        <v>Объем: 0,074=7,4/100</v>
      </c>
    </row>
    <row r="97" spans="1:83" ht="15">
      <c r="A97" s="37"/>
      <c r="B97" s="37"/>
      <c r="C97" s="40">
        <v>1</v>
      </c>
      <c r="D97" s="37" t="s">
        <v>443</v>
      </c>
      <c r="E97" s="39" t="s">
        <v>252</v>
      </c>
      <c r="F97" s="44"/>
      <c r="G97" s="40"/>
      <c r="H97" s="40">
        <f>Source!U28</f>
        <v>39.3902</v>
      </c>
      <c r="I97" s="40"/>
      <c r="J97" s="40"/>
      <c r="K97" s="40"/>
      <c r="L97" s="40"/>
      <c r="M97" s="45">
        <f>SUM(M98:M98)-SUMIF(CE98:CE98, 1, M98:M98)</f>
        <v>13095.27</v>
      </c>
    </row>
    <row r="98" spans="1:83" ht="14.25">
      <c r="A98" s="38"/>
      <c r="B98" s="38"/>
      <c r="C98" s="38" t="s">
        <v>298</v>
      </c>
      <c r="D98" s="38" t="s">
        <v>299</v>
      </c>
      <c r="E98" s="39" t="s">
        <v>252</v>
      </c>
      <c r="F98" s="40">
        <v>532.29999999999995</v>
      </c>
      <c r="G98" s="40"/>
      <c r="H98" s="40">
        <f>SmtRes!CX30</f>
        <v>39.3902</v>
      </c>
      <c r="I98" s="42"/>
      <c r="J98" s="41"/>
      <c r="K98" s="42">
        <f>SmtRes!CZ30</f>
        <v>332.45</v>
      </c>
      <c r="L98" s="41"/>
      <c r="M98" s="42">
        <f>SmtRes!DI30</f>
        <v>13095.27</v>
      </c>
    </row>
    <row r="99" spans="1:83" ht="15">
      <c r="A99" s="37"/>
      <c r="B99" s="37"/>
      <c r="C99" s="40">
        <v>2</v>
      </c>
      <c r="D99" s="37" t="s">
        <v>444</v>
      </c>
      <c r="E99" s="39"/>
      <c r="F99" s="44"/>
      <c r="G99" s="40"/>
      <c r="H99" s="40"/>
      <c r="I99" s="40"/>
      <c r="J99" s="40"/>
      <c r="K99" s="40"/>
      <c r="L99" s="40"/>
      <c r="M99" s="45">
        <f>SUM(M100:M104)-SUMIF(CE100:CE104, 1, M100:M104)</f>
        <v>105.86999999999998</v>
      </c>
    </row>
    <row r="100" spans="1:83" ht="15">
      <c r="A100" s="37"/>
      <c r="B100" s="37"/>
      <c r="C100" s="40"/>
      <c r="D100" s="37" t="s">
        <v>447</v>
      </c>
      <c r="E100" s="39" t="s">
        <v>252</v>
      </c>
      <c r="F100" s="44"/>
      <c r="G100" s="40"/>
      <c r="H100" s="40">
        <f>Source!V28</f>
        <v>0.11322</v>
      </c>
      <c r="I100" s="40"/>
      <c r="J100" s="40"/>
      <c r="K100" s="40"/>
      <c r="L100" s="40"/>
      <c r="M100" s="45">
        <f>SUMIF(CE101:CE104, 1, M101:M104)</f>
        <v>40.72</v>
      </c>
      <c r="CE100">
        <v>1</v>
      </c>
    </row>
    <row r="101" spans="1:83" ht="42.75">
      <c r="A101" s="38"/>
      <c r="B101" s="38"/>
      <c r="C101" s="38" t="s">
        <v>300</v>
      </c>
      <c r="D101" s="38" t="s">
        <v>302</v>
      </c>
      <c r="E101" s="39" t="s">
        <v>258</v>
      </c>
      <c r="F101" s="40">
        <v>1.53</v>
      </c>
      <c r="G101" s="40"/>
      <c r="H101" s="40">
        <f>SmtRes!CX32</f>
        <v>0.11322</v>
      </c>
      <c r="I101" s="42">
        <f>SmtRes!CZ32</f>
        <v>37.32</v>
      </c>
      <c r="J101" s="41">
        <f>SmtRes!AJ32</f>
        <v>1.63</v>
      </c>
      <c r="K101" s="42">
        <f>ROUND(I101*J101, 2)</f>
        <v>60.83</v>
      </c>
      <c r="L101" s="41"/>
      <c r="M101" s="42">
        <f>SmtRes!DG32</f>
        <v>6.89</v>
      </c>
    </row>
    <row r="102" spans="1:83" ht="28.5">
      <c r="A102" s="38"/>
      <c r="B102" s="38"/>
      <c r="C102" s="38" t="s">
        <v>303</v>
      </c>
      <c r="D102" s="38" t="s">
        <v>458</v>
      </c>
      <c r="E102" s="39" t="s">
        <v>252</v>
      </c>
      <c r="F102" s="40">
        <f>SmtRes!DO32*SmtRes!AT32</f>
        <v>1.53</v>
      </c>
      <c r="G102" s="40"/>
      <c r="H102" s="40">
        <f>ROUND(F102*H95, 7)</f>
        <v>0.11322</v>
      </c>
      <c r="I102" s="42"/>
      <c r="J102" s="41"/>
      <c r="K102" s="42">
        <f>ROUND(SmtRes!AG32/SmtRes!DO32, 2)</f>
        <v>359.65</v>
      </c>
      <c r="L102" s="41"/>
      <c r="M102" s="42">
        <f>SmtRes!DH32</f>
        <v>40.72</v>
      </c>
      <c r="CE102">
        <v>1</v>
      </c>
    </row>
    <row r="103" spans="1:83" ht="57">
      <c r="A103" s="38"/>
      <c r="B103" s="38"/>
      <c r="C103" s="38" t="s">
        <v>304</v>
      </c>
      <c r="D103" s="38" t="s">
        <v>306</v>
      </c>
      <c r="E103" s="39" t="s">
        <v>258</v>
      </c>
      <c r="F103" s="40">
        <v>7.14</v>
      </c>
      <c r="G103" s="40"/>
      <c r="H103" s="40">
        <f>SmtRes!CX33</f>
        <v>0.52836000000000005</v>
      </c>
      <c r="I103" s="42">
        <f>SmtRes!CZ33</f>
        <v>115.43</v>
      </c>
      <c r="J103" s="41">
        <f>SmtRes!AJ33</f>
        <v>1.57</v>
      </c>
      <c r="K103" s="42">
        <f>ROUND(I103*J103, 2)</f>
        <v>181.23</v>
      </c>
      <c r="L103" s="41"/>
      <c r="M103" s="42">
        <f>SmtRes!DG33</f>
        <v>95.75</v>
      </c>
    </row>
    <row r="104" spans="1:83" ht="42.75">
      <c r="A104" s="38"/>
      <c r="B104" s="38"/>
      <c r="C104" s="38" t="s">
        <v>307</v>
      </c>
      <c r="D104" s="46" t="s">
        <v>309</v>
      </c>
      <c r="E104" s="47" t="s">
        <v>258</v>
      </c>
      <c r="F104" s="48">
        <v>14.28</v>
      </c>
      <c r="G104" s="48"/>
      <c r="H104" s="48">
        <f>SmtRes!CX34</f>
        <v>1.0567200000000001</v>
      </c>
      <c r="I104" s="49">
        <f>SmtRes!CZ34</f>
        <v>2.11</v>
      </c>
      <c r="J104" s="50">
        <f>SmtRes!AJ34</f>
        <v>1.45</v>
      </c>
      <c r="K104" s="49">
        <f>ROUND(I104*J104, 2)</f>
        <v>3.06</v>
      </c>
      <c r="L104" s="50"/>
      <c r="M104" s="49">
        <f>SmtRes!DG34</f>
        <v>3.23</v>
      </c>
    </row>
    <row r="105" spans="1:83" ht="15">
      <c r="A105" s="38"/>
      <c r="B105" s="38"/>
      <c r="C105" s="38"/>
      <c r="D105" s="53" t="s">
        <v>449</v>
      </c>
      <c r="E105" s="39"/>
      <c r="F105" s="40"/>
      <c r="G105" s="40"/>
      <c r="H105" s="40"/>
      <c r="I105" s="42"/>
      <c r="J105" s="41"/>
      <c r="K105" s="42"/>
      <c r="L105" s="41"/>
      <c r="M105" s="42">
        <f>M97+M99+M100</f>
        <v>13241.86</v>
      </c>
    </row>
    <row r="106" spans="1:83" ht="14.25">
      <c r="A106" s="36" t="s">
        <v>459</v>
      </c>
      <c r="B106" s="36" t="s">
        <v>459</v>
      </c>
      <c r="C106" s="38" t="str">
        <f>Source!F29</f>
        <v>999-9900</v>
      </c>
      <c r="D106" s="38" t="str">
        <f>Source!G29</f>
        <v>Строительный мусор</v>
      </c>
      <c r="E106" s="39" t="str">
        <f>Source!H29</f>
        <v>т</v>
      </c>
      <c r="F106" s="40">
        <f>SmtRes!AT35</f>
        <v>19.3</v>
      </c>
      <c r="G106" s="40"/>
      <c r="H106" s="40">
        <f>Source!I29</f>
        <v>1.4281999999999999</v>
      </c>
      <c r="I106" s="42">
        <f>Source!AL29+Source!AO29+Source!AM29+Source!AN29</f>
        <v>0</v>
      </c>
      <c r="J106" s="41"/>
      <c r="K106" s="42"/>
      <c r="L106" s="41"/>
      <c r="M106" s="42">
        <f>Source!P29</f>
        <v>0</v>
      </c>
      <c r="AD106">
        <f>ROUND((Source!AT29/100)*((ROUND(ROUND(Source!AO29,2)*Source!I29, 2)+ROUND(ROUND(Source!AN29,2)*Source!I29, 2))), 2)</f>
        <v>0</v>
      </c>
      <c r="AE106">
        <f>ROUND((Source!AU29/100)*((ROUND(ROUND(Source!AO29,2)*Source!I29, 2)+ROUND(ROUND(Source!AN29,2)*Source!I29, 2))), 2)</f>
        <v>0</v>
      </c>
      <c r="AN106">
        <f>M106</f>
        <v>0</v>
      </c>
      <c r="AW106">
        <f>M106</f>
        <v>0</v>
      </c>
      <c r="AZ106">
        <f>Source!X29</f>
        <v>0</v>
      </c>
      <c r="BA106">
        <f>Source!Y29</f>
        <v>0</v>
      </c>
      <c r="CD106">
        <v>1</v>
      </c>
    </row>
    <row r="107" spans="1:83" ht="14.25">
      <c r="A107" s="38"/>
      <c r="B107" s="38"/>
      <c r="C107" s="38"/>
      <c r="D107" s="38" t="s">
        <v>450</v>
      </c>
      <c r="E107" s="39"/>
      <c r="F107" s="40"/>
      <c r="G107" s="40"/>
      <c r="H107" s="40"/>
      <c r="I107" s="42"/>
      <c r="J107" s="41"/>
      <c r="K107" s="42"/>
      <c r="L107" s="41"/>
      <c r="M107" s="42">
        <f>SUM(AR95:AR110)+SUM(AS95:AS110)+SUM(AT95:AT110)+SUM(AU95:AU110)+SUM(AV95:AV110)</f>
        <v>13135.99</v>
      </c>
    </row>
    <row r="108" spans="1:83" ht="28.5">
      <c r="A108" s="38"/>
      <c r="B108" s="38"/>
      <c r="C108" s="38" t="s">
        <v>41</v>
      </c>
      <c r="D108" s="38" t="s">
        <v>460</v>
      </c>
      <c r="E108" s="39" t="s">
        <v>452</v>
      </c>
      <c r="F108" s="40">
        <f>Source!BZ28</f>
        <v>90</v>
      </c>
      <c r="G108" s="40"/>
      <c r="H108" s="40">
        <f>Source!AT28</f>
        <v>90</v>
      </c>
      <c r="I108" s="42"/>
      <c r="J108" s="41"/>
      <c r="K108" s="42"/>
      <c r="L108" s="41"/>
      <c r="M108" s="42">
        <f>SUM(AZ95:AZ110)</f>
        <v>11822.39</v>
      </c>
    </row>
    <row r="109" spans="1:83" ht="28.5">
      <c r="A109" s="46"/>
      <c r="B109" s="46"/>
      <c r="C109" s="46" t="s">
        <v>42</v>
      </c>
      <c r="D109" s="46" t="s">
        <v>461</v>
      </c>
      <c r="E109" s="47" t="s">
        <v>452</v>
      </c>
      <c r="F109" s="48">
        <f>Source!CA28</f>
        <v>45</v>
      </c>
      <c r="G109" s="48"/>
      <c r="H109" s="48">
        <f>Source!AU28</f>
        <v>45</v>
      </c>
      <c r="I109" s="49"/>
      <c r="J109" s="50"/>
      <c r="K109" s="49"/>
      <c r="L109" s="50"/>
      <c r="M109" s="49">
        <f>SUM(BA95:BA110)</f>
        <v>5911.2</v>
      </c>
    </row>
    <row r="110" spans="1:83" ht="15">
      <c r="D110" s="112" t="s">
        <v>454</v>
      </c>
      <c r="E110" s="112"/>
      <c r="F110" s="112"/>
      <c r="G110" s="112"/>
      <c r="H110" s="112"/>
      <c r="I110" s="112"/>
      <c r="J110" s="113">
        <f>IF(F95&lt;&gt;0,L110/F95, 0)</f>
        <v>418587.16216216219</v>
      </c>
      <c r="K110" s="113"/>
      <c r="L110" s="113">
        <f>M97+M99+M108+M109+M100+SUM(M106:M106)</f>
        <v>30975.45</v>
      </c>
      <c r="M110" s="113"/>
      <c r="AD110">
        <f>ROUND((Source!AT28/100)*((ROUND(SUMIF(SmtRes!AQ30:'SmtRes'!AQ35,"=1",SmtRes!AD30:'SmtRes'!AD35)*Source!I28, 2)+ROUND(SUMIF(SmtRes!AQ30:'SmtRes'!AQ35,"=1",SmtRes!AC30:'SmtRes'!AC35)*Source!I28, 2))), 2)</f>
        <v>46.09</v>
      </c>
      <c r="AE110">
        <f>ROUND((Source!AU28/100)*((ROUND(SUMIF(SmtRes!AQ30:'SmtRes'!AQ35,"=1",SmtRes!AD30:'SmtRes'!AD35)*Source!I28, 2)+ROUND(SUMIF(SmtRes!AQ30:'SmtRes'!AQ35,"=1",SmtRes!AC30:'SmtRes'!AC35)*Source!I28, 2))), 2)</f>
        <v>23.04</v>
      </c>
      <c r="AN110" s="51">
        <f>M97+M99+M108+M109+M100</f>
        <v>30975.45</v>
      </c>
      <c r="AO110" s="51">
        <f>M99</f>
        <v>105.86999999999998</v>
      </c>
      <c r="AQ110" t="s">
        <v>455</v>
      </c>
      <c r="AR110" s="51">
        <f>M97</f>
        <v>13095.27</v>
      </c>
      <c r="AT110" s="51">
        <f>M100</f>
        <v>40.72</v>
      </c>
      <c r="AV110" t="s">
        <v>455</v>
      </c>
      <c r="AW110">
        <f>0</f>
        <v>0</v>
      </c>
      <c r="AZ110">
        <f>Source!X28</f>
        <v>11822.39</v>
      </c>
      <c r="BA110">
        <f>Source!Y28</f>
        <v>5911.2</v>
      </c>
      <c r="CD110">
        <v>1</v>
      </c>
    </row>
    <row r="111" spans="1:83" ht="28.5">
      <c r="A111" s="36" t="s">
        <v>47</v>
      </c>
      <c r="B111" s="36" t="s">
        <v>47</v>
      </c>
      <c r="C111" s="38" t="s">
        <v>462</v>
      </c>
      <c r="D111" s="38" t="str">
        <f>Source!G30</f>
        <v>Разборка покрытий полов: цементных толщиной 150 мм</v>
      </c>
      <c r="E111" s="39" t="str">
        <f>Source!H30</f>
        <v>100 м2</v>
      </c>
      <c r="F111" s="40">
        <f>Source!K30</f>
        <v>0.36509999999999998</v>
      </c>
      <c r="G111" s="40"/>
      <c r="H111" s="40">
        <f>Source!I30</f>
        <v>0.36509999999999998</v>
      </c>
      <c r="I111" s="42"/>
      <c r="J111" s="41"/>
      <c r="K111" s="42"/>
      <c r="L111" s="41"/>
      <c r="M111" s="42"/>
    </row>
    <row r="112" spans="1:83">
      <c r="D112" s="43" t="str">
        <f>"Объем: "&amp;Source!I30&amp;"=36,51/"&amp;"100"</f>
        <v>Объем: 0,3651=36,51/100</v>
      </c>
    </row>
    <row r="113" spans="1:83" ht="15">
      <c r="A113" s="37"/>
      <c r="B113" s="37"/>
      <c r="C113" s="40">
        <v>1</v>
      </c>
      <c r="D113" s="37" t="s">
        <v>443</v>
      </c>
      <c r="E113" s="39" t="s">
        <v>252</v>
      </c>
      <c r="F113" s="44"/>
      <c r="G113" s="40"/>
      <c r="H113" s="40">
        <f>Source!U30</f>
        <v>40.599119999999999</v>
      </c>
      <c r="I113" s="40"/>
      <c r="J113" s="40"/>
      <c r="K113" s="40"/>
      <c r="L113" s="40"/>
      <c r="M113" s="45">
        <f>SUM(M114:M114)-SUMIF(CE114:CE114, 1, M114:M114)</f>
        <v>14601.47</v>
      </c>
    </row>
    <row r="114" spans="1:83" ht="14.25">
      <c r="A114" s="38"/>
      <c r="B114" s="38"/>
      <c r="C114" s="38" t="s">
        <v>310</v>
      </c>
      <c r="D114" s="38" t="s">
        <v>311</v>
      </c>
      <c r="E114" s="39" t="s">
        <v>252</v>
      </c>
      <c r="F114" s="40">
        <v>111.2</v>
      </c>
      <c r="G114" s="40"/>
      <c r="H114" s="40">
        <f>SmtRes!CX36</f>
        <v>40.599119999999999</v>
      </c>
      <c r="I114" s="42"/>
      <c r="J114" s="41"/>
      <c r="K114" s="42">
        <f>SmtRes!CZ36</f>
        <v>359.65</v>
      </c>
      <c r="L114" s="41"/>
      <c r="M114" s="42">
        <f>SmtRes!DI36</f>
        <v>14601.47</v>
      </c>
    </row>
    <row r="115" spans="1:83" ht="15">
      <c r="A115" s="37"/>
      <c r="B115" s="37"/>
      <c r="C115" s="40">
        <v>2</v>
      </c>
      <c r="D115" s="37" t="s">
        <v>444</v>
      </c>
      <c r="E115" s="39"/>
      <c r="F115" s="44"/>
      <c r="G115" s="40"/>
      <c r="H115" s="40"/>
      <c r="I115" s="40"/>
      <c r="J115" s="40"/>
      <c r="K115" s="40"/>
      <c r="L115" s="40"/>
      <c r="M115" s="45">
        <f>SUM(M116:M120)-SUMIF(CE116:CE120, 1, M116:M120)</f>
        <v>1353.2900000000002</v>
      </c>
    </row>
    <row r="116" spans="1:83" ht="15">
      <c r="A116" s="37"/>
      <c r="B116" s="37"/>
      <c r="C116" s="40"/>
      <c r="D116" s="37" t="s">
        <v>447</v>
      </c>
      <c r="E116" s="39" t="s">
        <v>252</v>
      </c>
      <c r="F116" s="44"/>
      <c r="G116" s="40"/>
      <c r="H116" s="40">
        <f>Source!V30</f>
        <v>0.65717999999999999</v>
      </c>
      <c r="I116" s="40"/>
      <c r="J116" s="40"/>
      <c r="K116" s="40"/>
      <c r="L116" s="40"/>
      <c r="M116" s="45">
        <f>SUMIF(CE117:CE120, 1, M117:M120)</f>
        <v>236.35</v>
      </c>
      <c r="CE116">
        <v>1</v>
      </c>
    </row>
    <row r="117" spans="1:83" ht="42.75">
      <c r="A117" s="38"/>
      <c r="B117" s="38"/>
      <c r="C117" s="38" t="s">
        <v>300</v>
      </c>
      <c r="D117" s="38" t="s">
        <v>302</v>
      </c>
      <c r="E117" s="39" t="s">
        <v>258</v>
      </c>
      <c r="F117" s="40">
        <v>1.8</v>
      </c>
      <c r="G117" s="40"/>
      <c r="H117" s="40">
        <f>SmtRes!CX38</f>
        <v>0.65717999999999999</v>
      </c>
      <c r="I117" s="42">
        <f>SmtRes!CZ38</f>
        <v>37.32</v>
      </c>
      <c r="J117" s="41">
        <f>SmtRes!AJ38</f>
        <v>1.63</v>
      </c>
      <c r="K117" s="42">
        <f>ROUND(I117*J117, 2)</f>
        <v>60.83</v>
      </c>
      <c r="L117" s="41"/>
      <c r="M117" s="42">
        <f>SmtRes!DG38</f>
        <v>39.979999999999997</v>
      </c>
    </row>
    <row r="118" spans="1:83" ht="28.5">
      <c r="A118" s="38"/>
      <c r="B118" s="38"/>
      <c r="C118" s="38" t="s">
        <v>303</v>
      </c>
      <c r="D118" s="38" t="s">
        <v>458</v>
      </c>
      <c r="E118" s="39" t="s">
        <v>252</v>
      </c>
      <c r="F118" s="40">
        <f>SmtRes!DO38*SmtRes!AT38</f>
        <v>1.8</v>
      </c>
      <c r="G118" s="40"/>
      <c r="H118" s="40">
        <f>ROUND(F118*H111, 7)</f>
        <v>0.65717999999999999</v>
      </c>
      <c r="I118" s="42"/>
      <c r="J118" s="41"/>
      <c r="K118" s="42">
        <f>ROUND(SmtRes!AG38/SmtRes!DO38, 2)</f>
        <v>359.65</v>
      </c>
      <c r="L118" s="41"/>
      <c r="M118" s="42">
        <f>SmtRes!DH38</f>
        <v>236.35</v>
      </c>
      <c r="CE118">
        <v>1</v>
      </c>
    </row>
    <row r="119" spans="1:83" ht="57">
      <c r="A119" s="38"/>
      <c r="B119" s="38"/>
      <c r="C119" s="38" t="s">
        <v>304</v>
      </c>
      <c r="D119" s="38" t="s">
        <v>306</v>
      </c>
      <c r="E119" s="39" t="s">
        <v>258</v>
      </c>
      <c r="F119" s="40">
        <v>19.2</v>
      </c>
      <c r="G119" s="40"/>
      <c r="H119" s="40">
        <f>SmtRes!CX39</f>
        <v>7.0099200000000002</v>
      </c>
      <c r="I119" s="42">
        <f>SmtRes!CZ39</f>
        <v>115.43</v>
      </c>
      <c r="J119" s="41">
        <f>SmtRes!AJ39</f>
        <v>1.57</v>
      </c>
      <c r="K119" s="42">
        <f>ROUND(I119*J119, 2)</f>
        <v>181.23</v>
      </c>
      <c r="L119" s="41"/>
      <c r="M119" s="42">
        <f>SmtRes!DG39</f>
        <v>1270.4100000000001</v>
      </c>
    </row>
    <row r="120" spans="1:83" ht="42.75">
      <c r="A120" s="38"/>
      <c r="B120" s="38"/>
      <c r="C120" s="38" t="s">
        <v>307</v>
      </c>
      <c r="D120" s="46" t="s">
        <v>309</v>
      </c>
      <c r="E120" s="47" t="s">
        <v>258</v>
      </c>
      <c r="F120" s="48">
        <v>38.4</v>
      </c>
      <c r="G120" s="48"/>
      <c r="H120" s="48">
        <f>SmtRes!CX40</f>
        <v>14.01984</v>
      </c>
      <c r="I120" s="49">
        <f>SmtRes!CZ40</f>
        <v>2.11</v>
      </c>
      <c r="J120" s="50">
        <f>SmtRes!AJ40</f>
        <v>1.45</v>
      </c>
      <c r="K120" s="49">
        <f>ROUND(I120*J120, 2)</f>
        <v>3.06</v>
      </c>
      <c r="L120" s="50"/>
      <c r="M120" s="49">
        <f>SmtRes!DG40</f>
        <v>42.9</v>
      </c>
    </row>
    <row r="121" spans="1:83" ht="15">
      <c r="A121" s="38"/>
      <c r="B121" s="38"/>
      <c r="C121" s="38"/>
      <c r="D121" s="53" t="s">
        <v>449</v>
      </c>
      <c r="E121" s="39"/>
      <c r="F121" s="40"/>
      <c r="G121" s="40"/>
      <c r="H121" s="40"/>
      <c r="I121" s="42"/>
      <c r="J121" s="41"/>
      <c r="K121" s="42"/>
      <c r="L121" s="41"/>
      <c r="M121" s="42">
        <f>M113+M115+M116</f>
        <v>16191.11</v>
      </c>
    </row>
    <row r="122" spans="1:83" ht="14.25">
      <c r="A122" s="36" t="s">
        <v>463</v>
      </c>
      <c r="B122" s="36" t="s">
        <v>463</v>
      </c>
      <c r="C122" s="38" t="str">
        <f>Source!F31</f>
        <v>999-9900</v>
      </c>
      <c r="D122" s="38" t="str">
        <f>Source!G31</f>
        <v>Строительный мусор</v>
      </c>
      <c r="E122" s="39" t="str">
        <f>Source!H31</f>
        <v>т</v>
      </c>
      <c r="F122" s="40">
        <f>SmtRes!AT41</f>
        <v>33</v>
      </c>
      <c r="G122" s="40"/>
      <c r="H122" s="40">
        <f>Source!I31</f>
        <v>12.048299999999999</v>
      </c>
      <c r="I122" s="42">
        <f>Source!AL31+Source!AO31+Source!AM31+Source!AN31</f>
        <v>0</v>
      </c>
      <c r="J122" s="41"/>
      <c r="K122" s="42"/>
      <c r="L122" s="41"/>
      <c r="M122" s="42">
        <f>Source!P31</f>
        <v>0</v>
      </c>
      <c r="AD122">
        <f>ROUND((Source!AT31/100)*((ROUND(ROUND(Source!AO31,2)*Source!I31, 2)+ROUND(ROUND(Source!AN31,2)*Source!I31, 2))), 2)</f>
        <v>0</v>
      </c>
      <c r="AE122">
        <f>ROUND((Source!AU31/100)*((ROUND(ROUND(Source!AO31,2)*Source!I31, 2)+ROUND(ROUND(Source!AN31,2)*Source!I31, 2))), 2)</f>
        <v>0</v>
      </c>
      <c r="AN122">
        <f>M122</f>
        <v>0</v>
      </c>
      <c r="AW122">
        <f>M122</f>
        <v>0</v>
      </c>
      <c r="AZ122">
        <f>Source!X31</f>
        <v>0</v>
      </c>
      <c r="BA122">
        <f>Source!Y31</f>
        <v>0</v>
      </c>
      <c r="CD122">
        <v>1</v>
      </c>
    </row>
    <row r="123" spans="1:83" ht="14.25">
      <c r="A123" s="38"/>
      <c r="B123" s="38"/>
      <c r="C123" s="38"/>
      <c r="D123" s="38" t="s">
        <v>450</v>
      </c>
      <c r="E123" s="39"/>
      <c r="F123" s="40"/>
      <c r="G123" s="40"/>
      <c r="H123" s="40"/>
      <c r="I123" s="42"/>
      <c r="J123" s="41"/>
      <c r="K123" s="42"/>
      <c r="L123" s="41"/>
      <c r="M123" s="42">
        <f>SUM(AR111:AR126)+SUM(AS111:AS126)+SUM(AT111:AT126)+SUM(AU111:AU126)+SUM(AV111:AV126)</f>
        <v>14837.82</v>
      </c>
    </row>
    <row r="124" spans="1:83" ht="14.25">
      <c r="A124" s="38"/>
      <c r="B124" s="38"/>
      <c r="C124" s="38" t="s">
        <v>53</v>
      </c>
      <c r="D124" s="38" t="s">
        <v>464</v>
      </c>
      <c r="E124" s="39" t="s">
        <v>452</v>
      </c>
      <c r="F124" s="40">
        <f>Source!BZ30</f>
        <v>89</v>
      </c>
      <c r="G124" s="40"/>
      <c r="H124" s="40">
        <f>Source!AT30</f>
        <v>89</v>
      </c>
      <c r="I124" s="42"/>
      <c r="J124" s="41"/>
      <c r="K124" s="42"/>
      <c r="L124" s="41"/>
      <c r="M124" s="42">
        <f>SUM(AZ111:AZ126)</f>
        <v>13205.66</v>
      </c>
    </row>
    <row r="125" spans="1:83" ht="14.25">
      <c r="A125" s="46"/>
      <c r="B125" s="46"/>
      <c r="C125" s="46" t="s">
        <v>54</v>
      </c>
      <c r="D125" s="46" t="s">
        <v>465</v>
      </c>
      <c r="E125" s="47" t="s">
        <v>452</v>
      </c>
      <c r="F125" s="48">
        <f>Source!CA30</f>
        <v>49</v>
      </c>
      <c r="G125" s="48"/>
      <c r="H125" s="48">
        <f>Source!AU30</f>
        <v>49</v>
      </c>
      <c r="I125" s="49"/>
      <c r="J125" s="50"/>
      <c r="K125" s="49"/>
      <c r="L125" s="50"/>
      <c r="M125" s="49">
        <f>SUM(BA111:BA126)</f>
        <v>7270.53</v>
      </c>
    </row>
    <row r="126" spans="1:83" ht="15">
      <c r="D126" s="112" t="s">
        <v>454</v>
      </c>
      <c r="E126" s="112"/>
      <c r="F126" s="112"/>
      <c r="G126" s="112"/>
      <c r="H126" s="112"/>
      <c r="I126" s="112"/>
      <c r="J126" s="113">
        <f>IF(F111&lt;&gt;0,L126/F111, 0)</f>
        <v>100430.84086551629</v>
      </c>
      <c r="K126" s="113"/>
      <c r="L126" s="113">
        <f>M113+M115+M124+M125+M116+SUM(M122:M122)</f>
        <v>36667.299999999996</v>
      </c>
      <c r="M126" s="113"/>
      <c r="AD126">
        <f>ROUND((Source!AT30/100)*((ROUND(SUMIF(SmtRes!AQ36:'SmtRes'!AQ41,"=1",SmtRes!AD36:'SmtRes'!AD41)*Source!I30, 2)+ROUND(SUMIF(SmtRes!AQ36:'SmtRes'!AQ41,"=1",SmtRes!AC36:'SmtRes'!AC41)*Source!I30, 2))), 2)</f>
        <v>233.73</v>
      </c>
      <c r="AE126">
        <f>ROUND((Source!AU30/100)*((ROUND(SUMIF(SmtRes!AQ36:'SmtRes'!AQ41,"=1",SmtRes!AD36:'SmtRes'!AD41)*Source!I30, 2)+ROUND(SUMIF(SmtRes!AQ36:'SmtRes'!AQ41,"=1",SmtRes!AC36:'SmtRes'!AC41)*Source!I30, 2))), 2)</f>
        <v>128.68</v>
      </c>
      <c r="AN126" s="51">
        <f>M113+M115+M124+M125+M116</f>
        <v>36667.299999999996</v>
      </c>
      <c r="AO126" s="51">
        <f>M115</f>
        <v>1353.2900000000002</v>
      </c>
      <c r="AQ126" t="s">
        <v>455</v>
      </c>
      <c r="AR126" s="51">
        <f>M113</f>
        <v>14601.47</v>
      </c>
      <c r="AT126" s="51">
        <f>M116</f>
        <v>236.35</v>
      </c>
      <c r="AV126" t="s">
        <v>455</v>
      </c>
      <c r="AW126">
        <f>0</f>
        <v>0</v>
      </c>
      <c r="AZ126">
        <f>Source!X30</f>
        <v>13205.66</v>
      </c>
      <c r="BA126">
        <f>Source!Y30</f>
        <v>7270.53</v>
      </c>
      <c r="CD126">
        <v>1</v>
      </c>
    </row>
    <row r="127" spans="1:83" ht="106.5">
      <c r="A127" s="36" t="s">
        <v>56</v>
      </c>
      <c r="B127" s="36" t="s">
        <v>56</v>
      </c>
      <c r="C127" s="38" t="s">
        <v>466</v>
      </c>
      <c r="D127" s="38" t="s">
        <v>467</v>
      </c>
      <c r="E127" s="39" t="str">
        <f>Source!H32</f>
        <v>100 м2</v>
      </c>
      <c r="F127" s="40">
        <f>Source!K32</f>
        <v>-0.35610000000000003</v>
      </c>
      <c r="G127" s="40"/>
      <c r="H127" s="40">
        <f>Source!I32</f>
        <v>-0.35610000000000003</v>
      </c>
      <c r="I127" s="42"/>
      <c r="J127" s="41"/>
      <c r="K127" s="42"/>
      <c r="L127" s="41"/>
      <c r="M127" s="42"/>
    </row>
    <row r="128" spans="1:83">
      <c r="D128" s="43" t="str">
        <f>"Объем: "&amp;Source!I32&amp;"=-"&amp;"35,61/"&amp;"100"</f>
        <v>Объем: -0,3561=-35,61/100</v>
      </c>
    </row>
    <row r="129" spans="1:101" ht="15">
      <c r="A129" s="37"/>
      <c r="B129" s="37"/>
      <c r="C129" s="40">
        <v>1</v>
      </c>
      <c r="D129" s="37" t="s">
        <v>443</v>
      </c>
      <c r="E129" s="39" t="s">
        <v>252</v>
      </c>
      <c r="F129" s="44"/>
      <c r="G129" s="40"/>
      <c r="H129" s="40">
        <f>Source!U32</f>
        <v>-9.6859199999999994</v>
      </c>
      <c r="I129" s="40"/>
      <c r="J129" s="40"/>
      <c r="K129" s="40"/>
      <c r="L129" s="40"/>
      <c r="M129" s="45">
        <f>SUM(M130:M130)-SUMIF(CE130:CE130, 1, M130:M130)</f>
        <v>-3483.54</v>
      </c>
    </row>
    <row r="130" spans="1:101" ht="14.25">
      <c r="A130" s="38"/>
      <c r="B130" s="38"/>
      <c r="C130" s="38" t="s">
        <v>310</v>
      </c>
      <c r="D130" s="46" t="s">
        <v>311</v>
      </c>
      <c r="E130" s="47" t="s">
        <v>252</v>
      </c>
      <c r="F130" s="48">
        <v>2.72</v>
      </c>
      <c r="G130" s="48">
        <f>ROUND(10,7)</f>
        <v>10</v>
      </c>
      <c r="H130" s="48">
        <f>SmtRes!CX42</f>
        <v>-9.6859199999999994</v>
      </c>
      <c r="I130" s="49"/>
      <c r="J130" s="50"/>
      <c r="K130" s="49">
        <f>SmtRes!CZ42</f>
        <v>359.65</v>
      </c>
      <c r="L130" s="50"/>
      <c r="M130" s="49">
        <f>SmtRes!DI42</f>
        <v>-3483.54</v>
      </c>
    </row>
    <row r="131" spans="1:101" ht="15">
      <c r="A131" s="38"/>
      <c r="B131" s="38"/>
      <c r="C131" s="38"/>
      <c r="D131" s="53" t="s">
        <v>449</v>
      </c>
      <c r="E131" s="39"/>
      <c r="F131" s="40"/>
      <c r="G131" s="40"/>
      <c r="H131" s="40"/>
      <c r="I131" s="42"/>
      <c r="J131" s="41"/>
      <c r="K131" s="42"/>
      <c r="L131" s="41"/>
      <c r="M131" s="42">
        <f>M129</f>
        <v>-3483.54</v>
      </c>
    </row>
    <row r="132" spans="1:101" ht="28.5">
      <c r="A132" s="36" t="s">
        <v>468</v>
      </c>
      <c r="B132" s="36" t="s">
        <v>468</v>
      </c>
      <c r="C132" s="38" t="str">
        <f>Source!F33</f>
        <v>999-9900</v>
      </c>
      <c r="D132" s="38" t="s">
        <v>469</v>
      </c>
      <c r="E132" s="39" t="str">
        <f>Source!H33</f>
        <v>т</v>
      </c>
      <c r="F132" s="40">
        <f>SmtRes!AT43</f>
        <v>1.1000000000000001</v>
      </c>
      <c r="G132" s="40">
        <f>ROUND(10,7)</f>
        <v>10</v>
      </c>
      <c r="H132" s="40">
        <f>Source!I33</f>
        <v>-3.9171000000000005</v>
      </c>
      <c r="I132" s="42">
        <f>Source!AL33+Source!AO33+Source!AM33+Source!AN33</f>
        <v>0</v>
      </c>
      <c r="J132" s="41"/>
      <c r="K132" s="42"/>
      <c r="L132" s="41"/>
      <c r="M132" s="42">
        <f>Source!P33</f>
        <v>0</v>
      </c>
      <c r="AD132">
        <f>ROUND((Source!AT33/100)*((ROUND(ROUND(Source!AO33,2)*Source!I33, 2)+ROUND(ROUND(Source!AN33,2)*Source!I33, 2))), 2)</f>
        <v>0</v>
      </c>
      <c r="AE132">
        <f>ROUND((Source!AU33/100)*((ROUND(ROUND(Source!AO33,2)*Source!I33, 2)+ROUND(ROUND(Source!AN33,2)*Source!I33, 2))), 2)</f>
        <v>0</v>
      </c>
      <c r="AN132">
        <f>M132</f>
        <v>0</v>
      </c>
      <c r="AW132">
        <f>M132</f>
        <v>0</v>
      </c>
      <c r="AZ132">
        <f>Source!X33</f>
        <v>0</v>
      </c>
      <c r="BA132">
        <f>Source!Y33</f>
        <v>0</v>
      </c>
      <c r="CD132">
        <v>1</v>
      </c>
    </row>
    <row r="133" spans="1:101" ht="14.25">
      <c r="A133" s="38"/>
      <c r="B133" s="38"/>
      <c r="C133" s="38"/>
      <c r="D133" s="38" t="s">
        <v>450</v>
      </c>
      <c r="E133" s="39"/>
      <c r="F133" s="40"/>
      <c r="G133" s="40"/>
      <c r="H133" s="40"/>
      <c r="I133" s="42"/>
      <c r="J133" s="41"/>
      <c r="K133" s="42"/>
      <c r="L133" s="41"/>
      <c r="M133" s="42">
        <f>SUM(AR127:AR136)+SUM(AS127:AS136)+SUM(AT127:AT136)+SUM(AU127:AU136)+SUM(AV127:AV136)</f>
        <v>-3483.54</v>
      </c>
    </row>
    <row r="134" spans="1:101" ht="14.25">
      <c r="A134" s="38"/>
      <c r="B134" s="38"/>
      <c r="C134" s="38" t="s">
        <v>53</v>
      </c>
      <c r="D134" s="38" t="s">
        <v>464</v>
      </c>
      <c r="E134" s="39" t="s">
        <v>452</v>
      </c>
      <c r="F134" s="40">
        <f>Source!BZ32</f>
        <v>89</v>
      </c>
      <c r="G134" s="40"/>
      <c r="H134" s="40">
        <f>Source!AT32</f>
        <v>89</v>
      </c>
      <c r="I134" s="42"/>
      <c r="J134" s="41"/>
      <c r="K134" s="42"/>
      <c r="L134" s="41"/>
      <c r="M134" s="42">
        <f>SUM(AZ127:AZ136)</f>
        <v>-3100.35</v>
      </c>
    </row>
    <row r="135" spans="1:101" ht="14.25">
      <c r="A135" s="46"/>
      <c r="B135" s="46"/>
      <c r="C135" s="46" t="s">
        <v>54</v>
      </c>
      <c r="D135" s="46" t="s">
        <v>465</v>
      </c>
      <c r="E135" s="47" t="s">
        <v>452</v>
      </c>
      <c r="F135" s="48">
        <f>Source!CA32</f>
        <v>49</v>
      </c>
      <c r="G135" s="48"/>
      <c r="H135" s="48">
        <f>Source!AU32</f>
        <v>49</v>
      </c>
      <c r="I135" s="49"/>
      <c r="J135" s="50"/>
      <c r="K135" s="49"/>
      <c r="L135" s="50"/>
      <c r="M135" s="49">
        <f>SUM(BA127:BA136)</f>
        <v>-1706.93</v>
      </c>
    </row>
    <row r="136" spans="1:101" ht="15">
      <c r="D136" s="112" t="s">
        <v>454</v>
      </c>
      <c r="E136" s="112"/>
      <c r="F136" s="112"/>
      <c r="G136" s="112"/>
      <c r="H136" s="112"/>
      <c r="I136" s="112"/>
      <c r="J136" s="113">
        <f>IF(F127&lt;&gt;0,L136/F127, 0)</f>
        <v>23282.280258354393</v>
      </c>
      <c r="K136" s="113"/>
      <c r="L136" s="113">
        <f>M129+M134+M135+SUM(M132:M132)</f>
        <v>-8290.82</v>
      </c>
      <c r="M136" s="113"/>
      <c r="AD136">
        <f>ROUND((Source!AT32/100)*((ROUND(SUMIF(SmtRes!AQ42:'SmtRes'!AQ43,"=1",SmtRes!AD42:'SmtRes'!AD43)*Source!I32, 2)+ROUND(SUMIF(SmtRes!AQ42:'SmtRes'!AQ43,"=1",SmtRes!AC42:'SmtRes'!AC43)*Source!I32, 2))), 2)</f>
        <v>-113.98</v>
      </c>
      <c r="AE136">
        <f>ROUND((Source!AU32/100)*((ROUND(SUMIF(SmtRes!AQ42:'SmtRes'!AQ43,"=1",SmtRes!AD42:'SmtRes'!AD43)*Source!I32, 2)+ROUND(SUMIF(SmtRes!AQ42:'SmtRes'!AQ43,"=1",SmtRes!AC42:'SmtRes'!AC43)*Source!I32, 2))), 2)</f>
        <v>-62.75</v>
      </c>
      <c r="AN136" s="51">
        <f>M129+M134+M135</f>
        <v>-8290.82</v>
      </c>
      <c r="AO136">
        <f>0</f>
        <v>0</v>
      </c>
      <c r="AQ136" t="s">
        <v>455</v>
      </c>
      <c r="AR136" s="51">
        <f>M129</f>
        <v>-3483.54</v>
      </c>
      <c r="AT136">
        <f>0</f>
        <v>0</v>
      </c>
      <c r="AV136" t="s">
        <v>455</v>
      </c>
      <c r="AW136">
        <f>0</f>
        <v>0</v>
      </c>
      <c r="AZ136">
        <f>Source!X32</f>
        <v>-3100.35</v>
      </c>
      <c r="BA136">
        <f>Source!Y32</f>
        <v>-1706.93</v>
      </c>
      <c r="CD136">
        <v>1</v>
      </c>
    </row>
    <row r="137" spans="1:101" ht="14.25">
      <c r="A137" s="36" t="s">
        <v>62</v>
      </c>
      <c r="B137" s="36" t="s">
        <v>62</v>
      </c>
      <c r="C137" s="38" t="s">
        <v>470</v>
      </c>
      <c r="D137" s="38" t="str">
        <f>Source!G34</f>
        <v>Устройство: бетонных ступеней</v>
      </c>
      <c r="E137" s="39" t="str">
        <f>Source!H34</f>
        <v>м3</v>
      </c>
      <c r="F137" s="40">
        <f>Source!K34</f>
        <v>7.1219999999999999</v>
      </c>
      <c r="G137" s="40"/>
      <c r="H137" s="40">
        <f>Source!I34</f>
        <v>7.1219999999999999</v>
      </c>
      <c r="I137" s="42"/>
      <c r="J137" s="41"/>
      <c r="K137" s="42"/>
      <c r="L137" s="41"/>
      <c r="M137" s="42"/>
    </row>
    <row r="138" spans="1:101" ht="38.25">
      <c r="C138" s="55" t="s">
        <v>392</v>
      </c>
      <c r="D138" s="115" t="s">
        <v>471</v>
      </c>
      <c r="E138" s="115"/>
      <c r="F138" s="115"/>
      <c r="G138" s="115"/>
      <c r="H138" s="115"/>
      <c r="I138" s="115"/>
      <c r="J138" s="115"/>
      <c r="K138" s="115"/>
      <c r="L138" s="115"/>
      <c r="M138" s="115"/>
      <c r="CW138" s="56" t="s">
        <v>471</v>
      </c>
    </row>
    <row r="139" spans="1:101" ht="15">
      <c r="A139" s="37"/>
      <c r="B139" s="37"/>
      <c r="C139" s="40">
        <v>1</v>
      </c>
      <c r="D139" s="37" t="s">
        <v>443</v>
      </c>
      <c r="E139" s="39" t="s">
        <v>252</v>
      </c>
      <c r="F139" s="44"/>
      <c r="G139" s="40"/>
      <c r="H139" s="40">
        <f>Source!U34</f>
        <v>95.662704000000005</v>
      </c>
      <c r="I139" s="40"/>
      <c r="J139" s="40"/>
      <c r="K139" s="40"/>
      <c r="L139" s="40"/>
      <c r="M139" s="45">
        <f>SUM(M140:M140)-SUMIF(CE140:CE140, 1, M140:M140)</f>
        <v>34405.089999999997</v>
      </c>
    </row>
    <row r="140" spans="1:101" ht="14.25">
      <c r="A140" s="38"/>
      <c r="B140" s="38"/>
      <c r="C140" s="38" t="s">
        <v>310</v>
      </c>
      <c r="D140" s="38" t="s">
        <v>311</v>
      </c>
      <c r="E140" s="39" t="s">
        <v>252</v>
      </c>
      <c r="F140" s="40">
        <v>11.68</v>
      </c>
      <c r="G140" s="40">
        <f>ROUND(1.15,7)</f>
        <v>1.1499999999999999</v>
      </c>
      <c r="H140" s="40">
        <f>SmtRes!CX44</f>
        <v>95.662704000000005</v>
      </c>
      <c r="I140" s="42"/>
      <c r="J140" s="41"/>
      <c r="K140" s="42">
        <f>SmtRes!CZ44</f>
        <v>359.65</v>
      </c>
      <c r="L140" s="41"/>
      <c r="M140" s="42">
        <f>SmtRes!DI44</f>
        <v>34405.089999999997</v>
      </c>
    </row>
    <row r="141" spans="1:101" ht="15">
      <c r="A141" s="37"/>
      <c r="B141" s="37"/>
      <c r="C141" s="40">
        <v>2</v>
      </c>
      <c r="D141" s="37" t="s">
        <v>444</v>
      </c>
      <c r="E141" s="39"/>
      <c r="F141" s="44"/>
      <c r="G141" s="40"/>
      <c r="H141" s="40"/>
      <c r="I141" s="40"/>
      <c r="J141" s="40"/>
      <c r="K141" s="40"/>
      <c r="L141" s="40"/>
      <c r="M141" s="45">
        <f>SUM(M142:M148)-SUMIF(CE142:CE148, 1, M142:M148)</f>
        <v>1797.66</v>
      </c>
    </row>
    <row r="142" spans="1:101" ht="15">
      <c r="A142" s="37"/>
      <c r="B142" s="37"/>
      <c r="C142" s="40"/>
      <c r="D142" s="37" t="s">
        <v>447</v>
      </c>
      <c r="E142" s="39" t="s">
        <v>252</v>
      </c>
      <c r="F142" s="44"/>
      <c r="G142" s="40"/>
      <c r="H142" s="40">
        <f>Source!V34</f>
        <v>1.6914749999999998</v>
      </c>
      <c r="I142" s="40"/>
      <c r="J142" s="40"/>
      <c r="K142" s="40"/>
      <c r="L142" s="40"/>
      <c r="M142" s="45">
        <f>SUMIF(CE143:CE148, 1, M143:M148)</f>
        <v>697.41</v>
      </c>
      <c r="CE142">
        <v>1</v>
      </c>
    </row>
    <row r="143" spans="1:101" ht="28.5">
      <c r="A143" s="38"/>
      <c r="B143" s="38"/>
      <c r="C143" s="38" t="s">
        <v>312</v>
      </c>
      <c r="D143" s="38" t="s">
        <v>314</v>
      </c>
      <c r="E143" s="39" t="s">
        <v>258</v>
      </c>
      <c r="F143" s="40">
        <v>0.01</v>
      </c>
      <c r="G143" s="40">
        <f t="shared" ref="G143:G148" si="2">ROUND(1.25,7)</f>
        <v>1.25</v>
      </c>
      <c r="H143" s="40">
        <f>SmtRes!CX46</f>
        <v>8.9025000000000007E-2</v>
      </c>
      <c r="I143" s="42"/>
      <c r="J143" s="41"/>
      <c r="K143" s="42">
        <f>SmtRes!CZ46</f>
        <v>1719.93</v>
      </c>
      <c r="L143" s="41"/>
      <c r="M143" s="42">
        <f>SmtRes!DG46</f>
        <v>153.12</v>
      </c>
    </row>
    <row r="144" spans="1:101" ht="28.5">
      <c r="A144" s="38"/>
      <c r="B144" s="38"/>
      <c r="C144" s="38" t="s">
        <v>315</v>
      </c>
      <c r="D144" s="38" t="s">
        <v>472</v>
      </c>
      <c r="E144" s="39" t="s">
        <v>252</v>
      </c>
      <c r="F144" s="40">
        <f>SmtRes!DO46*SmtRes!AT46</f>
        <v>0.01</v>
      </c>
      <c r="G144" s="40">
        <f t="shared" si="2"/>
        <v>1.25</v>
      </c>
      <c r="H144" s="40">
        <f>ROUND(F144*G144*H137, 7)</f>
        <v>8.9025000000000007E-2</v>
      </c>
      <c r="I144" s="42"/>
      <c r="J144" s="41"/>
      <c r="K144" s="42">
        <f>ROUND(SmtRes!AG46/SmtRes!DO46, 2)</f>
        <v>544.01</v>
      </c>
      <c r="L144" s="41"/>
      <c r="M144" s="42">
        <f>SmtRes!DH46</f>
        <v>48.43</v>
      </c>
      <c r="CE144">
        <v>1</v>
      </c>
    </row>
    <row r="145" spans="1:83" ht="14.25">
      <c r="A145" s="38"/>
      <c r="B145" s="38"/>
      <c r="C145" s="38" t="s">
        <v>316</v>
      </c>
      <c r="D145" s="38" t="s">
        <v>318</v>
      </c>
      <c r="E145" s="39" t="s">
        <v>258</v>
      </c>
      <c r="F145" s="40">
        <v>2.2999999999999998</v>
      </c>
      <c r="G145" s="40">
        <f t="shared" si="2"/>
        <v>1.25</v>
      </c>
      <c r="H145" s="40">
        <f>SmtRes!CX47</f>
        <v>20.475750000000001</v>
      </c>
      <c r="I145" s="42">
        <f>SmtRes!CZ47</f>
        <v>10.37</v>
      </c>
      <c r="J145" s="41">
        <f>SmtRes!AJ47</f>
        <v>1.29</v>
      </c>
      <c r="K145" s="42">
        <f>ROUND(I145*J145, 2)</f>
        <v>13.38</v>
      </c>
      <c r="L145" s="41"/>
      <c r="M145" s="42">
        <f>SmtRes!DG47</f>
        <v>273.97000000000003</v>
      </c>
    </row>
    <row r="146" spans="1:83" ht="14.25">
      <c r="A146" s="38"/>
      <c r="B146" s="38"/>
      <c r="C146" s="38" t="s">
        <v>319</v>
      </c>
      <c r="D146" s="38" t="s">
        <v>321</v>
      </c>
      <c r="E146" s="39" t="s">
        <v>258</v>
      </c>
      <c r="F146" s="40">
        <v>2.2999999999999998</v>
      </c>
      <c r="G146" s="40">
        <f t="shared" si="2"/>
        <v>1.25</v>
      </c>
      <c r="H146" s="40">
        <f>SmtRes!CX48</f>
        <v>20.475750000000001</v>
      </c>
      <c r="I146" s="42">
        <f>SmtRes!CZ48</f>
        <v>8.5399999999999991</v>
      </c>
      <c r="J146" s="41">
        <f>SmtRes!AJ48</f>
        <v>1.6</v>
      </c>
      <c r="K146" s="42">
        <f>ROUND(I146*J146, 2)</f>
        <v>13.66</v>
      </c>
      <c r="L146" s="41"/>
      <c r="M146" s="42">
        <f>SmtRes!DG48</f>
        <v>279.7</v>
      </c>
    </row>
    <row r="147" spans="1:83" ht="28.5">
      <c r="A147" s="38"/>
      <c r="B147" s="38"/>
      <c r="C147" s="38" t="s">
        <v>322</v>
      </c>
      <c r="D147" s="38" t="s">
        <v>324</v>
      </c>
      <c r="E147" s="39" t="s">
        <v>258</v>
      </c>
      <c r="F147" s="40">
        <v>0.18</v>
      </c>
      <c r="G147" s="40">
        <f t="shared" si="2"/>
        <v>1.25</v>
      </c>
      <c r="H147" s="40">
        <f>SmtRes!CX49</f>
        <v>1.6024499999999999</v>
      </c>
      <c r="I147" s="42"/>
      <c r="J147" s="41"/>
      <c r="K147" s="42">
        <f>SmtRes!CZ49</f>
        <v>680.75</v>
      </c>
      <c r="L147" s="41"/>
      <c r="M147" s="42">
        <f>SmtRes!DG49</f>
        <v>1090.8699999999999</v>
      </c>
    </row>
    <row r="148" spans="1:83" ht="28.5">
      <c r="A148" s="38"/>
      <c r="B148" s="38"/>
      <c r="C148" s="38" t="s">
        <v>266</v>
      </c>
      <c r="D148" s="38" t="s">
        <v>446</v>
      </c>
      <c r="E148" s="39" t="s">
        <v>252</v>
      </c>
      <c r="F148" s="40">
        <f>SmtRes!DO49*SmtRes!AT49</f>
        <v>0.18</v>
      </c>
      <c r="G148" s="40">
        <f t="shared" si="2"/>
        <v>1.25</v>
      </c>
      <c r="H148" s="40">
        <f>ROUND(F148*G148*H137, 7)</f>
        <v>1.6024499999999999</v>
      </c>
      <c r="I148" s="42"/>
      <c r="J148" s="41"/>
      <c r="K148" s="42">
        <f>ROUND(SmtRes!AG49/SmtRes!DO49, 2)</f>
        <v>404.99</v>
      </c>
      <c r="L148" s="41"/>
      <c r="M148" s="42">
        <f>SmtRes!DH49</f>
        <v>648.98</v>
      </c>
      <c r="CE148">
        <v>1</v>
      </c>
    </row>
    <row r="149" spans="1:83" ht="15">
      <c r="A149" s="37"/>
      <c r="B149" s="37"/>
      <c r="C149" s="40">
        <v>4</v>
      </c>
      <c r="D149" s="37" t="s">
        <v>448</v>
      </c>
      <c r="E149" s="39"/>
      <c r="F149" s="44"/>
      <c r="G149" s="40"/>
      <c r="H149" s="40"/>
      <c r="I149" s="40"/>
      <c r="J149" s="40"/>
      <c r="K149" s="40"/>
      <c r="L149" s="40"/>
      <c r="M149" s="45">
        <f>SUM(M150:M153)-SUMIF(CE150:CE153, 1, M150:M153)</f>
        <v>24660.23</v>
      </c>
    </row>
    <row r="150" spans="1:83" ht="14.25">
      <c r="A150" s="38"/>
      <c r="B150" s="38"/>
      <c r="C150" s="38" t="s">
        <v>277</v>
      </c>
      <c r="D150" s="38" t="s">
        <v>279</v>
      </c>
      <c r="E150" s="39" t="s">
        <v>65</v>
      </c>
      <c r="F150" s="40">
        <v>5.4999999999999997E-3</v>
      </c>
      <c r="G150" s="40"/>
      <c r="H150" s="40">
        <f>SmtRes!CX50</f>
        <v>3.9170999999999997E-2</v>
      </c>
      <c r="I150" s="42">
        <f>SmtRes!CZ50</f>
        <v>35.71</v>
      </c>
      <c r="J150" s="41">
        <f>SmtRes!AI50</f>
        <v>0.83</v>
      </c>
      <c r="K150" s="42">
        <f>ROUND(I150*J150, 2)</f>
        <v>29.64</v>
      </c>
      <c r="L150" s="41"/>
      <c r="M150" s="42">
        <f>SmtRes!DF50</f>
        <v>1.1599999999999999</v>
      </c>
    </row>
    <row r="151" spans="1:83" ht="42.75">
      <c r="A151" s="38"/>
      <c r="B151" s="38"/>
      <c r="C151" s="38" t="s">
        <v>325</v>
      </c>
      <c r="D151" s="38" t="s">
        <v>327</v>
      </c>
      <c r="E151" s="39" t="s">
        <v>97</v>
      </c>
      <c r="F151" s="40">
        <v>0.151</v>
      </c>
      <c r="G151" s="40"/>
      <c r="H151" s="40">
        <f>SmtRes!CX51</f>
        <v>1.0754220000000001</v>
      </c>
      <c r="I151" s="42">
        <f>SmtRes!CZ51</f>
        <v>28.13</v>
      </c>
      <c r="J151" s="41">
        <f>SmtRes!AI51</f>
        <v>1.29</v>
      </c>
      <c r="K151" s="42">
        <f>ROUND(I151*J151, 2)</f>
        <v>36.29</v>
      </c>
      <c r="L151" s="41"/>
      <c r="M151" s="42">
        <f>SmtRes!DF51</f>
        <v>39.03</v>
      </c>
    </row>
    <row r="152" spans="1:83" ht="57">
      <c r="A152" s="38"/>
      <c r="B152" s="38"/>
      <c r="C152" s="38" t="s">
        <v>328</v>
      </c>
      <c r="D152" s="38" t="s">
        <v>330</v>
      </c>
      <c r="E152" s="39" t="s">
        <v>65</v>
      </c>
      <c r="F152" s="40">
        <v>0.02</v>
      </c>
      <c r="G152" s="40"/>
      <c r="H152" s="40">
        <f>SmtRes!CX53</f>
        <v>0.14244000000000001</v>
      </c>
      <c r="I152" s="42">
        <f>SmtRes!CZ53</f>
        <v>16496.03</v>
      </c>
      <c r="J152" s="41">
        <f>SmtRes!AI53</f>
        <v>1.05</v>
      </c>
      <c r="K152" s="42">
        <f>ROUND(I152*J152, 2)</f>
        <v>17320.830000000002</v>
      </c>
      <c r="L152" s="41"/>
      <c r="M152" s="42">
        <f>SmtRes!DF53</f>
        <v>2467.1799999999998</v>
      </c>
    </row>
    <row r="153" spans="1:83" ht="57">
      <c r="A153" s="38"/>
      <c r="B153" s="38"/>
      <c r="C153" s="38" t="s">
        <v>331</v>
      </c>
      <c r="D153" s="38" t="s">
        <v>333</v>
      </c>
      <c r="E153" s="39" t="s">
        <v>65</v>
      </c>
      <c r="F153" s="40">
        <v>0.38</v>
      </c>
      <c r="G153" s="40"/>
      <c r="H153" s="40">
        <f>SmtRes!CX54</f>
        <v>2.7063600000000001</v>
      </c>
      <c r="I153" s="42">
        <f>SmtRes!CZ54</f>
        <v>5764.42</v>
      </c>
      <c r="J153" s="41">
        <f>SmtRes!AI54</f>
        <v>1.42</v>
      </c>
      <c r="K153" s="42">
        <f>ROUND(I153*J153, 2)</f>
        <v>8185.48</v>
      </c>
      <c r="L153" s="41"/>
      <c r="M153" s="42">
        <f>SmtRes!DF54</f>
        <v>22152.86</v>
      </c>
    </row>
    <row r="154" spans="1:83" ht="14.25">
      <c r="A154" s="38"/>
      <c r="B154" s="38"/>
      <c r="C154" s="38" t="str">
        <f>EtalonRes!I52</f>
        <v>01.7.16.04</v>
      </c>
      <c r="D154" s="38" t="str">
        <f>EtalonRes!K52</f>
        <v>Опалубка инвентарная (амортизация)</v>
      </c>
      <c r="E154" s="39" t="str">
        <f>EtalonRes!O52</f>
        <v>КОМПЛ</v>
      </c>
      <c r="F154" s="40">
        <f>EtalonRes!X52</f>
        <v>0</v>
      </c>
      <c r="G154" s="40"/>
      <c r="H154" s="40">
        <f>ROUND(EtalonRes!AG52*Source!I34, 7)</f>
        <v>0</v>
      </c>
      <c r="I154" s="42"/>
      <c r="J154" s="41"/>
      <c r="K154" s="42"/>
      <c r="L154" s="41"/>
      <c r="M154" s="42"/>
    </row>
    <row r="155" spans="1:83" ht="14.25">
      <c r="A155" s="38"/>
      <c r="B155" s="38"/>
      <c r="C155" s="38" t="str">
        <f>EtalonRes!I53</f>
        <v>04.1.02.05</v>
      </c>
      <c r="D155" s="46" t="str">
        <f>EtalonRes!K53</f>
        <v>Смеси бетонные тяжелого бетона</v>
      </c>
      <c r="E155" s="47" t="str">
        <f>EtalonRes!O53</f>
        <v>м3</v>
      </c>
      <c r="F155" s="48">
        <f>EtalonRes!X53</f>
        <v>1.02</v>
      </c>
      <c r="G155" s="48"/>
      <c r="H155" s="48">
        <f>ROUND(EtalonRes!AG53*Source!I34, 7)</f>
        <v>7.2644399999999996</v>
      </c>
      <c r="I155" s="49"/>
      <c r="J155" s="50"/>
      <c r="K155" s="49"/>
      <c r="L155" s="50"/>
      <c r="M155" s="49"/>
    </row>
    <row r="156" spans="1:83" ht="15">
      <c r="A156" s="38"/>
      <c r="B156" s="38"/>
      <c r="C156" s="38"/>
      <c r="D156" s="53" t="s">
        <v>449</v>
      </c>
      <c r="E156" s="39"/>
      <c r="F156" s="40"/>
      <c r="G156" s="40"/>
      <c r="H156" s="40"/>
      <c r="I156" s="42"/>
      <c r="J156" s="41"/>
      <c r="K156" s="42"/>
      <c r="L156" s="41"/>
      <c r="M156" s="42">
        <f>M139+M141+M142+M149</f>
        <v>61560.39</v>
      </c>
    </row>
    <row r="157" spans="1:83" ht="42.75">
      <c r="A157" s="36" t="s">
        <v>473</v>
      </c>
      <c r="B157" s="36" t="s">
        <v>473</v>
      </c>
      <c r="C157" s="38" t="str">
        <f>Source!F35</f>
        <v>04.1.02.05-0132</v>
      </c>
      <c r="D157" s="38" t="str">
        <f>Source!G35</f>
        <v>Смеси бетонные тяжелого бетона (БСТ) на щебне из гравия, класс В15, F(1)150, W4</v>
      </c>
      <c r="E157" s="39" t="str">
        <f>Source!H35</f>
        <v>м3</v>
      </c>
      <c r="F157" s="40">
        <f>SmtRes!AT52</f>
        <v>1.02</v>
      </c>
      <c r="G157" s="40"/>
      <c r="H157" s="40">
        <f>Source!I35</f>
        <v>7.2644400000000005</v>
      </c>
      <c r="I157" s="42"/>
      <c r="J157" s="41"/>
      <c r="K157" s="42">
        <f>Source!AK35</f>
        <v>6110.06</v>
      </c>
      <c r="L157" s="41"/>
      <c r="M157" s="42">
        <f>Source!P35</f>
        <v>44386.16</v>
      </c>
      <c r="AD157">
        <f>ROUND((Source!AT35/100)*((ROUND(ROUND(Source!AO35,2)*Source!I35, 2)+ROUND(ROUND(Source!AN35,2)*Source!I35, 2))), 2)</f>
        <v>0</v>
      </c>
      <c r="AE157">
        <f>ROUND((Source!AU35/100)*((ROUND(ROUND(Source!AO35,2)*Source!I35, 2)+ROUND(ROUND(Source!AN35,2)*Source!I35, 2))), 2)</f>
        <v>0</v>
      </c>
      <c r="AN157">
        <f>M157</f>
        <v>44386.16</v>
      </c>
      <c r="AW157">
        <f>M157</f>
        <v>44386.16</v>
      </c>
      <c r="AZ157">
        <f>Source!X35</f>
        <v>0</v>
      </c>
      <c r="BA157">
        <f>Source!Y35</f>
        <v>0</v>
      </c>
      <c r="CD157">
        <v>1</v>
      </c>
    </row>
    <row r="158" spans="1:83" ht="14.25">
      <c r="A158" s="38"/>
      <c r="B158" s="38"/>
      <c r="C158" s="38"/>
      <c r="D158" s="38" t="s">
        <v>450</v>
      </c>
      <c r="E158" s="39"/>
      <c r="F158" s="40"/>
      <c r="G158" s="40"/>
      <c r="H158" s="40"/>
      <c r="I158" s="42"/>
      <c r="J158" s="41"/>
      <c r="K158" s="42"/>
      <c r="L158" s="41"/>
      <c r="M158" s="42">
        <f>SUM(AR137:AR161)+SUM(AS137:AS161)+SUM(AT137:AT161)+SUM(AU137:AU161)+SUM(AV137:AV161)</f>
        <v>35102.5</v>
      </c>
    </row>
    <row r="159" spans="1:83" ht="42.75">
      <c r="A159" s="38"/>
      <c r="B159" s="38"/>
      <c r="C159" s="38" t="s">
        <v>73</v>
      </c>
      <c r="D159" s="38" t="s">
        <v>474</v>
      </c>
      <c r="E159" s="39" t="s">
        <v>452</v>
      </c>
      <c r="F159" s="40">
        <f>Source!BZ34</f>
        <v>102</v>
      </c>
      <c r="G159" s="40"/>
      <c r="H159" s="40">
        <f>Source!AT34</f>
        <v>102</v>
      </c>
      <c r="I159" s="42"/>
      <c r="J159" s="41"/>
      <c r="K159" s="42"/>
      <c r="L159" s="41"/>
      <c r="M159" s="42">
        <f>SUM(AZ137:AZ161)</f>
        <v>35804.550000000003</v>
      </c>
    </row>
    <row r="160" spans="1:83" ht="42.75">
      <c r="A160" s="46"/>
      <c r="B160" s="46"/>
      <c r="C160" s="46" t="s">
        <v>74</v>
      </c>
      <c r="D160" s="46" t="s">
        <v>475</v>
      </c>
      <c r="E160" s="47" t="s">
        <v>452</v>
      </c>
      <c r="F160" s="48">
        <f>Source!CA34</f>
        <v>58</v>
      </c>
      <c r="G160" s="48"/>
      <c r="H160" s="48">
        <f>Source!AU34</f>
        <v>58</v>
      </c>
      <c r="I160" s="49"/>
      <c r="J160" s="50"/>
      <c r="K160" s="49"/>
      <c r="L160" s="50"/>
      <c r="M160" s="49">
        <f>SUM(BA137:BA161)</f>
        <v>20359.45</v>
      </c>
    </row>
    <row r="161" spans="1:101" ht="15">
      <c r="D161" s="112" t="s">
        <v>454</v>
      </c>
      <c r="E161" s="112"/>
      <c r="F161" s="112"/>
      <c r="G161" s="112"/>
      <c r="H161" s="112"/>
      <c r="I161" s="112"/>
      <c r="J161" s="113">
        <f>IF(F137&lt;&gt;0,L161/F137, 0)</f>
        <v>22761.941870261162</v>
      </c>
      <c r="K161" s="113"/>
      <c r="L161" s="113">
        <f>M139+M141+M149+M159+M160+M142+SUM(M157:M157)</f>
        <v>162110.54999999999</v>
      </c>
      <c r="M161" s="113"/>
      <c r="AD161">
        <f>ROUND((Source!AT34/100)*((ROUND(SUMIF(SmtRes!AQ44:'SmtRes'!AQ54,"=1",SmtRes!AD44:'SmtRes'!AD54)*Source!I34, 2)+ROUND(SUMIF(SmtRes!AQ44:'SmtRes'!AQ54,"=1",SmtRes!AC44:'SmtRes'!AC54)*Source!I34, 2))), 2)</f>
        <v>9506.61</v>
      </c>
      <c r="AE161">
        <f>ROUND((Source!AU34/100)*((ROUND(SUMIF(SmtRes!AQ44:'SmtRes'!AQ54,"=1",SmtRes!AD44:'SmtRes'!AD54)*Source!I34, 2)+ROUND(SUMIF(SmtRes!AQ44:'SmtRes'!AQ54,"=1",SmtRes!AC44:'SmtRes'!AC54)*Source!I34, 2))), 2)</f>
        <v>5405.72</v>
      </c>
      <c r="AN161" s="51">
        <f>M139+M141+M149+M159+M160+M142</f>
        <v>117724.39</v>
      </c>
      <c r="AO161" s="51">
        <f>M141</f>
        <v>1797.66</v>
      </c>
      <c r="AQ161" t="s">
        <v>455</v>
      </c>
      <c r="AR161" s="51">
        <f>M139</f>
        <v>34405.089999999997</v>
      </c>
      <c r="AT161" s="51">
        <f>M142</f>
        <v>697.41</v>
      </c>
      <c r="AV161" t="s">
        <v>455</v>
      </c>
      <c r="AW161" s="51">
        <f>M149</f>
        <v>24660.23</v>
      </c>
      <c r="AZ161">
        <f>Source!X34</f>
        <v>35804.550000000003</v>
      </c>
      <c r="BA161">
        <f>Source!Y34</f>
        <v>20359.45</v>
      </c>
      <c r="CD161">
        <v>1</v>
      </c>
    </row>
    <row r="162" spans="1:101" ht="71.25">
      <c r="A162" s="36" t="s">
        <v>79</v>
      </c>
      <c r="B162" s="36" t="s">
        <v>79</v>
      </c>
      <c r="C162" s="38" t="s">
        <v>476</v>
      </c>
      <c r="D162" s="38" t="str">
        <f>Source!G36</f>
        <v>Облицовка наружных стен крупноразмерными многоцветными керамогранитными плитами на цементном растворе с затиркой швов: цементным раствором</v>
      </c>
      <c r="E162" s="39" t="str">
        <f>Source!H36</f>
        <v>100 м2</v>
      </c>
      <c r="F162" s="40">
        <f>Source!K36</f>
        <v>7.3999999999999996E-2</v>
      </c>
      <c r="G162" s="40"/>
      <c r="H162" s="40">
        <f>Source!I36</f>
        <v>7.3999999999999996E-2</v>
      </c>
      <c r="I162" s="42"/>
      <c r="J162" s="41"/>
      <c r="K162" s="42"/>
      <c r="L162" s="41"/>
      <c r="M162" s="42"/>
    </row>
    <row r="163" spans="1:101" ht="38.25">
      <c r="C163" s="55" t="s">
        <v>392</v>
      </c>
      <c r="D163" s="115" t="s">
        <v>471</v>
      </c>
      <c r="E163" s="115"/>
      <c r="F163" s="115"/>
      <c r="G163" s="115"/>
      <c r="H163" s="115"/>
      <c r="I163" s="115"/>
      <c r="J163" s="115"/>
      <c r="K163" s="115"/>
      <c r="L163" s="115"/>
      <c r="M163" s="115"/>
      <c r="CW163" s="56" t="s">
        <v>471</v>
      </c>
    </row>
    <row r="164" spans="1:101">
      <c r="D164" s="43" t="str">
        <f>"Объем: "&amp;Source!I36&amp;"=7,4/"&amp;"100"</f>
        <v>Объем: 0,074=7,4/100</v>
      </c>
    </row>
    <row r="165" spans="1:101" ht="15">
      <c r="A165" s="37"/>
      <c r="B165" s="37"/>
      <c r="C165" s="40">
        <v>1</v>
      </c>
      <c r="D165" s="37" t="s">
        <v>443</v>
      </c>
      <c r="E165" s="39" t="s">
        <v>252</v>
      </c>
      <c r="F165" s="44"/>
      <c r="G165" s="40"/>
      <c r="H165" s="40">
        <f>Source!U36</f>
        <v>17.385929999999998</v>
      </c>
      <c r="I165" s="40"/>
      <c r="J165" s="40"/>
      <c r="K165" s="40"/>
      <c r="L165" s="40"/>
      <c r="M165" s="45">
        <f>SUM(M166:M166)-SUMIF(CE166:CE166, 1, M166:M166)</f>
        <v>6489.3</v>
      </c>
    </row>
    <row r="166" spans="1:101" ht="14.25">
      <c r="A166" s="38"/>
      <c r="B166" s="38"/>
      <c r="C166" s="38" t="s">
        <v>334</v>
      </c>
      <c r="D166" s="38" t="s">
        <v>335</v>
      </c>
      <c r="E166" s="39" t="s">
        <v>252</v>
      </c>
      <c r="F166" s="40">
        <v>204.3</v>
      </c>
      <c r="G166" s="40">
        <f>ROUND(1.15,7)</f>
        <v>1.1499999999999999</v>
      </c>
      <c r="H166" s="40">
        <f>SmtRes!CX55</f>
        <v>17.385929999999998</v>
      </c>
      <c r="I166" s="42"/>
      <c r="J166" s="41"/>
      <c r="K166" s="42">
        <f>SmtRes!CZ55</f>
        <v>373.25</v>
      </c>
      <c r="L166" s="41"/>
      <c r="M166" s="42">
        <f>SmtRes!DI55</f>
        <v>6489.3</v>
      </c>
    </row>
    <row r="167" spans="1:101" ht="15">
      <c r="A167" s="37"/>
      <c r="B167" s="37"/>
      <c r="C167" s="40">
        <v>2</v>
      </c>
      <c r="D167" s="37" t="s">
        <v>444</v>
      </c>
      <c r="E167" s="39"/>
      <c r="F167" s="44"/>
      <c r="G167" s="40"/>
      <c r="H167" s="40"/>
      <c r="I167" s="40"/>
      <c r="J167" s="40"/>
      <c r="K167" s="40"/>
      <c r="L167" s="40"/>
      <c r="M167" s="45">
        <f>SUM(M168:M172)-SUMIF(CE168:CE172, 1, M168:M172)</f>
        <v>16.940000000000001</v>
      </c>
    </row>
    <row r="168" spans="1:101" ht="15">
      <c r="A168" s="37"/>
      <c r="B168" s="37"/>
      <c r="C168" s="40"/>
      <c r="D168" s="37" t="s">
        <v>447</v>
      </c>
      <c r="E168" s="39" t="s">
        <v>252</v>
      </c>
      <c r="F168" s="44"/>
      <c r="G168" s="40"/>
      <c r="H168" s="40">
        <f>Source!V36</f>
        <v>2.035E-2</v>
      </c>
      <c r="I168" s="40"/>
      <c r="J168" s="40"/>
      <c r="K168" s="40"/>
      <c r="L168" s="40"/>
      <c r="M168" s="45">
        <f>SUMIF(CE169:CE172, 1, M169:M172)</f>
        <v>8.74</v>
      </c>
      <c r="CE168">
        <v>1</v>
      </c>
    </row>
    <row r="169" spans="1:101" ht="28.5">
      <c r="A169" s="38"/>
      <c r="B169" s="38"/>
      <c r="C169" s="38" t="s">
        <v>336</v>
      </c>
      <c r="D169" s="38" t="s">
        <v>338</v>
      </c>
      <c r="E169" s="39" t="s">
        <v>258</v>
      </c>
      <c r="F169" s="40">
        <v>0.09</v>
      </c>
      <c r="G169" s="40">
        <f>ROUND(1.25,7)</f>
        <v>1.25</v>
      </c>
      <c r="H169" s="40">
        <f>SmtRes!CX57</f>
        <v>8.3250000000000008E-3</v>
      </c>
      <c r="I169" s="42"/>
      <c r="J169" s="41"/>
      <c r="K169" s="42">
        <f>SmtRes!CZ57</f>
        <v>1050.8900000000001</v>
      </c>
      <c r="L169" s="41"/>
      <c r="M169" s="42">
        <f>SmtRes!DG57</f>
        <v>8.75</v>
      </c>
    </row>
    <row r="170" spans="1:101" ht="28.5">
      <c r="A170" s="38"/>
      <c r="B170" s="38"/>
      <c r="C170" s="38" t="s">
        <v>259</v>
      </c>
      <c r="D170" s="38" t="s">
        <v>445</v>
      </c>
      <c r="E170" s="39" t="s">
        <v>252</v>
      </c>
      <c r="F170" s="40">
        <f>SmtRes!DO57*SmtRes!AT57</f>
        <v>0.09</v>
      </c>
      <c r="G170" s="40">
        <f>ROUND(1.25,7)</f>
        <v>1.25</v>
      </c>
      <c r="H170" s="40">
        <f>ROUND(F170*G170*H162, 7)</f>
        <v>8.3250000000000008E-3</v>
      </c>
      <c r="I170" s="42"/>
      <c r="J170" s="41"/>
      <c r="K170" s="42">
        <f>ROUND(SmtRes!AG57/SmtRes!DO57, 2)</f>
        <v>465.43</v>
      </c>
      <c r="L170" s="41"/>
      <c r="M170" s="42">
        <f>SmtRes!DH57</f>
        <v>3.87</v>
      </c>
      <c r="CE170">
        <v>1</v>
      </c>
    </row>
    <row r="171" spans="1:101" ht="28.5">
      <c r="A171" s="38"/>
      <c r="B171" s="38"/>
      <c r="C171" s="38" t="s">
        <v>322</v>
      </c>
      <c r="D171" s="38" t="s">
        <v>324</v>
      </c>
      <c r="E171" s="39" t="s">
        <v>258</v>
      </c>
      <c r="F171" s="40">
        <v>0.13</v>
      </c>
      <c r="G171" s="40">
        <f>ROUND(1.25,7)</f>
        <v>1.25</v>
      </c>
      <c r="H171" s="40">
        <f>SmtRes!CX58</f>
        <v>1.2024999999999999E-2</v>
      </c>
      <c r="I171" s="42"/>
      <c r="J171" s="41"/>
      <c r="K171" s="42">
        <f>SmtRes!CZ58</f>
        <v>680.75</v>
      </c>
      <c r="L171" s="41"/>
      <c r="M171" s="42">
        <f>SmtRes!DG58</f>
        <v>8.19</v>
      </c>
    </row>
    <row r="172" spans="1:101" ht="28.5">
      <c r="A172" s="38"/>
      <c r="B172" s="38"/>
      <c r="C172" s="38" t="s">
        <v>266</v>
      </c>
      <c r="D172" s="38" t="s">
        <v>446</v>
      </c>
      <c r="E172" s="39" t="s">
        <v>252</v>
      </c>
      <c r="F172" s="40">
        <f>SmtRes!DO58*SmtRes!AT58</f>
        <v>0.13</v>
      </c>
      <c r="G172" s="40">
        <f>ROUND(1.25,7)</f>
        <v>1.25</v>
      </c>
      <c r="H172" s="40">
        <f>ROUND(F172*G172*H162, 7)</f>
        <v>1.2024999999999999E-2</v>
      </c>
      <c r="I172" s="42"/>
      <c r="J172" s="41"/>
      <c r="K172" s="42">
        <f>ROUND(SmtRes!AG58/SmtRes!DO58, 2)</f>
        <v>404.99</v>
      </c>
      <c r="L172" s="41"/>
      <c r="M172" s="42">
        <f>SmtRes!DH58</f>
        <v>4.87</v>
      </c>
      <c r="CE172">
        <v>1</v>
      </c>
    </row>
    <row r="173" spans="1:101" ht="15">
      <c r="A173" s="37"/>
      <c r="B173" s="37"/>
      <c r="C173" s="40">
        <v>4</v>
      </c>
      <c r="D173" s="37" t="s">
        <v>448</v>
      </c>
      <c r="E173" s="39"/>
      <c r="F173" s="44"/>
      <c r="G173" s="40"/>
      <c r="H173" s="40"/>
      <c r="I173" s="40"/>
      <c r="J173" s="40"/>
      <c r="K173" s="40"/>
      <c r="L173" s="40"/>
      <c r="M173" s="45">
        <f>SUM(M174:M178)-SUMIF(CE174:CE178, 1, M174:M178)</f>
        <v>492.43</v>
      </c>
    </row>
    <row r="174" spans="1:101" ht="14.25">
      <c r="A174" s="38"/>
      <c r="B174" s="38"/>
      <c r="C174" s="38" t="s">
        <v>277</v>
      </c>
      <c r="D174" s="38" t="s">
        <v>279</v>
      </c>
      <c r="E174" s="39" t="s">
        <v>65</v>
      </c>
      <c r="F174" s="40">
        <v>0.14000000000000001</v>
      </c>
      <c r="G174" s="40"/>
      <c r="H174" s="40">
        <f>SmtRes!CX59</f>
        <v>1.0359999999999999E-2</v>
      </c>
      <c r="I174" s="42">
        <f>SmtRes!CZ59</f>
        <v>35.71</v>
      </c>
      <c r="J174" s="41">
        <f>SmtRes!AI59</f>
        <v>0.83</v>
      </c>
      <c r="K174" s="42">
        <f>ROUND(I174*J174, 2)</f>
        <v>29.64</v>
      </c>
      <c r="L174" s="41"/>
      <c r="M174" s="42">
        <f>SmtRes!DF59</f>
        <v>0.31</v>
      </c>
    </row>
    <row r="175" spans="1:101" ht="14.25">
      <c r="A175" s="38"/>
      <c r="B175" s="38"/>
      <c r="C175" s="38" t="s">
        <v>339</v>
      </c>
      <c r="D175" s="38" t="s">
        <v>341</v>
      </c>
      <c r="E175" s="39" t="s">
        <v>342</v>
      </c>
      <c r="F175" s="40">
        <v>0.57999999999999996</v>
      </c>
      <c r="G175" s="40"/>
      <c r="H175" s="40">
        <f>SmtRes!CX60</f>
        <v>4.292E-2</v>
      </c>
      <c r="I175" s="42"/>
      <c r="J175" s="41"/>
      <c r="K175" s="42">
        <f>SmtRes!CZ60</f>
        <v>7.71</v>
      </c>
      <c r="L175" s="41"/>
      <c r="M175" s="42">
        <f>SmtRes!DF60</f>
        <v>0.33</v>
      </c>
    </row>
    <row r="176" spans="1:101" ht="14.25">
      <c r="A176" s="38"/>
      <c r="B176" s="38"/>
      <c r="C176" s="38" t="s">
        <v>343</v>
      </c>
      <c r="D176" s="38" t="s">
        <v>345</v>
      </c>
      <c r="E176" s="39" t="s">
        <v>46</v>
      </c>
      <c r="F176" s="40">
        <v>1.1999999999999999E-3</v>
      </c>
      <c r="G176" s="40"/>
      <c r="H176" s="40">
        <f>SmtRes!CX61</f>
        <v>8.8800000000000004E-5</v>
      </c>
      <c r="I176" s="42"/>
      <c r="J176" s="41"/>
      <c r="K176" s="42">
        <f>SmtRes!CZ61</f>
        <v>76729.919999999998</v>
      </c>
      <c r="L176" s="41"/>
      <c r="M176" s="42">
        <f>SmtRes!DF61</f>
        <v>6.81</v>
      </c>
    </row>
    <row r="177" spans="1:101" ht="14.25">
      <c r="A177" s="38"/>
      <c r="B177" s="38"/>
      <c r="C177" s="38" t="s">
        <v>346</v>
      </c>
      <c r="D177" s="38" t="s">
        <v>348</v>
      </c>
      <c r="E177" s="39" t="s">
        <v>349</v>
      </c>
      <c r="F177" s="40">
        <v>0.5</v>
      </c>
      <c r="G177" s="40"/>
      <c r="H177" s="40">
        <f>SmtRes!CX62</f>
        <v>3.6999999999999998E-2</v>
      </c>
      <c r="I177" s="42">
        <f>SmtRes!CZ62</f>
        <v>56.11</v>
      </c>
      <c r="J177" s="41">
        <f>SmtRes!AI62</f>
        <v>1.59</v>
      </c>
      <c r="K177" s="42">
        <f>ROUND(I177*J177, 2)</f>
        <v>89.21</v>
      </c>
      <c r="L177" s="41"/>
      <c r="M177" s="42">
        <f>SmtRes!DF62</f>
        <v>3.3</v>
      </c>
    </row>
    <row r="178" spans="1:101" ht="42.75">
      <c r="A178" s="38"/>
      <c r="B178" s="38"/>
      <c r="C178" s="38" t="s">
        <v>350</v>
      </c>
      <c r="D178" s="38" t="s">
        <v>352</v>
      </c>
      <c r="E178" s="39" t="s">
        <v>349</v>
      </c>
      <c r="F178" s="40">
        <v>40</v>
      </c>
      <c r="G178" s="40"/>
      <c r="H178" s="40">
        <f>SmtRes!CX63</f>
        <v>2.96</v>
      </c>
      <c r="I178" s="42">
        <f>SmtRes!CZ63</f>
        <v>118.78</v>
      </c>
      <c r="J178" s="41">
        <f>SmtRes!AI63</f>
        <v>1.37</v>
      </c>
      <c r="K178" s="42">
        <f>ROUND(I178*J178, 2)</f>
        <v>162.72999999999999</v>
      </c>
      <c r="L178" s="41"/>
      <c r="M178" s="42">
        <f>SmtRes!DF63</f>
        <v>481.68</v>
      </c>
    </row>
    <row r="179" spans="1:101" ht="14.25">
      <c r="A179" s="38"/>
      <c r="B179" s="38"/>
      <c r="C179" s="38" t="str">
        <f>EtalonRes!I65</f>
        <v>04.3.01.09</v>
      </c>
      <c r="D179" s="38" t="str">
        <f>EtalonRes!K65</f>
        <v>Растворы на цементном вяжущем</v>
      </c>
      <c r="E179" s="39" t="str">
        <f>EtalonRes!O65</f>
        <v>м3</v>
      </c>
      <c r="F179" s="40">
        <f>EtalonRes!X65</f>
        <v>2</v>
      </c>
      <c r="G179" s="40"/>
      <c r="H179" s="40">
        <f>ROUND(EtalonRes!AG65*Source!I36, 7)</f>
        <v>0.14799999999999999</v>
      </c>
      <c r="I179" s="42"/>
      <c r="J179" s="41"/>
      <c r="K179" s="42"/>
      <c r="L179" s="41"/>
      <c r="M179" s="42"/>
    </row>
    <row r="180" spans="1:101" ht="28.5">
      <c r="A180" s="38"/>
      <c r="B180" s="38"/>
      <c r="C180" s="38" t="str">
        <f>EtalonRes!I66</f>
        <v>06.2.05.03</v>
      </c>
      <c r="D180" s="46" t="str">
        <f>EtalonRes!K66</f>
        <v>Плиты керамогранитные крупноразмерные</v>
      </c>
      <c r="E180" s="47" t="str">
        <f>EtalonRes!O66</f>
        <v>м2</v>
      </c>
      <c r="F180" s="48">
        <f>EtalonRes!X66</f>
        <v>102</v>
      </c>
      <c r="G180" s="48"/>
      <c r="H180" s="48">
        <f>ROUND(EtalonRes!AG66*Source!I36, 7)</f>
        <v>7.548</v>
      </c>
      <c r="I180" s="49"/>
      <c r="J180" s="50"/>
      <c r="K180" s="49"/>
      <c r="L180" s="50"/>
      <c r="M180" s="49"/>
    </row>
    <row r="181" spans="1:101" ht="15">
      <c r="A181" s="38"/>
      <c r="B181" s="38"/>
      <c r="C181" s="38"/>
      <c r="D181" s="53" t="s">
        <v>449</v>
      </c>
      <c r="E181" s="39"/>
      <c r="F181" s="40"/>
      <c r="G181" s="40"/>
      <c r="H181" s="40"/>
      <c r="I181" s="42"/>
      <c r="J181" s="41"/>
      <c r="K181" s="42"/>
      <c r="L181" s="41"/>
      <c r="M181" s="42">
        <f>M165+M167+M168+M173</f>
        <v>7007.41</v>
      </c>
    </row>
    <row r="182" spans="1:101" ht="14.25">
      <c r="A182" s="38"/>
      <c r="B182" s="38"/>
      <c r="C182" s="38"/>
      <c r="D182" s="38" t="s">
        <v>450</v>
      </c>
      <c r="E182" s="39"/>
      <c r="F182" s="40"/>
      <c r="G182" s="40"/>
      <c r="H182" s="40"/>
      <c r="I182" s="42"/>
      <c r="J182" s="41"/>
      <c r="K182" s="42"/>
      <c r="L182" s="41"/>
      <c r="M182" s="42">
        <f>SUM(AR162:AR185)+SUM(AS162:AS185)+SUM(AT162:AT185)+SUM(AU162:AU185)+SUM(AV162:AV185)</f>
        <v>6498.04</v>
      </c>
    </row>
    <row r="183" spans="1:101" ht="14.25">
      <c r="A183" s="38"/>
      <c r="B183" s="38"/>
      <c r="C183" s="38" t="s">
        <v>85</v>
      </c>
      <c r="D183" s="38" t="s">
        <v>477</v>
      </c>
      <c r="E183" s="39" t="s">
        <v>452</v>
      </c>
      <c r="F183" s="40">
        <f>Source!BZ36</f>
        <v>100</v>
      </c>
      <c r="G183" s="40"/>
      <c r="H183" s="40">
        <f>Source!AT36</f>
        <v>100</v>
      </c>
      <c r="I183" s="42"/>
      <c r="J183" s="41"/>
      <c r="K183" s="42"/>
      <c r="L183" s="41"/>
      <c r="M183" s="42">
        <f>SUM(AZ162:AZ185)</f>
        <v>6498.04</v>
      </c>
    </row>
    <row r="184" spans="1:101" ht="14.25">
      <c r="A184" s="46"/>
      <c r="B184" s="46"/>
      <c r="C184" s="46" t="s">
        <v>86</v>
      </c>
      <c r="D184" s="46" t="s">
        <v>478</v>
      </c>
      <c r="E184" s="47" t="s">
        <v>452</v>
      </c>
      <c r="F184" s="48">
        <f>Source!CA36</f>
        <v>49</v>
      </c>
      <c r="G184" s="48"/>
      <c r="H184" s="48">
        <f>Source!AU36</f>
        <v>49</v>
      </c>
      <c r="I184" s="49"/>
      <c r="J184" s="50"/>
      <c r="K184" s="49"/>
      <c r="L184" s="50"/>
      <c r="M184" s="49">
        <f>SUM(BA162:BA185)</f>
        <v>3184.04</v>
      </c>
    </row>
    <row r="185" spans="1:101" ht="15">
      <c r="D185" s="112" t="s">
        <v>454</v>
      </c>
      <c r="E185" s="112"/>
      <c r="F185" s="112"/>
      <c r="G185" s="112"/>
      <c r="H185" s="112"/>
      <c r="I185" s="112"/>
      <c r="J185" s="113">
        <f>IF(F162&lt;&gt;0,L185/F162, 0)</f>
        <v>225533.64864864867</v>
      </c>
      <c r="K185" s="113"/>
      <c r="L185" s="113">
        <f>M165+M167+M173+M183+M184+M168</f>
        <v>16689.490000000002</v>
      </c>
      <c r="M185" s="113"/>
      <c r="AD185">
        <f>ROUND((Source!AT36/100)*((ROUND(SUMIF(SmtRes!AQ55:'SmtRes'!AQ63,"=1",SmtRes!AD55:'SmtRes'!AD63)*Source!I36, 2)+ROUND(SUMIF(SmtRes!AQ55:'SmtRes'!AQ63,"=1",SmtRes!AC55:'SmtRes'!AC63)*Source!I36, 2))), 2)</f>
        <v>92.03</v>
      </c>
      <c r="AE185">
        <f>ROUND((Source!AU36/100)*((ROUND(SUMIF(SmtRes!AQ55:'SmtRes'!AQ63,"=1",SmtRes!AD55:'SmtRes'!AD63)*Source!I36, 2)+ROUND(SUMIF(SmtRes!AQ55:'SmtRes'!AQ63,"=1",SmtRes!AC55:'SmtRes'!AC63)*Source!I36, 2))), 2)</f>
        <v>45.09</v>
      </c>
      <c r="AN185" s="51">
        <f>M165+M167+M173+M183+M184+M168</f>
        <v>16689.490000000002</v>
      </c>
      <c r="AO185" s="51">
        <f>M167</f>
        <v>16.940000000000001</v>
      </c>
      <c r="AQ185" t="s">
        <v>455</v>
      </c>
      <c r="AR185" s="51">
        <f>M165</f>
        <v>6489.3</v>
      </c>
      <c r="AT185" s="51">
        <f>M168</f>
        <v>8.74</v>
      </c>
      <c r="AV185" t="s">
        <v>455</v>
      </c>
      <c r="AW185" s="51">
        <f>M173</f>
        <v>492.43</v>
      </c>
      <c r="AZ185">
        <f>Source!X36</f>
        <v>6498.04</v>
      </c>
      <c r="BA185">
        <f>Source!Y36</f>
        <v>3184.04</v>
      </c>
      <c r="CD185">
        <v>1</v>
      </c>
    </row>
    <row r="186" spans="1:101" ht="28.5">
      <c r="A186" s="57" t="s">
        <v>87</v>
      </c>
      <c r="B186" s="57" t="s">
        <v>87</v>
      </c>
      <c r="C186" s="46" t="str">
        <f>Source!F37</f>
        <v>04.3.01.09-0015</v>
      </c>
      <c r="D186" s="46" t="str">
        <f>Source!G37</f>
        <v>Раствор готовый кладочный, цементный, М150</v>
      </c>
      <c r="E186" s="47" t="str">
        <f>Source!H37</f>
        <v>м3</v>
      </c>
      <c r="F186" s="48">
        <f>Source!K37</f>
        <v>0.25900000000000001</v>
      </c>
      <c r="G186" s="48"/>
      <c r="H186" s="48">
        <f>Source!I37</f>
        <v>0.25900000000000001</v>
      </c>
      <c r="I186" s="49"/>
      <c r="J186" s="50"/>
      <c r="K186" s="49">
        <f>Source!AL37</f>
        <v>6815.7</v>
      </c>
      <c r="L186" s="50"/>
      <c r="M186" s="49">
        <f>Source!P37</f>
        <v>1765.27</v>
      </c>
    </row>
    <row r="187" spans="1:101" ht="15">
      <c r="D187" s="112" t="s">
        <v>454</v>
      </c>
      <c r="E187" s="112"/>
      <c r="F187" s="112"/>
      <c r="G187" s="112"/>
      <c r="H187" s="112"/>
      <c r="I187" s="112"/>
      <c r="J187" s="113">
        <f>IF(F186&lt;&gt;0,L187/F186, 0)</f>
        <v>6815.7142857142853</v>
      </c>
      <c r="K187" s="113"/>
      <c r="L187" s="113">
        <f>M186</f>
        <v>1765.27</v>
      </c>
      <c r="M187" s="113"/>
      <c r="AD187">
        <f>ROUND((Source!AT37/100)*((ROUND(ROUND(Source!AO37,2)*Source!I37, 2)+ROUND(ROUND(Source!AN37,2)*Source!I37, 2))), 2)</f>
        <v>0</v>
      </c>
      <c r="AE187">
        <f>ROUND((Source!AU37/100)*((ROUND(ROUND(Source!AO37,2)*Source!I37, 2)+ROUND(ROUND(Source!AN37,2)*Source!I37, 2))), 2)</f>
        <v>0</v>
      </c>
      <c r="AN187" s="51">
        <f>M186</f>
        <v>1765.27</v>
      </c>
      <c r="AO187">
        <f>0</f>
        <v>0</v>
      </c>
      <c r="AQ187" t="s">
        <v>455</v>
      </c>
      <c r="AR187">
        <f>0</f>
        <v>0</v>
      </c>
      <c r="AT187">
        <f>0</f>
        <v>0</v>
      </c>
      <c r="AV187" t="s">
        <v>455</v>
      </c>
      <c r="AW187" s="51">
        <f>M186</f>
        <v>1765.27</v>
      </c>
      <c r="AZ187">
        <f>Source!X37</f>
        <v>0</v>
      </c>
      <c r="BA187">
        <f>Source!Y37</f>
        <v>0</v>
      </c>
      <c r="CD187">
        <v>1</v>
      </c>
    </row>
    <row r="188" spans="1:101" ht="57">
      <c r="A188" s="57" t="s">
        <v>94</v>
      </c>
      <c r="B188" s="57" t="s">
        <v>94</v>
      </c>
      <c r="C188" s="46" t="str">
        <f>Source!F38</f>
        <v>13.2.01.01-1253</v>
      </c>
      <c r="D188" s="46" t="str">
        <f>Source!G38</f>
        <v>Плита гранитная облицовочная полированная, месторождение Кашина гора, размеры 300х600 мм, толщина 20 мм</v>
      </c>
      <c r="E188" s="47" t="str">
        <f>Source!H38</f>
        <v>м2</v>
      </c>
      <c r="F188" s="48">
        <f>Source!K38</f>
        <v>0.74</v>
      </c>
      <c r="G188" s="48"/>
      <c r="H188" s="48">
        <f>Source!I38</f>
        <v>0.74</v>
      </c>
      <c r="I188" s="49">
        <f>Source!AL38</f>
        <v>2857.34</v>
      </c>
      <c r="J188" s="50">
        <f>IF(Source!BC38&lt;&gt; 0, Source!BC38, 1)</f>
        <v>1.56</v>
      </c>
      <c r="K188" s="49">
        <f>ROUND(I188*J188, 2)</f>
        <v>4457.45</v>
      </c>
      <c r="L188" s="50"/>
      <c r="M188" s="49">
        <f>Source!P38</f>
        <v>3298.51</v>
      </c>
    </row>
    <row r="189" spans="1:101" ht="15">
      <c r="D189" s="112" t="s">
        <v>454</v>
      </c>
      <c r="E189" s="112"/>
      <c r="F189" s="112"/>
      <c r="G189" s="112"/>
      <c r="H189" s="112"/>
      <c r="I189" s="112"/>
      <c r="J189" s="113">
        <f>IF(F188&lt;&gt;0,L189/F188, 0)</f>
        <v>4457.4459459459467</v>
      </c>
      <c r="K189" s="113"/>
      <c r="L189" s="113">
        <f>M188</f>
        <v>3298.51</v>
      </c>
      <c r="M189" s="113"/>
      <c r="AD189">
        <f>ROUND((Source!AT38/100)*((ROUND(ROUND(Source!AO38,2)*Source!I38, 2)+ROUND(ROUND(Source!AN38,2)*Source!I38, 2))), 2)</f>
        <v>0</v>
      </c>
      <c r="AE189">
        <f>ROUND((Source!AU38/100)*((ROUND(ROUND(Source!AO38,2)*Source!I38, 2)+ROUND(ROUND(Source!AN38,2)*Source!I38, 2))), 2)</f>
        <v>0</v>
      </c>
      <c r="AN189" s="51">
        <f>M188</f>
        <v>3298.51</v>
      </c>
      <c r="AO189">
        <f>0</f>
        <v>0</v>
      </c>
      <c r="AQ189" t="s">
        <v>455</v>
      </c>
      <c r="AR189">
        <f>0</f>
        <v>0</v>
      </c>
      <c r="AT189">
        <f>0</f>
        <v>0</v>
      </c>
      <c r="AV189" t="s">
        <v>455</v>
      </c>
      <c r="AW189" s="51">
        <f>M188</f>
        <v>3298.51</v>
      </c>
      <c r="AZ189">
        <f>Source!X38</f>
        <v>0</v>
      </c>
      <c r="BA189">
        <f>Source!Y38</f>
        <v>0</v>
      </c>
      <c r="CD189">
        <v>1</v>
      </c>
    </row>
    <row r="190" spans="1:101" ht="42.75">
      <c r="A190" s="36" t="s">
        <v>99</v>
      </c>
      <c r="B190" s="36" t="s">
        <v>99</v>
      </c>
      <c r="C190" s="38" t="s">
        <v>479</v>
      </c>
      <c r="D190" s="38" t="str">
        <f>Source!G39</f>
        <v>Устройство покрытий из гранитных плит при количестве плит на 1 м2: свыше 4 до 10 шт.</v>
      </c>
      <c r="E190" s="39" t="str">
        <f>Source!H39</f>
        <v>100 м2</v>
      </c>
      <c r="F190" s="40">
        <f>Source!K39</f>
        <v>0.17699999999999999</v>
      </c>
      <c r="G190" s="40"/>
      <c r="H190" s="40">
        <f>Source!I39</f>
        <v>0.17699999999999999</v>
      </c>
      <c r="I190" s="42"/>
      <c r="J190" s="41"/>
      <c r="K190" s="42"/>
      <c r="L190" s="41"/>
      <c r="M190" s="42"/>
    </row>
    <row r="191" spans="1:101" ht="38.25">
      <c r="C191" s="55" t="s">
        <v>392</v>
      </c>
      <c r="D191" s="115" t="s">
        <v>471</v>
      </c>
      <c r="E191" s="115"/>
      <c r="F191" s="115"/>
      <c r="G191" s="115"/>
      <c r="H191" s="115"/>
      <c r="I191" s="115"/>
      <c r="J191" s="115"/>
      <c r="K191" s="115"/>
      <c r="L191" s="115"/>
      <c r="M191" s="115"/>
      <c r="CW191" s="56" t="s">
        <v>471</v>
      </c>
    </row>
    <row r="192" spans="1:101">
      <c r="D192" s="43" t="str">
        <f>"Объем: "&amp;Source!I39&amp;"=17,7/"&amp;"100"</f>
        <v>Объем: 0,177=17,7/100</v>
      </c>
    </row>
    <row r="193" spans="1:83" ht="15">
      <c r="A193" s="37"/>
      <c r="B193" s="37"/>
      <c r="C193" s="40">
        <v>1</v>
      </c>
      <c r="D193" s="37" t="s">
        <v>443</v>
      </c>
      <c r="E193" s="39" t="s">
        <v>252</v>
      </c>
      <c r="F193" s="44"/>
      <c r="G193" s="40"/>
      <c r="H193" s="40">
        <f>Source!U39</f>
        <v>87.933599999999998</v>
      </c>
      <c r="I193" s="40"/>
      <c r="J193" s="40"/>
      <c r="K193" s="40"/>
      <c r="L193" s="40"/>
      <c r="M193" s="45">
        <f>SUM(M194:M194)-SUMIF(CE194:CE194, 1, M194:M194)</f>
        <v>31625.32</v>
      </c>
    </row>
    <row r="194" spans="1:83" ht="14.25">
      <c r="A194" s="38"/>
      <c r="B194" s="38"/>
      <c r="C194" s="38" t="s">
        <v>310</v>
      </c>
      <c r="D194" s="38" t="s">
        <v>311</v>
      </c>
      <c r="E194" s="39" t="s">
        <v>252</v>
      </c>
      <c r="F194" s="40">
        <v>432</v>
      </c>
      <c r="G194" s="40">
        <f>ROUND(1.15,7)</f>
        <v>1.1499999999999999</v>
      </c>
      <c r="H194" s="40">
        <f>SmtRes!CX64</f>
        <v>87.933599999999998</v>
      </c>
      <c r="I194" s="42"/>
      <c r="J194" s="41"/>
      <c r="K194" s="42">
        <f>SmtRes!CZ64</f>
        <v>359.65</v>
      </c>
      <c r="L194" s="41"/>
      <c r="M194" s="42">
        <f>SmtRes!DI64</f>
        <v>31625.32</v>
      </c>
    </row>
    <row r="195" spans="1:83" ht="15">
      <c r="A195" s="37"/>
      <c r="B195" s="37"/>
      <c r="C195" s="40">
        <v>2</v>
      </c>
      <c r="D195" s="37" t="s">
        <v>444</v>
      </c>
      <c r="E195" s="39"/>
      <c r="F195" s="44"/>
      <c r="G195" s="40"/>
      <c r="H195" s="40"/>
      <c r="I195" s="40"/>
      <c r="J195" s="40"/>
      <c r="K195" s="40"/>
      <c r="L195" s="40"/>
      <c r="M195" s="45">
        <f>SUM(M196:M202)-SUMIF(CE196:CE202, 1, M196:M202)</f>
        <v>563.30999999999995</v>
      </c>
    </row>
    <row r="196" spans="1:83" ht="15">
      <c r="A196" s="37"/>
      <c r="B196" s="37"/>
      <c r="C196" s="40"/>
      <c r="D196" s="37" t="s">
        <v>447</v>
      </c>
      <c r="E196" s="39" t="s">
        <v>252</v>
      </c>
      <c r="F196" s="44"/>
      <c r="G196" s="40"/>
      <c r="H196" s="40">
        <f>Source!V39</f>
        <v>0.62834999999999996</v>
      </c>
      <c r="I196" s="40"/>
      <c r="J196" s="40"/>
      <c r="K196" s="40"/>
      <c r="L196" s="40"/>
      <c r="M196" s="45">
        <f>SUMIF(CE197:CE202, 1, M197:M202)</f>
        <v>260.49</v>
      </c>
      <c r="CE196">
        <v>1</v>
      </c>
    </row>
    <row r="197" spans="1:83" ht="71.25">
      <c r="A197" s="38"/>
      <c r="B197" s="38"/>
      <c r="C197" s="38" t="s">
        <v>353</v>
      </c>
      <c r="D197" s="38" t="s">
        <v>355</v>
      </c>
      <c r="E197" s="39" t="s">
        <v>258</v>
      </c>
      <c r="F197" s="40">
        <v>1.32</v>
      </c>
      <c r="G197" s="40">
        <f t="shared" ref="G197:G202" si="3">ROUND(1.25,7)</f>
        <v>1.25</v>
      </c>
      <c r="H197" s="40">
        <f>SmtRes!CX66</f>
        <v>0.29204999999999998</v>
      </c>
      <c r="I197" s="42"/>
      <c r="J197" s="41"/>
      <c r="K197" s="42">
        <f>SmtRes!CZ66</f>
        <v>1689.72</v>
      </c>
      <c r="L197" s="41"/>
      <c r="M197" s="42">
        <f>SmtRes!DG66</f>
        <v>493.48</v>
      </c>
    </row>
    <row r="198" spans="1:83" ht="28.5">
      <c r="A198" s="38"/>
      <c r="B198" s="38"/>
      <c r="C198" s="38" t="s">
        <v>259</v>
      </c>
      <c r="D198" s="38" t="s">
        <v>445</v>
      </c>
      <c r="E198" s="39" t="s">
        <v>252</v>
      </c>
      <c r="F198" s="40">
        <f>SmtRes!DO66*SmtRes!AT66</f>
        <v>1.32</v>
      </c>
      <c r="G198" s="40">
        <f t="shared" si="3"/>
        <v>1.25</v>
      </c>
      <c r="H198" s="40">
        <f>ROUND(F198*G198*H190, 7)</f>
        <v>0.29204999999999998</v>
      </c>
      <c r="I198" s="42"/>
      <c r="J198" s="41"/>
      <c r="K198" s="42">
        <f>ROUND(SmtRes!AG66/SmtRes!DO66, 2)</f>
        <v>465.43</v>
      </c>
      <c r="L198" s="41"/>
      <c r="M198" s="42">
        <f>SmtRes!DH66</f>
        <v>135.93</v>
      </c>
      <c r="CE198">
        <v>1</v>
      </c>
    </row>
    <row r="199" spans="1:83" ht="42.75">
      <c r="A199" s="38"/>
      <c r="B199" s="38"/>
      <c r="C199" s="38" t="s">
        <v>300</v>
      </c>
      <c r="D199" s="38" t="s">
        <v>302</v>
      </c>
      <c r="E199" s="39" t="s">
        <v>258</v>
      </c>
      <c r="F199" s="40">
        <v>1.1599999999999999</v>
      </c>
      <c r="G199" s="40">
        <f t="shared" si="3"/>
        <v>1.25</v>
      </c>
      <c r="H199" s="40">
        <f>SmtRes!CX67</f>
        <v>0.25664999999999999</v>
      </c>
      <c r="I199" s="42">
        <f>SmtRes!CZ67</f>
        <v>37.32</v>
      </c>
      <c r="J199" s="41">
        <f>SmtRes!AJ67</f>
        <v>1.63</v>
      </c>
      <c r="K199" s="42">
        <f>ROUND(I199*J199, 2)</f>
        <v>60.83</v>
      </c>
      <c r="L199" s="41"/>
      <c r="M199" s="42">
        <f>SmtRes!DG67</f>
        <v>15.61</v>
      </c>
    </row>
    <row r="200" spans="1:83" ht="28.5">
      <c r="A200" s="38"/>
      <c r="B200" s="38"/>
      <c r="C200" s="38" t="s">
        <v>303</v>
      </c>
      <c r="D200" s="38" t="s">
        <v>458</v>
      </c>
      <c r="E200" s="39" t="s">
        <v>252</v>
      </c>
      <c r="F200" s="40">
        <f>SmtRes!DO67*SmtRes!AT67</f>
        <v>1.1599999999999999</v>
      </c>
      <c r="G200" s="40">
        <f t="shared" si="3"/>
        <v>1.25</v>
      </c>
      <c r="H200" s="40">
        <f>ROUND(F200*G200*H190, 7)</f>
        <v>0.25664999999999999</v>
      </c>
      <c r="I200" s="42"/>
      <c r="J200" s="41"/>
      <c r="K200" s="42">
        <f>ROUND(SmtRes!AG67/SmtRes!DO67, 2)</f>
        <v>359.65</v>
      </c>
      <c r="L200" s="41"/>
      <c r="M200" s="42">
        <f>SmtRes!DH67</f>
        <v>92.3</v>
      </c>
      <c r="CE200">
        <v>1</v>
      </c>
    </row>
    <row r="201" spans="1:83" ht="28.5">
      <c r="A201" s="38"/>
      <c r="B201" s="38"/>
      <c r="C201" s="38" t="s">
        <v>322</v>
      </c>
      <c r="D201" s="38" t="s">
        <v>324</v>
      </c>
      <c r="E201" s="39" t="s">
        <v>258</v>
      </c>
      <c r="F201" s="40">
        <v>0.36</v>
      </c>
      <c r="G201" s="40">
        <f t="shared" si="3"/>
        <v>1.25</v>
      </c>
      <c r="H201" s="40">
        <f>SmtRes!CX68</f>
        <v>7.9649999999999999E-2</v>
      </c>
      <c r="I201" s="42"/>
      <c r="J201" s="41"/>
      <c r="K201" s="42">
        <f>SmtRes!CZ68</f>
        <v>680.75</v>
      </c>
      <c r="L201" s="41"/>
      <c r="M201" s="42">
        <f>SmtRes!DG68</f>
        <v>54.22</v>
      </c>
    </row>
    <row r="202" spans="1:83" ht="28.5">
      <c r="A202" s="38"/>
      <c r="B202" s="38"/>
      <c r="C202" s="38" t="s">
        <v>266</v>
      </c>
      <c r="D202" s="38" t="s">
        <v>446</v>
      </c>
      <c r="E202" s="39" t="s">
        <v>252</v>
      </c>
      <c r="F202" s="40">
        <f>SmtRes!DO68*SmtRes!AT68</f>
        <v>0.36</v>
      </c>
      <c r="G202" s="40">
        <f t="shared" si="3"/>
        <v>1.25</v>
      </c>
      <c r="H202" s="40">
        <f>ROUND(F202*G202*H190, 7)</f>
        <v>7.9649999999999999E-2</v>
      </c>
      <c r="I202" s="42"/>
      <c r="J202" s="41"/>
      <c r="K202" s="42">
        <f>ROUND(SmtRes!AG68/SmtRes!DO68, 2)</f>
        <v>404.99</v>
      </c>
      <c r="L202" s="41"/>
      <c r="M202" s="42">
        <f>SmtRes!DH68</f>
        <v>32.26</v>
      </c>
      <c r="CE202">
        <v>1</v>
      </c>
    </row>
    <row r="203" spans="1:83" ht="15">
      <c r="A203" s="37"/>
      <c r="B203" s="37"/>
      <c r="C203" s="40">
        <v>4</v>
      </c>
      <c r="D203" s="37" t="s">
        <v>448</v>
      </c>
      <c r="E203" s="39"/>
      <c r="F203" s="44"/>
      <c r="G203" s="40"/>
      <c r="H203" s="40"/>
      <c r="I203" s="40"/>
      <c r="J203" s="40"/>
      <c r="K203" s="40"/>
      <c r="L203" s="40"/>
      <c r="M203" s="45">
        <f>SUM(M204:M207)-SUMIF(CE204:CE207, 1, M204:M207)</f>
        <v>4012.98</v>
      </c>
    </row>
    <row r="204" spans="1:83" ht="14.25">
      <c r="A204" s="38"/>
      <c r="B204" s="38"/>
      <c r="C204" s="38" t="s">
        <v>277</v>
      </c>
      <c r="D204" s="38" t="s">
        <v>279</v>
      </c>
      <c r="E204" s="39" t="s">
        <v>65</v>
      </c>
      <c r="F204" s="40">
        <v>3.85</v>
      </c>
      <c r="G204" s="40"/>
      <c r="H204" s="40">
        <f>SmtRes!CX69</f>
        <v>0.68145</v>
      </c>
      <c r="I204" s="42">
        <f>SmtRes!CZ69</f>
        <v>35.71</v>
      </c>
      <c r="J204" s="41">
        <f>SmtRes!AI69</f>
        <v>0.83</v>
      </c>
      <c r="K204" s="42">
        <f>ROUND(I204*J204, 2)</f>
        <v>29.64</v>
      </c>
      <c r="L204" s="41"/>
      <c r="M204" s="42">
        <f>SmtRes!DF69</f>
        <v>20.2</v>
      </c>
    </row>
    <row r="205" spans="1:83" ht="28.5">
      <c r="A205" s="38"/>
      <c r="B205" s="38"/>
      <c r="C205" s="38" t="s">
        <v>356</v>
      </c>
      <c r="D205" s="38" t="s">
        <v>358</v>
      </c>
      <c r="E205" s="39" t="s">
        <v>65</v>
      </c>
      <c r="F205" s="40">
        <v>3.06</v>
      </c>
      <c r="G205" s="40"/>
      <c r="H205" s="40">
        <f>SmtRes!CX70</f>
        <v>0.54161999999999999</v>
      </c>
      <c r="I205" s="42">
        <f>SmtRes!CZ70</f>
        <v>565.20000000000005</v>
      </c>
      <c r="J205" s="41"/>
      <c r="K205" s="42"/>
      <c r="L205" s="41"/>
      <c r="M205" s="42">
        <f>SmtRes!DF70</f>
        <v>306.12</v>
      </c>
    </row>
    <row r="206" spans="1:83" ht="28.5">
      <c r="A206" s="38"/>
      <c r="B206" s="38"/>
      <c r="C206" s="38" t="s">
        <v>359</v>
      </c>
      <c r="D206" s="38" t="s">
        <v>361</v>
      </c>
      <c r="E206" s="39" t="s">
        <v>65</v>
      </c>
      <c r="F206" s="40">
        <v>3</v>
      </c>
      <c r="G206" s="40"/>
      <c r="H206" s="40">
        <f>SmtRes!CX71</f>
        <v>0.53100000000000003</v>
      </c>
      <c r="I206" s="42"/>
      <c r="J206" s="41"/>
      <c r="K206" s="42">
        <f>SmtRes!CZ71</f>
        <v>6885.13</v>
      </c>
      <c r="L206" s="41"/>
      <c r="M206" s="42">
        <f>SmtRes!DF71</f>
        <v>3656</v>
      </c>
    </row>
    <row r="207" spans="1:83" ht="57">
      <c r="A207" s="38"/>
      <c r="B207" s="38"/>
      <c r="C207" s="38" t="s">
        <v>328</v>
      </c>
      <c r="D207" s="38" t="s">
        <v>330</v>
      </c>
      <c r="E207" s="39" t="s">
        <v>65</v>
      </c>
      <c r="F207" s="40">
        <v>0.01</v>
      </c>
      <c r="G207" s="40"/>
      <c r="H207" s="40">
        <f>SmtRes!CX72</f>
        <v>1.7700000000000001E-3</v>
      </c>
      <c r="I207" s="42">
        <f>SmtRes!CZ72</f>
        <v>16496.03</v>
      </c>
      <c r="J207" s="41">
        <f>SmtRes!AI72</f>
        <v>1.05</v>
      </c>
      <c r="K207" s="42">
        <f>ROUND(I207*J207, 2)</f>
        <v>17320.830000000002</v>
      </c>
      <c r="L207" s="41"/>
      <c r="M207" s="42">
        <f>SmtRes!DF72</f>
        <v>30.66</v>
      </c>
    </row>
    <row r="208" spans="1:83" ht="14.25">
      <c r="A208" s="38"/>
      <c r="B208" s="38"/>
      <c r="C208" s="38" t="str">
        <f>EtalonRes!I77</f>
        <v>13.2.01.01</v>
      </c>
      <c r="D208" s="46" t="str">
        <f>EtalonRes!K77</f>
        <v>Изделия из натурального камня</v>
      </c>
      <c r="E208" s="47" t="str">
        <f>EtalonRes!O77</f>
        <v>м2</v>
      </c>
      <c r="F208" s="48">
        <f>EtalonRes!X77</f>
        <v>100</v>
      </c>
      <c r="G208" s="48"/>
      <c r="H208" s="48">
        <f>ROUND(EtalonRes!AG77*Source!I39, 7)</f>
        <v>17.7</v>
      </c>
      <c r="I208" s="49"/>
      <c r="J208" s="50"/>
      <c r="K208" s="49"/>
      <c r="L208" s="50"/>
      <c r="M208" s="49"/>
    </row>
    <row r="209" spans="1:101" ht="15">
      <c r="A209" s="38"/>
      <c r="B209" s="38"/>
      <c r="C209" s="38"/>
      <c r="D209" s="53" t="s">
        <v>449</v>
      </c>
      <c r="E209" s="39"/>
      <c r="F209" s="40"/>
      <c r="G209" s="40"/>
      <c r="H209" s="40"/>
      <c r="I209" s="42"/>
      <c r="J209" s="41"/>
      <c r="K209" s="42"/>
      <c r="L209" s="41"/>
      <c r="M209" s="42">
        <f>M193+M195+M196+M203</f>
        <v>36462.100000000006</v>
      </c>
    </row>
    <row r="210" spans="1:101" ht="57">
      <c r="A210" s="36" t="s">
        <v>480</v>
      </c>
      <c r="B210" s="36" t="s">
        <v>480</v>
      </c>
      <c r="C210" s="38" t="str">
        <f>Source!F40</f>
        <v>13.2.01.01-1253</v>
      </c>
      <c r="D210" s="38" t="str">
        <f>Source!G40</f>
        <v>Плита гранитная облицовочная полированная, месторождение Кашина гора, размеры 300х600 мм, толщина 20 мм</v>
      </c>
      <c r="E210" s="39" t="str">
        <f>Source!H40</f>
        <v>м2</v>
      </c>
      <c r="F210" s="40">
        <f>SmtRes!AT73</f>
        <v>10.169491499999999</v>
      </c>
      <c r="G210" s="40"/>
      <c r="H210" s="40">
        <f>Source!I40</f>
        <v>1.8</v>
      </c>
      <c r="I210" s="42">
        <f>Source!AL40+Source!AO40+Source!AM40+Source!AN40</f>
        <v>2857.34</v>
      </c>
      <c r="J210" s="41">
        <f>IF(Source!BC40&lt;&gt; 0, Source!BC40, 1)</f>
        <v>1.56</v>
      </c>
      <c r="K210" s="42">
        <f>ROUND(I210*J210, 2)</f>
        <v>4457.45</v>
      </c>
      <c r="L210" s="41"/>
      <c r="M210" s="42">
        <f>Source!P40</f>
        <v>8023.41</v>
      </c>
      <c r="AD210">
        <f>ROUND((Source!AT40/100)*((ROUND(ROUND(Source!AO40,2)*Source!I40, 2)+ROUND(ROUND(Source!AN40,2)*Source!I40, 2))), 2)</f>
        <v>0</v>
      </c>
      <c r="AE210">
        <f>ROUND((Source!AU40/100)*((ROUND(ROUND(Source!AO40,2)*Source!I40, 2)+ROUND(ROUND(Source!AN40,2)*Source!I40, 2))), 2)</f>
        <v>0</v>
      </c>
      <c r="AN210">
        <f>M210</f>
        <v>8023.41</v>
      </c>
      <c r="AW210">
        <f>M210</f>
        <v>8023.41</v>
      </c>
      <c r="AZ210">
        <f>Source!X40</f>
        <v>0</v>
      </c>
      <c r="BA210">
        <f>Source!Y40</f>
        <v>0</v>
      </c>
      <c r="CD210">
        <v>1</v>
      </c>
    </row>
    <row r="211" spans="1:101" ht="14.25">
      <c r="A211" s="38"/>
      <c r="B211" s="38"/>
      <c r="C211" s="38"/>
      <c r="D211" s="38" t="s">
        <v>450</v>
      </c>
      <c r="E211" s="39"/>
      <c r="F211" s="40"/>
      <c r="G211" s="40"/>
      <c r="H211" s="40"/>
      <c r="I211" s="42"/>
      <c r="J211" s="41"/>
      <c r="K211" s="42"/>
      <c r="L211" s="41"/>
      <c r="M211" s="42">
        <f>SUM(AR190:AR214)+SUM(AS190:AS214)+SUM(AT190:AT214)+SUM(AU190:AU214)+SUM(AV190:AV214)</f>
        <v>31885.81</v>
      </c>
    </row>
    <row r="212" spans="1:101" ht="14.25">
      <c r="A212" s="38"/>
      <c r="B212" s="38"/>
      <c r="C212" s="38" t="s">
        <v>104</v>
      </c>
      <c r="D212" s="38" t="s">
        <v>464</v>
      </c>
      <c r="E212" s="39" t="s">
        <v>452</v>
      </c>
      <c r="F212" s="40">
        <f>Source!BZ39</f>
        <v>112</v>
      </c>
      <c r="G212" s="40"/>
      <c r="H212" s="40">
        <f>Source!AT39</f>
        <v>112</v>
      </c>
      <c r="I212" s="42"/>
      <c r="J212" s="41"/>
      <c r="K212" s="42"/>
      <c r="L212" s="41"/>
      <c r="M212" s="42">
        <f>SUM(AZ190:AZ214)</f>
        <v>35712.11</v>
      </c>
    </row>
    <row r="213" spans="1:101" ht="14.25">
      <c r="A213" s="46"/>
      <c r="B213" s="46"/>
      <c r="C213" s="46" t="s">
        <v>105</v>
      </c>
      <c r="D213" s="46" t="s">
        <v>465</v>
      </c>
      <c r="E213" s="47" t="s">
        <v>452</v>
      </c>
      <c r="F213" s="48">
        <f>Source!CA39</f>
        <v>65</v>
      </c>
      <c r="G213" s="48"/>
      <c r="H213" s="48">
        <f>Source!AU39</f>
        <v>65</v>
      </c>
      <c r="I213" s="49"/>
      <c r="J213" s="50"/>
      <c r="K213" s="49"/>
      <c r="L213" s="50"/>
      <c r="M213" s="49">
        <f>SUM(BA190:BA214)</f>
        <v>20725.78</v>
      </c>
    </row>
    <row r="214" spans="1:101" ht="15">
      <c r="D214" s="112" t="s">
        <v>454</v>
      </c>
      <c r="E214" s="112"/>
      <c r="F214" s="112"/>
      <c r="G214" s="112"/>
      <c r="H214" s="112"/>
      <c r="I214" s="112"/>
      <c r="J214" s="113">
        <f>IF(F190&lt;&gt;0,L214/F190, 0)</f>
        <v>570188.70056497178</v>
      </c>
      <c r="K214" s="113"/>
      <c r="L214" s="113">
        <f>M193+M195+M203+M212+M213+M196+SUM(M210:M210)</f>
        <v>100923.40000000001</v>
      </c>
      <c r="M214" s="113"/>
      <c r="AD214">
        <f>ROUND((Source!AT39/100)*((ROUND(SUMIF(SmtRes!AQ64:'SmtRes'!AQ73,"=1",SmtRes!AD64:'SmtRes'!AD73)*Source!I39, 2)+ROUND(SUMIF(SmtRes!AQ64:'SmtRes'!AQ73,"=1",SmtRes!AC64:'SmtRes'!AC73)*Source!I39, 2))), 2)</f>
        <v>315.14999999999998</v>
      </c>
      <c r="AE214">
        <f>ROUND((Source!AU39/100)*((ROUND(SUMIF(SmtRes!AQ64:'SmtRes'!AQ73,"=1",SmtRes!AD64:'SmtRes'!AD73)*Source!I39, 2)+ROUND(SUMIF(SmtRes!AQ64:'SmtRes'!AQ73,"=1",SmtRes!AC64:'SmtRes'!AC73)*Source!I39, 2))), 2)</f>
        <v>182.9</v>
      </c>
      <c r="AN214" s="51">
        <f>M193+M195+M203+M212+M213+M196</f>
        <v>92899.99</v>
      </c>
      <c r="AO214" s="51">
        <f>M195</f>
        <v>563.30999999999995</v>
      </c>
      <c r="AQ214" t="s">
        <v>455</v>
      </c>
      <c r="AR214" s="51">
        <f>M193</f>
        <v>31625.32</v>
      </c>
      <c r="AT214" s="51">
        <f>M196</f>
        <v>260.49</v>
      </c>
      <c r="AV214" t="s">
        <v>455</v>
      </c>
      <c r="AW214" s="51">
        <f>M203</f>
        <v>4012.98</v>
      </c>
      <c r="AZ214">
        <f>Source!X39</f>
        <v>35712.11</v>
      </c>
      <c r="BA214">
        <f>Source!Y39</f>
        <v>20725.78</v>
      </c>
      <c r="CD214">
        <v>1</v>
      </c>
    </row>
    <row r="215" spans="1:101" ht="42.75">
      <c r="A215" s="36" t="s">
        <v>107</v>
      </c>
      <c r="B215" s="36" t="s">
        <v>107</v>
      </c>
      <c r="C215" s="38" t="s">
        <v>481</v>
      </c>
      <c r="D215" s="38" t="str">
        <f>Source!G41</f>
        <v>Облицовка ступеней керамогранитными плитками толщиной до 15 мм</v>
      </c>
      <c r="E215" s="39" t="str">
        <f>Source!H41</f>
        <v>100 м2</v>
      </c>
      <c r="F215" s="40">
        <f>Source!K41</f>
        <v>0.10403999999999999</v>
      </c>
      <c r="G215" s="40"/>
      <c r="H215" s="40">
        <f>Source!I41</f>
        <v>0.10403999999999999</v>
      </c>
      <c r="I215" s="42"/>
      <c r="J215" s="41"/>
      <c r="K215" s="42"/>
      <c r="L215" s="41"/>
      <c r="M215" s="42"/>
    </row>
    <row r="216" spans="1:101" ht="38.25">
      <c r="C216" s="55" t="s">
        <v>392</v>
      </c>
      <c r="D216" s="115" t="s">
        <v>471</v>
      </c>
      <c r="E216" s="115"/>
      <c r="F216" s="115"/>
      <c r="G216" s="115"/>
      <c r="H216" s="115"/>
      <c r="I216" s="115"/>
      <c r="J216" s="115"/>
      <c r="K216" s="115"/>
      <c r="L216" s="115"/>
      <c r="M216" s="115"/>
      <c r="CW216" s="56" t="s">
        <v>471</v>
      </c>
    </row>
    <row r="217" spans="1:101">
      <c r="D217" s="43" t="str">
        <f>"Объем: "&amp;Source!I41&amp;"=10,404/"&amp;"100"</f>
        <v>Объем: 0,10404=10,404/100</v>
      </c>
    </row>
    <row r="218" spans="1:101" ht="15">
      <c r="A218" s="37"/>
      <c r="B218" s="37"/>
      <c r="C218" s="40">
        <v>1</v>
      </c>
      <c r="D218" s="37" t="s">
        <v>443</v>
      </c>
      <c r="E218" s="39" t="s">
        <v>252</v>
      </c>
      <c r="F218" s="44"/>
      <c r="G218" s="40"/>
      <c r="H218" s="40">
        <f>Source!U41</f>
        <v>45.246527800000003</v>
      </c>
      <c r="I218" s="40"/>
      <c r="J218" s="40"/>
      <c r="K218" s="40"/>
      <c r="L218" s="40"/>
      <c r="M218" s="45">
        <f>SUM(M219:M219)-SUMIF(CE219:CE219, 1, M219:M219)</f>
        <v>17503.62</v>
      </c>
    </row>
    <row r="219" spans="1:101" ht="14.25">
      <c r="A219" s="38"/>
      <c r="B219" s="38"/>
      <c r="C219" s="38" t="s">
        <v>362</v>
      </c>
      <c r="D219" s="38" t="s">
        <v>363</v>
      </c>
      <c r="E219" s="39" t="s">
        <v>252</v>
      </c>
      <c r="F219" s="40">
        <v>378.17</v>
      </c>
      <c r="G219" s="40">
        <f>ROUND(1.15,7)</f>
        <v>1.1499999999999999</v>
      </c>
      <c r="H219" s="40">
        <f>SmtRes!CX74</f>
        <v>45.246527800000003</v>
      </c>
      <c r="I219" s="42"/>
      <c r="J219" s="41"/>
      <c r="K219" s="42">
        <f>SmtRes!CZ74</f>
        <v>386.85</v>
      </c>
      <c r="L219" s="41"/>
      <c r="M219" s="42">
        <f>SmtRes!DI74</f>
        <v>17503.62</v>
      </c>
    </row>
    <row r="220" spans="1:101" ht="15">
      <c r="A220" s="37"/>
      <c r="B220" s="37"/>
      <c r="C220" s="40">
        <v>2</v>
      </c>
      <c r="D220" s="37" t="s">
        <v>444</v>
      </c>
      <c r="E220" s="39"/>
      <c r="F220" s="44"/>
      <c r="G220" s="40"/>
      <c r="H220" s="40"/>
      <c r="I220" s="40"/>
      <c r="J220" s="40"/>
      <c r="K220" s="40"/>
      <c r="L220" s="40"/>
      <c r="M220" s="45">
        <f>SUM(M221:M229)-SUMIF(CE221:CE229, 1, M221:M229)</f>
        <v>58.600000000000051</v>
      </c>
    </row>
    <row r="221" spans="1:101" ht="15">
      <c r="A221" s="37"/>
      <c r="B221" s="37"/>
      <c r="C221" s="40"/>
      <c r="D221" s="37" t="s">
        <v>447</v>
      </c>
      <c r="E221" s="39" t="s">
        <v>252</v>
      </c>
      <c r="F221" s="44"/>
      <c r="G221" s="40"/>
      <c r="H221" s="40">
        <f>Source!V41</f>
        <v>0.29781449999999998</v>
      </c>
      <c r="I221" s="40"/>
      <c r="J221" s="40"/>
      <c r="K221" s="40"/>
      <c r="L221" s="40"/>
      <c r="M221" s="45">
        <f>SUMIF(CE222:CE229, 1, M222:M229)</f>
        <v>119.14999999999999</v>
      </c>
      <c r="CE221">
        <v>1</v>
      </c>
    </row>
    <row r="222" spans="1:101" ht="28.5">
      <c r="A222" s="38"/>
      <c r="B222" s="38"/>
      <c r="C222" s="38" t="s">
        <v>364</v>
      </c>
      <c r="D222" s="38" t="s">
        <v>366</v>
      </c>
      <c r="E222" s="39" t="s">
        <v>258</v>
      </c>
      <c r="F222" s="40">
        <v>0.34</v>
      </c>
      <c r="G222" s="40">
        <f t="shared" ref="G222:G229" si="4">ROUND(1.25,7)</f>
        <v>1.25</v>
      </c>
      <c r="H222" s="40">
        <f>SmtRes!CX76</f>
        <v>4.4216999999999999E-2</v>
      </c>
      <c r="I222" s="42">
        <f>SmtRes!CZ76</f>
        <v>251.77</v>
      </c>
      <c r="J222" s="41">
        <f>SmtRes!AJ76</f>
        <v>1.54</v>
      </c>
      <c r="K222" s="42">
        <f>ROUND(I222*J222, 2)</f>
        <v>387.73</v>
      </c>
      <c r="L222" s="41"/>
      <c r="M222" s="42">
        <f>SmtRes!DG76</f>
        <v>17.14</v>
      </c>
    </row>
    <row r="223" spans="1:101" ht="28.5">
      <c r="A223" s="38"/>
      <c r="B223" s="38"/>
      <c r="C223" s="38" t="s">
        <v>315</v>
      </c>
      <c r="D223" s="38" t="s">
        <v>472</v>
      </c>
      <c r="E223" s="39" t="s">
        <v>252</v>
      </c>
      <c r="F223" s="40">
        <f>SmtRes!DO76*SmtRes!AT76</f>
        <v>0.34</v>
      </c>
      <c r="G223" s="40">
        <f t="shared" si="4"/>
        <v>1.25</v>
      </c>
      <c r="H223" s="40">
        <f>ROUND(F223*G223*H215, 7)</f>
        <v>4.4216999999999999E-2</v>
      </c>
      <c r="I223" s="42"/>
      <c r="J223" s="41"/>
      <c r="K223" s="42">
        <f>ROUND(SmtRes!AG76/SmtRes!DO76, 2)</f>
        <v>544.01</v>
      </c>
      <c r="L223" s="41"/>
      <c r="M223" s="42">
        <f>SmtRes!DH76</f>
        <v>24.05</v>
      </c>
      <c r="CE223">
        <v>1</v>
      </c>
    </row>
    <row r="224" spans="1:101" ht="28.5">
      <c r="A224" s="38"/>
      <c r="B224" s="38"/>
      <c r="C224" s="38" t="s">
        <v>312</v>
      </c>
      <c r="D224" s="38" t="s">
        <v>314</v>
      </c>
      <c r="E224" s="39" t="s">
        <v>258</v>
      </c>
      <c r="F224" s="40">
        <v>0.13</v>
      </c>
      <c r="G224" s="40">
        <f t="shared" si="4"/>
        <v>1.25</v>
      </c>
      <c r="H224" s="40">
        <f>SmtRes!CX77</f>
        <v>1.6906500000000001E-2</v>
      </c>
      <c r="I224" s="42"/>
      <c r="J224" s="41"/>
      <c r="K224" s="42">
        <f>SmtRes!CZ77</f>
        <v>1719.93</v>
      </c>
      <c r="L224" s="41"/>
      <c r="M224" s="42">
        <f>SmtRes!DG77</f>
        <v>29.08</v>
      </c>
    </row>
    <row r="225" spans="1:83" ht="28.5">
      <c r="A225" s="38"/>
      <c r="B225" s="38"/>
      <c r="C225" s="38" t="s">
        <v>315</v>
      </c>
      <c r="D225" s="38" t="s">
        <v>472</v>
      </c>
      <c r="E225" s="39" t="s">
        <v>252</v>
      </c>
      <c r="F225" s="40">
        <f>SmtRes!DO77*SmtRes!AT77</f>
        <v>0.13</v>
      </c>
      <c r="G225" s="40">
        <f t="shared" si="4"/>
        <v>1.25</v>
      </c>
      <c r="H225" s="40">
        <f>ROUND(F225*G225*H215, 7)</f>
        <v>1.6906500000000001E-2</v>
      </c>
      <c r="I225" s="42"/>
      <c r="J225" s="41"/>
      <c r="K225" s="42">
        <f>ROUND(SmtRes!AG77/SmtRes!DO77, 2)</f>
        <v>544.01</v>
      </c>
      <c r="L225" s="41"/>
      <c r="M225" s="42">
        <f>SmtRes!DH77</f>
        <v>9.1999999999999993</v>
      </c>
      <c r="CE225">
        <v>1</v>
      </c>
    </row>
    <row r="226" spans="1:83" ht="28.5">
      <c r="A226" s="38"/>
      <c r="B226" s="38"/>
      <c r="C226" s="38" t="s">
        <v>367</v>
      </c>
      <c r="D226" s="38" t="s">
        <v>369</v>
      </c>
      <c r="E226" s="39" t="s">
        <v>258</v>
      </c>
      <c r="F226" s="40">
        <v>1.69</v>
      </c>
      <c r="G226" s="40">
        <f t="shared" si="4"/>
        <v>1.25</v>
      </c>
      <c r="H226" s="40">
        <f>SmtRes!CX78</f>
        <v>0.21978449999999999</v>
      </c>
      <c r="I226" s="42">
        <f>SmtRes!CZ78</f>
        <v>2.31</v>
      </c>
      <c r="J226" s="41">
        <f>SmtRes!AJ78</f>
        <v>1.72</v>
      </c>
      <c r="K226" s="42">
        <f>ROUND(I226*J226, 2)</f>
        <v>3.97</v>
      </c>
      <c r="L226" s="41"/>
      <c r="M226" s="42">
        <f>SmtRes!DG78</f>
        <v>0.87</v>
      </c>
    </row>
    <row r="227" spans="1:83" ht="28.5">
      <c r="A227" s="38"/>
      <c r="B227" s="38"/>
      <c r="C227" s="38" t="s">
        <v>303</v>
      </c>
      <c r="D227" s="38" t="s">
        <v>458</v>
      </c>
      <c r="E227" s="39" t="s">
        <v>252</v>
      </c>
      <c r="F227" s="40">
        <f>SmtRes!DO78*SmtRes!AT78</f>
        <v>1.69</v>
      </c>
      <c r="G227" s="40">
        <f t="shared" si="4"/>
        <v>1.25</v>
      </c>
      <c r="H227" s="40">
        <f>ROUND(F227*G227*H215, 7)</f>
        <v>0.21978449999999999</v>
      </c>
      <c r="I227" s="42"/>
      <c r="J227" s="41"/>
      <c r="K227" s="42">
        <f>ROUND(SmtRes!AG78/SmtRes!DO78, 2)</f>
        <v>359.65</v>
      </c>
      <c r="L227" s="41"/>
      <c r="M227" s="42">
        <f>SmtRes!DH78</f>
        <v>79.05</v>
      </c>
      <c r="CE227">
        <v>1</v>
      </c>
    </row>
    <row r="228" spans="1:83" ht="28.5">
      <c r="A228" s="38"/>
      <c r="B228" s="38"/>
      <c r="C228" s="38" t="s">
        <v>322</v>
      </c>
      <c r="D228" s="38" t="s">
        <v>324</v>
      </c>
      <c r="E228" s="39" t="s">
        <v>258</v>
      </c>
      <c r="F228" s="40">
        <v>0.13</v>
      </c>
      <c r="G228" s="40">
        <f t="shared" si="4"/>
        <v>1.25</v>
      </c>
      <c r="H228" s="40">
        <f>SmtRes!CX79</f>
        <v>1.6906500000000001E-2</v>
      </c>
      <c r="I228" s="42"/>
      <c r="J228" s="41"/>
      <c r="K228" s="42">
        <f>SmtRes!CZ79</f>
        <v>680.75</v>
      </c>
      <c r="L228" s="41"/>
      <c r="M228" s="42">
        <f>SmtRes!DG79</f>
        <v>11.51</v>
      </c>
    </row>
    <row r="229" spans="1:83" ht="28.5">
      <c r="A229" s="38"/>
      <c r="B229" s="38"/>
      <c r="C229" s="38" t="s">
        <v>266</v>
      </c>
      <c r="D229" s="38" t="s">
        <v>446</v>
      </c>
      <c r="E229" s="39" t="s">
        <v>252</v>
      </c>
      <c r="F229" s="40">
        <f>SmtRes!DO79*SmtRes!AT79</f>
        <v>0.13</v>
      </c>
      <c r="G229" s="40">
        <f t="shared" si="4"/>
        <v>1.25</v>
      </c>
      <c r="H229" s="40">
        <f>ROUND(F229*G229*H215, 7)</f>
        <v>1.6906500000000001E-2</v>
      </c>
      <c r="I229" s="42"/>
      <c r="J229" s="41"/>
      <c r="K229" s="42">
        <f>ROUND(SmtRes!AG79/SmtRes!DO79, 2)</f>
        <v>404.99</v>
      </c>
      <c r="L229" s="41"/>
      <c r="M229" s="42">
        <f>SmtRes!DH79</f>
        <v>6.85</v>
      </c>
      <c r="CE229">
        <v>1</v>
      </c>
    </row>
    <row r="230" spans="1:83" ht="15">
      <c r="A230" s="37"/>
      <c r="B230" s="37"/>
      <c r="C230" s="40">
        <v>4</v>
      </c>
      <c r="D230" s="37" t="s">
        <v>448</v>
      </c>
      <c r="E230" s="39"/>
      <c r="F230" s="44"/>
      <c r="G230" s="40"/>
      <c r="H230" s="40"/>
      <c r="I230" s="40"/>
      <c r="J230" s="40"/>
      <c r="K230" s="40"/>
      <c r="L230" s="40"/>
      <c r="M230" s="45">
        <f>SUM(M231:M233)-SUMIF(CE231:CE233, 1, M231:M233)</f>
        <v>167.44</v>
      </c>
    </row>
    <row r="231" spans="1:83" ht="14.25">
      <c r="A231" s="38"/>
      <c r="B231" s="38"/>
      <c r="C231" s="38" t="s">
        <v>277</v>
      </c>
      <c r="D231" s="38" t="s">
        <v>279</v>
      </c>
      <c r="E231" s="39" t="s">
        <v>65</v>
      </c>
      <c r="F231" s="40">
        <v>0.45</v>
      </c>
      <c r="G231" s="40"/>
      <c r="H231" s="40">
        <f>SmtRes!CX80</f>
        <v>4.6817999999999999E-2</v>
      </c>
      <c r="I231" s="42">
        <f>SmtRes!CZ80</f>
        <v>35.71</v>
      </c>
      <c r="J231" s="41">
        <f>SmtRes!AI80</f>
        <v>0.83</v>
      </c>
      <c r="K231" s="42">
        <f>ROUND(I231*J231, 2)</f>
        <v>29.64</v>
      </c>
      <c r="L231" s="41"/>
      <c r="M231" s="42">
        <f>SmtRes!DF80</f>
        <v>1.39</v>
      </c>
    </row>
    <row r="232" spans="1:83" ht="14.25">
      <c r="A232" s="38"/>
      <c r="B232" s="38"/>
      <c r="C232" s="38" t="s">
        <v>339</v>
      </c>
      <c r="D232" s="38" t="s">
        <v>341</v>
      </c>
      <c r="E232" s="39" t="s">
        <v>342</v>
      </c>
      <c r="F232" s="40">
        <v>5.8500000000000003E-2</v>
      </c>
      <c r="G232" s="40"/>
      <c r="H232" s="40">
        <f>SmtRes!CX81</f>
        <v>6.0863000000000002E-3</v>
      </c>
      <c r="I232" s="42"/>
      <c r="J232" s="41"/>
      <c r="K232" s="42">
        <f>SmtRes!CZ81</f>
        <v>7.71</v>
      </c>
      <c r="L232" s="41"/>
      <c r="M232" s="42">
        <f>SmtRes!DF81</f>
        <v>0.05</v>
      </c>
    </row>
    <row r="233" spans="1:83" ht="42.75">
      <c r="A233" s="38"/>
      <c r="B233" s="38"/>
      <c r="C233" s="38" t="s">
        <v>370</v>
      </c>
      <c r="D233" s="38" t="s">
        <v>372</v>
      </c>
      <c r="E233" s="39" t="s">
        <v>46</v>
      </c>
      <c r="F233" s="40">
        <v>2.1000000000000001E-2</v>
      </c>
      <c r="G233" s="40"/>
      <c r="H233" s="40">
        <f>SmtRes!CX82</f>
        <v>2.1848000000000002E-3</v>
      </c>
      <c r="I233" s="42">
        <f>SmtRes!CZ82</f>
        <v>37800.300000000003</v>
      </c>
      <c r="J233" s="41">
        <f>SmtRes!AI82</f>
        <v>2.0099999999999998</v>
      </c>
      <c r="K233" s="42">
        <f>ROUND(I233*J233, 2)</f>
        <v>75978.600000000006</v>
      </c>
      <c r="L233" s="41"/>
      <c r="M233" s="42">
        <f>SmtRes!DF82</f>
        <v>166</v>
      </c>
    </row>
    <row r="234" spans="1:83" ht="14.25">
      <c r="A234" s="38"/>
      <c r="B234" s="38"/>
      <c r="C234" s="38" t="str">
        <f>EtalonRes!I87</f>
        <v>06.2.05.03</v>
      </c>
      <c r="D234" s="38" t="str">
        <f>EtalonRes!K87</f>
        <v>Плитки керамогранитные</v>
      </c>
      <c r="E234" s="39" t="str">
        <f>EtalonRes!O87</f>
        <v>м2</v>
      </c>
      <c r="F234" s="40">
        <f>EtalonRes!X87</f>
        <v>102</v>
      </c>
      <c r="G234" s="40"/>
      <c r="H234" s="40">
        <f>ROUND(EtalonRes!AG87*Source!I41, 7)</f>
        <v>10.612080000000001</v>
      </c>
      <c r="I234" s="42"/>
      <c r="J234" s="41"/>
      <c r="K234" s="42"/>
      <c r="L234" s="41"/>
      <c r="M234" s="42"/>
    </row>
    <row r="235" spans="1:83" ht="14.25">
      <c r="A235" s="38"/>
      <c r="B235" s="38"/>
      <c r="C235" s="38" t="str">
        <f>EtalonRes!I88</f>
        <v>11.2.04.05</v>
      </c>
      <c r="D235" s="38" t="str">
        <f>EtalonRes!K88</f>
        <v>Рейки деревянные</v>
      </c>
      <c r="E235" s="39" t="str">
        <f>EtalonRes!O88</f>
        <v>м3</v>
      </c>
      <c r="F235" s="40">
        <f>EtalonRes!X88</f>
        <v>0.01</v>
      </c>
      <c r="G235" s="40"/>
      <c r="H235" s="40">
        <f>ROUND(EtalonRes!AG88*Source!I41, 7)</f>
        <v>1.0403999999999999E-3</v>
      </c>
      <c r="I235" s="42"/>
      <c r="J235" s="41"/>
      <c r="K235" s="42"/>
      <c r="L235" s="41"/>
      <c r="M235" s="42"/>
    </row>
    <row r="236" spans="1:83" ht="28.5">
      <c r="A236" s="38"/>
      <c r="B236" s="38"/>
      <c r="C236" s="38" t="str">
        <f>EtalonRes!I89</f>
        <v>14.1.06.02</v>
      </c>
      <c r="D236" s="46" t="str">
        <f>EtalonRes!K89</f>
        <v>Клей для облицовочных работ (сухая смесь)</v>
      </c>
      <c r="E236" s="47" t="str">
        <f>EtalonRes!O89</f>
        <v>т</v>
      </c>
      <c r="F236" s="48">
        <f>EtalonRes!X89</f>
        <v>1.2</v>
      </c>
      <c r="G236" s="48"/>
      <c r="H236" s="48">
        <f>ROUND(EtalonRes!AG89*Source!I41, 7)</f>
        <v>0.124848</v>
      </c>
      <c r="I236" s="49"/>
      <c r="J236" s="50"/>
      <c r="K236" s="49"/>
      <c r="L236" s="50"/>
      <c r="M236" s="49"/>
    </row>
    <row r="237" spans="1:83" ht="15">
      <c r="A237" s="38"/>
      <c r="B237" s="38"/>
      <c r="C237" s="38"/>
      <c r="D237" s="53" t="s">
        <v>449</v>
      </c>
      <c r="E237" s="39"/>
      <c r="F237" s="40"/>
      <c r="G237" s="40"/>
      <c r="H237" s="40"/>
      <c r="I237" s="42"/>
      <c r="J237" s="41"/>
      <c r="K237" s="42"/>
      <c r="L237" s="41"/>
      <c r="M237" s="42">
        <f>M218+M220+M221+M230</f>
        <v>17848.809999999998</v>
      </c>
    </row>
    <row r="238" spans="1:83" ht="14.25">
      <c r="A238" s="38"/>
      <c r="B238" s="38"/>
      <c r="C238" s="38"/>
      <c r="D238" s="38" t="s">
        <v>450</v>
      </c>
      <c r="E238" s="39"/>
      <c r="F238" s="40"/>
      <c r="G238" s="40"/>
      <c r="H238" s="40"/>
      <c r="I238" s="42"/>
      <c r="J238" s="41"/>
      <c r="K238" s="42"/>
      <c r="L238" s="41"/>
      <c r="M238" s="42">
        <f>SUM(AR215:AR241)+SUM(AS215:AS241)+SUM(AT215:AT241)+SUM(AU215:AU241)+SUM(AV215:AV241)</f>
        <v>17622.77</v>
      </c>
    </row>
    <row r="239" spans="1:83" ht="14.25">
      <c r="A239" s="38"/>
      <c r="B239" s="38"/>
      <c r="C239" s="38" t="s">
        <v>85</v>
      </c>
      <c r="D239" s="38" t="s">
        <v>477</v>
      </c>
      <c r="E239" s="39" t="s">
        <v>452</v>
      </c>
      <c r="F239" s="40">
        <f>Source!BZ41</f>
        <v>100</v>
      </c>
      <c r="G239" s="40"/>
      <c r="H239" s="40">
        <f>Source!AT41</f>
        <v>100</v>
      </c>
      <c r="I239" s="42"/>
      <c r="J239" s="41"/>
      <c r="K239" s="42"/>
      <c r="L239" s="41"/>
      <c r="M239" s="42">
        <f>SUM(AZ215:AZ241)</f>
        <v>17622.77</v>
      </c>
    </row>
    <row r="240" spans="1:83" ht="14.25">
      <c r="A240" s="46"/>
      <c r="B240" s="46"/>
      <c r="C240" s="46" t="s">
        <v>86</v>
      </c>
      <c r="D240" s="46" t="s">
        <v>478</v>
      </c>
      <c r="E240" s="47" t="s">
        <v>452</v>
      </c>
      <c r="F240" s="48">
        <f>Source!CA41</f>
        <v>49</v>
      </c>
      <c r="G240" s="48"/>
      <c r="H240" s="48">
        <f>Source!AU41</f>
        <v>49</v>
      </c>
      <c r="I240" s="49"/>
      <c r="J240" s="50"/>
      <c r="K240" s="49"/>
      <c r="L240" s="50"/>
      <c r="M240" s="49">
        <f>SUM(BA215:BA241)</f>
        <v>8635.16</v>
      </c>
    </row>
    <row r="241" spans="1:82" ht="15">
      <c r="D241" s="112" t="s">
        <v>454</v>
      </c>
      <c r="E241" s="112"/>
      <c r="F241" s="112"/>
      <c r="G241" s="112"/>
      <c r="H241" s="112"/>
      <c r="I241" s="112"/>
      <c r="J241" s="113">
        <f>IF(F215&lt;&gt;0,L241/F215, 0)</f>
        <v>423940.21530180698</v>
      </c>
      <c r="K241" s="113"/>
      <c r="L241" s="113">
        <f>M218+M220+M230+M239+M240+M221</f>
        <v>44106.74</v>
      </c>
      <c r="M241" s="113"/>
      <c r="AD241">
        <f>ROUND((Source!AT41/100)*((ROUND(SUMIF(SmtRes!AQ74:'SmtRes'!AQ82,"=1",SmtRes!AD74:'SmtRes'!AD82)*Source!I41, 2)+ROUND(SUMIF(SmtRes!AQ74:'SmtRes'!AQ82,"=1",SmtRes!AC74:'SmtRes'!AC82)*Source!I41, 2))), 2)</f>
        <v>233</v>
      </c>
      <c r="AE241">
        <f>ROUND((Source!AU41/100)*((ROUND(SUMIF(SmtRes!AQ74:'SmtRes'!AQ82,"=1",SmtRes!AD74:'SmtRes'!AD82)*Source!I41, 2)+ROUND(SUMIF(SmtRes!AQ74:'SmtRes'!AQ82,"=1",SmtRes!AC74:'SmtRes'!AC82)*Source!I41, 2))), 2)</f>
        <v>114.17</v>
      </c>
      <c r="AN241" s="51">
        <f>M218+M220+M230+M239+M240+M221</f>
        <v>44106.74</v>
      </c>
      <c r="AO241" s="51">
        <f>M220</f>
        <v>58.600000000000051</v>
      </c>
      <c r="AQ241" t="s">
        <v>455</v>
      </c>
      <c r="AR241" s="51">
        <f>M218</f>
        <v>17503.62</v>
      </c>
      <c r="AT241" s="51">
        <f>M221</f>
        <v>119.14999999999999</v>
      </c>
      <c r="AV241" t="s">
        <v>455</v>
      </c>
      <c r="AW241" s="51">
        <f>M230</f>
        <v>167.44</v>
      </c>
      <c r="AZ241">
        <f>Source!X41</f>
        <v>17622.77</v>
      </c>
      <c r="BA241">
        <f>Source!Y41</f>
        <v>8635.16</v>
      </c>
      <c r="CD241">
        <v>1</v>
      </c>
    </row>
    <row r="242" spans="1:82" ht="28.5">
      <c r="A242" s="57" t="s">
        <v>111</v>
      </c>
      <c r="B242" s="57" t="s">
        <v>111</v>
      </c>
      <c r="C242" s="46" t="str">
        <f>Source!F42</f>
        <v>04.3.01.09-0015</v>
      </c>
      <c r="D242" s="46" t="str">
        <f>Source!G42</f>
        <v>Раствор готовый кладочный, цементный, М150</v>
      </c>
      <c r="E242" s="47" t="str">
        <f>Source!H42</f>
        <v>м3</v>
      </c>
      <c r="F242" s="48">
        <f>Source!K42</f>
        <v>0.37454399999999999</v>
      </c>
      <c r="G242" s="48"/>
      <c r="H242" s="48">
        <f>Source!I42</f>
        <v>0.37454399999999999</v>
      </c>
      <c r="I242" s="49"/>
      <c r="J242" s="50"/>
      <c r="K242" s="49">
        <f>Source!AL42</f>
        <v>6815.7</v>
      </c>
      <c r="L242" s="50"/>
      <c r="M242" s="49">
        <f>Source!P42</f>
        <v>2552.7800000000002</v>
      </c>
    </row>
    <row r="243" spans="1:82" ht="15">
      <c r="D243" s="112" t="s">
        <v>454</v>
      </c>
      <c r="E243" s="112"/>
      <c r="F243" s="112"/>
      <c r="G243" s="112"/>
      <c r="H243" s="112"/>
      <c r="I243" s="112"/>
      <c r="J243" s="113">
        <f>IF(F242&lt;&gt;0,L243/F242, 0)</f>
        <v>6815.7012260241791</v>
      </c>
      <c r="K243" s="113"/>
      <c r="L243" s="113">
        <f>M242</f>
        <v>2552.7800000000002</v>
      </c>
      <c r="M243" s="113"/>
      <c r="AD243">
        <f>ROUND((Source!AT42/100)*((ROUND(ROUND(Source!AO42,2)*Source!I42, 2)+ROUND(ROUND(Source!AN42,2)*Source!I42, 2))), 2)</f>
        <v>0</v>
      </c>
      <c r="AE243">
        <f>ROUND((Source!AU42/100)*((ROUND(ROUND(Source!AO42,2)*Source!I42, 2)+ROUND(ROUND(Source!AN42,2)*Source!I42, 2))), 2)</f>
        <v>0</v>
      </c>
      <c r="AN243" s="51">
        <f>M242</f>
        <v>2552.7800000000002</v>
      </c>
      <c r="AO243">
        <f>0</f>
        <v>0</v>
      </c>
      <c r="AQ243" t="s">
        <v>455</v>
      </c>
      <c r="AR243">
        <f>0</f>
        <v>0</v>
      </c>
      <c r="AT243">
        <f>0</f>
        <v>0</v>
      </c>
      <c r="AV243" t="s">
        <v>455</v>
      </c>
      <c r="AW243" s="51">
        <f>M242</f>
        <v>2552.7800000000002</v>
      </c>
      <c r="AZ243">
        <f>Source!X42</f>
        <v>0</v>
      </c>
      <c r="BA243">
        <f>Source!Y42</f>
        <v>0</v>
      </c>
      <c r="CD243">
        <v>1</v>
      </c>
    </row>
    <row r="244" spans="1:82" ht="57">
      <c r="A244" s="57" t="s">
        <v>112</v>
      </c>
      <c r="B244" s="57" t="s">
        <v>112</v>
      </c>
      <c r="C244" s="46" t="str">
        <f>Source!F43</f>
        <v>13.2.01.01-1253</v>
      </c>
      <c r="D244" s="46" t="str">
        <f>Source!G43</f>
        <v>Плита гранитная облицовочная полированная, месторождение Кашина гора, размеры 300х600 мм, толщина 20 мм</v>
      </c>
      <c r="E244" s="47" t="str">
        <f>Source!H43</f>
        <v>м2</v>
      </c>
      <c r="F244" s="48">
        <f>Source!K43</f>
        <v>1.0612079999999999</v>
      </c>
      <c r="G244" s="48"/>
      <c r="H244" s="48">
        <f>Source!I43</f>
        <v>1.0612079999999999</v>
      </c>
      <c r="I244" s="49">
        <f>Source!AL43</f>
        <v>2857.34</v>
      </c>
      <c r="J244" s="50">
        <f>IF(Source!BC43&lt;&gt; 0, Source!BC43, 1)</f>
        <v>1.56</v>
      </c>
      <c r="K244" s="49">
        <f>ROUND(I244*J244, 2)</f>
        <v>4457.45</v>
      </c>
      <c r="L244" s="50"/>
      <c r="M244" s="49">
        <f>Source!P43</f>
        <v>4730.28</v>
      </c>
    </row>
    <row r="245" spans="1:82" ht="15">
      <c r="D245" s="112" t="s">
        <v>454</v>
      </c>
      <c r="E245" s="112"/>
      <c r="F245" s="112"/>
      <c r="G245" s="112"/>
      <c r="H245" s="112"/>
      <c r="I245" s="112"/>
      <c r="J245" s="113">
        <f>IF(F244&lt;&gt;0,L245/F244, 0)</f>
        <v>4457.448492661194</v>
      </c>
      <c r="K245" s="113"/>
      <c r="L245" s="113">
        <f>M244</f>
        <v>4730.28</v>
      </c>
      <c r="M245" s="113"/>
      <c r="AD245">
        <f>ROUND((Source!AT43/100)*((ROUND(ROUND(Source!AO43,2)*Source!I43, 2)+ROUND(ROUND(Source!AN43,2)*Source!I43, 2))), 2)</f>
        <v>0</v>
      </c>
      <c r="AE245">
        <f>ROUND((Source!AU43/100)*((ROUND(ROUND(Source!AO43,2)*Source!I43, 2)+ROUND(ROUND(Source!AN43,2)*Source!I43, 2))), 2)</f>
        <v>0</v>
      </c>
      <c r="AN245" s="51">
        <f>M244</f>
        <v>4730.28</v>
      </c>
      <c r="AO245">
        <f>0</f>
        <v>0</v>
      </c>
      <c r="AQ245" t="s">
        <v>455</v>
      </c>
      <c r="AR245">
        <f>0</f>
        <v>0</v>
      </c>
      <c r="AT245">
        <f>0</f>
        <v>0</v>
      </c>
      <c r="AV245" t="s">
        <v>455</v>
      </c>
      <c r="AW245" s="51">
        <f>M244</f>
        <v>4730.28</v>
      </c>
      <c r="AZ245">
        <f>Source!X43</f>
        <v>0</v>
      </c>
      <c r="BA245">
        <f>Source!Y43</f>
        <v>0</v>
      </c>
      <c r="CD245">
        <v>1</v>
      </c>
    </row>
    <row r="247" spans="1:82" ht="15">
      <c r="A247" s="62"/>
      <c r="B247" s="62"/>
      <c r="C247" s="63"/>
      <c r="D247" s="114" t="s">
        <v>550</v>
      </c>
      <c r="E247" s="114"/>
      <c r="F247" s="114"/>
      <c r="G247" s="114"/>
      <c r="H247" s="114"/>
      <c r="I247" s="114"/>
      <c r="J247" s="64"/>
      <c r="K247" s="62"/>
      <c r="L247" s="65"/>
      <c r="M247" s="64"/>
    </row>
    <row r="249" spans="1:82" ht="15">
      <c r="A249" s="59"/>
      <c r="B249" s="59"/>
      <c r="C249" s="60"/>
      <c r="D249" s="106" t="s">
        <v>483</v>
      </c>
      <c r="E249" s="106"/>
      <c r="F249" s="106"/>
      <c r="G249" s="106"/>
      <c r="H249" s="106"/>
      <c r="I249" s="106"/>
      <c r="J249" s="45"/>
      <c r="K249" s="59"/>
      <c r="L249" s="61"/>
      <c r="M249" s="45">
        <f>M251+M266+M267</f>
        <v>474003.20000000007</v>
      </c>
    </row>
    <row r="250" spans="1:82" ht="14.25">
      <c r="A250" s="54"/>
      <c r="B250" s="54"/>
      <c r="C250" s="58"/>
      <c r="D250" s="105" t="s">
        <v>484</v>
      </c>
      <c r="E250" s="104"/>
      <c r="F250" s="104"/>
      <c r="G250" s="104"/>
      <c r="H250" s="104"/>
      <c r="I250" s="104"/>
      <c r="J250" s="42"/>
      <c r="K250" s="54"/>
      <c r="L250" s="40"/>
      <c r="M250" s="42"/>
    </row>
    <row r="251" spans="1:82" ht="14.25">
      <c r="A251" s="54"/>
      <c r="B251" s="54"/>
      <c r="C251" s="58"/>
      <c r="D251" s="104" t="s">
        <v>485</v>
      </c>
      <c r="E251" s="104"/>
      <c r="F251" s="104"/>
      <c r="G251" s="104"/>
      <c r="H251" s="104"/>
      <c r="I251" s="104"/>
      <c r="J251" s="42"/>
      <c r="K251" s="54"/>
      <c r="L251" s="40"/>
      <c r="M251" s="42">
        <f>M253+M254+M260+M264</f>
        <v>247133.15000000002</v>
      </c>
    </row>
    <row r="252" spans="1:82" ht="14.25">
      <c r="A252" s="54"/>
      <c r="B252" s="54"/>
      <c r="C252" s="58"/>
      <c r="D252" s="105" t="s">
        <v>484</v>
      </c>
      <c r="E252" s="104"/>
      <c r="F252" s="104"/>
      <c r="G252" s="104"/>
      <c r="H252" s="104"/>
      <c r="I252" s="104"/>
      <c r="J252" s="42"/>
      <c r="K252" s="54"/>
      <c r="L252" s="40"/>
      <c r="M252" s="42"/>
    </row>
    <row r="253" spans="1:82" ht="14.25">
      <c r="A253" s="54"/>
      <c r="B253" s="54"/>
      <c r="C253" s="58"/>
      <c r="D253" s="104" t="s">
        <v>486</v>
      </c>
      <c r="E253" s="104"/>
      <c r="F253" s="104"/>
      <c r="G253" s="104"/>
      <c r="H253" s="104"/>
      <c r="I253" s="104"/>
      <c r="J253" s="42"/>
      <c r="K253" s="54"/>
      <c r="L253" s="40"/>
      <c r="M253" s="42">
        <f>SUMIF(CD39:CD245, 1, AR39:AR245)</f>
        <v>140087.28</v>
      </c>
    </row>
    <row r="254" spans="1:82" ht="14.25" hidden="1">
      <c r="A254" s="54"/>
      <c r="B254" s="54"/>
      <c r="C254" s="58"/>
      <c r="D254" s="104" t="s">
        <v>487</v>
      </c>
      <c r="E254" s="104"/>
      <c r="F254" s="104"/>
      <c r="G254" s="104"/>
      <c r="H254" s="104"/>
      <c r="I254" s="104"/>
      <c r="J254" s="42"/>
      <c r="K254" s="54"/>
      <c r="L254" s="40"/>
      <c r="M254" s="42">
        <f>M256+M259+M258</f>
        <v>12107.419999999998</v>
      </c>
    </row>
    <row r="255" spans="1:82" ht="14.25" hidden="1">
      <c r="A255" s="54"/>
      <c r="B255" s="54"/>
      <c r="C255" s="58"/>
      <c r="D255" s="105" t="s">
        <v>488</v>
      </c>
      <c r="E255" s="104"/>
      <c r="F255" s="104"/>
      <c r="G255" s="104"/>
      <c r="H255" s="104"/>
      <c r="I255" s="104"/>
      <c r="J255" s="42"/>
      <c r="K255" s="54"/>
      <c r="L255" s="40"/>
      <c r="M255" s="42"/>
    </row>
    <row r="256" spans="1:82" ht="14.25">
      <c r="A256" s="54"/>
      <c r="B256" s="54"/>
      <c r="C256" s="58"/>
      <c r="D256" s="104" t="s">
        <v>487</v>
      </c>
      <c r="E256" s="104"/>
      <c r="F256" s="104"/>
      <c r="G256" s="104"/>
      <c r="H256" s="104"/>
      <c r="I256" s="104"/>
      <c r="J256" s="42"/>
      <c r="K256" s="54"/>
      <c r="L256" s="40"/>
      <c r="M256" s="42">
        <f>SUMIF(CD39:CD245, 1, AO39:AO245)</f>
        <v>7796.82</v>
      </c>
    </row>
    <row r="257" spans="1:13" ht="14.25" hidden="1">
      <c r="A257" s="54"/>
      <c r="B257" s="54"/>
      <c r="C257" s="58"/>
      <c r="D257" s="105" t="s">
        <v>489</v>
      </c>
      <c r="E257" s="104"/>
      <c r="F257" s="104"/>
      <c r="G257" s="104"/>
      <c r="H257" s="104"/>
      <c r="I257" s="104"/>
      <c r="J257" s="42"/>
      <c r="K257" s="54"/>
      <c r="L257" s="40"/>
      <c r="M257" s="42"/>
    </row>
    <row r="258" spans="1:13" ht="14.25">
      <c r="A258" s="54"/>
      <c r="B258" s="54"/>
      <c r="C258" s="58"/>
      <c r="D258" s="104" t="s">
        <v>498</v>
      </c>
      <c r="E258" s="104"/>
      <c r="F258" s="104"/>
      <c r="G258" s="104"/>
      <c r="H258" s="104"/>
      <c r="I258" s="104"/>
      <c r="J258" s="42"/>
      <c r="K258" s="54"/>
      <c r="L258" s="40"/>
      <c r="M258" s="42">
        <f>SUMIF(CD39:CD245, 1, AT39:AT245)</f>
        <v>4310.5999999999985</v>
      </c>
    </row>
    <row r="259" spans="1:13" ht="14.25" hidden="1">
      <c r="A259" s="54"/>
      <c r="B259" s="54"/>
      <c r="C259" s="58"/>
      <c r="D259" s="104" t="s">
        <v>490</v>
      </c>
      <c r="E259" s="104"/>
      <c r="F259" s="104"/>
      <c r="G259" s="104"/>
      <c r="H259" s="104"/>
      <c r="I259" s="104"/>
      <c r="J259" s="42"/>
      <c r="K259" s="54"/>
      <c r="L259" s="40"/>
      <c r="M259" s="42">
        <f>SUMIF(CD39:CD245, 1, AV39:AV245)</f>
        <v>0</v>
      </c>
    </row>
    <row r="260" spans="1:13" ht="14.25">
      <c r="A260" s="54"/>
      <c r="B260" s="54"/>
      <c r="C260" s="58"/>
      <c r="D260" s="104" t="s">
        <v>491</v>
      </c>
      <c r="E260" s="104"/>
      <c r="F260" s="104"/>
      <c r="G260" s="104"/>
      <c r="H260" s="104"/>
      <c r="I260" s="104"/>
      <c r="J260" s="42"/>
      <c r="K260" s="54"/>
      <c r="L260" s="40"/>
      <c r="M260" s="42">
        <f>M262+M263</f>
        <v>94938.45</v>
      </c>
    </row>
    <row r="261" spans="1:13" ht="14.25">
      <c r="A261" s="54"/>
      <c r="B261" s="54"/>
      <c r="C261" s="58"/>
      <c r="D261" s="105" t="s">
        <v>488</v>
      </c>
      <c r="E261" s="104"/>
      <c r="F261" s="104"/>
      <c r="G261" s="104"/>
      <c r="H261" s="104"/>
      <c r="I261" s="104"/>
      <c r="J261" s="42"/>
      <c r="K261" s="54"/>
      <c r="L261" s="40"/>
      <c r="M261" s="42"/>
    </row>
    <row r="262" spans="1:13" ht="14.25">
      <c r="A262" s="54"/>
      <c r="B262" s="54"/>
      <c r="C262" s="58"/>
      <c r="D262" s="104" t="s">
        <v>492</v>
      </c>
      <c r="E262" s="104"/>
      <c r="F262" s="104"/>
      <c r="G262" s="104"/>
      <c r="H262" s="104"/>
      <c r="I262" s="104"/>
      <c r="J262" s="42"/>
      <c r="K262" s="54"/>
      <c r="L262" s="40"/>
      <c r="M262" s="42">
        <f>SUMIF(CD39:CD245, 1, AW39:AW245)-SUMIF(CD39:CD245, 1, BK39:BK245)</f>
        <v>94938.45</v>
      </c>
    </row>
    <row r="263" spans="1:13" ht="14.25" hidden="1">
      <c r="A263" s="54"/>
      <c r="B263" s="54"/>
      <c r="C263" s="58"/>
      <c r="D263" s="104" t="s">
        <v>493</v>
      </c>
      <c r="E263" s="104"/>
      <c r="F263" s="104"/>
      <c r="G263" s="104"/>
      <c r="H263" s="104"/>
      <c r="I263" s="104"/>
      <c r="J263" s="42"/>
      <c r="K263" s="54"/>
      <c r="L263" s="40"/>
      <c r="M263" s="42">
        <f>SUMIF(CD39:CD245, 1, BC39:BC245)</f>
        <v>0</v>
      </c>
    </row>
    <row r="264" spans="1:13" ht="14.25" hidden="1">
      <c r="A264" s="54"/>
      <c r="B264" s="54"/>
      <c r="C264" s="58"/>
      <c r="D264" s="104" t="s">
        <v>494</v>
      </c>
      <c r="E264" s="104"/>
      <c r="F264" s="104"/>
      <c r="G264" s="104"/>
      <c r="H264" s="104"/>
      <c r="I264" s="104"/>
      <c r="J264" s="42"/>
      <c r="K264" s="54"/>
      <c r="L264" s="40"/>
      <c r="M264" s="42">
        <f>SUMIF(CD39:CD245, 1, BB39:BB245)</f>
        <v>0</v>
      </c>
    </row>
    <row r="265" spans="1:13" ht="14.25">
      <c r="A265" s="54"/>
      <c r="B265" s="54"/>
      <c r="C265" s="58"/>
      <c r="D265" s="104" t="s">
        <v>495</v>
      </c>
      <c r="E265" s="104"/>
      <c r="F265" s="104"/>
      <c r="G265" s="104"/>
      <c r="H265" s="104"/>
      <c r="I265" s="104"/>
      <c r="J265" s="42"/>
      <c r="K265" s="54"/>
      <c r="L265" s="40"/>
      <c r="M265" s="42">
        <f>SUMIF(CD39:CD245, 1, AR39:AR245)+SUMIF(CD39:CD245, 1, AT39:AT245)+SUMIF(CD39:CD245, 1, AV39:AV245)</f>
        <v>144397.88</v>
      </c>
    </row>
    <row r="266" spans="1:13" ht="14.25">
      <c r="A266" s="54"/>
      <c r="B266" s="54"/>
      <c r="C266" s="58"/>
      <c r="D266" s="104" t="s">
        <v>496</v>
      </c>
      <c r="E266" s="104"/>
      <c r="F266" s="104"/>
      <c r="G266" s="104"/>
      <c r="H266" s="104"/>
      <c r="I266" s="104"/>
      <c r="J266" s="42"/>
      <c r="K266" s="54"/>
      <c r="L266" s="40"/>
      <c r="M266" s="42">
        <f>SUMIF(CD39:CD245, 1, AZ39:AZ245)</f>
        <v>146939.62999999998</v>
      </c>
    </row>
    <row r="267" spans="1:13" ht="14.25">
      <c r="A267" s="54"/>
      <c r="B267" s="54"/>
      <c r="C267" s="58"/>
      <c r="D267" s="104" t="s">
        <v>497</v>
      </c>
      <c r="E267" s="104"/>
      <c r="F267" s="104"/>
      <c r="G267" s="104"/>
      <c r="H267" s="104"/>
      <c r="I267" s="104"/>
      <c r="J267" s="42"/>
      <c r="K267" s="54"/>
      <c r="L267" s="40"/>
      <c r="M267" s="42">
        <f>SUMIF(CD39:CD245, 1, BA39:BA245)</f>
        <v>79930.420000000013</v>
      </c>
    </row>
    <row r="268" spans="1:13" hidden="1"/>
    <row r="269" spans="1:13" ht="15" hidden="1">
      <c r="A269" s="59"/>
      <c r="B269" s="59"/>
      <c r="C269" s="60"/>
      <c r="D269" s="106" t="s">
        <v>499</v>
      </c>
      <c r="E269" s="106"/>
      <c r="F269" s="106"/>
      <c r="G269" s="106"/>
      <c r="H269" s="106"/>
      <c r="I269" s="106"/>
      <c r="J269" s="45"/>
      <c r="K269" s="59"/>
      <c r="L269" s="61"/>
      <c r="M269" s="45">
        <f>M271+M286+M287</f>
        <v>0</v>
      </c>
    </row>
    <row r="270" spans="1:13" ht="14.25" hidden="1">
      <c r="A270" s="54"/>
      <c r="B270" s="54"/>
      <c r="C270" s="58"/>
      <c r="D270" s="105" t="s">
        <v>484</v>
      </c>
      <c r="E270" s="104"/>
      <c r="F270" s="104"/>
      <c r="G270" s="104"/>
      <c r="H270" s="104"/>
      <c r="I270" s="104"/>
      <c r="J270" s="42"/>
      <c r="K270" s="54"/>
      <c r="L270" s="40"/>
      <c r="M270" s="42"/>
    </row>
    <row r="271" spans="1:13" ht="14.25" hidden="1">
      <c r="A271" s="54"/>
      <c r="B271" s="54"/>
      <c r="C271" s="58"/>
      <c r="D271" s="104" t="s">
        <v>485</v>
      </c>
      <c r="E271" s="104"/>
      <c r="F271" s="104"/>
      <c r="G271" s="104"/>
      <c r="H271" s="104"/>
      <c r="I271" s="104"/>
      <c r="J271" s="42"/>
      <c r="K271" s="54"/>
      <c r="L271" s="40"/>
      <c r="M271" s="42">
        <f>M273+M274+M280+M284</f>
        <v>0</v>
      </c>
    </row>
    <row r="272" spans="1:13" ht="14.25" hidden="1">
      <c r="A272" s="54"/>
      <c r="B272" s="54"/>
      <c r="C272" s="58"/>
      <c r="D272" s="105" t="s">
        <v>484</v>
      </c>
      <c r="E272" s="104"/>
      <c r="F272" s="104"/>
      <c r="G272" s="104"/>
      <c r="H272" s="104"/>
      <c r="I272" s="104"/>
      <c r="J272" s="42"/>
      <c r="K272" s="54"/>
      <c r="L272" s="40"/>
      <c r="M272" s="42"/>
    </row>
    <row r="273" spans="1:13" ht="14.25" hidden="1">
      <c r="A273" s="54"/>
      <c r="B273" s="54"/>
      <c r="C273" s="58"/>
      <c r="D273" s="104" t="s">
        <v>486</v>
      </c>
      <c r="E273" s="104"/>
      <c r="F273" s="104"/>
      <c r="G273" s="104"/>
      <c r="H273" s="104"/>
      <c r="I273" s="104"/>
      <c r="J273" s="42"/>
      <c r="K273" s="54"/>
      <c r="L273" s="40"/>
      <c r="M273" s="42">
        <f>SUMIF(CD39:CD267, 2, AR39:AR267)</f>
        <v>0</v>
      </c>
    </row>
    <row r="274" spans="1:13" ht="14.25" hidden="1">
      <c r="A274" s="54"/>
      <c r="B274" s="54"/>
      <c r="C274" s="58"/>
      <c r="D274" s="104" t="s">
        <v>487</v>
      </c>
      <c r="E274" s="104"/>
      <c r="F274" s="104"/>
      <c r="G274" s="104"/>
      <c r="H274" s="104"/>
      <c r="I274" s="104"/>
      <c r="J274" s="42"/>
      <c r="K274" s="54"/>
      <c r="L274" s="40"/>
      <c r="M274" s="42">
        <f>M276+M279+M278</f>
        <v>0</v>
      </c>
    </row>
    <row r="275" spans="1:13" ht="14.25" hidden="1">
      <c r="A275" s="54"/>
      <c r="B275" s="54"/>
      <c r="C275" s="58"/>
      <c r="D275" s="105" t="s">
        <v>488</v>
      </c>
      <c r="E275" s="104"/>
      <c r="F275" s="104"/>
      <c r="G275" s="104"/>
      <c r="H275" s="104"/>
      <c r="I275" s="104"/>
      <c r="J275" s="42"/>
      <c r="K275" s="54"/>
      <c r="L275" s="40"/>
      <c r="M275" s="42"/>
    </row>
    <row r="276" spans="1:13" ht="14.25" hidden="1">
      <c r="A276" s="54"/>
      <c r="B276" s="54"/>
      <c r="C276" s="58"/>
      <c r="D276" s="104" t="s">
        <v>487</v>
      </c>
      <c r="E276" s="104"/>
      <c r="F276" s="104"/>
      <c r="G276" s="104"/>
      <c r="H276" s="104"/>
      <c r="I276" s="104"/>
      <c r="J276" s="42"/>
      <c r="K276" s="54"/>
      <c r="L276" s="40"/>
      <c r="M276" s="42">
        <f>SUMIF(CD39:CD267, 2, AO39:AO267)</f>
        <v>0</v>
      </c>
    </row>
    <row r="277" spans="1:13" ht="14.25" hidden="1">
      <c r="A277" s="54"/>
      <c r="B277" s="54"/>
      <c r="C277" s="58"/>
      <c r="D277" s="105" t="s">
        <v>489</v>
      </c>
      <c r="E277" s="104"/>
      <c r="F277" s="104"/>
      <c r="G277" s="104"/>
      <c r="H277" s="104"/>
      <c r="I277" s="104"/>
      <c r="J277" s="42"/>
      <c r="K277" s="54"/>
      <c r="L277" s="40"/>
      <c r="M277" s="42"/>
    </row>
    <row r="278" spans="1:13" ht="14.25" hidden="1">
      <c r="A278" s="54"/>
      <c r="B278" s="54"/>
      <c r="C278" s="58"/>
      <c r="D278" s="104" t="s">
        <v>498</v>
      </c>
      <c r="E278" s="104"/>
      <c r="F278" s="104"/>
      <c r="G278" s="104"/>
      <c r="H278" s="104"/>
      <c r="I278" s="104"/>
      <c r="J278" s="42"/>
      <c r="K278" s="54"/>
      <c r="L278" s="40"/>
      <c r="M278" s="42">
        <f>SUMIF(CD39:CD267, 2, AT39:AT267)</f>
        <v>0</v>
      </c>
    </row>
    <row r="279" spans="1:13" ht="14.25" hidden="1">
      <c r="A279" s="54"/>
      <c r="B279" s="54"/>
      <c r="C279" s="58"/>
      <c r="D279" s="104" t="s">
        <v>490</v>
      </c>
      <c r="E279" s="104"/>
      <c r="F279" s="104"/>
      <c r="G279" s="104"/>
      <c r="H279" s="104"/>
      <c r="I279" s="104"/>
      <c r="J279" s="42"/>
      <c r="K279" s="54"/>
      <c r="L279" s="40"/>
      <c r="M279" s="42">
        <f>SUMIF(CD39:CD267, 2, AV39:AV267)</f>
        <v>0</v>
      </c>
    </row>
    <row r="280" spans="1:13" ht="14.25" hidden="1">
      <c r="A280" s="54"/>
      <c r="B280" s="54"/>
      <c r="C280" s="58"/>
      <c r="D280" s="104" t="s">
        <v>491</v>
      </c>
      <c r="E280" s="104"/>
      <c r="F280" s="104"/>
      <c r="G280" s="104"/>
      <c r="H280" s="104"/>
      <c r="I280" s="104"/>
      <c r="J280" s="42"/>
      <c r="K280" s="54"/>
      <c r="L280" s="40"/>
      <c r="M280" s="42">
        <f>M282+M283</f>
        <v>0</v>
      </c>
    </row>
    <row r="281" spans="1:13" ht="14.25" hidden="1">
      <c r="A281" s="54"/>
      <c r="B281" s="54"/>
      <c r="C281" s="58"/>
      <c r="D281" s="105" t="s">
        <v>488</v>
      </c>
      <c r="E281" s="104"/>
      <c r="F281" s="104"/>
      <c r="G281" s="104"/>
      <c r="H281" s="104"/>
      <c r="I281" s="104"/>
      <c r="J281" s="42"/>
      <c r="K281" s="54"/>
      <c r="L281" s="40"/>
      <c r="M281" s="42"/>
    </row>
    <row r="282" spans="1:13" ht="14.25" hidden="1">
      <c r="A282" s="54"/>
      <c r="B282" s="54"/>
      <c r="C282" s="58"/>
      <c r="D282" s="104" t="s">
        <v>492</v>
      </c>
      <c r="E282" s="104"/>
      <c r="F282" s="104"/>
      <c r="G282" s="104"/>
      <c r="H282" s="104"/>
      <c r="I282" s="104"/>
      <c r="J282" s="42"/>
      <c r="K282" s="54"/>
      <c r="L282" s="40"/>
      <c r="M282" s="42">
        <f>SUMIF(CD39:CD267, 2, AW39:AW267)-SUMIF(CD39:CD267, 2, BK39:BK267)</f>
        <v>0</v>
      </c>
    </row>
    <row r="283" spans="1:13" ht="14.25" hidden="1">
      <c r="A283" s="54"/>
      <c r="B283" s="54"/>
      <c r="C283" s="58"/>
      <c r="D283" s="104" t="s">
        <v>493</v>
      </c>
      <c r="E283" s="104"/>
      <c r="F283" s="104"/>
      <c r="G283" s="104"/>
      <c r="H283" s="104"/>
      <c r="I283" s="104"/>
      <c r="J283" s="42"/>
      <c r="K283" s="54"/>
      <c r="L283" s="40"/>
      <c r="M283" s="42">
        <f>SUMIF(CD39:CD267, 2, BC39:BC267)</f>
        <v>0</v>
      </c>
    </row>
    <row r="284" spans="1:13" ht="14.25" hidden="1">
      <c r="A284" s="54"/>
      <c r="B284" s="54"/>
      <c r="C284" s="58"/>
      <c r="D284" s="104" t="s">
        <v>494</v>
      </c>
      <c r="E284" s="104"/>
      <c r="F284" s="104"/>
      <c r="G284" s="104"/>
      <c r="H284" s="104"/>
      <c r="I284" s="104"/>
      <c r="J284" s="42"/>
      <c r="K284" s="54"/>
      <c r="L284" s="40"/>
      <c r="M284" s="42">
        <f>SUMIF(CD39:CD267, 2, BB39:BB267)</f>
        <v>0</v>
      </c>
    </row>
    <row r="285" spans="1:13" ht="14.25" hidden="1">
      <c r="A285" s="54"/>
      <c r="B285" s="54"/>
      <c r="C285" s="58"/>
      <c r="D285" s="104" t="s">
        <v>495</v>
      </c>
      <c r="E285" s="104"/>
      <c r="F285" s="104"/>
      <c r="G285" s="104"/>
      <c r="H285" s="104"/>
      <c r="I285" s="104"/>
      <c r="J285" s="42"/>
      <c r="K285" s="54"/>
      <c r="L285" s="40"/>
      <c r="M285" s="42">
        <f>SUMIF(CD39:CD267, 2, AR39:AR267)+SUMIF(CD39:CD267, 2, AT39:AT267)+SUMIF(CD39:CD267, 2, AV39:AV267)</f>
        <v>0</v>
      </c>
    </row>
    <row r="286" spans="1:13" ht="14.25" hidden="1">
      <c r="A286" s="54"/>
      <c r="B286" s="54"/>
      <c r="C286" s="58"/>
      <c r="D286" s="104" t="s">
        <v>496</v>
      </c>
      <c r="E286" s="104"/>
      <c r="F286" s="104"/>
      <c r="G286" s="104"/>
      <c r="H286" s="104"/>
      <c r="I286" s="104"/>
      <c r="J286" s="42"/>
      <c r="K286" s="54"/>
      <c r="L286" s="40"/>
      <c r="M286" s="42">
        <f>SUMIF(CD39:CD267, 2, AZ39:AZ267)</f>
        <v>0</v>
      </c>
    </row>
    <row r="287" spans="1:13" ht="14.25" hidden="1">
      <c r="A287" s="54"/>
      <c r="B287" s="54"/>
      <c r="C287" s="58"/>
      <c r="D287" s="104" t="s">
        <v>497</v>
      </c>
      <c r="E287" s="104"/>
      <c r="F287" s="104"/>
      <c r="G287" s="104"/>
      <c r="H287" s="104"/>
      <c r="I287" s="104"/>
      <c r="J287" s="42"/>
      <c r="K287" s="54"/>
      <c r="L287" s="40"/>
      <c r="M287" s="42">
        <f>SUMIF(CD39:CD267, 2, BA39:BA267)</f>
        <v>0</v>
      </c>
    </row>
    <row r="288" spans="1:13" hidden="1"/>
    <row r="289" spans="1:13" ht="15" hidden="1">
      <c r="A289" s="59"/>
      <c r="B289" s="59"/>
      <c r="C289" s="60"/>
      <c r="D289" s="106" t="s">
        <v>500</v>
      </c>
      <c r="E289" s="106"/>
      <c r="F289" s="106"/>
      <c r="G289" s="106"/>
      <c r="H289" s="106"/>
      <c r="I289" s="106"/>
      <c r="J289" s="45"/>
      <c r="K289" s="59"/>
      <c r="L289" s="61"/>
      <c r="M289" s="45">
        <f>M291+M292</f>
        <v>0</v>
      </c>
    </row>
    <row r="290" spans="1:13" ht="14.25" hidden="1">
      <c r="A290" s="54"/>
      <c r="B290" s="54"/>
      <c r="C290" s="58"/>
      <c r="D290" s="105" t="s">
        <v>484</v>
      </c>
      <c r="E290" s="104"/>
      <c r="F290" s="104"/>
      <c r="G290" s="104"/>
      <c r="H290" s="104"/>
      <c r="I290" s="104"/>
      <c r="J290" s="42"/>
      <c r="K290" s="54"/>
      <c r="L290" s="40"/>
      <c r="M290" s="42"/>
    </row>
    <row r="291" spans="1:13" ht="14.25" hidden="1">
      <c r="A291" s="54"/>
      <c r="B291" s="54"/>
      <c r="C291" s="58"/>
      <c r="D291" s="104" t="s">
        <v>501</v>
      </c>
      <c r="E291" s="104"/>
      <c r="F291" s="104"/>
      <c r="G291" s="104"/>
      <c r="H291" s="104"/>
      <c r="I291" s="104"/>
      <c r="J291" s="42"/>
      <c r="K291" s="54"/>
      <c r="L291" s="40"/>
      <c r="M291" s="42">
        <f>SUMIF(CD39:CD287, 3, BK39:BK287)</f>
        <v>0</v>
      </c>
    </row>
    <row r="292" spans="1:13" ht="14.25" hidden="1">
      <c r="A292" s="54"/>
      <c r="B292" s="54"/>
      <c r="C292" s="58"/>
      <c r="D292" s="104" t="s">
        <v>502</v>
      </c>
      <c r="E292" s="104"/>
      <c r="F292" s="104"/>
      <c r="G292" s="104"/>
      <c r="H292" s="104"/>
      <c r="I292" s="104"/>
      <c r="J292" s="42"/>
      <c r="K292" s="54"/>
      <c r="L292" s="40"/>
      <c r="M292" s="42">
        <f>SUMIF(CD39:CD287, 3, BD39:BD287)</f>
        <v>0</v>
      </c>
    </row>
    <row r="293" spans="1:13" hidden="1"/>
    <row r="294" spans="1:13" ht="15" hidden="1">
      <c r="A294" s="59"/>
      <c r="B294" s="59"/>
      <c r="C294" s="60"/>
      <c r="D294" s="106" t="s">
        <v>503</v>
      </c>
      <c r="E294" s="106"/>
      <c r="F294" s="106"/>
      <c r="G294" s="106"/>
      <c r="H294" s="106"/>
      <c r="I294" s="106"/>
      <c r="J294" s="45"/>
      <c r="K294" s="59"/>
      <c r="L294" s="61"/>
      <c r="M294" s="45">
        <f>M302+M317+M318+M296+M297+M298+M299</f>
        <v>0</v>
      </c>
    </row>
    <row r="295" spans="1:13" ht="14.25" hidden="1">
      <c r="A295" s="54"/>
      <c r="B295" s="54"/>
      <c r="C295" s="58"/>
      <c r="D295" s="105" t="s">
        <v>484</v>
      </c>
      <c r="E295" s="104"/>
      <c r="F295" s="104"/>
      <c r="G295" s="104"/>
      <c r="H295" s="104"/>
      <c r="I295" s="104"/>
      <c r="J295" s="42"/>
      <c r="K295" s="54"/>
      <c r="L295" s="40"/>
      <c r="M295" s="42"/>
    </row>
    <row r="296" spans="1:13" ht="14.25" hidden="1">
      <c r="A296" s="54"/>
      <c r="B296" s="54"/>
      <c r="C296" s="58"/>
      <c r="D296" s="104" t="s">
        <v>504</v>
      </c>
      <c r="E296" s="104"/>
      <c r="F296" s="104"/>
      <c r="G296" s="104"/>
      <c r="H296" s="104"/>
      <c r="I296" s="104"/>
      <c r="J296" s="42"/>
      <c r="K296" s="54"/>
      <c r="L296" s="40"/>
      <c r="M296" s="42"/>
    </row>
    <row r="297" spans="1:13" ht="14.25" hidden="1">
      <c r="A297" s="54"/>
      <c r="B297" s="54"/>
      <c r="C297" s="58"/>
      <c r="D297" s="104" t="s">
        <v>504</v>
      </c>
      <c r="E297" s="104"/>
      <c r="F297" s="104"/>
      <c r="G297" s="104"/>
      <c r="H297" s="104"/>
      <c r="I297" s="104"/>
      <c r="J297" s="42"/>
      <c r="K297" s="54"/>
      <c r="L297" s="40"/>
      <c r="M297" s="42">
        <f>SUM(BQ39:BQ292)</f>
        <v>0</v>
      </c>
    </row>
    <row r="298" spans="1:13" ht="14.25" hidden="1">
      <c r="A298" s="54"/>
      <c r="B298" s="54"/>
      <c r="C298" s="58"/>
      <c r="D298" s="104" t="s">
        <v>505</v>
      </c>
      <c r="E298" s="104"/>
      <c r="F298" s="104"/>
      <c r="G298" s="104"/>
      <c r="H298" s="104"/>
      <c r="I298" s="104"/>
      <c r="J298" s="42"/>
      <c r="K298" s="54"/>
      <c r="L298" s="40"/>
      <c r="M298" s="42">
        <f>SUMIF(CD39:CD292, 4, BB39:BB292)+SUMIF(CD39:CD292, 4, BC39:BC292)+SUMIF(CD39:CD292, 4, BD39:BD292)</f>
        <v>0</v>
      </c>
    </row>
    <row r="299" spans="1:13" ht="14.25" hidden="1">
      <c r="A299" s="54"/>
      <c r="B299" s="54"/>
      <c r="C299" s="58"/>
      <c r="D299" s="104" t="s">
        <v>506</v>
      </c>
      <c r="E299" s="104"/>
      <c r="F299" s="104"/>
      <c r="G299" s="104"/>
      <c r="H299" s="104"/>
      <c r="I299" s="104"/>
      <c r="J299" s="42"/>
      <c r="K299" s="54"/>
      <c r="L299" s="40"/>
      <c r="M299" s="42">
        <f>SUM(BO39:BO292)</f>
        <v>0</v>
      </c>
    </row>
    <row r="300" spans="1:13" ht="14.25" hidden="1">
      <c r="A300" s="54"/>
      <c r="B300" s="54"/>
      <c r="C300" s="58"/>
      <c r="D300" s="104" t="s">
        <v>507</v>
      </c>
      <c r="E300" s="104"/>
      <c r="F300" s="104"/>
      <c r="G300" s="104"/>
      <c r="H300" s="104"/>
      <c r="I300" s="104"/>
      <c r="J300" s="42"/>
      <c r="K300" s="54"/>
      <c r="L300" s="40"/>
      <c r="M300" s="42">
        <f>M302+M317+M318</f>
        <v>0</v>
      </c>
    </row>
    <row r="301" spans="1:13" ht="14.25" hidden="1">
      <c r="A301" s="54"/>
      <c r="B301" s="54"/>
      <c r="C301" s="58"/>
      <c r="D301" s="105" t="s">
        <v>484</v>
      </c>
      <c r="E301" s="104"/>
      <c r="F301" s="104"/>
      <c r="G301" s="104"/>
      <c r="H301" s="104"/>
      <c r="I301" s="104"/>
      <c r="J301" s="42"/>
      <c r="K301" s="54"/>
      <c r="L301" s="40"/>
      <c r="M301" s="42"/>
    </row>
    <row r="302" spans="1:13" ht="14.25" hidden="1">
      <c r="A302" s="54"/>
      <c r="B302" s="54"/>
      <c r="C302" s="58"/>
      <c r="D302" s="104" t="s">
        <v>485</v>
      </c>
      <c r="E302" s="104"/>
      <c r="F302" s="104"/>
      <c r="G302" s="104"/>
      <c r="H302" s="104"/>
      <c r="I302" s="104"/>
      <c r="J302" s="42"/>
      <c r="K302" s="54"/>
      <c r="L302" s="40"/>
      <c r="M302" s="42">
        <f>M304+M305+M311+M315</f>
        <v>0</v>
      </c>
    </row>
    <row r="303" spans="1:13" ht="14.25" hidden="1">
      <c r="A303" s="54"/>
      <c r="B303" s="54"/>
      <c r="C303" s="58"/>
      <c r="D303" s="105" t="s">
        <v>484</v>
      </c>
      <c r="E303" s="104"/>
      <c r="F303" s="104"/>
      <c r="G303" s="104"/>
      <c r="H303" s="104"/>
      <c r="I303" s="104"/>
      <c r="J303" s="42"/>
      <c r="K303" s="54"/>
      <c r="L303" s="40"/>
      <c r="M303" s="42"/>
    </row>
    <row r="304" spans="1:13" ht="14.25" hidden="1">
      <c r="A304" s="54"/>
      <c r="B304" s="54"/>
      <c r="C304" s="58"/>
      <c r="D304" s="104" t="s">
        <v>486</v>
      </c>
      <c r="E304" s="104"/>
      <c r="F304" s="104"/>
      <c r="G304" s="104"/>
      <c r="H304" s="104"/>
      <c r="I304" s="104"/>
      <c r="J304" s="42"/>
      <c r="K304" s="54"/>
      <c r="L304" s="40"/>
      <c r="M304" s="42">
        <f>SUMIF(CD39:CD292, 4, AR39:AR292)</f>
        <v>0</v>
      </c>
    </row>
    <row r="305" spans="1:13" ht="14.25" hidden="1">
      <c r="A305" s="54"/>
      <c r="B305" s="54"/>
      <c r="C305" s="58"/>
      <c r="D305" s="104" t="s">
        <v>487</v>
      </c>
      <c r="E305" s="104"/>
      <c r="F305" s="104"/>
      <c r="G305" s="104"/>
      <c r="H305" s="104"/>
      <c r="I305" s="104"/>
      <c r="J305" s="42"/>
      <c r="K305" s="54"/>
      <c r="L305" s="40"/>
      <c r="M305" s="42">
        <f>M307+M310+M309</f>
        <v>0</v>
      </c>
    </row>
    <row r="306" spans="1:13" ht="14.25" hidden="1">
      <c r="A306" s="54"/>
      <c r="B306" s="54"/>
      <c r="C306" s="58"/>
      <c r="D306" s="105" t="s">
        <v>488</v>
      </c>
      <c r="E306" s="104"/>
      <c r="F306" s="104"/>
      <c r="G306" s="104"/>
      <c r="H306" s="104"/>
      <c r="I306" s="104"/>
      <c r="J306" s="42"/>
      <c r="K306" s="54"/>
      <c r="L306" s="40"/>
      <c r="M306" s="42"/>
    </row>
    <row r="307" spans="1:13" ht="14.25" hidden="1">
      <c r="A307" s="54"/>
      <c r="B307" s="54"/>
      <c r="C307" s="58"/>
      <c r="D307" s="104" t="s">
        <v>487</v>
      </c>
      <c r="E307" s="104"/>
      <c r="F307" s="104"/>
      <c r="G307" s="104"/>
      <c r="H307" s="104"/>
      <c r="I307" s="104"/>
      <c r="J307" s="42"/>
      <c r="K307" s="54"/>
      <c r="L307" s="40"/>
      <c r="M307" s="42">
        <f>SUMIF(CD39:CD292, 4, AO39:AO292)</f>
        <v>0</v>
      </c>
    </row>
    <row r="308" spans="1:13" ht="14.25" hidden="1">
      <c r="A308" s="54"/>
      <c r="B308" s="54"/>
      <c r="C308" s="58"/>
      <c r="D308" s="105" t="s">
        <v>489</v>
      </c>
      <c r="E308" s="104"/>
      <c r="F308" s="104"/>
      <c r="G308" s="104"/>
      <c r="H308" s="104"/>
      <c r="I308" s="104"/>
      <c r="J308" s="42"/>
      <c r="K308" s="54"/>
      <c r="L308" s="40"/>
      <c r="M308" s="42"/>
    </row>
    <row r="309" spans="1:13" ht="14.25" hidden="1">
      <c r="A309" s="54"/>
      <c r="B309" s="54"/>
      <c r="C309" s="58"/>
      <c r="D309" s="104" t="s">
        <v>498</v>
      </c>
      <c r="E309" s="104"/>
      <c r="F309" s="104"/>
      <c r="G309" s="104"/>
      <c r="H309" s="104"/>
      <c r="I309" s="104"/>
      <c r="J309" s="42"/>
      <c r="K309" s="54"/>
      <c r="L309" s="40"/>
      <c r="M309" s="42">
        <f>SUMIF(CD39:CD292, 4, AT39:AT292)</f>
        <v>0</v>
      </c>
    </row>
    <row r="310" spans="1:13" ht="14.25" hidden="1">
      <c r="A310" s="54"/>
      <c r="B310" s="54"/>
      <c r="C310" s="58"/>
      <c r="D310" s="104" t="s">
        <v>490</v>
      </c>
      <c r="E310" s="104"/>
      <c r="F310" s="104"/>
      <c r="G310" s="104"/>
      <c r="H310" s="104"/>
      <c r="I310" s="104"/>
      <c r="J310" s="42"/>
      <c r="K310" s="54"/>
      <c r="L310" s="40"/>
      <c r="M310" s="42">
        <f>SUMIF(CD39:CD292, 4, AV39:AV292)</f>
        <v>0</v>
      </c>
    </row>
    <row r="311" spans="1:13" ht="14.25" hidden="1">
      <c r="A311" s="54"/>
      <c r="B311" s="54"/>
      <c r="C311" s="58"/>
      <c r="D311" s="104" t="s">
        <v>491</v>
      </c>
      <c r="E311" s="104"/>
      <c r="F311" s="104"/>
      <c r="G311" s="104"/>
      <c r="H311" s="104"/>
      <c r="I311" s="104"/>
      <c r="J311" s="42"/>
      <c r="K311" s="54"/>
      <c r="L311" s="40"/>
      <c r="M311" s="42">
        <f>M313+M314</f>
        <v>0</v>
      </c>
    </row>
    <row r="312" spans="1:13" ht="14.25" hidden="1">
      <c r="A312" s="54"/>
      <c r="B312" s="54"/>
      <c r="C312" s="58"/>
      <c r="D312" s="105" t="s">
        <v>488</v>
      </c>
      <c r="E312" s="104"/>
      <c r="F312" s="104"/>
      <c r="G312" s="104"/>
      <c r="H312" s="104"/>
      <c r="I312" s="104"/>
      <c r="J312" s="42"/>
      <c r="K312" s="54"/>
      <c r="L312" s="40"/>
      <c r="M312" s="42"/>
    </row>
    <row r="313" spans="1:13" ht="14.25" hidden="1">
      <c r="A313" s="54"/>
      <c r="B313" s="54"/>
      <c r="C313" s="58"/>
      <c r="D313" s="104" t="s">
        <v>492</v>
      </c>
      <c r="E313" s="104"/>
      <c r="F313" s="104"/>
      <c r="G313" s="104"/>
      <c r="H313" s="104"/>
      <c r="I313" s="104"/>
      <c r="J313" s="42"/>
      <c r="K313" s="54"/>
      <c r="L313" s="40"/>
      <c r="M313" s="42">
        <f>SUMIF(CD39:CD292, 4, AW39:AW292)-SUMIF(CD39:CD292, 4, BK39:BK292)</f>
        <v>0</v>
      </c>
    </row>
    <row r="314" spans="1:13" ht="14.25" hidden="1">
      <c r="A314" s="54"/>
      <c r="B314" s="54"/>
      <c r="C314" s="58"/>
      <c r="D314" s="104" t="s">
        <v>493</v>
      </c>
      <c r="E314" s="104"/>
      <c r="F314" s="104"/>
      <c r="G314" s="104"/>
      <c r="H314" s="104"/>
      <c r="I314" s="104"/>
      <c r="J314" s="42"/>
      <c r="K314" s="54"/>
      <c r="L314" s="40"/>
      <c r="M314" s="42">
        <f>SUMIF(CD39:CD292, 4, BC39:BC292)</f>
        <v>0</v>
      </c>
    </row>
    <row r="315" spans="1:13" ht="14.25" hidden="1">
      <c r="A315" s="54"/>
      <c r="B315" s="54"/>
      <c r="C315" s="58"/>
      <c r="D315" s="104" t="s">
        <v>494</v>
      </c>
      <c r="E315" s="104"/>
      <c r="F315" s="104"/>
      <c r="G315" s="104"/>
      <c r="H315" s="104"/>
      <c r="I315" s="104"/>
      <c r="J315" s="42"/>
      <c r="K315" s="54"/>
      <c r="L315" s="40"/>
      <c r="M315" s="42">
        <f>SUMIF(CD39:CD292, 4, BB39:BB292)</f>
        <v>0</v>
      </c>
    </row>
    <row r="316" spans="1:13" ht="14.25" hidden="1">
      <c r="A316" s="54"/>
      <c r="B316" s="54"/>
      <c r="C316" s="58"/>
      <c r="D316" s="104" t="s">
        <v>495</v>
      </c>
      <c r="E316" s="104"/>
      <c r="F316" s="104"/>
      <c r="G316" s="104"/>
      <c r="H316" s="104"/>
      <c r="I316" s="104"/>
      <c r="J316" s="42"/>
      <c r="K316" s="54"/>
      <c r="L316" s="40"/>
      <c r="M316" s="42">
        <f>SUMIF(CD39:CD292, 4, AR39:AR292)+SUMIF(CD39:CD292, 4, AT39:AT292)+SUMIF(CD39:CD292, 4, AV39:AV292)</f>
        <v>0</v>
      </c>
    </row>
    <row r="317" spans="1:13" ht="14.25" hidden="1">
      <c r="A317" s="54"/>
      <c r="B317" s="54"/>
      <c r="C317" s="58"/>
      <c r="D317" s="104" t="s">
        <v>496</v>
      </c>
      <c r="E317" s="104"/>
      <c r="F317" s="104"/>
      <c r="G317" s="104"/>
      <c r="H317" s="104"/>
      <c r="I317" s="104"/>
      <c r="J317" s="42"/>
      <c r="K317" s="54"/>
      <c r="L317" s="40"/>
      <c r="M317" s="42">
        <f>SUMIF(CD39:CD292, 4, AZ39:AZ292)</f>
        <v>0</v>
      </c>
    </row>
    <row r="318" spans="1:13" ht="14.25" hidden="1">
      <c r="A318" s="54"/>
      <c r="B318" s="54"/>
      <c r="C318" s="58"/>
      <c r="D318" s="104" t="s">
        <v>497</v>
      </c>
      <c r="E318" s="104"/>
      <c r="F318" s="104"/>
      <c r="G318" s="104"/>
      <c r="H318" s="104"/>
      <c r="I318" s="104"/>
      <c r="J318" s="42"/>
      <c r="K318" s="54"/>
      <c r="L318" s="40"/>
      <c r="M318" s="42">
        <f>SUMIF(CD39:CD292, 4, BA39:BA292)</f>
        <v>0</v>
      </c>
    </row>
    <row r="320" spans="1:13" ht="15">
      <c r="A320" s="59"/>
      <c r="B320" s="59"/>
      <c r="C320" s="60"/>
      <c r="D320" s="106" t="s">
        <v>551</v>
      </c>
      <c r="E320" s="106"/>
      <c r="F320" s="106"/>
      <c r="G320" s="106"/>
      <c r="H320" s="106"/>
      <c r="I320" s="106"/>
      <c r="J320" s="45"/>
      <c r="K320" s="59"/>
      <c r="L320" s="61"/>
      <c r="M320" s="45">
        <f>M249+M269+M289+M294</f>
        <v>474003.20000000007</v>
      </c>
    </row>
    <row r="321" spans="1:13" ht="14.25">
      <c r="A321" s="54"/>
      <c r="B321" s="54"/>
      <c r="C321" s="58"/>
      <c r="D321" s="105" t="s">
        <v>484</v>
      </c>
      <c r="E321" s="104"/>
      <c r="F321" s="104"/>
      <c r="G321" s="104"/>
      <c r="H321" s="104"/>
      <c r="I321" s="104"/>
      <c r="J321" s="42"/>
      <c r="K321" s="54"/>
      <c r="L321" s="40"/>
      <c r="M321" s="42"/>
    </row>
    <row r="322" spans="1:13" ht="14.25">
      <c r="A322" s="54"/>
      <c r="B322" s="54"/>
      <c r="C322" s="58"/>
      <c r="D322" s="104" t="s">
        <v>485</v>
      </c>
      <c r="E322" s="104"/>
      <c r="F322" s="104"/>
      <c r="G322" s="104"/>
      <c r="H322" s="104"/>
      <c r="I322" s="104"/>
      <c r="J322" s="42"/>
      <c r="K322" s="54"/>
      <c r="L322" s="40"/>
      <c r="M322" s="42">
        <f>M324+M325+M331+M335</f>
        <v>247133.15000000002</v>
      </c>
    </row>
    <row r="323" spans="1:13" ht="14.25">
      <c r="A323" s="54"/>
      <c r="B323" s="54"/>
      <c r="C323" s="58"/>
      <c r="D323" s="105" t="s">
        <v>484</v>
      </c>
      <c r="E323" s="104"/>
      <c r="F323" s="104"/>
      <c r="G323" s="104"/>
      <c r="H323" s="104"/>
      <c r="I323" s="104"/>
      <c r="J323" s="42"/>
      <c r="K323" s="54"/>
      <c r="L323" s="40"/>
      <c r="M323" s="42"/>
    </row>
    <row r="324" spans="1:13" ht="14.25">
      <c r="A324" s="54"/>
      <c r="B324" s="54"/>
      <c r="C324" s="58"/>
      <c r="D324" s="104" t="s">
        <v>486</v>
      </c>
      <c r="E324" s="104"/>
      <c r="F324" s="104"/>
      <c r="G324" s="104"/>
      <c r="H324" s="104"/>
      <c r="I324" s="104"/>
      <c r="J324" s="42"/>
      <c r="K324" s="54"/>
      <c r="L324" s="40"/>
      <c r="M324" s="42">
        <f>SUM(AR39:AR318)</f>
        <v>140087.28</v>
      </c>
    </row>
    <row r="325" spans="1:13" ht="14.25" hidden="1">
      <c r="A325" s="54"/>
      <c r="B325" s="54"/>
      <c r="C325" s="58"/>
      <c r="D325" s="104" t="s">
        <v>487</v>
      </c>
      <c r="E325" s="104"/>
      <c r="F325" s="104"/>
      <c r="G325" s="104"/>
      <c r="H325" s="104"/>
      <c r="I325" s="104"/>
      <c r="J325" s="42"/>
      <c r="K325" s="54"/>
      <c r="L325" s="40"/>
      <c r="M325" s="42">
        <f>M327+M330+M329</f>
        <v>12107.419999999998</v>
      </c>
    </row>
    <row r="326" spans="1:13" ht="14.25" hidden="1">
      <c r="A326" s="54"/>
      <c r="B326" s="54"/>
      <c r="C326" s="58"/>
      <c r="D326" s="105" t="s">
        <v>488</v>
      </c>
      <c r="E326" s="104"/>
      <c r="F326" s="104"/>
      <c r="G326" s="104"/>
      <c r="H326" s="104"/>
      <c r="I326" s="104"/>
      <c r="J326" s="42"/>
      <c r="K326" s="54"/>
      <c r="L326" s="40"/>
      <c r="M326" s="42"/>
    </row>
    <row r="327" spans="1:13" ht="14.25">
      <c r="A327" s="54"/>
      <c r="B327" s="54"/>
      <c r="C327" s="58"/>
      <c r="D327" s="104" t="s">
        <v>487</v>
      </c>
      <c r="E327" s="104"/>
      <c r="F327" s="104"/>
      <c r="G327" s="104"/>
      <c r="H327" s="104"/>
      <c r="I327" s="104"/>
      <c r="J327" s="42"/>
      <c r="K327" s="54"/>
      <c r="L327" s="40"/>
      <c r="M327" s="42">
        <f>SUM(AO39:AO318)</f>
        <v>7796.82</v>
      </c>
    </row>
    <row r="328" spans="1:13" ht="14.25" hidden="1">
      <c r="A328" s="54"/>
      <c r="B328" s="54"/>
      <c r="C328" s="58"/>
      <c r="D328" s="105" t="s">
        <v>489</v>
      </c>
      <c r="E328" s="104"/>
      <c r="F328" s="104"/>
      <c r="G328" s="104"/>
      <c r="H328" s="104"/>
      <c r="I328" s="104"/>
      <c r="J328" s="42"/>
      <c r="K328" s="54"/>
      <c r="L328" s="40"/>
      <c r="M328" s="42"/>
    </row>
    <row r="329" spans="1:13" ht="14.25">
      <c r="A329" s="54"/>
      <c r="B329" s="54"/>
      <c r="C329" s="58"/>
      <c r="D329" s="104" t="s">
        <v>498</v>
      </c>
      <c r="E329" s="104"/>
      <c r="F329" s="104"/>
      <c r="G329" s="104"/>
      <c r="H329" s="104"/>
      <c r="I329" s="104"/>
      <c r="J329" s="42"/>
      <c r="K329" s="54"/>
      <c r="L329" s="40"/>
      <c r="M329" s="42">
        <f>SUM(AT39:AT318)</f>
        <v>4310.5999999999985</v>
      </c>
    </row>
    <row r="330" spans="1:13" ht="14.25" hidden="1">
      <c r="A330" s="54"/>
      <c r="B330" s="54"/>
      <c r="C330" s="58"/>
      <c r="D330" s="104" t="s">
        <v>490</v>
      </c>
      <c r="E330" s="104"/>
      <c r="F330" s="104"/>
      <c r="G330" s="104"/>
      <c r="H330" s="104"/>
      <c r="I330" s="104"/>
      <c r="J330" s="42"/>
      <c r="K330" s="54"/>
      <c r="L330" s="40"/>
      <c r="M330" s="42">
        <f>SUM(AV39:AV318)</f>
        <v>0</v>
      </c>
    </row>
    <row r="331" spans="1:13" ht="14.25">
      <c r="A331" s="54"/>
      <c r="B331" s="54"/>
      <c r="C331" s="58"/>
      <c r="D331" s="104" t="s">
        <v>491</v>
      </c>
      <c r="E331" s="104"/>
      <c r="F331" s="104"/>
      <c r="G331" s="104"/>
      <c r="H331" s="104"/>
      <c r="I331" s="104"/>
      <c r="J331" s="42"/>
      <c r="K331" s="54"/>
      <c r="L331" s="40"/>
      <c r="M331" s="42">
        <f>M333+M334</f>
        <v>94938.45</v>
      </c>
    </row>
    <row r="332" spans="1:13" ht="14.25">
      <c r="A332" s="54"/>
      <c r="B332" s="54"/>
      <c r="C332" s="58"/>
      <c r="D332" s="105" t="s">
        <v>488</v>
      </c>
      <c r="E332" s="104"/>
      <c r="F332" s="104"/>
      <c r="G332" s="104"/>
      <c r="H332" s="104"/>
      <c r="I332" s="104"/>
      <c r="J332" s="42"/>
      <c r="K332" s="54"/>
      <c r="L332" s="40"/>
      <c r="M332" s="42"/>
    </row>
    <row r="333" spans="1:13" ht="14.25">
      <c r="A333" s="54"/>
      <c r="B333" s="54"/>
      <c r="C333" s="58"/>
      <c r="D333" s="104" t="s">
        <v>492</v>
      </c>
      <c r="E333" s="104"/>
      <c r="F333" s="104"/>
      <c r="G333" s="104"/>
      <c r="H333" s="104"/>
      <c r="I333" s="104"/>
      <c r="J333" s="42"/>
      <c r="K333" s="54"/>
      <c r="L333" s="40"/>
      <c r="M333" s="42">
        <f>SUM(AW39:AW318)-SUM(BK39:BK318)</f>
        <v>94938.45</v>
      </c>
    </row>
    <row r="334" spans="1:13" ht="14.25" hidden="1">
      <c r="A334" s="54"/>
      <c r="B334" s="54"/>
      <c r="C334" s="58"/>
      <c r="D334" s="104" t="s">
        <v>493</v>
      </c>
      <c r="E334" s="104"/>
      <c r="F334" s="104"/>
      <c r="G334" s="104"/>
      <c r="H334" s="104"/>
      <c r="I334" s="104"/>
      <c r="J334" s="42"/>
      <c r="K334" s="54"/>
      <c r="L334" s="40"/>
      <c r="M334" s="42">
        <f>SUM(BC39:BC318)</f>
        <v>0</v>
      </c>
    </row>
    <row r="335" spans="1:13" ht="14.25" hidden="1">
      <c r="A335" s="54"/>
      <c r="B335" s="54"/>
      <c r="C335" s="58"/>
      <c r="D335" s="104" t="s">
        <v>494</v>
      </c>
      <c r="E335" s="104"/>
      <c r="F335" s="104"/>
      <c r="G335" s="104"/>
      <c r="H335" s="104"/>
      <c r="I335" s="104"/>
      <c r="J335" s="42"/>
      <c r="K335" s="54"/>
      <c r="L335" s="40"/>
      <c r="M335" s="42">
        <f>SUM(BB39:BB318)</f>
        <v>0</v>
      </c>
    </row>
    <row r="336" spans="1:13" ht="14.25">
      <c r="A336" s="54"/>
      <c r="B336" s="54"/>
      <c r="C336" s="58"/>
      <c r="D336" s="104" t="s">
        <v>509</v>
      </c>
      <c r="E336" s="104"/>
      <c r="F336" s="104"/>
      <c r="G336" s="104"/>
      <c r="H336" s="104"/>
      <c r="I336" s="104"/>
      <c r="J336" s="42"/>
      <c r="K336" s="54"/>
      <c r="L336" s="40"/>
      <c r="M336" s="42">
        <f>SUM(AR39:AR318)+SUM(AT39:AT318)+SUM(AV39:AV318)</f>
        <v>144397.88</v>
      </c>
    </row>
    <row r="337" spans="1:13" ht="14.25">
      <c r="A337" s="54"/>
      <c r="B337" s="54"/>
      <c r="C337" s="58"/>
      <c r="D337" s="104" t="s">
        <v>510</v>
      </c>
      <c r="E337" s="104"/>
      <c r="F337" s="104"/>
      <c r="G337" s="104"/>
      <c r="H337" s="104"/>
      <c r="I337" s="104"/>
      <c r="J337" s="42"/>
      <c r="K337" s="54"/>
      <c r="L337" s="40"/>
      <c r="M337" s="42">
        <f>SUM(AZ39:AZ318)</f>
        <v>146939.62999999998</v>
      </c>
    </row>
    <row r="338" spans="1:13" ht="14.25">
      <c r="A338" s="54"/>
      <c r="B338" s="54"/>
      <c r="C338" s="58"/>
      <c r="D338" s="104" t="s">
        <v>511</v>
      </c>
      <c r="E338" s="104"/>
      <c r="F338" s="104"/>
      <c r="G338" s="104"/>
      <c r="H338" s="104"/>
      <c r="I338" s="104"/>
      <c r="J338" s="42"/>
      <c r="K338" s="54"/>
      <c r="L338" s="40"/>
      <c r="M338" s="42">
        <f>SUM(BA39:BA318)</f>
        <v>79930.420000000013</v>
      </c>
    </row>
    <row r="339" spans="1:13" ht="14.25" hidden="1">
      <c r="A339" s="54"/>
      <c r="B339" s="54"/>
      <c r="C339" s="58"/>
      <c r="D339" s="104" t="s">
        <v>512</v>
      </c>
      <c r="E339" s="104"/>
      <c r="F339" s="104"/>
      <c r="G339" s="104"/>
      <c r="H339" s="104"/>
      <c r="I339" s="104"/>
      <c r="J339" s="42"/>
      <c r="K339" s="54"/>
      <c r="L339" s="40"/>
      <c r="M339" s="42">
        <f>M341+M342</f>
        <v>0</v>
      </c>
    </row>
    <row r="340" spans="1:13" ht="14.25" hidden="1">
      <c r="A340" s="54"/>
      <c r="B340" s="54"/>
      <c r="C340" s="58"/>
      <c r="D340" s="105" t="s">
        <v>484</v>
      </c>
      <c r="E340" s="104"/>
      <c r="F340" s="104"/>
      <c r="G340" s="104"/>
      <c r="H340" s="104"/>
      <c r="I340" s="104"/>
      <c r="J340" s="42"/>
      <c r="K340" s="54"/>
      <c r="L340" s="40"/>
      <c r="M340" s="42"/>
    </row>
    <row r="341" spans="1:13" ht="14.25" hidden="1">
      <c r="A341" s="54"/>
      <c r="B341" s="54"/>
      <c r="C341" s="58"/>
      <c r="D341" s="104" t="s">
        <v>501</v>
      </c>
      <c r="E341" s="104"/>
      <c r="F341" s="104"/>
      <c r="G341" s="104"/>
      <c r="H341" s="104"/>
      <c r="I341" s="104"/>
      <c r="J341" s="42"/>
      <c r="K341" s="54"/>
      <c r="L341" s="40"/>
      <c r="M341" s="42">
        <f>SUM(BK39:BK318)</f>
        <v>0</v>
      </c>
    </row>
    <row r="342" spans="1:13" ht="14.25" hidden="1">
      <c r="A342" s="54"/>
      <c r="B342" s="54"/>
      <c r="C342" s="58"/>
      <c r="D342" s="104" t="s">
        <v>502</v>
      </c>
      <c r="E342" s="104"/>
      <c r="F342" s="104"/>
      <c r="G342" s="104"/>
      <c r="H342" s="104"/>
      <c r="I342" s="104"/>
      <c r="J342" s="42"/>
      <c r="K342" s="54"/>
      <c r="L342" s="40"/>
      <c r="M342" s="42">
        <f>SUM(BD39:BD318)</f>
        <v>0</v>
      </c>
    </row>
    <row r="343" spans="1:13" ht="14.25" hidden="1">
      <c r="A343" s="54"/>
      <c r="B343" s="54"/>
      <c r="C343" s="58"/>
      <c r="D343" s="104" t="s">
        <v>513</v>
      </c>
      <c r="E343" s="104"/>
      <c r="F343" s="104"/>
      <c r="G343" s="104"/>
      <c r="H343" s="104"/>
      <c r="I343" s="104"/>
      <c r="J343" s="42"/>
      <c r="K343" s="54"/>
      <c r="L343" s="40"/>
      <c r="M343" s="42">
        <f>M294</f>
        <v>0</v>
      </c>
    </row>
    <row r="344" spans="1:13" ht="14.25">
      <c r="A344" s="54"/>
      <c r="B344" s="54"/>
      <c r="C344" s="58"/>
      <c r="D344" s="106" t="s">
        <v>514</v>
      </c>
      <c r="E344" s="104"/>
      <c r="F344" s="104"/>
      <c r="G344" s="104"/>
      <c r="H344" s="104"/>
      <c r="I344" s="104"/>
      <c r="J344" s="42"/>
      <c r="K344" s="54"/>
      <c r="L344" s="40"/>
      <c r="M344" s="42"/>
    </row>
    <row r="345" spans="1:13" ht="14.25" hidden="1">
      <c r="A345" s="54"/>
      <c r="B345" s="54"/>
      <c r="C345" s="58"/>
      <c r="D345" s="104" t="s">
        <v>515</v>
      </c>
      <c r="E345" s="104"/>
      <c r="F345" s="104"/>
      <c r="G345" s="104"/>
      <c r="H345" s="104"/>
      <c r="I345" s="104"/>
      <c r="J345" s="42"/>
      <c r="K345" s="54"/>
      <c r="L345" s="40"/>
      <c r="M345" s="42">
        <f>SUM(AX39:AX318)</f>
        <v>0</v>
      </c>
    </row>
    <row r="346" spans="1:13" ht="14.25" hidden="1">
      <c r="A346" s="54"/>
      <c r="B346" s="54"/>
      <c r="C346" s="58"/>
      <c r="D346" s="104" t="s">
        <v>516</v>
      </c>
      <c r="E346" s="104"/>
      <c r="F346" s="104"/>
      <c r="G346" s="104"/>
      <c r="H346" s="104"/>
      <c r="I346" s="104"/>
      <c r="J346" s="42"/>
      <c r="K346" s="54"/>
      <c r="L346" s="40"/>
      <c r="M346" s="42">
        <f>SUM(AY39:AY318)</f>
        <v>0</v>
      </c>
    </row>
    <row r="347" spans="1:13" ht="14.25">
      <c r="A347" s="54"/>
      <c r="B347" s="54"/>
      <c r="C347" s="58"/>
      <c r="D347" s="104" t="s">
        <v>517</v>
      </c>
      <c r="E347" s="104"/>
      <c r="F347" s="104"/>
      <c r="G347" s="110"/>
      <c r="H347" s="44">
        <f>Source!F67</f>
        <v>392.06802779999998</v>
      </c>
      <c r="I347" s="54"/>
      <c r="J347" s="54"/>
      <c r="K347" s="54"/>
      <c r="L347" s="54"/>
      <c r="M347" s="54"/>
    </row>
    <row r="348" spans="1:13" ht="14.25">
      <c r="A348" s="54"/>
      <c r="B348" s="54"/>
      <c r="C348" s="58"/>
      <c r="D348" s="104" t="s">
        <v>518</v>
      </c>
      <c r="E348" s="104"/>
      <c r="F348" s="104"/>
      <c r="G348" s="110"/>
      <c r="H348" s="44">
        <f>Source!F68</f>
        <v>10.6010715</v>
      </c>
      <c r="I348" s="54"/>
      <c r="J348" s="54"/>
      <c r="K348" s="54"/>
      <c r="L348" s="54"/>
      <c r="M348" s="54"/>
    </row>
    <row r="350" spans="1:13" ht="14.25">
      <c r="D350" s="111" t="str">
        <f>Source!H74</f>
        <v>Итого</v>
      </c>
      <c r="E350" s="111"/>
      <c r="F350" s="111"/>
      <c r="G350" s="111"/>
      <c r="H350" s="111"/>
      <c r="I350" s="111"/>
      <c r="J350" s="111"/>
      <c r="K350" s="111"/>
      <c r="L350" s="111"/>
      <c r="M350" s="52">
        <f>IF(Source!Y74=0, "", Source!Y74)</f>
        <v>474003.20000000001</v>
      </c>
    </row>
    <row r="351" spans="1:13" ht="14.25">
      <c r="D351" s="111" t="str">
        <f>Source!H75</f>
        <v>Компенсация НДС 22% при УСН за материалы, оборудование, машины и механизмы</v>
      </c>
      <c r="E351" s="111"/>
      <c r="F351" s="111"/>
      <c r="G351" s="111"/>
      <c r="H351" s="111"/>
      <c r="I351" s="111"/>
      <c r="J351" s="111"/>
      <c r="K351" s="111"/>
      <c r="L351" s="111"/>
      <c r="M351" s="52">
        <f>IF(Source!Y75=0, "", Source!Y75)</f>
        <v>22601.759999999998</v>
      </c>
    </row>
    <row r="352" spans="1:13" ht="14.25">
      <c r="D352" s="111" t="str">
        <f>Source!H76</f>
        <v>ВСЕГО c компенсацией НДС 22%</v>
      </c>
      <c r="E352" s="111"/>
      <c r="F352" s="111"/>
      <c r="G352" s="111"/>
      <c r="H352" s="111"/>
      <c r="I352" s="111"/>
      <c r="J352" s="111"/>
      <c r="K352" s="111"/>
      <c r="L352" s="111"/>
      <c r="M352" s="52">
        <f>IF(Source!Y76=0, "", Source!Y76)</f>
        <v>496604.96</v>
      </c>
    </row>
    <row r="355" spans="1:13" ht="14.25" customHeight="1">
      <c r="A355" s="86"/>
      <c r="B355" s="9"/>
      <c r="C355" s="87" t="s">
        <v>552</v>
      </c>
      <c r="D355" s="89" t="str">
        <f>IF(Source!AM12&lt;&gt;"", Source!AM12," ")</f>
        <v xml:space="preserve"> </v>
      </c>
      <c r="E355" s="90"/>
      <c r="F355" s="90"/>
      <c r="G355" s="90"/>
      <c r="H355" s="90"/>
      <c r="I355" s="88" t="str">
        <f>IF(Source!AL12&lt;&gt;"", Source!AL12," ")</f>
        <v xml:space="preserve"> </v>
      </c>
      <c r="J355" s="13"/>
      <c r="K355" s="13"/>
      <c r="L355" s="13"/>
      <c r="M355" s="13"/>
    </row>
    <row r="356" spans="1:13" ht="14.25" customHeight="1">
      <c r="A356" s="24"/>
      <c r="B356" s="9"/>
      <c r="C356" s="71"/>
      <c r="D356" s="138" t="s">
        <v>520</v>
      </c>
      <c r="E356" s="138"/>
      <c r="F356" s="138"/>
      <c r="G356" s="138"/>
      <c r="H356" s="138"/>
      <c r="I356" s="12"/>
      <c r="J356" s="13"/>
      <c r="K356" s="13"/>
      <c r="L356" s="13"/>
      <c r="M356" s="13"/>
    </row>
    <row r="357" spans="1:13" ht="12.75" customHeight="1">
      <c r="A357" s="24"/>
      <c r="B357" s="9"/>
      <c r="C357" s="91"/>
      <c r="D357" s="24"/>
      <c r="E357" s="24"/>
      <c r="F357" s="24"/>
      <c r="G357" s="24"/>
      <c r="H357" s="24"/>
      <c r="I357" s="24"/>
      <c r="J357" s="13"/>
      <c r="K357" s="13"/>
      <c r="L357" s="13"/>
      <c r="M357" s="13"/>
    </row>
    <row r="358" spans="1:13" ht="14.25" customHeight="1">
      <c r="A358" s="24"/>
      <c r="B358" s="9"/>
      <c r="C358" s="87" t="s">
        <v>553</v>
      </c>
      <c r="D358" s="89" t="str">
        <f>IF(Source!AI12&lt;&gt;"", Source!AI12," ")</f>
        <v xml:space="preserve"> </v>
      </c>
      <c r="E358" s="90"/>
      <c r="F358" s="90"/>
      <c r="G358" s="90"/>
      <c r="H358" s="90"/>
      <c r="I358" s="92" t="str">
        <f>IF(Source!AH12&lt;&gt;"", Source!AH12," ")</f>
        <v xml:space="preserve"> </v>
      </c>
      <c r="J358" s="13"/>
      <c r="K358" s="13"/>
      <c r="L358" s="13"/>
      <c r="M358" s="13"/>
    </row>
    <row r="359" spans="1:13" ht="14.25" customHeight="1">
      <c r="A359" s="24"/>
      <c r="B359" s="12"/>
      <c r="C359" s="12"/>
      <c r="D359" s="138" t="s">
        <v>520</v>
      </c>
      <c r="E359" s="138"/>
      <c r="F359" s="138"/>
      <c r="G359" s="138"/>
      <c r="H359" s="138"/>
      <c r="I359" s="12"/>
      <c r="J359" s="13"/>
      <c r="K359" s="13"/>
      <c r="L359" s="13"/>
      <c r="M359" s="13"/>
    </row>
  </sheetData>
  <mergeCells count="191">
    <mergeCell ref="A9:B9"/>
    <mergeCell ref="C9:I9"/>
    <mergeCell ref="C10:I10"/>
    <mergeCell ref="K10:M11"/>
    <mergeCell ref="A11:B11"/>
    <mergeCell ref="C11:I11"/>
    <mergeCell ref="J2:M2"/>
    <mergeCell ref="I3:M3"/>
    <mergeCell ref="J4:M4"/>
    <mergeCell ref="K6:M6"/>
    <mergeCell ref="K7:M7"/>
    <mergeCell ref="K8:M9"/>
    <mergeCell ref="A17:B17"/>
    <mergeCell ref="C17:I17"/>
    <mergeCell ref="C18:I18"/>
    <mergeCell ref="H19:J19"/>
    <mergeCell ref="K19:M19"/>
    <mergeCell ref="C12:I12"/>
    <mergeCell ref="K12:M13"/>
    <mergeCell ref="A13:B13"/>
    <mergeCell ref="C13:I13"/>
    <mergeCell ref="C14:I14"/>
    <mergeCell ref="K14:M15"/>
    <mergeCell ref="A15:B15"/>
    <mergeCell ref="C15:I15"/>
    <mergeCell ref="H20:I20"/>
    <mergeCell ref="K20:M20"/>
    <mergeCell ref="K21:M21"/>
    <mergeCell ref="K22:M22"/>
    <mergeCell ref="G24:G25"/>
    <mergeCell ref="H24:H25"/>
    <mergeCell ref="I24:J24"/>
    <mergeCell ref="C16:I16"/>
    <mergeCell ref="K16:M17"/>
    <mergeCell ref="A28:M28"/>
    <mergeCell ref="A29:M29"/>
    <mergeCell ref="A31:M31"/>
    <mergeCell ref="A32:B32"/>
    <mergeCell ref="C32:C36"/>
    <mergeCell ref="D32:D36"/>
    <mergeCell ref="E32:E36"/>
    <mergeCell ref="F32:H35"/>
    <mergeCell ref="I32:M35"/>
    <mergeCell ref="A33:A36"/>
    <mergeCell ref="D110:I110"/>
    <mergeCell ref="J110:K110"/>
    <mergeCell ref="L110:M110"/>
    <mergeCell ref="D126:I126"/>
    <mergeCell ref="J126:K126"/>
    <mergeCell ref="L126:M126"/>
    <mergeCell ref="B33:B36"/>
    <mergeCell ref="A39:M39"/>
    <mergeCell ref="D67:I67"/>
    <mergeCell ref="J67:K67"/>
    <mergeCell ref="L67:M67"/>
    <mergeCell ref="D94:I94"/>
    <mergeCell ref="J94:K94"/>
    <mergeCell ref="L94:M94"/>
    <mergeCell ref="D163:M163"/>
    <mergeCell ref="D185:I185"/>
    <mergeCell ref="J185:K185"/>
    <mergeCell ref="L185:M185"/>
    <mergeCell ref="D187:I187"/>
    <mergeCell ref="J187:K187"/>
    <mergeCell ref="L187:M187"/>
    <mergeCell ref="D136:I136"/>
    <mergeCell ref="J136:K136"/>
    <mergeCell ref="L136:M136"/>
    <mergeCell ref="D138:M138"/>
    <mergeCell ref="D161:I161"/>
    <mergeCell ref="J161:K161"/>
    <mergeCell ref="L161:M161"/>
    <mergeCell ref="D216:M216"/>
    <mergeCell ref="D241:I241"/>
    <mergeCell ref="J241:K241"/>
    <mergeCell ref="L241:M241"/>
    <mergeCell ref="D243:I243"/>
    <mergeCell ref="J243:K243"/>
    <mergeCell ref="L243:M243"/>
    <mergeCell ref="D189:I189"/>
    <mergeCell ref="J189:K189"/>
    <mergeCell ref="L189:M189"/>
    <mergeCell ref="D191:M191"/>
    <mergeCell ref="D214:I214"/>
    <mergeCell ref="J214:K214"/>
    <mergeCell ref="L214:M214"/>
    <mergeCell ref="D251:I251"/>
    <mergeCell ref="D252:I252"/>
    <mergeCell ref="D253:I253"/>
    <mergeCell ref="D254:I254"/>
    <mergeCell ref="D255:I255"/>
    <mergeCell ref="D256:I256"/>
    <mergeCell ref="D245:I245"/>
    <mergeCell ref="J245:K245"/>
    <mergeCell ref="L245:M245"/>
    <mergeCell ref="D247:I247"/>
    <mergeCell ref="D249:I249"/>
    <mergeCell ref="D250:I250"/>
    <mergeCell ref="D263:I263"/>
    <mergeCell ref="D264:I264"/>
    <mergeCell ref="D265:I265"/>
    <mergeCell ref="D266:I266"/>
    <mergeCell ref="D267:I267"/>
    <mergeCell ref="D269:I269"/>
    <mergeCell ref="D257:I257"/>
    <mergeCell ref="D258:I258"/>
    <mergeCell ref="D259:I259"/>
    <mergeCell ref="D260:I260"/>
    <mergeCell ref="D261:I261"/>
    <mergeCell ref="D262:I262"/>
    <mergeCell ref="D276:I276"/>
    <mergeCell ref="D277:I277"/>
    <mergeCell ref="D278:I278"/>
    <mergeCell ref="D279:I279"/>
    <mergeCell ref="D280:I280"/>
    <mergeCell ref="D281:I281"/>
    <mergeCell ref="D270:I270"/>
    <mergeCell ref="D271:I271"/>
    <mergeCell ref="D272:I272"/>
    <mergeCell ref="D273:I273"/>
    <mergeCell ref="D274:I274"/>
    <mergeCell ref="D275:I275"/>
    <mergeCell ref="D289:I289"/>
    <mergeCell ref="D290:I290"/>
    <mergeCell ref="D291:I291"/>
    <mergeCell ref="D292:I292"/>
    <mergeCell ref="D294:I294"/>
    <mergeCell ref="D295:I295"/>
    <mergeCell ref="D282:I282"/>
    <mergeCell ref="D283:I283"/>
    <mergeCell ref="D284:I284"/>
    <mergeCell ref="D285:I285"/>
    <mergeCell ref="D286:I286"/>
    <mergeCell ref="D287:I287"/>
    <mergeCell ref="D302:I302"/>
    <mergeCell ref="D303:I303"/>
    <mergeCell ref="D304:I304"/>
    <mergeCell ref="D305:I305"/>
    <mergeCell ref="D306:I306"/>
    <mergeCell ref="D307:I307"/>
    <mergeCell ref="D296:I296"/>
    <mergeCell ref="D297:I297"/>
    <mergeCell ref="D298:I298"/>
    <mergeCell ref="D299:I299"/>
    <mergeCell ref="D300:I300"/>
    <mergeCell ref="D301:I301"/>
    <mergeCell ref="D314:I314"/>
    <mergeCell ref="D315:I315"/>
    <mergeCell ref="D316:I316"/>
    <mergeCell ref="D317:I317"/>
    <mergeCell ref="D318:I318"/>
    <mergeCell ref="D320:I320"/>
    <mergeCell ref="D308:I308"/>
    <mergeCell ref="D309:I309"/>
    <mergeCell ref="D310:I310"/>
    <mergeCell ref="D311:I311"/>
    <mergeCell ref="D312:I312"/>
    <mergeCell ref="D313:I313"/>
    <mergeCell ref="D327:I327"/>
    <mergeCell ref="D328:I328"/>
    <mergeCell ref="D329:I329"/>
    <mergeCell ref="D330:I330"/>
    <mergeCell ref="D331:I331"/>
    <mergeCell ref="D332:I332"/>
    <mergeCell ref="D321:I321"/>
    <mergeCell ref="D322:I322"/>
    <mergeCell ref="D323:I323"/>
    <mergeCell ref="D324:I324"/>
    <mergeCell ref="D325:I325"/>
    <mergeCell ref="D326:I326"/>
    <mergeCell ref="D339:I339"/>
    <mergeCell ref="D340:I340"/>
    <mergeCell ref="D341:I341"/>
    <mergeCell ref="D342:I342"/>
    <mergeCell ref="D343:I343"/>
    <mergeCell ref="D344:I344"/>
    <mergeCell ref="D333:I333"/>
    <mergeCell ref="D334:I334"/>
    <mergeCell ref="D335:I335"/>
    <mergeCell ref="D336:I336"/>
    <mergeCell ref="D337:I337"/>
    <mergeCell ref="D338:I338"/>
    <mergeCell ref="D352:L352"/>
    <mergeCell ref="D356:H356"/>
    <mergeCell ref="D359:H359"/>
    <mergeCell ref="D345:I345"/>
    <mergeCell ref="D346:I346"/>
    <mergeCell ref="D347:G347"/>
    <mergeCell ref="D348:G348"/>
    <mergeCell ref="D350:L350"/>
    <mergeCell ref="D351:L351"/>
  </mergeCells>
  <pageMargins left="0.4" right="0.2" top="0.2" bottom="0.4" header="0.2" footer="0.2"/>
  <pageSetup paperSize="9" scale="58" fitToHeight="0" orientation="portrait" r:id="rId1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K144"/>
  <sheetViews>
    <sheetView topLeftCell="A64" workbookViewId="0">
      <selection activeCell="K73" sqref="K73"/>
    </sheetView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36884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33">
      <c r="A12" s="1">
        <v>1</v>
      </c>
      <c r="B12" s="1">
        <v>138</v>
      </c>
      <c r="C12" s="1">
        <v>0</v>
      </c>
      <c r="D12" s="1">
        <f>ROW(A78)</f>
        <v>78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11</v>
      </c>
      <c r="N12" s="1"/>
      <c r="O12" s="1">
        <v>0</v>
      </c>
      <c r="P12" s="1">
        <v>0</v>
      </c>
      <c r="Q12" s="1">
        <v>7</v>
      </c>
      <c r="R12" s="1">
        <v>0</v>
      </c>
      <c r="S12" s="1"/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489193480</v>
      </c>
      <c r="CI12" s="1" t="s">
        <v>3</v>
      </c>
      <c r="CJ12" s="1" t="s">
        <v>3</v>
      </c>
      <c r="CK12" s="1">
        <v>17</v>
      </c>
      <c r="CL12" s="1"/>
      <c r="CM12" s="1"/>
      <c r="CN12" s="1"/>
      <c r="CO12" s="1"/>
      <c r="CP12" s="1"/>
      <c r="CQ12" s="1" t="s">
        <v>12</v>
      </c>
      <c r="CR12" s="1" t="s">
        <v>13</v>
      </c>
      <c r="CS12" s="1">
        <v>46073</v>
      </c>
      <c r="CT12" s="1">
        <v>540</v>
      </c>
      <c r="CU12" s="1">
        <v>17</v>
      </c>
      <c r="CV12" s="1" t="s">
        <v>395</v>
      </c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B78</f>
        <v>138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Ремонт крыльца</v>
      </c>
      <c r="H18" s="2"/>
      <c r="I18" s="2"/>
      <c r="J18" s="2"/>
      <c r="K18" s="2"/>
      <c r="L18" s="2"/>
      <c r="M18" s="2"/>
      <c r="N18" s="2"/>
      <c r="O18" s="2">
        <f t="shared" ref="O18:AT18" si="1">O78</f>
        <v>247133.15</v>
      </c>
      <c r="P18" s="2">
        <f t="shared" si="1"/>
        <v>94938.45</v>
      </c>
      <c r="Q18" s="2">
        <f t="shared" si="1"/>
        <v>7796.82</v>
      </c>
      <c r="R18" s="2">
        <f t="shared" si="1"/>
        <v>4310.6000000000004</v>
      </c>
      <c r="S18" s="2">
        <f t="shared" si="1"/>
        <v>140087.28</v>
      </c>
      <c r="T18" s="2">
        <f t="shared" si="1"/>
        <v>0</v>
      </c>
      <c r="U18" s="2">
        <f t="shared" si="1"/>
        <v>392.06802779999998</v>
      </c>
      <c r="V18" s="2">
        <f t="shared" si="1"/>
        <v>10.6010715</v>
      </c>
      <c r="W18" s="2">
        <f t="shared" si="1"/>
        <v>0</v>
      </c>
      <c r="X18" s="2">
        <f t="shared" si="1"/>
        <v>146939.63</v>
      </c>
      <c r="Y18" s="2">
        <f t="shared" si="1"/>
        <v>79930.42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474003.20000000001</v>
      </c>
      <c r="AS18" s="2">
        <f t="shared" si="1"/>
        <v>474003.20000000001</v>
      </c>
      <c r="AT18" s="2">
        <f t="shared" si="1"/>
        <v>0</v>
      </c>
      <c r="AU18" s="2">
        <f t="shared" ref="AU18:BZ18" si="2">AU78</f>
        <v>0</v>
      </c>
      <c r="AV18" s="2">
        <f t="shared" si="2"/>
        <v>94938.45</v>
      </c>
      <c r="AW18" s="2">
        <f t="shared" si="2"/>
        <v>94938.45</v>
      </c>
      <c r="AX18" s="2">
        <f t="shared" si="2"/>
        <v>0</v>
      </c>
      <c r="AY18" s="2">
        <f t="shared" si="2"/>
        <v>94938.45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CA78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DG78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EM78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FS78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ROW(A45)</f>
        <v>45</v>
      </c>
      <c r="E20" s="1"/>
      <c r="F20" s="1" t="s">
        <v>14</v>
      </c>
      <c r="G20" s="1" t="s">
        <v>14</v>
      </c>
      <c r="H20" s="1" t="s">
        <v>3</v>
      </c>
      <c r="I20" s="1">
        <v>0</v>
      </c>
      <c r="J20" s="1" t="s">
        <v>3</v>
      </c>
      <c r="K20" s="1">
        <v>0</v>
      </c>
      <c r="L20" s="1"/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>
      <c r="A22" s="2">
        <v>52</v>
      </c>
      <c r="B22" s="2">
        <f t="shared" ref="B22:G22" si="7">B45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O45</f>
        <v>247133.15</v>
      </c>
      <c r="P22" s="2">
        <f t="shared" si="8"/>
        <v>94938.45</v>
      </c>
      <c r="Q22" s="2">
        <f t="shared" si="8"/>
        <v>7796.82</v>
      </c>
      <c r="R22" s="2">
        <f t="shared" si="8"/>
        <v>4310.6000000000004</v>
      </c>
      <c r="S22" s="2">
        <f t="shared" si="8"/>
        <v>140087.28</v>
      </c>
      <c r="T22" s="2">
        <f t="shared" si="8"/>
        <v>0</v>
      </c>
      <c r="U22" s="2">
        <f t="shared" si="8"/>
        <v>392.06802779999998</v>
      </c>
      <c r="V22" s="2">
        <f t="shared" si="8"/>
        <v>10.6010715</v>
      </c>
      <c r="W22" s="2">
        <f t="shared" si="8"/>
        <v>0</v>
      </c>
      <c r="X22" s="2">
        <f t="shared" si="8"/>
        <v>146939.63</v>
      </c>
      <c r="Y22" s="2">
        <f t="shared" si="8"/>
        <v>79930.42</v>
      </c>
      <c r="Z22" s="2">
        <f t="shared" si="8"/>
        <v>0</v>
      </c>
      <c r="AA22" s="2">
        <f t="shared" si="8"/>
        <v>0</v>
      </c>
      <c r="AB22" s="2">
        <f t="shared" si="8"/>
        <v>247133.15</v>
      </c>
      <c r="AC22" s="2">
        <f t="shared" si="8"/>
        <v>94938.45</v>
      </c>
      <c r="AD22" s="2">
        <f t="shared" si="8"/>
        <v>7796.82</v>
      </c>
      <c r="AE22" s="2">
        <f t="shared" si="8"/>
        <v>4310.6000000000004</v>
      </c>
      <c r="AF22" s="2">
        <f t="shared" si="8"/>
        <v>140087.28</v>
      </c>
      <c r="AG22" s="2">
        <f t="shared" si="8"/>
        <v>0</v>
      </c>
      <c r="AH22" s="2">
        <f t="shared" si="8"/>
        <v>392.06802779999998</v>
      </c>
      <c r="AI22" s="2">
        <f t="shared" si="8"/>
        <v>10.6010715</v>
      </c>
      <c r="AJ22" s="2">
        <f t="shared" si="8"/>
        <v>0</v>
      </c>
      <c r="AK22" s="2">
        <f t="shared" si="8"/>
        <v>146939.63</v>
      </c>
      <c r="AL22" s="2">
        <f t="shared" si="8"/>
        <v>79930.42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474003.20000000001</v>
      </c>
      <c r="AS22" s="2">
        <f t="shared" si="8"/>
        <v>474003.20000000001</v>
      </c>
      <c r="AT22" s="2">
        <f t="shared" si="8"/>
        <v>0</v>
      </c>
      <c r="AU22" s="2">
        <f t="shared" ref="AU22:BZ22" si="9">AU45</f>
        <v>0</v>
      </c>
      <c r="AV22" s="2">
        <f t="shared" si="9"/>
        <v>94938.45</v>
      </c>
      <c r="AW22" s="2">
        <f t="shared" si="9"/>
        <v>94938.45</v>
      </c>
      <c r="AX22" s="2">
        <f t="shared" si="9"/>
        <v>0</v>
      </c>
      <c r="AY22" s="2">
        <f t="shared" si="9"/>
        <v>94938.45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CA45</f>
        <v>474003.20000000001</v>
      </c>
      <c r="CB22" s="2">
        <f t="shared" si="10"/>
        <v>474003.20000000001</v>
      </c>
      <c r="CC22" s="2">
        <f t="shared" si="10"/>
        <v>0</v>
      </c>
      <c r="CD22" s="2">
        <f t="shared" si="10"/>
        <v>0</v>
      </c>
      <c r="CE22" s="2">
        <f t="shared" si="10"/>
        <v>94938.45</v>
      </c>
      <c r="CF22" s="2">
        <f t="shared" si="10"/>
        <v>94938.45</v>
      </c>
      <c r="CG22" s="2">
        <f t="shared" si="10"/>
        <v>0</v>
      </c>
      <c r="CH22" s="2">
        <f t="shared" si="10"/>
        <v>94938.45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DG45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EM45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FS45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>
        <v>17</v>
      </c>
      <c r="B24">
        <v>1</v>
      </c>
      <c r="C24">
        <f>ROW(SmtRes!A15)</f>
        <v>15</v>
      </c>
      <c r="D24">
        <f>ROW(EtalonRes!A15)</f>
        <v>15</v>
      </c>
      <c r="E24" t="s">
        <v>15</v>
      </c>
      <c r="F24" t="s">
        <v>16</v>
      </c>
      <c r="G24" t="s">
        <v>17</v>
      </c>
      <c r="H24" t="s">
        <v>18</v>
      </c>
      <c r="I24">
        <f>ROUND(7.98/100,7)</f>
        <v>7.9799999999999996E-2</v>
      </c>
      <c r="J24">
        <v>0</v>
      </c>
      <c r="K24">
        <f>ROUND(7.98/100,7)</f>
        <v>7.9799999999999996E-2</v>
      </c>
      <c r="O24">
        <f t="shared" ref="O24:O43" si="14">ROUND(CP24,2)</f>
        <v>8390.51</v>
      </c>
      <c r="P24">
        <f>SUMIF(SmtRes!AQ1:'SmtRes'!AQ15,"=1",SmtRes!DF1:'SmtRes'!DF15)</f>
        <v>277.22999999999996</v>
      </c>
      <c r="Q24">
        <f>SUMIF(SmtRes!AQ1:'SmtRes'!AQ15,"=1",SmtRes!DG1:'SmtRes'!DG15)</f>
        <v>1167.4299999999998</v>
      </c>
      <c r="R24">
        <f>SUMIF(SmtRes!AQ1:'SmtRes'!AQ15,"=1",SmtRes!DH1:'SmtRes'!DH15)</f>
        <v>814.62</v>
      </c>
      <c r="S24">
        <f>SUMIF(SmtRes!AQ1:'SmtRes'!AQ15,"=1",SmtRes!DI1:'SmtRes'!DI15)</f>
        <v>6131.23</v>
      </c>
      <c r="T24">
        <f t="shared" ref="T24:T43" si="15">ROUND(CU24*I24,2)</f>
        <v>0</v>
      </c>
      <c r="U24">
        <f>SUMIF(SmtRes!AQ1:'SmtRes'!AQ15,"=1",SmtRes!CV1:'SmtRes'!CV15)</f>
        <v>17.795400000000001</v>
      </c>
      <c r="V24">
        <f>SUMIF(SmtRes!AQ1:'SmtRes'!AQ15,"=1",SmtRes!CW1:'SmtRes'!CW15)</f>
        <v>1.9814339999999999</v>
      </c>
      <c r="W24">
        <f t="shared" ref="W24:W43" si="16">ROUND(CX24*I24,2)</f>
        <v>0</v>
      </c>
      <c r="X24">
        <f t="shared" ref="X24:X43" si="17">ROUND(CY24,2)</f>
        <v>7084.77</v>
      </c>
      <c r="Y24">
        <f t="shared" ref="Y24:Y43" si="18">ROUND(CZ24,2)</f>
        <v>3750.76</v>
      </c>
      <c r="AA24">
        <v>50837261</v>
      </c>
      <c r="AB24">
        <f t="shared" ref="AB24:AB43" si="19">ROUND((AC24+AD24+AF24),6)</f>
        <v>94617.115525000001</v>
      </c>
      <c r="AC24">
        <f>ROUND((SUM(SmtRes!BQ1:'SmtRes'!BQ15)),6)</f>
        <v>3357.3649249999999</v>
      </c>
      <c r="AD24">
        <f>ROUND((((SUM(SmtRes!BR1:'SmtRes'!BR15))-(SUM(SmtRes!BS1:'SmtRes'!BS15)))+AE24),6)</f>
        <v>14427.330599999999</v>
      </c>
      <c r="AE24">
        <f>ROUND((SUM(SmtRes!BS1:'SmtRes'!BS15)),6)</f>
        <v>10208.210499999999</v>
      </c>
      <c r="AF24">
        <f>ROUND((SUM(SmtRes!BT1:'SmtRes'!BT15)),6)</f>
        <v>76832.42</v>
      </c>
      <c r="AG24">
        <f t="shared" ref="AG24:AG43" si="20">ROUND((AP24),6)</f>
        <v>0</v>
      </c>
      <c r="AH24">
        <f>(SUM(SmtRes!BU1:'SmtRes'!BU15))</f>
        <v>223</v>
      </c>
      <c r="AI24">
        <f>(SUM(SmtRes!BV1:'SmtRes'!BV15))</f>
        <v>24.830000000000002</v>
      </c>
      <c r="AJ24">
        <f t="shared" ref="AJ24:AJ43" si="21">(AS24)</f>
        <v>0</v>
      </c>
      <c r="AK24">
        <v>104825.326025</v>
      </c>
      <c r="AL24">
        <v>3357.3649250000003</v>
      </c>
      <c r="AM24">
        <v>14427.330600000001</v>
      </c>
      <c r="AN24">
        <v>10208.210500000001</v>
      </c>
      <c r="AO24">
        <v>76832.42</v>
      </c>
      <c r="AP24">
        <v>0</v>
      </c>
      <c r="AQ24">
        <v>223</v>
      </c>
      <c r="AR24">
        <v>24.830000000000002</v>
      </c>
      <c r="AS24">
        <v>0</v>
      </c>
      <c r="AT24">
        <v>102</v>
      </c>
      <c r="AU24">
        <v>54</v>
      </c>
      <c r="AV24">
        <v>1</v>
      </c>
      <c r="AW24">
        <v>1</v>
      </c>
      <c r="AZ24">
        <v>1</v>
      </c>
      <c r="BA24">
        <v>1</v>
      </c>
      <c r="BB24">
        <v>1</v>
      </c>
      <c r="BC24">
        <v>1</v>
      </c>
      <c r="BD24" t="s">
        <v>3</v>
      </c>
      <c r="BE24" t="s">
        <v>3</v>
      </c>
      <c r="BF24" t="s">
        <v>3</v>
      </c>
      <c r="BG24" t="s">
        <v>3</v>
      </c>
      <c r="BH24">
        <v>0</v>
      </c>
      <c r="BI24">
        <v>1</v>
      </c>
      <c r="BJ24" t="s">
        <v>19</v>
      </c>
      <c r="BM24">
        <v>68001</v>
      </c>
      <c r="BN24">
        <v>0</v>
      </c>
      <c r="BO24" t="s">
        <v>3</v>
      </c>
      <c r="BP24">
        <v>0</v>
      </c>
      <c r="BQ24">
        <v>6</v>
      </c>
      <c r="BR24">
        <v>0</v>
      </c>
      <c r="BS24">
        <v>1</v>
      </c>
      <c r="BT24">
        <v>1</v>
      </c>
      <c r="BU24">
        <v>1</v>
      </c>
      <c r="BV24">
        <v>1</v>
      </c>
      <c r="BW24">
        <v>1</v>
      </c>
      <c r="BX24">
        <v>1</v>
      </c>
      <c r="BY24" t="s">
        <v>3</v>
      </c>
      <c r="BZ24">
        <v>102</v>
      </c>
      <c r="CA24">
        <v>54</v>
      </c>
      <c r="CB24" t="s">
        <v>3</v>
      </c>
      <c r="CE24">
        <v>0</v>
      </c>
      <c r="CF24">
        <v>0</v>
      </c>
      <c r="CG24">
        <v>0</v>
      </c>
      <c r="CM24">
        <v>0</v>
      </c>
      <c r="CN24" t="s">
        <v>3</v>
      </c>
      <c r="CO24">
        <v>0</v>
      </c>
      <c r="CP24">
        <f t="shared" ref="CP24:CP43" si="22">(P24+Q24+S24+R24)</f>
        <v>8390.51</v>
      </c>
      <c r="CQ24">
        <f>SUMIF(SmtRes!AQ1:'SmtRes'!AQ15,"=1",SmtRes!AA1:'SmtRes'!AA15)</f>
        <v>80319.64</v>
      </c>
      <c r="CR24">
        <f>SUMIF(SmtRes!AQ1:'SmtRes'!AQ15,"=1",SmtRes!AB1:'SmtRes'!AB15)</f>
        <v>4374.16</v>
      </c>
      <c r="CS24">
        <f>SUMIF(SmtRes!AQ1:'SmtRes'!AQ15,"=1",SmtRes!AC1:'SmtRes'!AC15)</f>
        <v>1275.4100000000001</v>
      </c>
      <c r="CT24">
        <f>SUMIF(SmtRes!AQ1:'SmtRes'!AQ15,"=1",SmtRes!AD1:'SmtRes'!AD15)</f>
        <v>344.54</v>
      </c>
      <c r="CU24">
        <f t="shared" ref="CU24:CU43" si="23">AG24</f>
        <v>0</v>
      </c>
      <c r="CV24">
        <f>SUMIF(SmtRes!AQ1:'SmtRes'!AQ15,"=1",SmtRes!BU1:'SmtRes'!BU15)</f>
        <v>223</v>
      </c>
      <c r="CW24">
        <f>SUMIF(SmtRes!AQ1:'SmtRes'!AQ15,"=1",SmtRes!BV1:'SmtRes'!BV15)</f>
        <v>24.830000000000002</v>
      </c>
      <c r="CX24">
        <f t="shared" ref="CX24:CX43" si="24">AJ24</f>
        <v>0</v>
      </c>
      <c r="CY24">
        <f t="shared" ref="CY24:CY36" si="25">(((S24+R24)*AT24)/100)</f>
        <v>7084.7669999999998</v>
      </c>
      <c r="CZ24">
        <f t="shared" ref="CZ24:CZ36" si="26">(((S24+R24)*AU24)/100)</f>
        <v>3750.7589999999996</v>
      </c>
      <c r="DC24" t="s">
        <v>3</v>
      </c>
      <c r="DD24" t="s">
        <v>3</v>
      </c>
      <c r="DE24" t="s">
        <v>3</v>
      </c>
      <c r="DF24" t="s">
        <v>3</v>
      </c>
      <c r="DG24" t="s">
        <v>3</v>
      </c>
      <c r="DH24" t="s">
        <v>3</v>
      </c>
      <c r="DI24" t="s">
        <v>3</v>
      </c>
      <c r="DJ24" t="s">
        <v>3</v>
      </c>
      <c r="DK24" t="s">
        <v>3</v>
      </c>
      <c r="DL24" t="s">
        <v>3</v>
      </c>
      <c r="DM24" t="s">
        <v>3</v>
      </c>
      <c r="DN24">
        <v>0</v>
      </c>
      <c r="DO24">
        <v>0</v>
      </c>
      <c r="DP24">
        <v>1</v>
      </c>
      <c r="DQ24">
        <v>1</v>
      </c>
      <c r="DU24">
        <v>1005</v>
      </c>
      <c r="DV24" t="s">
        <v>18</v>
      </c>
      <c r="DW24" t="s">
        <v>18</v>
      </c>
      <c r="DX24">
        <v>100</v>
      </c>
      <c r="DZ24" t="s">
        <v>3</v>
      </c>
      <c r="EA24" t="s">
        <v>3</v>
      </c>
      <c r="EB24" t="s">
        <v>3</v>
      </c>
      <c r="EC24" t="s">
        <v>3</v>
      </c>
      <c r="EE24">
        <v>49642308</v>
      </c>
      <c r="EF24">
        <v>6</v>
      </c>
      <c r="EG24" t="s">
        <v>20</v>
      </c>
      <c r="EH24">
        <v>102</v>
      </c>
      <c r="EI24" t="s">
        <v>21</v>
      </c>
      <c r="EJ24">
        <v>1</v>
      </c>
      <c r="EK24">
        <v>68001</v>
      </c>
      <c r="EL24" t="s">
        <v>21</v>
      </c>
      <c r="EM24" t="s">
        <v>22</v>
      </c>
      <c r="EO24" t="s">
        <v>3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223</v>
      </c>
      <c r="EX24">
        <v>24.83</v>
      </c>
      <c r="EY24">
        <v>0</v>
      </c>
      <c r="FQ24">
        <v>0</v>
      </c>
      <c r="FR24">
        <v>0</v>
      </c>
      <c r="FS24">
        <v>0</v>
      </c>
      <c r="FX24">
        <v>102</v>
      </c>
      <c r="FY24">
        <v>54</v>
      </c>
      <c r="GA24" t="s">
        <v>3</v>
      </c>
      <c r="GD24">
        <v>1</v>
      </c>
      <c r="GF24">
        <v>-244714100</v>
      </c>
      <c r="GG24">
        <v>2</v>
      </c>
      <c r="GH24">
        <v>1</v>
      </c>
      <c r="GI24">
        <v>-2</v>
      </c>
      <c r="GJ24">
        <v>0</v>
      </c>
      <c r="GK24">
        <v>0</v>
      </c>
      <c r="GL24">
        <f t="shared" ref="GL24:GL43" si="27">ROUND(IF(AND(BH24=3,BI24=3,FS24&lt;&gt;0),P24,0),2)</f>
        <v>0</v>
      </c>
      <c r="GM24">
        <f t="shared" ref="GM24:GM43" si="28">ROUND(O24+X24+Y24,2)+GX24</f>
        <v>19226.04</v>
      </c>
      <c r="GN24">
        <f t="shared" ref="GN24:GN43" si="29">IF(OR(BI24=0,BI24=1),GM24-GX24,0)</f>
        <v>19226.04</v>
      </c>
      <c r="GO24">
        <f t="shared" ref="GO24:GO43" si="30">IF(BI24=2,GM24-GX24,0)</f>
        <v>0</v>
      </c>
      <c r="GP24">
        <f t="shared" ref="GP24:GP43" si="31">IF(BI24=4,GM24-GX24,0)</f>
        <v>0</v>
      </c>
      <c r="GR24">
        <v>0</v>
      </c>
      <c r="GS24">
        <v>3</v>
      </c>
      <c r="GT24">
        <v>0</v>
      </c>
      <c r="GU24" t="s">
        <v>3</v>
      </c>
      <c r="GV24">
        <f t="shared" ref="GV24:GV43" si="32">ROUND((GT24),6)</f>
        <v>0</v>
      </c>
      <c r="GW24">
        <v>1</v>
      </c>
      <c r="GX24">
        <f t="shared" ref="GX24:GX43" si="33">ROUND(HC24*I24,2)</f>
        <v>0</v>
      </c>
      <c r="HA24">
        <v>0</v>
      </c>
      <c r="HB24">
        <v>0</v>
      </c>
      <c r="HC24">
        <f t="shared" ref="HC24:HC43" si="34">GV24*GW24</f>
        <v>0</v>
      </c>
      <c r="HE24" t="s">
        <v>3</v>
      </c>
      <c r="HF24" t="s">
        <v>3</v>
      </c>
      <c r="HM24" t="s">
        <v>3</v>
      </c>
      <c r="HN24" t="s">
        <v>23</v>
      </c>
      <c r="HO24" t="s">
        <v>24</v>
      </c>
      <c r="HP24" t="s">
        <v>21</v>
      </c>
      <c r="HQ24" t="s">
        <v>21</v>
      </c>
      <c r="HS24">
        <v>0</v>
      </c>
      <c r="IK24">
        <v>0</v>
      </c>
    </row>
    <row r="25" spans="1:245">
      <c r="A25">
        <v>18</v>
      </c>
      <c r="B25">
        <v>1</v>
      </c>
      <c r="C25">
        <v>11</v>
      </c>
      <c r="E25" t="s">
        <v>25</v>
      </c>
      <c r="F25" t="s">
        <v>26</v>
      </c>
      <c r="G25" t="s">
        <v>27</v>
      </c>
      <c r="H25" t="s">
        <v>28</v>
      </c>
      <c r="I25">
        <f>I24*J25</f>
        <v>5.6658E-2</v>
      </c>
      <c r="J25">
        <v>0.71000000000000008</v>
      </c>
      <c r="K25">
        <v>0.71</v>
      </c>
      <c r="O25">
        <f t="shared" si="14"/>
        <v>0</v>
      </c>
      <c r="P25">
        <f>ROUND(CQ25*I25,2)</f>
        <v>0</v>
      </c>
      <c r="Q25">
        <f>ROUND(CR25*I25,2)</f>
        <v>0</v>
      </c>
      <c r="R25">
        <f>ROUND(CS25*I25,2)</f>
        <v>0</v>
      </c>
      <c r="S25">
        <f>ROUND(CT25*I25,2)</f>
        <v>0</v>
      </c>
      <c r="T25">
        <f t="shared" si="15"/>
        <v>0</v>
      </c>
      <c r="U25">
        <f>ROUND(CV25*I25,7)</f>
        <v>0</v>
      </c>
      <c r="V25">
        <f>ROUND(CW25*I25,7)</f>
        <v>0</v>
      </c>
      <c r="W25">
        <f t="shared" si="16"/>
        <v>0</v>
      </c>
      <c r="X25">
        <f t="shared" si="17"/>
        <v>0</v>
      </c>
      <c r="Y25">
        <f t="shared" si="18"/>
        <v>0</v>
      </c>
      <c r="AA25">
        <v>50837261</v>
      </c>
      <c r="AB25">
        <f t="shared" si="19"/>
        <v>0</v>
      </c>
      <c r="AC25">
        <f>ROUND((ES25),6)</f>
        <v>0</v>
      </c>
      <c r="AD25">
        <f>ROUND((((ET25)-(EU25))+AE25),6)</f>
        <v>0</v>
      </c>
      <c r="AE25">
        <f>ROUND((EU25),6)</f>
        <v>0</v>
      </c>
      <c r="AF25">
        <f>ROUND((EV25),6)</f>
        <v>0</v>
      </c>
      <c r="AG25">
        <f t="shared" si="20"/>
        <v>0</v>
      </c>
      <c r="AH25">
        <f>(EW25)</f>
        <v>0</v>
      </c>
      <c r="AI25">
        <f>(EX25)</f>
        <v>0</v>
      </c>
      <c r="AJ25">
        <f t="shared" si="21"/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102</v>
      </c>
      <c r="AU25">
        <v>54</v>
      </c>
      <c r="AV25">
        <v>1</v>
      </c>
      <c r="AW25">
        <v>1</v>
      </c>
      <c r="AZ25">
        <v>1</v>
      </c>
      <c r="BA25">
        <v>1</v>
      </c>
      <c r="BB25">
        <v>1</v>
      </c>
      <c r="BC25">
        <v>1</v>
      </c>
      <c r="BD25" t="s">
        <v>3</v>
      </c>
      <c r="BE25" t="s">
        <v>3</v>
      </c>
      <c r="BF25" t="s">
        <v>3</v>
      </c>
      <c r="BG25" t="s">
        <v>3</v>
      </c>
      <c r="BH25">
        <v>3</v>
      </c>
      <c r="BI25">
        <v>1</v>
      </c>
      <c r="BJ25" t="s">
        <v>3</v>
      </c>
      <c r="BM25">
        <v>68001</v>
      </c>
      <c r="BN25">
        <v>0</v>
      </c>
      <c r="BO25" t="s">
        <v>3</v>
      </c>
      <c r="BP25">
        <v>0</v>
      </c>
      <c r="BQ25">
        <v>6</v>
      </c>
      <c r="BR25">
        <v>0</v>
      </c>
      <c r="BS25">
        <v>1</v>
      </c>
      <c r="BT25">
        <v>1</v>
      </c>
      <c r="BU25">
        <v>1</v>
      </c>
      <c r="BV25">
        <v>1</v>
      </c>
      <c r="BW25">
        <v>1</v>
      </c>
      <c r="BX25">
        <v>1</v>
      </c>
      <c r="BY25" t="s">
        <v>3</v>
      </c>
      <c r="BZ25">
        <v>102</v>
      </c>
      <c r="CA25">
        <v>54</v>
      </c>
      <c r="CB25" t="s">
        <v>3</v>
      </c>
      <c r="CE25">
        <v>0</v>
      </c>
      <c r="CF25">
        <v>0</v>
      </c>
      <c r="CG25">
        <v>0</v>
      </c>
      <c r="CM25">
        <v>0</v>
      </c>
      <c r="CN25" t="s">
        <v>3</v>
      </c>
      <c r="CO25">
        <v>0</v>
      </c>
      <c r="CP25">
        <f t="shared" si="22"/>
        <v>0</v>
      </c>
      <c r="CQ25">
        <f>ROUND(AL25*BC25,2)</f>
        <v>0</v>
      </c>
      <c r="CR25">
        <f>ROUND(AM25*BB25,2)</f>
        <v>0</v>
      </c>
      <c r="CS25">
        <f>ROUND(AN25*BS25,2)</f>
        <v>0</v>
      </c>
      <c r="CT25">
        <f>ROUND(AO25*BA25,2)</f>
        <v>0</v>
      </c>
      <c r="CU25">
        <f t="shared" si="23"/>
        <v>0</v>
      </c>
      <c r="CV25">
        <f>AH25</f>
        <v>0</v>
      </c>
      <c r="CW25">
        <f>AI25</f>
        <v>0</v>
      </c>
      <c r="CX25">
        <f t="shared" si="24"/>
        <v>0</v>
      </c>
      <c r="CY25">
        <f t="shared" si="25"/>
        <v>0</v>
      </c>
      <c r="CZ25">
        <f t="shared" si="26"/>
        <v>0</v>
      </c>
      <c r="DC25" t="s">
        <v>3</v>
      </c>
      <c r="DD25" t="s">
        <v>3</v>
      </c>
      <c r="DE25" t="s">
        <v>3</v>
      </c>
      <c r="DF25" t="s">
        <v>3</v>
      </c>
      <c r="DG25" t="s">
        <v>3</v>
      </c>
      <c r="DH25" t="s">
        <v>3</v>
      </c>
      <c r="DI25" t="s">
        <v>3</v>
      </c>
      <c r="DJ25" t="s">
        <v>3</v>
      </c>
      <c r="DK25" t="s">
        <v>3</v>
      </c>
      <c r="DL25" t="s">
        <v>3</v>
      </c>
      <c r="DM25" t="s">
        <v>3</v>
      </c>
      <c r="DN25">
        <v>0</v>
      </c>
      <c r="DO25">
        <v>0</v>
      </c>
      <c r="DP25">
        <v>1</v>
      </c>
      <c r="DQ25">
        <v>1</v>
      </c>
      <c r="DU25">
        <v>1013</v>
      </c>
      <c r="DV25" t="s">
        <v>28</v>
      </c>
      <c r="DW25" t="s">
        <v>28</v>
      </c>
      <c r="DX25">
        <v>1</v>
      </c>
      <c r="DZ25" t="s">
        <v>3</v>
      </c>
      <c r="EA25" t="s">
        <v>3</v>
      </c>
      <c r="EB25" t="s">
        <v>3</v>
      </c>
      <c r="EC25" t="s">
        <v>3</v>
      </c>
      <c r="EE25">
        <v>49642308</v>
      </c>
      <c r="EF25">
        <v>6</v>
      </c>
      <c r="EG25" t="s">
        <v>20</v>
      </c>
      <c r="EH25">
        <v>102</v>
      </c>
      <c r="EI25" t="s">
        <v>21</v>
      </c>
      <c r="EJ25">
        <v>1</v>
      </c>
      <c r="EK25">
        <v>68001</v>
      </c>
      <c r="EL25" t="s">
        <v>21</v>
      </c>
      <c r="EM25" t="s">
        <v>22</v>
      </c>
      <c r="EO25" t="s">
        <v>3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FQ25">
        <v>0</v>
      </c>
      <c r="FR25">
        <v>0</v>
      </c>
      <c r="FS25">
        <v>0</v>
      </c>
      <c r="FX25">
        <v>102</v>
      </c>
      <c r="FY25">
        <v>54</v>
      </c>
      <c r="GA25" t="s">
        <v>3</v>
      </c>
      <c r="GD25">
        <v>1</v>
      </c>
      <c r="GF25">
        <v>2080980634</v>
      </c>
      <c r="GG25">
        <v>2</v>
      </c>
      <c r="GH25">
        <v>1</v>
      </c>
      <c r="GI25">
        <v>-2</v>
      </c>
      <c r="GJ25">
        <v>0</v>
      </c>
      <c r="GK25">
        <v>0</v>
      </c>
      <c r="GL25">
        <f t="shared" si="27"/>
        <v>0</v>
      </c>
      <c r="GM25">
        <f t="shared" si="28"/>
        <v>0</v>
      </c>
      <c r="GN25">
        <f t="shared" si="29"/>
        <v>0</v>
      </c>
      <c r="GO25">
        <f t="shared" si="30"/>
        <v>0</v>
      </c>
      <c r="GP25">
        <f t="shared" si="31"/>
        <v>0</v>
      </c>
      <c r="GR25">
        <v>0</v>
      </c>
      <c r="GS25">
        <v>3</v>
      </c>
      <c r="GT25">
        <v>0</v>
      </c>
      <c r="GU25" t="s">
        <v>3</v>
      </c>
      <c r="GV25">
        <f t="shared" si="32"/>
        <v>0</v>
      </c>
      <c r="GW25">
        <v>1</v>
      </c>
      <c r="GX25">
        <f t="shared" si="33"/>
        <v>0</v>
      </c>
      <c r="HA25">
        <v>0</v>
      </c>
      <c r="HB25">
        <v>0</v>
      </c>
      <c r="HC25">
        <f t="shared" si="34"/>
        <v>0</v>
      </c>
      <c r="HE25" t="s">
        <v>3</v>
      </c>
      <c r="HF25" t="s">
        <v>3</v>
      </c>
      <c r="HM25" t="s">
        <v>3</v>
      </c>
      <c r="HN25" t="s">
        <v>23</v>
      </c>
      <c r="HO25" t="s">
        <v>24</v>
      </c>
      <c r="HP25" t="s">
        <v>21</v>
      </c>
      <c r="HQ25" t="s">
        <v>21</v>
      </c>
      <c r="HS25">
        <v>0</v>
      </c>
      <c r="IK25">
        <v>0</v>
      </c>
    </row>
    <row r="26" spans="1:245">
      <c r="A26">
        <v>17</v>
      </c>
      <c r="B26">
        <v>1</v>
      </c>
      <c r="C26">
        <f>ROW(SmtRes!A29)</f>
        <v>29</v>
      </c>
      <c r="D26">
        <f>ROW(EtalonRes!A29)</f>
        <v>29</v>
      </c>
      <c r="E26" t="s">
        <v>29</v>
      </c>
      <c r="F26" t="s">
        <v>30</v>
      </c>
      <c r="G26" t="s">
        <v>31</v>
      </c>
      <c r="H26" t="s">
        <v>18</v>
      </c>
      <c r="I26">
        <f>ROUND(20.23/100,7)</f>
        <v>0.20230000000000001</v>
      </c>
      <c r="J26">
        <v>0</v>
      </c>
      <c r="K26">
        <f>ROUND(20.23/100,7)</f>
        <v>0.20230000000000001</v>
      </c>
      <c r="O26">
        <f t="shared" si="14"/>
        <v>25158.09</v>
      </c>
      <c r="P26">
        <f>SUMIF(SmtRes!AQ16:'SmtRes'!AQ29,"=1",SmtRes!DF16:'SmtRes'!DF29)</f>
        <v>571.7299999999999</v>
      </c>
      <c r="Q26">
        <f>SUMIF(SmtRes!AQ16:'SmtRes'!AQ29,"=1",SmtRes!DG16:'SmtRes'!DG29)</f>
        <v>2733.72</v>
      </c>
      <c r="R26">
        <f>SUMIF(SmtRes!AQ16:'SmtRes'!AQ29,"=1",SmtRes!DH16:'SmtRes'!DH29)</f>
        <v>2133.12</v>
      </c>
      <c r="S26">
        <f>SUMIF(SmtRes!AQ16:'SmtRes'!AQ29,"=1",SmtRes!DI16:'SmtRes'!DI29)</f>
        <v>19719.52</v>
      </c>
      <c r="T26">
        <f t="shared" si="15"/>
        <v>0</v>
      </c>
      <c r="U26">
        <f>SUMIF(SmtRes!AQ16:'SmtRes'!AQ29,"=1",SmtRes!CV16:'SmtRes'!CV29)</f>
        <v>57.740465999999998</v>
      </c>
      <c r="V26">
        <f>SUMIF(SmtRes!AQ16:'SmtRes'!AQ29,"=1",SmtRes!CW16:'SmtRes'!CW29)</f>
        <v>5.2112480000000003</v>
      </c>
      <c r="W26">
        <f t="shared" si="16"/>
        <v>0</v>
      </c>
      <c r="X26">
        <f t="shared" si="17"/>
        <v>22289.69</v>
      </c>
      <c r="Y26">
        <f t="shared" si="18"/>
        <v>11800.43</v>
      </c>
      <c r="AA26">
        <v>50837261</v>
      </c>
      <c r="AB26">
        <f t="shared" si="19"/>
        <v>113706.478325</v>
      </c>
      <c r="AC26">
        <f>ROUND((SUM(SmtRes!BQ16:'SmtRes'!BQ29)),6)</f>
        <v>2789.0985249999999</v>
      </c>
      <c r="AD26">
        <f>ROUND((((SUM(SmtRes!BR16:'SmtRes'!BR29))-(SUM(SmtRes!BS16:'SmtRes'!BS29)))+AE26),6)</f>
        <v>13440.741400000001</v>
      </c>
      <c r="AE26">
        <f>ROUND((SUM(SmtRes!BS16:'SmtRes'!BS29)),6)</f>
        <v>10544.356400000001</v>
      </c>
      <c r="AF26">
        <f>ROUND((SUM(SmtRes!BT16:'SmtRes'!BT29)),6)</f>
        <v>97476.638399999996</v>
      </c>
      <c r="AG26">
        <f t="shared" si="20"/>
        <v>0</v>
      </c>
      <c r="AH26">
        <f>(SUM(SmtRes!BU16:'SmtRes'!BU29))</f>
        <v>285.42</v>
      </c>
      <c r="AI26">
        <f>(SUM(SmtRes!BV16:'SmtRes'!BV29))</f>
        <v>25.759999999999998</v>
      </c>
      <c r="AJ26">
        <f t="shared" si="21"/>
        <v>0</v>
      </c>
      <c r="AK26">
        <v>124250.83472500001</v>
      </c>
      <c r="AL26">
        <v>2789.0985249999999</v>
      </c>
      <c r="AM26">
        <v>13440.741400000001</v>
      </c>
      <c r="AN26">
        <v>10544.356400000001</v>
      </c>
      <c r="AO26">
        <v>97476.638399999996</v>
      </c>
      <c r="AP26">
        <v>0</v>
      </c>
      <c r="AQ26">
        <v>285.42</v>
      </c>
      <c r="AR26">
        <v>25.759999999999998</v>
      </c>
      <c r="AS26">
        <v>0</v>
      </c>
      <c r="AT26">
        <v>102</v>
      </c>
      <c r="AU26">
        <v>54</v>
      </c>
      <c r="AV26">
        <v>1</v>
      </c>
      <c r="AW26">
        <v>1</v>
      </c>
      <c r="AZ26">
        <v>1</v>
      </c>
      <c r="BA26">
        <v>1</v>
      </c>
      <c r="BB26">
        <v>1</v>
      </c>
      <c r="BC26">
        <v>1</v>
      </c>
      <c r="BD26" t="s">
        <v>3</v>
      </c>
      <c r="BE26" t="s">
        <v>3</v>
      </c>
      <c r="BF26" t="s">
        <v>3</v>
      </c>
      <c r="BG26" t="s">
        <v>3</v>
      </c>
      <c r="BH26">
        <v>0</v>
      </c>
      <c r="BI26">
        <v>1</v>
      </c>
      <c r="BJ26" t="s">
        <v>32</v>
      </c>
      <c r="BM26">
        <v>68001</v>
      </c>
      <c r="BN26">
        <v>0</v>
      </c>
      <c r="BO26" t="s">
        <v>3</v>
      </c>
      <c r="BP26">
        <v>0</v>
      </c>
      <c r="BQ26">
        <v>6</v>
      </c>
      <c r="BR26">
        <v>0</v>
      </c>
      <c r="BS26">
        <v>1</v>
      </c>
      <c r="BT26">
        <v>1</v>
      </c>
      <c r="BU26">
        <v>1</v>
      </c>
      <c r="BV26">
        <v>1</v>
      </c>
      <c r="BW26">
        <v>1</v>
      </c>
      <c r="BX26">
        <v>1</v>
      </c>
      <c r="BY26" t="s">
        <v>3</v>
      </c>
      <c r="BZ26">
        <v>102</v>
      </c>
      <c r="CA26">
        <v>54</v>
      </c>
      <c r="CB26" t="s">
        <v>3</v>
      </c>
      <c r="CE26">
        <v>0</v>
      </c>
      <c r="CF26">
        <v>0</v>
      </c>
      <c r="CG26">
        <v>0</v>
      </c>
      <c r="CM26">
        <v>0</v>
      </c>
      <c r="CN26" t="s">
        <v>3</v>
      </c>
      <c r="CO26">
        <v>0</v>
      </c>
      <c r="CP26">
        <f t="shared" si="22"/>
        <v>25158.09</v>
      </c>
      <c r="CQ26">
        <f>SUMIF(SmtRes!AQ16:'SmtRes'!AQ29,"=1",SmtRes!AA16:'SmtRes'!AA29)</f>
        <v>69591.539999999994</v>
      </c>
      <c r="CR26">
        <f>SUMIF(SmtRes!AQ16:'SmtRes'!AQ29,"=1",SmtRes!AB16:'SmtRes'!AB29)</f>
        <v>4374.16</v>
      </c>
      <c r="CS26">
        <f>SUMIF(SmtRes!AQ16:'SmtRes'!AQ29,"=1",SmtRes!AC16:'SmtRes'!AC29)</f>
        <v>1275.4100000000001</v>
      </c>
      <c r="CT26">
        <f>SUMIF(SmtRes!AQ16:'SmtRes'!AQ29,"=1",SmtRes!AD16:'SmtRes'!AD29)</f>
        <v>341.52</v>
      </c>
      <c r="CU26">
        <f t="shared" si="23"/>
        <v>0</v>
      </c>
      <c r="CV26">
        <f>SUMIF(SmtRes!AQ16:'SmtRes'!AQ29,"=1",SmtRes!BU16:'SmtRes'!BU29)</f>
        <v>285.42</v>
      </c>
      <c r="CW26">
        <f>SUMIF(SmtRes!AQ16:'SmtRes'!AQ29,"=1",SmtRes!BV16:'SmtRes'!BV29)</f>
        <v>25.759999999999998</v>
      </c>
      <c r="CX26">
        <f t="shared" si="24"/>
        <v>0</v>
      </c>
      <c r="CY26">
        <f t="shared" si="25"/>
        <v>22289.692799999997</v>
      </c>
      <c r="CZ26">
        <f t="shared" si="26"/>
        <v>11800.4256</v>
      </c>
      <c r="DC26" t="s">
        <v>3</v>
      </c>
      <c r="DD26" t="s">
        <v>3</v>
      </c>
      <c r="DE26" t="s">
        <v>3</v>
      </c>
      <c r="DF26" t="s">
        <v>3</v>
      </c>
      <c r="DG26" t="s">
        <v>3</v>
      </c>
      <c r="DH26" t="s">
        <v>3</v>
      </c>
      <c r="DI26" t="s">
        <v>3</v>
      </c>
      <c r="DJ26" t="s">
        <v>3</v>
      </c>
      <c r="DK26" t="s">
        <v>3</v>
      </c>
      <c r="DL26" t="s">
        <v>3</v>
      </c>
      <c r="DM26" t="s">
        <v>3</v>
      </c>
      <c r="DN26">
        <v>0</v>
      </c>
      <c r="DO26">
        <v>0</v>
      </c>
      <c r="DP26">
        <v>1</v>
      </c>
      <c r="DQ26">
        <v>1</v>
      </c>
      <c r="DU26">
        <v>1005</v>
      </c>
      <c r="DV26" t="s">
        <v>18</v>
      </c>
      <c r="DW26" t="s">
        <v>18</v>
      </c>
      <c r="DX26">
        <v>100</v>
      </c>
      <c r="DZ26" t="s">
        <v>3</v>
      </c>
      <c r="EA26" t="s">
        <v>3</v>
      </c>
      <c r="EB26" t="s">
        <v>3</v>
      </c>
      <c r="EC26" t="s">
        <v>3</v>
      </c>
      <c r="EE26">
        <v>49642308</v>
      </c>
      <c r="EF26">
        <v>6</v>
      </c>
      <c r="EG26" t="s">
        <v>20</v>
      </c>
      <c r="EH26">
        <v>102</v>
      </c>
      <c r="EI26" t="s">
        <v>21</v>
      </c>
      <c r="EJ26">
        <v>1</v>
      </c>
      <c r="EK26">
        <v>68001</v>
      </c>
      <c r="EL26" t="s">
        <v>21</v>
      </c>
      <c r="EM26" t="s">
        <v>22</v>
      </c>
      <c r="EO26" t="s">
        <v>3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285.42</v>
      </c>
      <c r="EX26">
        <v>25.76</v>
      </c>
      <c r="EY26">
        <v>0</v>
      </c>
      <c r="FQ26">
        <v>0</v>
      </c>
      <c r="FR26">
        <v>0</v>
      </c>
      <c r="FS26">
        <v>0</v>
      </c>
      <c r="FX26">
        <v>102</v>
      </c>
      <c r="FY26">
        <v>54</v>
      </c>
      <c r="GA26" t="s">
        <v>3</v>
      </c>
      <c r="GD26">
        <v>1</v>
      </c>
      <c r="GF26">
        <v>-1536677287</v>
      </c>
      <c r="GG26">
        <v>2</v>
      </c>
      <c r="GH26">
        <v>1</v>
      </c>
      <c r="GI26">
        <v>-2</v>
      </c>
      <c r="GJ26">
        <v>0</v>
      </c>
      <c r="GK26">
        <v>0</v>
      </c>
      <c r="GL26">
        <f t="shared" si="27"/>
        <v>0</v>
      </c>
      <c r="GM26">
        <f t="shared" si="28"/>
        <v>59248.21</v>
      </c>
      <c r="GN26">
        <f t="shared" si="29"/>
        <v>59248.21</v>
      </c>
      <c r="GO26">
        <f t="shared" si="30"/>
        <v>0</v>
      </c>
      <c r="GP26">
        <f t="shared" si="31"/>
        <v>0</v>
      </c>
      <c r="GR26">
        <v>0</v>
      </c>
      <c r="GS26">
        <v>3</v>
      </c>
      <c r="GT26">
        <v>0</v>
      </c>
      <c r="GU26" t="s">
        <v>3</v>
      </c>
      <c r="GV26">
        <f t="shared" si="32"/>
        <v>0</v>
      </c>
      <c r="GW26">
        <v>1</v>
      </c>
      <c r="GX26">
        <f t="shared" si="33"/>
        <v>0</v>
      </c>
      <c r="HA26">
        <v>0</v>
      </c>
      <c r="HB26">
        <v>0</v>
      </c>
      <c r="HC26">
        <f t="shared" si="34"/>
        <v>0</v>
      </c>
      <c r="HE26" t="s">
        <v>3</v>
      </c>
      <c r="HF26" t="s">
        <v>3</v>
      </c>
      <c r="HM26" t="s">
        <v>3</v>
      </c>
      <c r="HN26" t="s">
        <v>23</v>
      </c>
      <c r="HO26" t="s">
        <v>24</v>
      </c>
      <c r="HP26" t="s">
        <v>21</v>
      </c>
      <c r="HQ26" t="s">
        <v>21</v>
      </c>
      <c r="HS26">
        <v>0</v>
      </c>
      <c r="IK26">
        <v>0</v>
      </c>
    </row>
    <row r="27" spans="1:245">
      <c r="A27">
        <v>18</v>
      </c>
      <c r="B27">
        <v>1</v>
      </c>
      <c r="C27">
        <v>26</v>
      </c>
      <c r="E27" t="s">
        <v>33</v>
      </c>
      <c r="F27" t="s">
        <v>26</v>
      </c>
      <c r="G27" t="s">
        <v>27</v>
      </c>
      <c r="H27" t="s">
        <v>28</v>
      </c>
      <c r="I27">
        <f>I26*J27</f>
        <v>6.0689999999999995E-4</v>
      </c>
      <c r="J27">
        <v>2.9999999999999996E-3</v>
      </c>
      <c r="K27">
        <v>3.0000000000000001E-3</v>
      </c>
      <c r="O27">
        <f t="shared" si="14"/>
        <v>0</v>
      </c>
      <c r="P27">
        <f>ROUND(CQ27*I27,2)</f>
        <v>0</v>
      </c>
      <c r="Q27">
        <f>ROUND(CR27*I27,2)</f>
        <v>0</v>
      </c>
      <c r="R27">
        <f>ROUND(CS27*I27,2)</f>
        <v>0</v>
      </c>
      <c r="S27">
        <f>ROUND(CT27*I27,2)</f>
        <v>0</v>
      </c>
      <c r="T27">
        <f t="shared" si="15"/>
        <v>0</v>
      </c>
      <c r="U27">
        <f>ROUND(CV27*I27,7)</f>
        <v>0</v>
      </c>
      <c r="V27">
        <f>ROUND(CW27*I27,7)</f>
        <v>0</v>
      </c>
      <c r="W27">
        <f t="shared" si="16"/>
        <v>0</v>
      </c>
      <c r="X27">
        <f t="shared" si="17"/>
        <v>0</v>
      </c>
      <c r="Y27">
        <f t="shared" si="18"/>
        <v>0</v>
      </c>
      <c r="AA27">
        <v>50837261</v>
      </c>
      <c r="AB27">
        <f t="shared" si="19"/>
        <v>0</v>
      </c>
      <c r="AC27">
        <f>ROUND((ES27),6)</f>
        <v>0</v>
      </c>
      <c r="AD27">
        <f>ROUND((((ET27)-(EU27))+AE27),6)</f>
        <v>0</v>
      </c>
      <c r="AE27">
        <f>ROUND((EU27),6)</f>
        <v>0</v>
      </c>
      <c r="AF27">
        <f>ROUND((EV27),6)</f>
        <v>0</v>
      </c>
      <c r="AG27">
        <f t="shared" si="20"/>
        <v>0</v>
      </c>
      <c r="AH27">
        <f>(EW27)</f>
        <v>0</v>
      </c>
      <c r="AI27">
        <f>(EX27)</f>
        <v>0</v>
      </c>
      <c r="AJ27">
        <f t="shared" si="21"/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102</v>
      </c>
      <c r="AU27">
        <v>54</v>
      </c>
      <c r="AV27">
        <v>1</v>
      </c>
      <c r="AW27">
        <v>1</v>
      </c>
      <c r="AZ27">
        <v>1</v>
      </c>
      <c r="BA27">
        <v>1</v>
      </c>
      <c r="BB27">
        <v>1</v>
      </c>
      <c r="BC27">
        <v>1</v>
      </c>
      <c r="BD27" t="s">
        <v>3</v>
      </c>
      <c r="BE27" t="s">
        <v>3</v>
      </c>
      <c r="BF27" t="s">
        <v>3</v>
      </c>
      <c r="BG27" t="s">
        <v>3</v>
      </c>
      <c r="BH27">
        <v>3</v>
      </c>
      <c r="BI27">
        <v>1</v>
      </c>
      <c r="BJ27" t="s">
        <v>3</v>
      </c>
      <c r="BM27">
        <v>68001</v>
      </c>
      <c r="BN27">
        <v>0</v>
      </c>
      <c r="BO27" t="s">
        <v>3</v>
      </c>
      <c r="BP27">
        <v>0</v>
      </c>
      <c r="BQ27">
        <v>6</v>
      </c>
      <c r="BR27">
        <v>0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 t="s">
        <v>3</v>
      </c>
      <c r="BZ27">
        <v>102</v>
      </c>
      <c r="CA27">
        <v>54</v>
      </c>
      <c r="CB27" t="s">
        <v>3</v>
      </c>
      <c r="CE27">
        <v>0</v>
      </c>
      <c r="CF27">
        <v>0</v>
      </c>
      <c r="CG27">
        <v>0</v>
      </c>
      <c r="CM27">
        <v>0</v>
      </c>
      <c r="CN27" t="s">
        <v>3</v>
      </c>
      <c r="CO27">
        <v>0</v>
      </c>
      <c r="CP27">
        <f t="shared" si="22"/>
        <v>0</v>
      </c>
      <c r="CQ27">
        <f>ROUND(AL27*BC27,2)</f>
        <v>0</v>
      </c>
      <c r="CR27">
        <f>ROUND(AM27*BB27,2)</f>
        <v>0</v>
      </c>
      <c r="CS27">
        <f>ROUND(AN27*BS27,2)</f>
        <v>0</v>
      </c>
      <c r="CT27">
        <f>ROUND(AO27*BA27,2)</f>
        <v>0</v>
      </c>
      <c r="CU27">
        <f t="shared" si="23"/>
        <v>0</v>
      </c>
      <c r="CV27">
        <f>AH27</f>
        <v>0</v>
      </c>
      <c r="CW27">
        <f>AI27</f>
        <v>0</v>
      </c>
      <c r="CX27">
        <f t="shared" si="24"/>
        <v>0</v>
      </c>
      <c r="CY27">
        <f t="shared" si="25"/>
        <v>0</v>
      </c>
      <c r="CZ27">
        <f t="shared" si="26"/>
        <v>0</v>
      </c>
      <c r="DC27" t="s">
        <v>3</v>
      </c>
      <c r="DD27" t="s">
        <v>3</v>
      </c>
      <c r="DE27" t="s">
        <v>3</v>
      </c>
      <c r="DF27" t="s">
        <v>3</v>
      </c>
      <c r="DG27" t="s">
        <v>3</v>
      </c>
      <c r="DH27" t="s">
        <v>3</v>
      </c>
      <c r="DI27" t="s">
        <v>3</v>
      </c>
      <c r="DJ27" t="s">
        <v>3</v>
      </c>
      <c r="DK27" t="s">
        <v>3</v>
      </c>
      <c r="DL27" t="s">
        <v>3</v>
      </c>
      <c r="DM27" t="s">
        <v>3</v>
      </c>
      <c r="DN27">
        <v>0</v>
      </c>
      <c r="DO27">
        <v>0</v>
      </c>
      <c r="DP27">
        <v>1</v>
      </c>
      <c r="DQ27">
        <v>1</v>
      </c>
      <c r="DU27">
        <v>1013</v>
      </c>
      <c r="DV27" t="s">
        <v>28</v>
      </c>
      <c r="DW27" t="s">
        <v>28</v>
      </c>
      <c r="DX27">
        <v>1</v>
      </c>
      <c r="DZ27" t="s">
        <v>3</v>
      </c>
      <c r="EA27" t="s">
        <v>3</v>
      </c>
      <c r="EB27" t="s">
        <v>3</v>
      </c>
      <c r="EC27" t="s">
        <v>3</v>
      </c>
      <c r="EE27">
        <v>49642308</v>
      </c>
      <c r="EF27">
        <v>6</v>
      </c>
      <c r="EG27" t="s">
        <v>20</v>
      </c>
      <c r="EH27">
        <v>102</v>
      </c>
      <c r="EI27" t="s">
        <v>21</v>
      </c>
      <c r="EJ27">
        <v>1</v>
      </c>
      <c r="EK27">
        <v>68001</v>
      </c>
      <c r="EL27" t="s">
        <v>21</v>
      </c>
      <c r="EM27" t="s">
        <v>22</v>
      </c>
      <c r="EO27" t="s">
        <v>3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FQ27">
        <v>0</v>
      </c>
      <c r="FR27">
        <v>0</v>
      </c>
      <c r="FS27">
        <v>0</v>
      </c>
      <c r="FX27">
        <v>102</v>
      </c>
      <c r="FY27">
        <v>54</v>
      </c>
      <c r="GA27" t="s">
        <v>3</v>
      </c>
      <c r="GD27">
        <v>1</v>
      </c>
      <c r="GF27">
        <v>2080980634</v>
      </c>
      <c r="GG27">
        <v>2</v>
      </c>
      <c r="GH27">
        <v>1</v>
      </c>
      <c r="GI27">
        <v>-2</v>
      </c>
      <c r="GJ27">
        <v>0</v>
      </c>
      <c r="GK27">
        <v>0</v>
      </c>
      <c r="GL27">
        <f t="shared" si="27"/>
        <v>0</v>
      </c>
      <c r="GM27">
        <f t="shared" si="28"/>
        <v>0</v>
      </c>
      <c r="GN27">
        <f t="shared" si="29"/>
        <v>0</v>
      </c>
      <c r="GO27">
        <f t="shared" si="30"/>
        <v>0</v>
      </c>
      <c r="GP27">
        <f t="shared" si="31"/>
        <v>0</v>
      </c>
      <c r="GR27">
        <v>0</v>
      </c>
      <c r="GS27">
        <v>3</v>
      </c>
      <c r="GT27">
        <v>0</v>
      </c>
      <c r="GU27" t="s">
        <v>3</v>
      </c>
      <c r="GV27">
        <f t="shared" si="32"/>
        <v>0</v>
      </c>
      <c r="GW27">
        <v>1</v>
      </c>
      <c r="GX27">
        <f t="shared" si="33"/>
        <v>0</v>
      </c>
      <c r="HA27">
        <v>0</v>
      </c>
      <c r="HB27">
        <v>0</v>
      </c>
      <c r="HC27">
        <f t="shared" si="34"/>
        <v>0</v>
      </c>
      <c r="HE27" t="s">
        <v>3</v>
      </c>
      <c r="HF27" t="s">
        <v>3</v>
      </c>
      <c r="HM27" t="s">
        <v>3</v>
      </c>
      <c r="HN27" t="s">
        <v>23</v>
      </c>
      <c r="HO27" t="s">
        <v>24</v>
      </c>
      <c r="HP27" t="s">
        <v>21</v>
      </c>
      <c r="HQ27" t="s">
        <v>21</v>
      </c>
      <c r="HS27">
        <v>0</v>
      </c>
      <c r="IK27">
        <v>0</v>
      </c>
    </row>
    <row r="28" spans="1:245">
      <c r="A28">
        <v>17</v>
      </c>
      <c r="B28">
        <v>1</v>
      </c>
      <c r="C28">
        <f>ROW(SmtRes!A35)</f>
        <v>35</v>
      </c>
      <c r="D28">
        <f>ROW(EtalonRes!A35)</f>
        <v>35</v>
      </c>
      <c r="E28" t="s">
        <v>34</v>
      </c>
      <c r="F28" t="s">
        <v>35</v>
      </c>
      <c r="G28" t="s">
        <v>36</v>
      </c>
      <c r="H28" t="s">
        <v>18</v>
      </c>
      <c r="I28">
        <f>ROUND(7.4/100,7)</f>
        <v>7.3999999999999996E-2</v>
      </c>
      <c r="J28">
        <v>0</v>
      </c>
      <c r="K28">
        <f>ROUND(7.4/100,7)</f>
        <v>7.3999999999999996E-2</v>
      </c>
      <c r="O28">
        <f t="shared" si="14"/>
        <v>13241.86</v>
      </c>
      <c r="P28">
        <f>SUMIF(SmtRes!AQ30:'SmtRes'!AQ35,"=1",SmtRes!DF30:'SmtRes'!DF35)</f>
        <v>0</v>
      </c>
      <c r="Q28">
        <f>SUMIF(SmtRes!AQ30:'SmtRes'!AQ35,"=1",SmtRes!DG30:'SmtRes'!DG35)</f>
        <v>105.87</v>
      </c>
      <c r="R28">
        <f>SUMIF(SmtRes!AQ30:'SmtRes'!AQ35,"=1",SmtRes!DH30:'SmtRes'!DH35)</f>
        <v>40.72</v>
      </c>
      <c r="S28">
        <f>SUMIF(SmtRes!AQ30:'SmtRes'!AQ35,"=1",SmtRes!DI30:'SmtRes'!DI35)</f>
        <v>13095.27</v>
      </c>
      <c r="T28">
        <f t="shared" si="15"/>
        <v>0</v>
      </c>
      <c r="U28">
        <f>SUMIF(SmtRes!AQ30:'SmtRes'!AQ35,"=1",SmtRes!CV30:'SmtRes'!CV35)</f>
        <v>39.3902</v>
      </c>
      <c r="V28">
        <f>SUMIF(SmtRes!AQ30:'SmtRes'!AQ35,"=1",SmtRes!CW30:'SmtRes'!CW35)</f>
        <v>0.11322</v>
      </c>
      <c r="W28">
        <f t="shared" si="16"/>
        <v>0</v>
      </c>
      <c r="X28">
        <f t="shared" si="17"/>
        <v>11822.39</v>
      </c>
      <c r="Y28">
        <f t="shared" si="18"/>
        <v>5911.2</v>
      </c>
      <c r="AA28">
        <v>50837261</v>
      </c>
      <c r="AB28">
        <f t="shared" si="19"/>
        <v>177874.5356</v>
      </c>
      <c r="AC28">
        <f>ROUND((0),6)</f>
        <v>0</v>
      </c>
      <c r="AD28">
        <f>ROUND((((SUM(SmtRes!BR30:'SmtRes'!BR35))-(SUM(SmtRes!BS30:'SmtRes'!BS35)))+AE28),6)</f>
        <v>911.40060000000005</v>
      </c>
      <c r="AE28">
        <f>ROUND((SUM(SmtRes!BS30:'SmtRes'!BS35)),6)</f>
        <v>550.2645</v>
      </c>
      <c r="AF28">
        <f>ROUND((SUM(SmtRes!BT30:'SmtRes'!BT35)),6)</f>
        <v>176963.13500000001</v>
      </c>
      <c r="AG28">
        <f t="shared" si="20"/>
        <v>0</v>
      </c>
      <c r="AH28">
        <f>(SUM(SmtRes!BU30:'SmtRes'!BU35))</f>
        <v>532.29999999999995</v>
      </c>
      <c r="AI28">
        <f>(SUM(SmtRes!BV30:'SmtRes'!BV35))</f>
        <v>1.53</v>
      </c>
      <c r="AJ28">
        <f t="shared" si="21"/>
        <v>0</v>
      </c>
      <c r="AK28">
        <v>178424.80009999996</v>
      </c>
      <c r="AL28">
        <v>0</v>
      </c>
      <c r="AM28">
        <v>911.40060000000005</v>
      </c>
      <c r="AN28">
        <v>550.2645</v>
      </c>
      <c r="AO28">
        <v>176963.13499999998</v>
      </c>
      <c r="AP28">
        <v>0</v>
      </c>
      <c r="AQ28">
        <v>532.29999999999995</v>
      </c>
      <c r="AR28">
        <v>1.53</v>
      </c>
      <c r="AS28">
        <v>0</v>
      </c>
      <c r="AT28">
        <v>90</v>
      </c>
      <c r="AU28">
        <v>45</v>
      </c>
      <c r="AV28">
        <v>1</v>
      </c>
      <c r="AW28">
        <v>1</v>
      </c>
      <c r="AZ28">
        <v>1</v>
      </c>
      <c r="BA28">
        <v>1</v>
      </c>
      <c r="BB28">
        <v>1</v>
      </c>
      <c r="BC28">
        <v>1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1</v>
      </c>
      <c r="BJ28" t="s">
        <v>37</v>
      </c>
      <c r="BM28">
        <v>63001</v>
      </c>
      <c r="BN28">
        <v>0</v>
      </c>
      <c r="BO28" t="s">
        <v>3</v>
      </c>
      <c r="BP28">
        <v>0</v>
      </c>
      <c r="BQ28">
        <v>6</v>
      </c>
      <c r="BR28">
        <v>0</v>
      </c>
      <c r="BS28">
        <v>1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90</v>
      </c>
      <c r="CA28">
        <v>45</v>
      </c>
      <c r="CB28" t="s">
        <v>3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si="22"/>
        <v>13241.86</v>
      </c>
      <c r="CQ28">
        <f>SUMIF(SmtRes!AQ30:'SmtRes'!AQ35,"=1",SmtRes!AA30:'SmtRes'!AA35)</f>
        <v>0</v>
      </c>
      <c r="CR28">
        <f>SUMIF(SmtRes!AQ30:'SmtRes'!AQ35,"=1",SmtRes!AB30:'SmtRes'!AB35)</f>
        <v>245.12</v>
      </c>
      <c r="CS28">
        <f>SUMIF(SmtRes!AQ30:'SmtRes'!AQ35,"=1",SmtRes!AC30:'SmtRes'!AC35)</f>
        <v>359.65</v>
      </c>
      <c r="CT28">
        <f>SUMIF(SmtRes!AQ30:'SmtRes'!AQ35,"=1",SmtRes!AD30:'SmtRes'!AD35)</f>
        <v>332.45</v>
      </c>
      <c r="CU28">
        <f t="shared" si="23"/>
        <v>0</v>
      </c>
      <c r="CV28">
        <f>SUMIF(SmtRes!AQ30:'SmtRes'!AQ35,"=1",SmtRes!BU30:'SmtRes'!BU35)</f>
        <v>532.29999999999995</v>
      </c>
      <c r="CW28">
        <f>SUMIF(SmtRes!AQ30:'SmtRes'!AQ35,"=1",SmtRes!BV30:'SmtRes'!BV35)</f>
        <v>1.53</v>
      </c>
      <c r="CX28">
        <f t="shared" si="24"/>
        <v>0</v>
      </c>
      <c r="CY28">
        <f t="shared" si="25"/>
        <v>11822.391000000001</v>
      </c>
      <c r="CZ28">
        <f t="shared" si="26"/>
        <v>5911.1955000000007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1005</v>
      </c>
      <c r="DV28" t="s">
        <v>18</v>
      </c>
      <c r="DW28" t="s">
        <v>18</v>
      </c>
      <c r="DX28">
        <v>100</v>
      </c>
      <c r="DZ28" t="s">
        <v>3</v>
      </c>
      <c r="EA28" t="s">
        <v>3</v>
      </c>
      <c r="EB28" t="s">
        <v>3</v>
      </c>
      <c r="EC28" t="s">
        <v>3</v>
      </c>
      <c r="EE28">
        <v>49642267</v>
      </c>
      <c r="EF28">
        <v>6</v>
      </c>
      <c r="EG28" t="s">
        <v>20</v>
      </c>
      <c r="EH28">
        <v>97</v>
      </c>
      <c r="EI28" t="s">
        <v>38</v>
      </c>
      <c r="EJ28">
        <v>1</v>
      </c>
      <c r="EK28">
        <v>63001</v>
      </c>
      <c r="EL28" t="s">
        <v>39</v>
      </c>
      <c r="EM28" t="s">
        <v>40</v>
      </c>
      <c r="EO28" t="s">
        <v>3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532.29999999999995</v>
      </c>
      <c r="EX28">
        <v>1.53</v>
      </c>
      <c r="EY28">
        <v>0</v>
      </c>
      <c r="FQ28">
        <v>0</v>
      </c>
      <c r="FR28">
        <v>0</v>
      </c>
      <c r="FS28">
        <v>0</v>
      </c>
      <c r="FX28">
        <v>90</v>
      </c>
      <c r="FY28">
        <v>45</v>
      </c>
      <c r="GA28" t="s">
        <v>3</v>
      </c>
      <c r="GD28">
        <v>1</v>
      </c>
      <c r="GF28">
        <v>-1788126488</v>
      </c>
      <c r="GG28">
        <v>2</v>
      </c>
      <c r="GH28">
        <v>1</v>
      </c>
      <c r="GI28">
        <v>-2</v>
      </c>
      <c r="GJ28">
        <v>0</v>
      </c>
      <c r="GK28">
        <v>0</v>
      </c>
      <c r="GL28">
        <f t="shared" si="27"/>
        <v>0</v>
      </c>
      <c r="GM28">
        <f t="shared" si="28"/>
        <v>30975.45</v>
      </c>
      <c r="GN28">
        <f t="shared" si="29"/>
        <v>30975.45</v>
      </c>
      <c r="GO28">
        <f t="shared" si="30"/>
        <v>0</v>
      </c>
      <c r="GP28">
        <f t="shared" si="31"/>
        <v>0</v>
      </c>
      <c r="GR28">
        <v>0</v>
      </c>
      <c r="GS28">
        <v>3</v>
      </c>
      <c r="GT28">
        <v>0</v>
      </c>
      <c r="GU28" t="s">
        <v>3</v>
      </c>
      <c r="GV28">
        <f t="shared" si="32"/>
        <v>0</v>
      </c>
      <c r="GW28">
        <v>1</v>
      </c>
      <c r="GX28">
        <f t="shared" si="33"/>
        <v>0</v>
      </c>
      <c r="HA28">
        <v>0</v>
      </c>
      <c r="HB28">
        <v>0</v>
      </c>
      <c r="HC28">
        <f t="shared" si="34"/>
        <v>0</v>
      </c>
      <c r="HE28" t="s">
        <v>3</v>
      </c>
      <c r="HF28" t="s">
        <v>3</v>
      </c>
      <c r="HM28" t="s">
        <v>3</v>
      </c>
      <c r="HN28" t="s">
        <v>41</v>
      </c>
      <c r="HO28" t="s">
        <v>42</v>
      </c>
      <c r="HP28" t="s">
        <v>39</v>
      </c>
      <c r="HQ28" t="s">
        <v>39</v>
      </c>
      <c r="HS28">
        <v>0</v>
      </c>
      <c r="IK28">
        <v>0</v>
      </c>
    </row>
    <row r="29" spans="1:245">
      <c r="A29">
        <v>18</v>
      </c>
      <c r="B29">
        <v>1</v>
      </c>
      <c r="C29">
        <v>35</v>
      </c>
      <c r="E29" t="s">
        <v>43</v>
      </c>
      <c r="F29" t="s">
        <v>44</v>
      </c>
      <c r="G29" t="s">
        <v>45</v>
      </c>
      <c r="H29" t="s">
        <v>46</v>
      </c>
      <c r="I29">
        <f>I28*J29</f>
        <v>1.4281999999999999</v>
      </c>
      <c r="J29">
        <v>19.3</v>
      </c>
      <c r="K29">
        <v>19.3</v>
      </c>
      <c r="O29">
        <f t="shared" si="14"/>
        <v>0</v>
      </c>
      <c r="P29">
        <f>ROUND(CQ29*I29,2)</f>
        <v>0</v>
      </c>
      <c r="Q29">
        <f>ROUND(CR29*I29,2)</f>
        <v>0</v>
      </c>
      <c r="R29">
        <f>ROUND(CS29*I29,2)</f>
        <v>0</v>
      </c>
      <c r="S29">
        <f>ROUND(CT29*I29,2)</f>
        <v>0</v>
      </c>
      <c r="T29">
        <f t="shared" si="15"/>
        <v>0</v>
      </c>
      <c r="U29">
        <f>ROUND(CV29*I29,7)</f>
        <v>0</v>
      </c>
      <c r="V29">
        <f>ROUND(CW29*I29,7)</f>
        <v>0</v>
      </c>
      <c r="W29">
        <f t="shared" si="16"/>
        <v>0</v>
      </c>
      <c r="X29">
        <f t="shared" si="17"/>
        <v>0</v>
      </c>
      <c r="Y29">
        <f t="shared" si="18"/>
        <v>0</v>
      </c>
      <c r="AA29">
        <v>50837261</v>
      </c>
      <c r="AB29">
        <f t="shared" si="19"/>
        <v>0</v>
      </c>
      <c r="AC29">
        <f>ROUND((ES29),6)</f>
        <v>0</v>
      </c>
      <c r="AD29">
        <f>ROUND((((ET29)-(EU29))+AE29),6)</f>
        <v>0</v>
      </c>
      <c r="AE29">
        <f>ROUND((EU29),6)</f>
        <v>0</v>
      </c>
      <c r="AF29">
        <f>ROUND((EV29),6)</f>
        <v>0</v>
      </c>
      <c r="AG29">
        <f t="shared" si="20"/>
        <v>0</v>
      </c>
      <c r="AH29">
        <f>(EW29)</f>
        <v>0</v>
      </c>
      <c r="AI29">
        <f>(EX29)</f>
        <v>0</v>
      </c>
      <c r="AJ29">
        <f t="shared" si="21"/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90</v>
      </c>
      <c r="AU29">
        <v>45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1</v>
      </c>
      <c r="BD29" t="s">
        <v>3</v>
      </c>
      <c r="BE29" t="s">
        <v>3</v>
      </c>
      <c r="BF29" t="s">
        <v>3</v>
      </c>
      <c r="BG29" t="s">
        <v>3</v>
      </c>
      <c r="BH29">
        <v>3</v>
      </c>
      <c r="BI29">
        <v>1</v>
      </c>
      <c r="BJ29" t="s">
        <v>3</v>
      </c>
      <c r="BM29">
        <v>63001</v>
      </c>
      <c r="BN29">
        <v>0</v>
      </c>
      <c r="BO29" t="s">
        <v>3</v>
      </c>
      <c r="BP29">
        <v>0</v>
      </c>
      <c r="BQ29">
        <v>6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90</v>
      </c>
      <c r="CA29">
        <v>45</v>
      </c>
      <c r="CB29" t="s">
        <v>3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22"/>
        <v>0</v>
      </c>
      <c r="CQ29">
        <f>ROUND(AL29*BC29,2)</f>
        <v>0</v>
      </c>
      <c r="CR29">
        <f>ROUND(AM29*BB29,2)</f>
        <v>0</v>
      </c>
      <c r="CS29">
        <f>ROUND(AN29*BS29,2)</f>
        <v>0</v>
      </c>
      <c r="CT29">
        <f>ROUND(AO29*BA29,2)</f>
        <v>0</v>
      </c>
      <c r="CU29">
        <f t="shared" si="23"/>
        <v>0</v>
      </c>
      <c r="CV29">
        <f>AH29</f>
        <v>0</v>
      </c>
      <c r="CW29">
        <f>AI29</f>
        <v>0</v>
      </c>
      <c r="CX29">
        <f t="shared" si="24"/>
        <v>0</v>
      </c>
      <c r="CY29">
        <f t="shared" si="25"/>
        <v>0</v>
      </c>
      <c r="CZ29">
        <f t="shared" si="26"/>
        <v>0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1009</v>
      </c>
      <c r="DV29" t="s">
        <v>46</v>
      </c>
      <c r="DW29" t="s">
        <v>46</v>
      </c>
      <c r="DX29">
        <v>1000</v>
      </c>
      <c r="DZ29" t="s">
        <v>3</v>
      </c>
      <c r="EA29" t="s">
        <v>3</v>
      </c>
      <c r="EB29" t="s">
        <v>3</v>
      </c>
      <c r="EC29" t="s">
        <v>3</v>
      </c>
      <c r="EE29">
        <v>49642267</v>
      </c>
      <c r="EF29">
        <v>6</v>
      </c>
      <c r="EG29" t="s">
        <v>20</v>
      </c>
      <c r="EH29">
        <v>97</v>
      </c>
      <c r="EI29" t="s">
        <v>38</v>
      </c>
      <c r="EJ29">
        <v>1</v>
      </c>
      <c r="EK29">
        <v>63001</v>
      </c>
      <c r="EL29" t="s">
        <v>39</v>
      </c>
      <c r="EM29" t="s">
        <v>40</v>
      </c>
      <c r="EO29" t="s">
        <v>3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FQ29">
        <v>0</v>
      </c>
      <c r="FR29">
        <v>0</v>
      </c>
      <c r="FS29">
        <v>0</v>
      </c>
      <c r="FX29">
        <v>90</v>
      </c>
      <c r="FY29">
        <v>45</v>
      </c>
      <c r="GA29" t="s">
        <v>3</v>
      </c>
      <c r="GD29">
        <v>1</v>
      </c>
      <c r="GF29">
        <v>2102561428</v>
      </c>
      <c r="GG29">
        <v>2</v>
      </c>
      <c r="GH29">
        <v>1</v>
      </c>
      <c r="GI29">
        <v>-2</v>
      </c>
      <c r="GJ29">
        <v>0</v>
      </c>
      <c r="GK29">
        <v>0</v>
      </c>
      <c r="GL29">
        <f t="shared" si="27"/>
        <v>0</v>
      </c>
      <c r="GM29">
        <f t="shared" si="28"/>
        <v>0</v>
      </c>
      <c r="GN29">
        <f t="shared" si="29"/>
        <v>0</v>
      </c>
      <c r="GO29">
        <f t="shared" si="30"/>
        <v>0</v>
      </c>
      <c r="GP29">
        <f t="shared" si="31"/>
        <v>0</v>
      </c>
      <c r="GR29">
        <v>0</v>
      </c>
      <c r="GS29">
        <v>3</v>
      </c>
      <c r="GT29">
        <v>0</v>
      </c>
      <c r="GU29" t="s">
        <v>3</v>
      </c>
      <c r="GV29">
        <f t="shared" si="32"/>
        <v>0</v>
      </c>
      <c r="GW29">
        <v>1</v>
      </c>
      <c r="GX29">
        <f t="shared" si="33"/>
        <v>0</v>
      </c>
      <c r="HA29">
        <v>0</v>
      </c>
      <c r="HB29">
        <v>0</v>
      </c>
      <c r="HC29">
        <f t="shared" si="34"/>
        <v>0</v>
      </c>
      <c r="HE29" t="s">
        <v>3</v>
      </c>
      <c r="HF29" t="s">
        <v>3</v>
      </c>
      <c r="HM29" t="s">
        <v>3</v>
      </c>
      <c r="HN29" t="s">
        <v>41</v>
      </c>
      <c r="HO29" t="s">
        <v>42</v>
      </c>
      <c r="HP29" t="s">
        <v>39</v>
      </c>
      <c r="HQ29" t="s">
        <v>39</v>
      </c>
      <c r="HS29">
        <v>0</v>
      </c>
      <c r="IK29">
        <v>0</v>
      </c>
    </row>
    <row r="30" spans="1:245">
      <c r="A30">
        <v>17</v>
      </c>
      <c r="B30">
        <v>1</v>
      </c>
      <c r="C30">
        <f>ROW(SmtRes!A41)</f>
        <v>41</v>
      </c>
      <c r="D30">
        <f>ROW(EtalonRes!A41)</f>
        <v>41</v>
      </c>
      <c r="E30" t="s">
        <v>47</v>
      </c>
      <c r="F30" t="s">
        <v>48</v>
      </c>
      <c r="G30" t="s">
        <v>49</v>
      </c>
      <c r="H30" t="s">
        <v>18</v>
      </c>
      <c r="I30">
        <f>ROUND(36.51/100,7)</f>
        <v>0.36509999999999998</v>
      </c>
      <c r="J30">
        <v>0</v>
      </c>
      <c r="K30">
        <f>ROUND(36.51/100,7)</f>
        <v>0.36509999999999998</v>
      </c>
      <c r="O30">
        <f t="shared" si="14"/>
        <v>16191.11</v>
      </c>
      <c r="P30">
        <f>SUMIF(SmtRes!AQ36:'SmtRes'!AQ41,"=1",SmtRes!DF36:'SmtRes'!DF41)</f>
        <v>0</v>
      </c>
      <c r="Q30">
        <f>SUMIF(SmtRes!AQ36:'SmtRes'!AQ41,"=1",SmtRes!DG36:'SmtRes'!DG41)</f>
        <v>1353.2900000000002</v>
      </c>
      <c r="R30">
        <f>SUMIF(SmtRes!AQ36:'SmtRes'!AQ41,"=1",SmtRes!DH36:'SmtRes'!DH41)</f>
        <v>236.35</v>
      </c>
      <c r="S30">
        <f>SUMIF(SmtRes!AQ36:'SmtRes'!AQ41,"=1",SmtRes!DI36:'SmtRes'!DI41)</f>
        <v>14601.47</v>
      </c>
      <c r="T30">
        <f t="shared" si="15"/>
        <v>0</v>
      </c>
      <c r="U30">
        <f>SUMIF(SmtRes!AQ36:'SmtRes'!AQ41,"=1",SmtRes!CV36:'SmtRes'!CV41)</f>
        <v>40.599119999999999</v>
      </c>
      <c r="V30">
        <f>SUMIF(SmtRes!AQ36:'SmtRes'!AQ41,"=1",SmtRes!CW36:'SmtRes'!CW41)</f>
        <v>0.65717999999999999</v>
      </c>
      <c r="W30">
        <f t="shared" si="16"/>
        <v>0</v>
      </c>
      <c r="X30">
        <f t="shared" si="17"/>
        <v>13205.66</v>
      </c>
      <c r="Y30">
        <f t="shared" si="18"/>
        <v>7270.53</v>
      </c>
      <c r="AA30">
        <v>50837261</v>
      </c>
      <c r="AB30">
        <f t="shared" si="19"/>
        <v>42357.536</v>
      </c>
      <c r="AC30">
        <f>ROUND((0),6)</f>
        <v>0</v>
      </c>
      <c r="AD30">
        <f>ROUND((((SUM(SmtRes!BR36:'SmtRes'!BR41))-(SUM(SmtRes!BS36:'SmtRes'!BS41)))+AE30),6)</f>
        <v>2364.4560000000001</v>
      </c>
      <c r="AE30">
        <f>ROUND((SUM(SmtRes!BS36:'SmtRes'!BS41)),6)</f>
        <v>647.37</v>
      </c>
      <c r="AF30">
        <f>ROUND((SUM(SmtRes!BT36:'SmtRes'!BT41)),6)</f>
        <v>39993.08</v>
      </c>
      <c r="AG30">
        <f t="shared" si="20"/>
        <v>0</v>
      </c>
      <c r="AH30">
        <f>(SUM(SmtRes!BU36:'SmtRes'!BU41))</f>
        <v>111.2</v>
      </c>
      <c r="AI30">
        <f>(SUM(SmtRes!BV36:'SmtRes'!BV41))</f>
        <v>1.8</v>
      </c>
      <c r="AJ30">
        <f t="shared" si="21"/>
        <v>0</v>
      </c>
      <c r="AK30">
        <v>43004.906000000003</v>
      </c>
      <c r="AL30">
        <v>0</v>
      </c>
      <c r="AM30">
        <v>2364.4559999999997</v>
      </c>
      <c r="AN30">
        <v>647.37</v>
      </c>
      <c r="AO30">
        <v>39993.08</v>
      </c>
      <c r="AP30">
        <v>0</v>
      </c>
      <c r="AQ30">
        <v>111.2</v>
      </c>
      <c r="AR30">
        <v>1.8</v>
      </c>
      <c r="AS30">
        <v>0</v>
      </c>
      <c r="AT30">
        <v>89</v>
      </c>
      <c r="AU30">
        <v>49</v>
      </c>
      <c r="AV30">
        <v>1</v>
      </c>
      <c r="AW30">
        <v>1</v>
      </c>
      <c r="AZ30">
        <v>1</v>
      </c>
      <c r="BA30">
        <v>1</v>
      </c>
      <c r="BB30">
        <v>1</v>
      </c>
      <c r="BC30">
        <v>1</v>
      </c>
      <c r="BD30" t="s">
        <v>3</v>
      </c>
      <c r="BE30" t="s">
        <v>3</v>
      </c>
      <c r="BF30" t="s">
        <v>3</v>
      </c>
      <c r="BG30" t="s">
        <v>3</v>
      </c>
      <c r="BH30">
        <v>0</v>
      </c>
      <c r="BI30">
        <v>1</v>
      </c>
      <c r="BJ30" t="s">
        <v>50</v>
      </c>
      <c r="BM30">
        <v>57001</v>
      </c>
      <c r="BN30">
        <v>0</v>
      </c>
      <c r="BO30" t="s">
        <v>3</v>
      </c>
      <c r="BP30">
        <v>0</v>
      </c>
      <c r="BQ30">
        <v>6</v>
      </c>
      <c r="BR30">
        <v>0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89</v>
      </c>
      <c r="CA30">
        <v>49</v>
      </c>
      <c r="CB30" t="s">
        <v>3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22"/>
        <v>16191.11</v>
      </c>
      <c r="CQ30">
        <f>SUMIF(SmtRes!AQ36:'SmtRes'!AQ41,"=1",SmtRes!AA36:'SmtRes'!AA41)</f>
        <v>0</v>
      </c>
      <c r="CR30">
        <f>SUMIF(SmtRes!AQ36:'SmtRes'!AQ41,"=1",SmtRes!AB36:'SmtRes'!AB41)</f>
        <v>245.12</v>
      </c>
      <c r="CS30">
        <f>SUMIF(SmtRes!AQ36:'SmtRes'!AQ41,"=1",SmtRes!AC36:'SmtRes'!AC41)</f>
        <v>359.65</v>
      </c>
      <c r="CT30">
        <f>SUMIF(SmtRes!AQ36:'SmtRes'!AQ41,"=1",SmtRes!AD36:'SmtRes'!AD41)</f>
        <v>359.65</v>
      </c>
      <c r="CU30">
        <f t="shared" si="23"/>
        <v>0</v>
      </c>
      <c r="CV30">
        <f>SUMIF(SmtRes!AQ36:'SmtRes'!AQ41,"=1",SmtRes!BU36:'SmtRes'!BU41)</f>
        <v>111.2</v>
      </c>
      <c r="CW30">
        <f>SUMIF(SmtRes!AQ36:'SmtRes'!AQ41,"=1",SmtRes!BV36:'SmtRes'!BV41)</f>
        <v>1.8</v>
      </c>
      <c r="CX30">
        <f t="shared" si="24"/>
        <v>0</v>
      </c>
      <c r="CY30">
        <f t="shared" si="25"/>
        <v>13205.659799999999</v>
      </c>
      <c r="CZ30">
        <f t="shared" si="26"/>
        <v>7270.5317999999997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1005</v>
      </c>
      <c r="DV30" t="s">
        <v>18</v>
      </c>
      <c r="DW30" t="s">
        <v>18</v>
      </c>
      <c r="DX30">
        <v>100</v>
      </c>
      <c r="DZ30" t="s">
        <v>3</v>
      </c>
      <c r="EA30" t="s">
        <v>3</v>
      </c>
      <c r="EB30" t="s">
        <v>3</v>
      </c>
      <c r="EC30" t="s">
        <v>3</v>
      </c>
      <c r="EE30">
        <v>49642261</v>
      </c>
      <c r="EF30">
        <v>6</v>
      </c>
      <c r="EG30" t="s">
        <v>20</v>
      </c>
      <c r="EH30">
        <v>11</v>
      </c>
      <c r="EI30" t="s">
        <v>51</v>
      </c>
      <c r="EJ30">
        <v>1</v>
      </c>
      <c r="EK30">
        <v>57001</v>
      </c>
      <c r="EL30" t="s">
        <v>51</v>
      </c>
      <c r="EM30" t="s">
        <v>52</v>
      </c>
      <c r="EO30" t="s">
        <v>3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111.2</v>
      </c>
      <c r="EX30">
        <v>1.8</v>
      </c>
      <c r="EY30">
        <v>0</v>
      </c>
      <c r="FQ30">
        <v>0</v>
      </c>
      <c r="FR30">
        <v>0</v>
      </c>
      <c r="FS30">
        <v>0</v>
      </c>
      <c r="FX30">
        <v>89</v>
      </c>
      <c r="FY30">
        <v>49</v>
      </c>
      <c r="GA30" t="s">
        <v>3</v>
      </c>
      <c r="GD30">
        <v>1</v>
      </c>
      <c r="GF30">
        <v>1321260039</v>
      </c>
      <c r="GG30">
        <v>2</v>
      </c>
      <c r="GH30">
        <v>1</v>
      </c>
      <c r="GI30">
        <v>-2</v>
      </c>
      <c r="GJ30">
        <v>0</v>
      </c>
      <c r="GK30">
        <v>0</v>
      </c>
      <c r="GL30">
        <f t="shared" si="27"/>
        <v>0</v>
      </c>
      <c r="GM30">
        <f t="shared" si="28"/>
        <v>36667.300000000003</v>
      </c>
      <c r="GN30">
        <f t="shared" si="29"/>
        <v>36667.300000000003</v>
      </c>
      <c r="GO30">
        <f t="shared" si="30"/>
        <v>0</v>
      </c>
      <c r="GP30">
        <f t="shared" si="31"/>
        <v>0</v>
      </c>
      <c r="GR30">
        <v>0</v>
      </c>
      <c r="GS30">
        <v>3</v>
      </c>
      <c r="GT30">
        <v>0</v>
      </c>
      <c r="GU30" t="s">
        <v>3</v>
      </c>
      <c r="GV30">
        <f t="shared" si="32"/>
        <v>0</v>
      </c>
      <c r="GW30">
        <v>1</v>
      </c>
      <c r="GX30">
        <f t="shared" si="33"/>
        <v>0</v>
      </c>
      <c r="HA30">
        <v>0</v>
      </c>
      <c r="HB30">
        <v>0</v>
      </c>
      <c r="HC30">
        <f t="shared" si="34"/>
        <v>0</v>
      </c>
      <c r="HE30" t="s">
        <v>3</v>
      </c>
      <c r="HF30" t="s">
        <v>3</v>
      </c>
      <c r="HM30" t="s">
        <v>3</v>
      </c>
      <c r="HN30" t="s">
        <v>53</v>
      </c>
      <c r="HO30" t="s">
        <v>54</v>
      </c>
      <c r="HP30" t="s">
        <v>51</v>
      </c>
      <c r="HQ30" t="s">
        <v>51</v>
      </c>
      <c r="HS30">
        <v>0</v>
      </c>
      <c r="IK30">
        <v>0</v>
      </c>
    </row>
    <row r="31" spans="1:245">
      <c r="A31">
        <v>18</v>
      </c>
      <c r="B31">
        <v>1</v>
      </c>
      <c r="C31">
        <v>41</v>
      </c>
      <c r="E31" t="s">
        <v>55</v>
      </c>
      <c r="F31" t="s">
        <v>44</v>
      </c>
      <c r="G31" t="s">
        <v>45</v>
      </c>
      <c r="H31" t="s">
        <v>46</v>
      </c>
      <c r="I31">
        <f>I30*J31</f>
        <v>12.048299999999999</v>
      </c>
      <c r="J31">
        <v>33</v>
      </c>
      <c r="K31">
        <v>33</v>
      </c>
      <c r="O31">
        <f t="shared" si="14"/>
        <v>0</v>
      </c>
      <c r="P31">
        <f>ROUND(CQ31*I31,2)</f>
        <v>0</v>
      </c>
      <c r="Q31">
        <f>ROUND(CR31*I31,2)</f>
        <v>0</v>
      </c>
      <c r="R31">
        <f>ROUND(CS31*I31,2)</f>
        <v>0</v>
      </c>
      <c r="S31">
        <f>ROUND(CT31*I31,2)</f>
        <v>0</v>
      </c>
      <c r="T31">
        <f t="shared" si="15"/>
        <v>0</v>
      </c>
      <c r="U31">
        <f>ROUND(CV31*I31,7)</f>
        <v>0</v>
      </c>
      <c r="V31">
        <f>ROUND(CW31*I31,7)</f>
        <v>0</v>
      </c>
      <c r="W31">
        <f t="shared" si="16"/>
        <v>0</v>
      </c>
      <c r="X31">
        <f t="shared" si="17"/>
        <v>0</v>
      </c>
      <c r="Y31">
        <f t="shared" si="18"/>
        <v>0</v>
      </c>
      <c r="AA31">
        <v>50837261</v>
      </c>
      <c r="AB31">
        <f t="shared" si="19"/>
        <v>0</v>
      </c>
      <c r="AC31">
        <f>ROUND((ES31),6)</f>
        <v>0</v>
      </c>
      <c r="AD31">
        <f>ROUND((((ET31)-(EU31))+AE31),6)</f>
        <v>0</v>
      </c>
      <c r="AE31">
        <f>ROUND((EU31),6)</f>
        <v>0</v>
      </c>
      <c r="AF31">
        <f>ROUND((EV31),6)</f>
        <v>0</v>
      </c>
      <c r="AG31">
        <f t="shared" si="20"/>
        <v>0</v>
      </c>
      <c r="AH31">
        <f>(EW31)</f>
        <v>0</v>
      </c>
      <c r="AI31">
        <f>(EX31)</f>
        <v>0</v>
      </c>
      <c r="AJ31">
        <f t="shared" si="21"/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89</v>
      </c>
      <c r="AU31">
        <v>49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D31" t="s">
        <v>3</v>
      </c>
      <c r="BE31" t="s">
        <v>3</v>
      </c>
      <c r="BF31" t="s">
        <v>3</v>
      </c>
      <c r="BG31" t="s">
        <v>3</v>
      </c>
      <c r="BH31">
        <v>3</v>
      </c>
      <c r="BI31">
        <v>1</v>
      </c>
      <c r="BJ31" t="s">
        <v>3</v>
      </c>
      <c r="BM31">
        <v>57001</v>
      </c>
      <c r="BN31">
        <v>0</v>
      </c>
      <c r="BO31" t="s">
        <v>3</v>
      </c>
      <c r="BP31">
        <v>0</v>
      </c>
      <c r="BQ31">
        <v>6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89</v>
      </c>
      <c r="CA31">
        <v>49</v>
      </c>
      <c r="CB31" t="s">
        <v>3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22"/>
        <v>0</v>
      </c>
      <c r="CQ31">
        <f>ROUND(AL31*BC31,2)</f>
        <v>0</v>
      </c>
      <c r="CR31">
        <f>ROUND(AM31*BB31,2)</f>
        <v>0</v>
      </c>
      <c r="CS31">
        <f>ROUND(AN31*BS31,2)</f>
        <v>0</v>
      </c>
      <c r="CT31">
        <f>ROUND(AO31*BA31,2)</f>
        <v>0</v>
      </c>
      <c r="CU31">
        <f t="shared" si="23"/>
        <v>0</v>
      </c>
      <c r="CV31">
        <f>AH31</f>
        <v>0</v>
      </c>
      <c r="CW31">
        <f>AI31</f>
        <v>0</v>
      </c>
      <c r="CX31">
        <f t="shared" si="24"/>
        <v>0</v>
      </c>
      <c r="CY31">
        <f t="shared" si="25"/>
        <v>0</v>
      </c>
      <c r="CZ31">
        <f t="shared" si="26"/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1009</v>
      </c>
      <c r="DV31" t="s">
        <v>46</v>
      </c>
      <c r="DW31" t="s">
        <v>46</v>
      </c>
      <c r="DX31">
        <v>1000</v>
      </c>
      <c r="DZ31" t="s">
        <v>3</v>
      </c>
      <c r="EA31" t="s">
        <v>3</v>
      </c>
      <c r="EB31" t="s">
        <v>3</v>
      </c>
      <c r="EC31" t="s">
        <v>3</v>
      </c>
      <c r="EE31">
        <v>49642261</v>
      </c>
      <c r="EF31">
        <v>6</v>
      </c>
      <c r="EG31" t="s">
        <v>20</v>
      </c>
      <c r="EH31">
        <v>11</v>
      </c>
      <c r="EI31" t="s">
        <v>51</v>
      </c>
      <c r="EJ31">
        <v>1</v>
      </c>
      <c r="EK31">
        <v>57001</v>
      </c>
      <c r="EL31" t="s">
        <v>51</v>
      </c>
      <c r="EM31" t="s">
        <v>52</v>
      </c>
      <c r="EO31" t="s">
        <v>3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FQ31">
        <v>0</v>
      </c>
      <c r="FR31">
        <v>0</v>
      </c>
      <c r="FS31">
        <v>0</v>
      </c>
      <c r="FX31">
        <v>89</v>
      </c>
      <c r="FY31">
        <v>49</v>
      </c>
      <c r="GA31" t="s">
        <v>3</v>
      </c>
      <c r="GD31">
        <v>1</v>
      </c>
      <c r="GF31">
        <v>2102561428</v>
      </c>
      <c r="GG31">
        <v>2</v>
      </c>
      <c r="GH31">
        <v>1</v>
      </c>
      <c r="GI31">
        <v>-2</v>
      </c>
      <c r="GJ31">
        <v>0</v>
      </c>
      <c r="GK31">
        <v>0</v>
      </c>
      <c r="GL31">
        <f t="shared" si="27"/>
        <v>0</v>
      </c>
      <c r="GM31">
        <f t="shared" si="28"/>
        <v>0</v>
      </c>
      <c r="GN31">
        <f t="shared" si="29"/>
        <v>0</v>
      </c>
      <c r="GO31">
        <f t="shared" si="30"/>
        <v>0</v>
      </c>
      <c r="GP31">
        <f t="shared" si="31"/>
        <v>0</v>
      </c>
      <c r="GR31">
        <v>0</v>
      </c>
      <c r="GS31">
        <v>3</v>
      </c>
      <c r="GT31">
        <v>0</v>
      </c>
      <c r="GU31" t="s">
        <v>3</v>
      </c>
      <c r="GV31">
        <f t="shared" si="32"/>
        <v>0</v>
      </c>
      <c r="GW31">
        <v>1</v>
      </c>
      <c r="GX31">
        <f t="shared" si="33"/>
        <v>0</v>
      </c>
      <c r="HA31">
        <v>0</v>
      </c>
      <c r="HB31">
        <v>0</v>
      </c>
      <c r="HC31">
        <f t="shared" si="34"/>
        <v>0</v>
      </c>
      <c r="HE31" t="s">
        <v>3</v>
      </c>
      <c r="HF31" t="s">
        <v>3</v>
      </c>
      <c r="HM31" t="s">
        <v>3</v>
      </c>
      <c r="HN31" t="s">
        <v>53</v>
      </c>
      <c r="HO31" t="s">
        <v>54</v>
      </c>
      <c r="HP31" t="s">
        <v>51</v>
      </c>
      <c r="HQ31" t="s">
        <v>51</v>
      </c>
      <c r="HS31">
        <v>0</v>
      </c>
      <c r="IK31">
        <v>0</v>
      </c>
    </row>
    <row r="32" spans="1:245">
      <c r="A32">
        <v>17</v>
      </c>
      <c r="B32">
        <v>1</v>
      </c>
      <c r="C32">
        <f>ROW(SmtRes!A43)</f>
        <v>43</v>
      </c>
      <c r="D32">
        <f>ROW(EtalonRes!A43)</f>
        <v>43</v>
      </c>
      <c r="E32" t="s">
        <v>56</v>
      </c>
      <c r="F32" t="s">
        <v>57</v>
      </c>
      <c r="G32" t="s">
        <v>58</v>
      </c>
      <c r="H32" t="s">
        <v>18</v>
      </c>
      <c r="I32">
        <f>ROUND(-35.61/100,7)</f>
        <v>-0.35610000000000003</v>
      </c>
      <c r="J32">
        <v>0</v>
      </c>
      <c r="K32">
        <f>ROUND(-35.61/100,7)</f>
        <v>-0.35610000000000003</v>
      </c>
      <c r="O32">
        <f t="shared" si="14"/>
        <v>-3483.54</v>
      </c>
      <c r="P32">
        <f>SUMIF(SmtRes!AQ42:'SmtRes'!AQ43,"=1",SmtRes!DF42:'SmtRes'!DF43)</f>
        <v>0</v>
      </c>
      <c r="Q32">
        <f>SUMIF(SmtRes!AQ42:'SmtRes'!AQ43,"=1",SmtRes!DG42:'SmtRes'!DG43)</f>
        <v>0</v>
      </c>
      <c r="R32">
        <f>SUMIF(SmtRes!AQ42:'SmtRes'!AQ43,"=1",SmtRes!DH42:'SmtRes'!DH43)</f>
        <v>0</v>
      </c>
      <c r="S32">
        <f>SUMIF(SmtRes!AQ42:'SmtRes'!AQ43,"=1",SmtRes!DI42:'SmtRes'!DI43)</f>
        <v>-3483.54</v>
      </c>
      <c r="T32">
        <f t="shared" si="15"/>
        <v>0</v>
      </c>
      <c r="U32">
        <f>SUMIF(SmtRes!AQ42:'SmtRes'!AQ43,"=1",SmtRes!CV42:'SmtRes'!CV43)</f>
        <v>-9.6859199999999994</v>
      </c>
      <c r="V32">
        <f>SUMIF(SmtRes!AQ42:'SmtRes'!AQ43,"=1",SmtRes!CW42:'SmtRes'!CW43)</f>
        <v>0</v>
      </c>
      <c r="W32">
        <f t="shared" si="16"/>
        <v>0</v>
      </c>
      <c r="X32">
        <f t="shared" si="17"/>
        <v>-3100.35</v>
      </c>
      <c r="Y32">
        <f t="shared" si="18"/>
        <v>-1706.93</v>
      </c>
      <c r="AA32">
        <v>50837261</v>
      </c>
      <c r="AB32">
        <f t="shared" si="19"/>
        <v>9782.48</v>
      </c>
      <c r="AC32">
        <f>ROUND((0),6)</f>
        <v>0</v>
      </c>
      <c r="AD32">
        <f>ROUND((((0)-(0))+AE32),6)</f>
        <v>0</v>
      </c>
      <c r="AE32">
        <f>ROUND((0),6)</f>
        <v>0</v>
      </c>
      <c r="AF32">
        <f>ROUND((SUM(SmtRes!BT42:'SmtRes'!BT43)),6)</f>
        <v>9782.48</v>
      </c>
      <c r="AG32">
        <f t="shared" si="20"/>
        <v>0</v>
      </c>
      <c r="AH32">
        <f>(SUM(SmtRes!BU42:'SmtRes'!BU43))</f>
        <v>27.200000000000003</v>
      </c>
      <c r="AI32">
        <f>(0)</f>
        <v>0</v>
      </c>
      <c r="AJ32">
        <f t="shared" si="21"/>
        <v>0</v>
      </c>
      <c r="AK32">
        <v>978.24800000000005</v>
      </c>
      <c r="AL32">
        <v>0</v>
      </c>
      <c r="AM32">
        <v>0</v>
      </c>
      <c r="AN32">
        <v>0</v>
      </c>
      <c r="AO32">
        <v>978.24800000000005</v>
      </c>
      <c r="AP32">
        <v>0</v>
      </c>
      <c r="AQ32">
        <v>2.72</v>
      </c>
      <c r="AR32">
        <v>0</v>
      </c>
      <c r="AS32">
        <v>0</v>
      </c>
      <c r="AT32">
        <v>89</v>
      </c>
      <c r="AU32">
        <v>49</v>
      </c>
      <c r="AV32">
        <v>1</v>
      </c>
      <c r="AW32">
        <v>1</v>
      </c>
      <c r="AZ32">
        <v>1</v>
      </c>
      <c r="BA32">
        <v>1</v>
      </c>
      <c r="BB32">
        <v>1</v>
      </c>
      <c r="BC32">
        <v>1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1</v>
      </c>
      <c r="BJ32" t="s">
        <v>59</v>
      </c>
      <c r="BM32">
        <v>57001</v>
      </c>
      <c r="BN32">
        <v>0</v>
      </c>
      <c r="BO32" t="s">
        <v>3</v>
      </c>
      <c r="BP32">
        <v>0</v>
      </c>
      <c r="BQ32">
        <v>6</v>
      </c>
      <c r="BR32">
        <v>0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89</v>
      </c>
      <c r="CA32">
        <v>49</v>
      </c>
      <c r="CB32" t="s">
        <v>3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22"/>
        <v>-3483.54</v>
      </c>
      <c r="CQ32">
        <f>SUMIF(SmtRes!AQ42:'SmtRes'!AQ43,"=1",SmtRes!AA42:'SmtRes'!AA43)</f>
        <v>0</v>
      </c>
      <c r="CR32">
        <f>SUMIF(SmtRes!AQ42:'SmtRes'!AQ43,"=1",SmtRes!AB42:'SmtRes'!AB43)</f>
        <v>0</v>
      </c>
      <c r="CS32">
        <f>SUMIF(SmtRes!AQ42:'SmtRes'!AQ43,"=1",SmtRes!AC42:'SmtRes'!AC43)</f>
        <v>0</v>
      </c>
      <c r="CT32">
        <f>SUMIF(SmtRes!AQ42:'SmtRes'!AQ43,"=1",SmtRes!AD42:'SmtRes'!AD43)</f>
        <v>359.65</v>
      </c>
      <c r="CU32">
        <f t="shared" si="23"/>
        <v>0</v>
      </c>
      <c r="CV32">
        <f>SUMIF(SmtRes!AQ42:'SmtRes'!AQ43,"=1",SmtRes!BU42:'SmtRes'!BU43)</f>
        <v>27.200000000000003</v>
      </c>
      <c r="CW32">
        <f>SUMIF(SmtRes!AQ42:'SmtRes'!AQ43,"=1",SmtRes!BV42:'SmtRes'!BV43)</f>
        <v>0</v>
      </c>
      <c r="CX32">
        <f t="shared" si="24"/>
        <v>0</v>
      </c>
      <c r="CY32">
        <f t="shared" si="25"/>
        <v>-3100.3505999999998</v>
      </c>
      <c r="CZ32">
        <f t="shared" si="26"/>
        <v>-1706.9345999999998</v>
      </c>
      <c r="DC32" t="s">
        <v>3</v>
      </c>
      <c r="DD32" t="s">
        <v>60</v>
      </c>
      <c r="DE32" t="s">
        <v>60</v>
      </c>
      <c r="DF32" t="s">
        <v>60</v>
      </c>
      <c r="DG32" t="s">
        <v>60</v>
      </c>
      <c r="DH32" t="s">
        <v>3</v>
      </c>
      <c r="DI32" t="s">
        <v>60</v>
      </c>
      <c r="DJ32" t="s">
        <v>60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1005</v>
      </c>
      <c r="DV32" t="s">
        <v>18</v>
      </c>
      <c r="DW32" t="s">
        <v>18</v>
      </c>
      <c r="DX32">
        <v>100</v>
      </c>
      <c r="DZ32" t="s">
        <v>3</v>
      </c>
      <c r="EA32" t="s">
        <v>3</v>
      </c>
      <c r="EB32" t="s">
        <v>3</v>
      </c>
      <c r="EC32" t="s">
        <v>3</v>
      </c>
      <c r="EE32">
        <v>49642261</v>
      </c>
      <c r="EF32">
        <v>6</v>
      </c>
      <c r="EG32" t="s">
        <v>20</v>
      </c>
      <c r="EH32">
        <v>11</v>
      </c>
      <c r="EI32" t="s">
        <v>51</v>
      </c>
      <c r="EJ32">
        <v>1</v>
      </c>
      <c r="EK32">
        <v>57001</v>
      </c>
      <c r="EL32" t="s">
        <v>51</v>
      </c>
      <c r="EM32" t="s">
        <v>52</v>
      </c>
      <c r="EO32" t="s">
        <v>3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2.72</v>
      </c>
      <c r="EX32">
        <v>0</v>
      </c>
      <c r="EY32">
        <v>0</v>
      </c>
      <c r="FQ32">
        <v>0</v>
      </c>
      <c r="FR32">
        <v>0</v>
      </c>
      <c r="FS32">
        <v>0</v>
      </c>
      <c r="FX32">
        <v>89</v>
      </c>
      <c r="FY32">
        <v>49</v>
      </c>
      <c r="GA32" t="s">
        <v>3</v>
      </c>
      <c r="GD32">
        <v>1</v>
      </c>
      <c r="GF32">
        <v>-1270506801</v>
      </c>
      <c r="GG32">
        <v>2</v>
      </c>
      <c r="GH32">
        <v>1</v>
      </c>
      <c r="GI32">
        <v>-2</v>
      </c>
      <c r="GJ32">
        <v>0</v>
      </c>
      <c r="GK32">
        <v>0</v>
      </c>
      <c r="GL32">
        <f t="shared" si="27"/>
        <v>0</v>
      </c>
      <c r="GM32">
        <f t="shared" si="28"/>
        <v>-8290.82</v>
      </c>
      <c r="GN32">
        <f t="shared" si="29"/>
        <v>-8290.82</v>
      </c>
      <c r="GO32">
        <f t="shared" si="30"/>
        <v>0</v>
      </c>
      <c r="GP32">
        <f t="shared" si="31"/>
        <v>0</v>
      </c>
      <c r="GR32">
        <v>0</v>
      </c>
      <c r="GS32">
        <v>3</v>
      </c>
      <c r="GT32">
        <v>0</v>
      </c>
      <c r="GU32" t="s">
        <v>3</v>
      </c>
      <c r="GV32">
        <f t="shared" si="32"/>
        <v>0</v>
      </c>
      <c r="GW32">
        <v>1</v>
      </c>
      <c r="GX32">
        <f t="shared" si="33"/>
        <v>0</v>
      </c>
      <c r="HA32">
        <v>0</v>
      </c>
      <c r="HB32">
        <v>0</v>
      </c>
      <c r="HC32">
        <f t="shared" si="34"/>
        <v>0</v>
      </c>
      <c r="HE32" t="s">
        <v>3</v>
      </c>
      <c r="HF32" t="s">
        <v>3</v>
      </c>
      <c r="HM32" t="s">
        <v>3</v>
      </c>
      <c r="HN32" t="s">
        <v>53</v>
      </c>
      <c r="HO32" t="s">
        <v>54</v>
      </c>
      <c r="HP32" t="s">
        <v>51</v>
      </c>
      <c r="HQ32" t="s">
        <v>51</v>
      </c>
      <c r="HS32">
        <v>0</v>
      </c>
      <c r="IK32">
        <v>0</v>
      </c>
    </row>
    <row r="33" spans="1:245">
      <c r="A33">
        <v>18</v>
      </c>
      <c r="B33">
        <v>1</v>
      </c>
      <c r="C33">
        <v>43</v>
      </c>
      <c r="E33" t="s">
        <v>61</v>
      </c>
      <c r="F33" t="s">
        <v>44</v>
      </c>
      <c r="G33" t="s">
        <v>45</v>
      </c>
      <c r="H33" t="s">
        <v>46</v>
      </c>
      <c r="I33">
        <f>I32*J33</f>
        <v>-3.9171000000000005</v>
      </c>
      <c r="J33">
        <v>11</v>
      </c>
      <c r="K33">
        <v>1.1000000000000001</v>
      </c>
      <c r="O33">
        <f t="shared" si="14"/>
        <v>0</v>
      </c>
      <c r="P33">
        <f>ROUND(CQ33*I33,2)</f>
        <v>0</v>
      </c>
      <c r="Q33">
        <f>ROUND(CR33*I33,2)</f>
        <v>0</v>
      </c>
      <c r="R33">
        <f>ROUND(CS33*I33,2)</f>
        <v>0</v>
      </c>
      <c r="S33">
        <f>ROUND(CT33*I33,2)</f>
        <v>0</v>
      </c>
      <c r="T33">
        <f t="shared" si="15"/>
        <v>0</v>
      </c>
      <c r="U33">
        <f>ROUND(CV33*I33,7)</f>
        <v>0</v>
      </c>
      <c r="V33">
        <f>ROUND(CW33*I33,7)</f>
        <v>0</v>
      </c>
      <c r="W33">
        <f t="shared" si="16"/>
        <v>0</v>
      </c>
      <c r="X33">
        <f t="shared" si="17"/>
        <v>0</v>
      </c>
      <c r="Y33">
        <f t="shared" si="18"/>
        <v>0</v>
      </c>
      <c r="AA33">
        <v>50837261</v>
      </c>
      <c r="AB33">
        <f t="shared" si="19"/>
        <v>0</v>
      </c>
      <c r="AC33">
        <f>ROUND((ES33),6)</f>
        <v>0</v>
      </c>
      <c r="AD33">
        <f>ROUND((((ET33)-(EU33))+AE33),6)</f>
        <v>0</v>
      </c>
      <c r="AE33">
        <f>ROUND((EU33),6)</f>
        <v>0</v>
      </c>
      <c r="AF33">
        <f>ROUND((EV33),6)</f>
        <v>0</v>
      </c>
      <c r="AG33">
        <f t="shared" si="20"/>
        <v>0</v>
      </c>
      <c r="AH33">
        <f>(EW33)</f>
        <v>0</v>
      </c>
      <c r="AI33">
        <f>(EX33)</f>
        <v>0</v>
      </c>
      <c r="AJ33">
        <f t="shared" si="21"/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89</v>
      </c>
      <c r="AU33">
        <v>49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1</v>
      </c>
      <c r="BD33" t="s">
        <v>3</v>
      </c>
      <c r="BE33" t="s">
        <v>3</v>
      </c>
      <c r="BF33" t="s">
        <v>3</v>
      </c>
      <c r="BG33" t="s">
        <v>3</v>
      </c>
      <c r="BH33">
        <v>3</v>
      </c>
      <c r="BI33">
        <v>1</v>
      </c>
      <c r="BJ33" t="s">
        <v>3</v>
      </c>
      <c r="BM33">
        <v>57001</v>
      </c>
      <c r="BN33">
        <v>0</v>
      </c>
      <c r="BO33" t="s">
        <v>3</v>
      </c>
      <c r="BP33">
        <v>0</v>
      </c>
      <c r="BQ33">
        <v>6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89</v>
      </c>
      <c r="CA33">
        <v>49</v>
      </c>
      <c r="CB33" t="s">
        <v>3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22"/>
        <v>0</v>
      </c>
      <c r="CQ33">
        <f>ROUND(AL33*BC33,2)</f>
        <v>0</v>
      </c>
      <c r="CR33">
        <f>ROUND(AM33*BB33,2)</f>
        <v>0</v>
      </c>
      <c r="CS33">
        <f>ROUND(AN33*BS33,2)</f>
        <v>0</v>
      </c>
      <c r="CT33">
        <f>ROUND(AO33*BA33,2)</f>
        <v>0</v>
      </c>
      <c r="CU33">
        <f t="shared" si="23"/>
        <v>0</v>
      </c>
      <c r="CV33">
        <f>AH33</f>
        <v>0</v>
      </c>
      <c r="CW33">
        <f>AI33</f>
        <v>0</v>
      </c>
      <c r="CX33">
        <f t="shared" si="24"/>
        <v>0</v>
      </c>
      <c r="CY33">
        <f t="shared" si="25"/>
        <v>0</v>
      </c>
      <c r="CZ33">
        <f t="shared" si="26"/>
        <v>0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1009</v>
      </c>
      <c r="DV33" t="s">
        <v>46</v>
      </c>
      <c r="DW33" t="s">
        <v>46</v>
      </c>
      <c r="DX33">
        <v>1000</v>
      </c>
      <c r="DZ33" t="s">
        <v>3</v>
      </c>
      <c r="EA33" t="s">
        <v>3</v>
      </c>
      <c r="EB33" t="s">
        <v>3</v>
      </c>
      <c r="EC33" t="s">
        <v>3</v>
      </c>
      <c r="EE33">
        <v>49642261</v>
      </c>
      <c r="EF33">
        <v>6</v>
      </c>
      <c r="EG33" t="s">
        <v>20</v>
      </c>
      <c r="EH33">
        <v>11</v>
      </c>
      <c r="EI33" t="s">
        <v>51</v>
      </c>
      <c r="EJ33">
        <v>1</v>
      </c>
      <c r="EK33">
        <v>57001</v>
      </c>
      <c r="EL33" t="s">
        <v>51</v>
      </c>
      <c r="EM33" t="s">
        <v>52</v>
      </c>
      <c r="EO33" t="s">
        <v>3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FQ33">
        <v>0</v>
      </c>
      <c r="FR33">
        <v>0</v>
      </c>
      <c r="FS33">
        <v>0</v>
      </c>
      <c r="FX33">
        <v>89</v>
      </c>
      <c r="FY33">
        <v>49</v>
      </c>
      <c r="GA33" t="s">
        <v>3</v>
      </c>
      <c r="GD33">
        <v>1</v>
      </c>
      <c r="GF33">
        <v>2102561428</v>
      </c>
      <c r="GG33">
        <v>2</v>
      </c>
      <c r="GH33">
        <v>1</v>
      </c>
      <c r="GI33">
        <v>-2</v>
      </c>
      <c r="GJ33">
        <v>0</v>
      </c>
      <c r="GK33">
        <v>0</v>
      </c>
      <c r="GL33">
        <f t="shared" si="27"/>
        <v>0</v>
      </c>
      <c r="GM33">
        <f t="shared" si="28"/>
        <v>0</v>
      </c>
      <c r="GN33">
        <f t="shared" si="29"/>
        <v>0</v>
      </c>
      <c r="GO33">
        <f t="shared" si="30"/>
        <v>0</v>
      </c>
      <c r="GP33">
        <f t="shared" si="31"/>
        <v>0</v>
      </c>
      <c r="GR33">
        <v>0</v>
      </c>
      <c r="GS33">
        <v>3</v>
      </c>
      <c r="GT33">
        <v>0</v>
      </c>
      <c r="GU33" t="s">
        <v>3</v>
      </c>
      <c r="GV33">
        <f t="shared" si="32"/>
        <v>0</v>
      </c>
      <c r="GW33">
        <v>1</v>
      </c>
      <c r="GX33">
        <f t="shared" si="33"/>
        <v>0</v>
      </c>
      <c r="HA33">
        <v>0</v>
      </c>
      <c r="HB33">
        <v>0</v>
      </c>
      <c r="HC33">
        <f t="shared" si="34"/>
        <v>0</v>
      </c>
      <c r="HE33" t="s">
        <v>3</v>
      </c>
      <c r="HF33" t="s">
        <v>3</v>
      </c>
      <c r="HM33" t="s">
        <v>60</v>
      </c>
      <c r="HN33" t="s">
        <v>53</v>
      </c>
      <c r="HO33" t="s">
        <v>54</v>
      </c>
      <c r="HP33" t="s">
        <v>51</v>
      </c>
      <c r="HQ33" t="s">
        <v>51</v>
      </c>
      <c r="HS33">
        <v>0</v>
      </c>
      <c r="IK33">
        <v>0</v>
      </c>
    </row>
    <row r="34" spans="1:245">
      <c r="A34">
        <v>17</v>
      </c>
      <c r="B34">
        <v>1</v>
      </c>
      <c r="C34">
        <f>ROW(SmtRes!A54)</f>
        <v>54</v>
      </c>
      <c r="D34">
        <f>ROW(EtalonRes!A55)</f>
        <v>55</v>
      </c>
      <c r="E34" t="s">
        <v>62</v>
      </c>
      <c r="F34" t="s">
        <v>63</v>
      </c>
      <c r="G34" t="s">
        <v>64</v>
      </c>
      <c r="H34" t="s">
        <v>65</v>
      </c>
      <c r="I34">
        <v>7.1219999999999999</v>
      </c>
      <c r="J34">
        <v>0</v>
      </c>
      <c r="K34">
        <v>7.1219999999999999</v>
      </c>
      <c r="O34">
        <f t="shared" si="14"/>
        <v>61560.39</v>
      </c>
      <c r="P34">
        <f>SUMIF(SmtRes!AQ44:'SmtRes'!AQ54,"=1",SmtRes!DF44:'SmtRes'!DF54)</f>
        <v>24660.23</v>
      </c>
      <c r="Q34">
        <f>SUMIF(SmtRes!AQ44:'SmtRes'!AQ54,"=1",SmtRes!DG44:'SmtRes'!DG54)</f>
        <v>1797.6599999999999</v>
      </c>
      <c r="R34">
        <f>SUMIF(SmtRes!AQ44:'SmtRes'!AQ54,"=1",SmtRes!DH44:'SmtRes'!DH54)</f>
        <v>697.41</v>
      </c>
      <c r="S34">
        <f>SUMIF(SmtRes!AQ44:'SmtRes'!AQ54,"=1",SmtRes!DI44:'SmtRes'!DI54)</f>
        <v>34405.089999999997</v>
      </c>
      <c r="T34">
        <f t="shared" si="15"/>
        <v>0</v>
      </c>
      <c r="U34">
        <f>SUMIF(SmtRes!AQ44:'SmtRes'!AQ54,"=1",SmtRes!CV44:'SmtRes'!CV54)</f>
        <v>95.662704000000005</v>
      </c>
      <c r="V34">
        <f>SUMIF(SmtRes!AQ44:'SmtRes'!AQ54,"=1",SmtRes!CW44:'SmtRes'!CW54)</f>
        <v>1.6914749999999998</v>
      </c>
      <c r="W34">
        <f t="shared" si="16"/>
        <v>0</v>
      </c>
      <c r="X34">
        <f t="shared" si="17"/>
        <v>35804.550000000003</v>
      </c>
      <c r="Y34">
        <f t="shared" si="18"/>
        <v>20359.45</v>
      </c>
      <c r="AA34">
        <v>50837261</v>
      </c>
      <c r="AB34">
        <f t="shared" si="19"/>
        <v>7584.6971599999997</v>
      </c>
      <c r="AC34">
        <f>ROUND((SUM(SmtRes!BQ44:'SmtRes'!BQ54)),6)</f>
        <v>2524.844235</v>
      </c>
      <c r="AD34">
        <f>ROUND((((SUM(SmtRes!BR44:'SmtRes'!BR54))-(SUM(SmtRes!BS44:'SmtRes'!BS54)))+AE34),6)</f>
        <v>229.03412499999999</v>
      </c>
      <c r="AE34">
        <f>ROUND((SUM(SmtRes!BS44:'SmtRes'!BS54)),6)</f>
        <v>97.922875000000005</v>
      </c>
      <c r="AF34">
        <f>ROUND((SUM(SmtRes!BT44:'SmtRes'!BT54)),6)</f>
        <v>4830.8188</v>
      </c>
      <c r="AG34">
        <f t="shared" si="20"/>
        <v>0</v>
      </c>
      <c r="AH34">
        <f>(SUM(SmtRes!BU44:'SmtRes'!BU54))</f>
        <v>13.431999999999999</v>
      </c>
      <c r="AI34">
        <f>(SUM(SmtRes!BV44:'SmtRes'!BV54))</f>
        <v>0.23749999999999999</v>
      </c>
      <c r="AJ34">
        <f t="shared" si="21"/>
        <v>0</v>
      </c>
      <c r="AK34">
        <v>6987.1218349999999</v>
      </c>
      <c r="AL34">
        <v>2524.844235</v>
      </c>
      <c r="AM34">
        <v>183.22729999999999</v>
      </c>
      <c r="AN34">
        <v>78.338300000000004</v>
      </c>
      <c r="AO34">
        <v>4200.7119999999995</v>
      </c>
      <c r="AP34">
        <v>0</v>
      </c>
      <c r="AQ34">
        <v>11.68</v>
      </c>
      <c r="AR34">
        <v>0.19</v>
      </c>
      <c r="AS34">
        <v>0</v>
      </c>
      <c r="AT34">
        <v>102</v>
      </c>
      <c r="AU34">
        <v>58</v>
      </c>
      <c r="AV34">
        <v>1</v>
      </c>
      <c r="AW34">
        <v>1</v>
      </c>
      <c r="AZ34">
        <v>1</v>
      </c>
      <c r="BA34">
        <v>1</v>
      </c>
      <c r="BB34">
        <v>1</v>
      </c>
      <c r="BC34">
        <v>1</v>
      </c>
      <c r="BD34" t="s">
        <v>3</v>
      </c>
      <c r="BE34" t="s">
        <v>3</v>
      </c>
      <c r="BF34" t="s">
        <v>3</v>
      </c>
      <c r="BG34" t="s">
        <v>3</v>
      </c>
      <c r="BH34">
        <v>0</v>
      </c>
      <c r="BI34">
        <v>1</v>
      </c>
      <c r="BJ34" t="s">
        <v>66</v>
      </c>
      <c r="BM34">
        <v>6001</v>
      </c>
      <c r="BN34">
        <v>0</v>
      </c>
      <c r="BO34" t="s">
        <v>3</v>
      </c>
      <c r="BP34">
        <v>0</v>
      </c>
      <c r="BQ34">
        <v>2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102</v>
      </c>
      <c r="CA34">
        <v>58</v>
      </c>
      <c r="CB34" t="s">
        <v>3</v>
      </c>
      <c r="CE34">
        <v>0</v>
      </c>
      <c r="CF34">
        <v>0</v>
      </c>
      <c r="CG34">
        <v>0</v>
      </c>
      <c r="CM34">
        <v>0</v>
      </c>
      <c r="CN34" t="s">
        <v>396</v>
      </c>
      <c r="CO34">
        <v>0</v>
      </c>
      <c r="CP34">
        <f t="shared" si="22"/>
        <v>61560.39</v>
      </c>
      <c r="CQ34">
        <f>SUMIF(SmtRes!AQ44:'SmtRes'!AQ54,"=1",SmtRes!AA44:'SmtRes'!AA54)</f>
        <v>25572.240000000002</v>
      </c>
      <c r="CR34">
        <f>SUMIF(SmtRes!AQ44:'SmtRes'!AQ54,"=1",SmtRes!AB44:'SmtRes'!AB54)</f>
        <v>2427.7200000000003</v>
      </c>
      <c r="CS34">
        <f>SUMIF(SmtRes!AQ44:'SmtRes'!AQ54,"=1",SmtRes!AC44:'SmtRes'!AC54)</f>
        <v>949</v>
      </c>
      <c r="CT34">
        <f>SUMIF(SmtRes!AQ44:'SmtRes'!AQ54,"=1",SmtRes!AD44:'SmtRes'!AD54)</f>
        <v>359.65</v>
      </c>
      <c r="CU34">
        <f t="shared" si="23"/>
        <v>0</v>
      </c>
      <c r="CV34">
        <f>SUMIF(SmtRes!AQ44:'SmtRes'!AQ54,"=1",SmtRes!BU44:'SmtRes'!BU54)</f>
        <v>13.431999999999999</v>
      </c>
      <c r="CW34">
        <f>SUMIF(SmtRes!AQ44:'SmtRes'!AQ54,"=1",SmtRes!BV44:'SmtRes'!BV54)</f>
        <v>0.23749999999999999</v>
      </c>
      <c r="CX34">
        <f t="shared" si="24"/>
        <v>0</v>
      </c>
      <c r="CY34">
        <f t="shared" si="25"/>
        <v>35804.550000000003</v>
      </c>
      <c r="CZ34">
        <f t="shared" si="26"/>
        <v>20359.45</v>
      </c>
      <c r="DB34">
        <v>1</v>
      </c>
      <c r="DC34" t="s">
        <v>3</v>
      </c>
      <c r="DD34" t="s">
        <v>3</v>
      </c>
      <c r="DE34" t="s">
        <v>67</v>
      </c>
      <c r="DF34" t="s">
        <v>67</v>
      </c>
      <c r="DG34" t="s">
        <v>68</v>
      </c>
      <c r="DH34" t="s">
        <v>3</v>
      </c>
      <c r="DI34" t="s">
        <v>68</v>
      </c>
      <c r="DJ34" t="s">
        <v>67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1007</v>
      </c>
      <c r="DV34" t="s">
        <v>65</v>
      </c>
      <c r="DW34" t="s">
        <v>65</v>
      </c>
      <c r="DX34">
        <v>1</v>
      </c>
      <c r="DZ34" t="s">
        <v>3</v>
      </c>
      <c r="EA34" t="s">
        <v>3</v>
      </c>
      <c r="EB34" t="s">
        <v>3</v>
      </c>
      <c r="EC34" t="s">
        <v>3</v>
      </c>
      <c r="EE34">
        <v>49642170</v>
      </c>
      <c r="EF34">
        <v>2</v>
      </c>
      <c r="EG34" t="s">
        <v>69</v>
      </c>
      <c r="EH34">
        <v>6</v>
      </c>
      <c r="EI34" t="s">
        <v>70</v>
      </c>
      <c r="EJ34">
        <v>1</v>
      </c>
      <c r="EK34">
        <v>6001</v>
      </c>
      <c r="EL34" t="s">
        <v>70</v>
      </c>
      <c r="EM34" t="s">
        <v>71</v>
      </c>
      <c r="EO34" t="s">
        <v>72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11.68</v>
      </c>
      <c r="EX34">
        <v>0.19</v>
      </c>
      <c r="EY34">
        <v>0</v>
      </c>
      <c r="FQ34">
        <v>0</v>
      </c>
      <c r="FR34">
        <v>0</v>
      </c>
      <c r="FS34">
        <v>0</v>
      </c>
      <c r="FX34">
        <v>102</v>
      </c>
      <c r="FY34">
        <v>58</v>
      </c>
      <c r="GA34" t="s">
        <v>3</v>
      </c>
      <c r="GD34">
        <v>1</v>
      </c>
      <c r="GF34">
        <v>-128600296</v>
      </c>
      <c r="GG34">
        <v>2</v>
      </c>
      <c r="GH34">
        <v>1</v>
      </c>
      <c r="GI34">
        <v>-2</v>
      </c>
      <c r="GJ34">
        <v>0</v>
      </c>
      <c r="GK34">
        <v>0</v>
      </c>
      <c r="GL34">
        <f t="shared" si="27"/>
        <v>0</v>
      </c>
      <c r="GM34">
        <f t="shared" si="28"/>
        <v>117724.39</v>
      </c>
      <c r="GN34">
        <f t="shared" si="29"/>
        <v>117724.39</v>
      </c>
      <c r="GO34">
        <f t="shared" si="30"/>
        <v>0</v>
      </c>
      <c r="GP34">
        <f t="shared" si="31"/>
        <v>0</v>
      </c>
      <c r="GR34">
        <v>0</v>
      </c>
      <c r="GS34">
        <v>3</v>
      </c>
      <c r="GT34">
        <v>0</v>
      </c>
      <c r="GU34" t="s">
        <v>3</v>
      </c>
      <c r="GV34">
        <f t="shared" si="32"/>
        <v>0</v>
      </c>
      <c r="GW34">
        <v>1</v>
      </c>
      <c r="GX34">
        <f t="shared" si="33"/>
        <v>0</v>
      </c>
      <c r="HA34">
        <v>0</v>
      </c>
      <c r="HB34">
        <v>0</v>
      </c>
      <c r="HC34">
        <f t="shared" si="34"/>
        <v>0</v>
      </c>
      <c r="HE34" t="s">
        <v>3</v>
      </c>
      <c r="HF34" t="s">
        <v>3</v>
      </c>
      <c r="HM34" t="s">
        <v>3</v>
      </c>
      <c r="HN34" t="s">
        <v>73</v>
      </c>
      <c r="HO34" t="s">
        <v>74</v>
      </c>
      <c r="HP34" t="s">
        <v>70</v>
      </c>
      <c r="HQ34" t="s">
        <v>70</v>
      </c>
      <c r="HS34">
        <v>0</v>
      </c>
      <c r="IK34">
        <v>0</v>
      </c>
    </row>
    <row r="35" spans="1:245">
      <c r="A35">
        <v>18</v>
      </c>
      <c r="B35">
        <v>1</v>
      </c>
      <c r="C35">
        <v>52</v>
      </c>
      <c r="E35" t="s">
        <v>75</v>
      </c>
      <c r="F35" t="s">
        <v>76</v>
      </c>
      <c r="G35" t="s">
        <v>77</v>
      </c>
      <c r="H35" t="s">
        <v>65</v>
      </c>
      <c r="I35">
        <f>I34*J35</f>
        <v>7.2644400000000005</v>
      </c>
      <c r="J35">
        <v>1.02</v>
      </c>
      <c r="K35">
        <v>1.02</v>
      </c>
      <c r="O35">
        <f t="shared" si="14"/>
        <v>44386.16</v>
      </c>
      <c r="P35">
        <f>ROUND(CQ35*I35,2)</f>
        <v>44386.16</v>
      </c>
      <c r="Q35">
        <f>ROUND(CR35*I35,2)</f>
        <v>0</v>
      </c>
      <c r="R35">
        <f>ROUND(CS35*I35,2)</f>
        <v>0</v>
      </c>
      <c r="S35">
        <f>ROUND(CT35*I35,2)</f>
        <v>0</v>
      </c>
      <c r="T35">
        <f t="shared" si="15"/>
        <v>0</v>
      </c>
      <c r="U35">
        <f>ROUND(CV35*I35,7)</f>
        <v>0</v>
      </c>
      <c r="V35">
        <f>ROUND(CW35*I35,7)</f>
        <v>0</v>
      </c>
      <c r="W35">
        <f t="shared" si="16"/>
        <v>0</v>
      </c>
      <c r="X35">
        <f t="shared" si="17"/>
        <v>0</v>
      </c>
      <c r="Y35">
        <f t="shared" si="18"/>
        <v>0</v>
      </c>
      <c r="AA35">
        <v>50837261</v>
      </c>
      <c r="AB35">
        <f t="shared" si="19"/>
        <v>6110.06</v>
      </c>
      <c r="AC35">
        <f>ROUND((ES35),6)</f>
        <v>6110.06</v>
      </c>
      <c r="AD35">
        <f>ROUND((((ET35)-(EU35))+AE35),6)</f>
        <v>0</v>
      </c>
      <c r="AE35">
        <f>ROUND((EU35),6)</f>
        <v>0</v>
      </c>
      <c r="AF35">
        <f>ROUND((EV35),6)</f>
        <v>0</v>
      </c>
      <c r="AG35">
        <f t="shared" si="20"/>
        <v>0</v>
      </c>
      <c r="AH35">
        <f>(EW35)</f>
        <v>0</v>
      </c>
      <c r="AI35">
        <f>(EX35)</f>
        <v>0</v>
      </c>
      <c r="AJ35">
        <f t="shared" si="21"/>
        <v>0</v>
      </c>
      <c r="AK35">
        <v>6110.06</v>
      </c>
      <c r="AL35">
        <v>6110.06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102</v>
      </c>
      <c r="AU35">
        <v>58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1</v>
      </c>
      <c r="BD35" t="s">
        <v>3</v>
      </c>
      <c r="BE35" t="s">
        <v>3</v>
      </c>
      <c r="BF35" t="s">
        <v>3</v>
      </c>
      <c r="BG35" t="s">
        <v>3</v>
      </c>
      <c r="BH35">
        <v>3</v>
      </c>
      <c r="BI35">
        <v>1</v>
      </c>
      <c r="BJ35" t="s">
        <v>78</v>
      </c>
      <c r="BM35">
        <v>6001</v>
      </c>
      <c r="BN35">
        <v>0</v>
      </c>
      <c r="BO35" t="s">
        <v>3</v>
      </c>
      <c r="BP35">
        <v>0</v>
      </c>
      <c r="BQ35">
        <v>2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102</v>
      </c>
      <c r="CA35">
        <v>58</v>
      </c>
      <c r="CB35" t="s">
        <v>3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22"/>
        <v>44386.16</v>
      </c>
      <c r="CQ35">
        <f>ROUND(AL35*BC35,2)</f>
        <v>6110.06</v>
      </c>
      <c r="CR35">
        <f>ROUND(AM35*BB35,2)</f>
        <v>0</v>
      </c>
      <c r="CS35">
        <f>ROUND(AN35*BS35,2)</f>
        <v>0</v>
      </c>
      <c r="CT35">
        <f>ROUND(AO35*BA35,2)</f>
        <v>0</v>
      </c>
      <c r="CU35">
        <f t="shared" si="23"/>
        <v>0</v>
      </c>
      <c r="CV35">
        <f>AH35</f>
        <v>0</v>
      </c>
      <c r="CW35">
        <f>AI35</f>
        <v>0</v>
      </c>
      <c r="CX35">
        <f t="shared" si="24"/>
        <v>0</v>
      </c>
      <c r="CY35">
        <f t="shared" si="25"/>
        <v>0</v>
      </c>
      <c r="CZ35">
        <f t="shared" si="26"/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1007</v>
      </c>
      <c r="DV35" t="s">
        <v>65</v>
      </c>
      <c r="DW35" t="s">
        <v>65</v>
      </c>
      <c r="DX35">
        <v>1</v>
      </c>
      <c r="DZ35" t="s">
        <v>3</v>
      </c>
      <c r="EA35" t="s">
        <v>3</v>
      </c>
      <c r="EB35" t="s">
        <v>3</v>
      </c>
      <c r="EC35" t="s">
        <v>3</v>
      </c>
      <c r="EE35">
        <v>49642170</v>
      </c>
      <c r="EF35">
        <v>2</v>
      </c>
      <c r="EG35" t="s">
        <v>69</v>
      </c>
      <c r="EH35">
        <v>6</v>
      </c>
      <c r="EI35" t="s">
        <v>70</v>
      </c>
      <c r="EJ35">
        <v>1</v>
      </c>
      <c r="EK35">
        <v>6001</v>
      </c>
      <c r="EL35" t="s">
        <v>70</v>
      </c>
      <c r="EM35" t="s">
        <v>71</v>
      </c>
      <c r="EO35" t="s">
        <v>3</v>
      </c>
      <c r="EQ35">
        <v>0</v>
      </c>
      <c r="ER35">
        <v>6110.06</v>
      </c>
      <c r="ES35">
        <v>6110.06</v>
      </c>
      <c r="ET35">
        <v>0</v>
      </c>
      <c r="EU35">
        <v>0</v>
      </c>
      <c r="EV35">
        <v>0</v>
      </c>
      <c r="EW35">
        <v>0</v>
      </c>
      <c r="EX35">
        <v>0</v>
      </c>
      <c r="FQ35">
        <v>0</v>
      </c>
      <c r="FR35">
        <v>0</v>
      </c>
      <c r="FS35">
        <v>0</v>
      </c>
      <c r="FX35">
        <v>102</v>
      </c>
      <c r="FY35">
        <v>58</v>
      </c>
      <c r="GA35" t="s">
        <v>3</v>
      </c>
      <c r="GD35">
        <v>1</v>
      </c>
      <c r="GE35">
        <v>4680.55</v>
      </c>
      <c r="GF35">
        <v>450413759</v>
      </c>
      <c r="GG35">
        <v>2</v>
      </c>
      <c r="GH35">
        <v>1</v>
      </c>
      <c r="GI35">
        <v>-2</v>
      </c>
      <c r="GJ35">
        <v>0</v>
      </c>
      <c r="GK35">
        <v>0</v>
      </c>
      <c r="GL35">
        <f t="shared" si="27"/>
        <v>0</v>
      </c>
      <c r="GM35">
        <f t="shared" si="28"/>
        <v>44386.16</v>
      </c>
      <c r="GN35">
        <f t="shared" si="29"/>
        <v>44386.16</v>
      </c>
      <c r="GO35">
        <f t="shared" si="30"/>
        <v>0</v>
      </c>
      <c r="GP35">
        <f t="shared" si="31"/>
        <v>0</v>
      </c>
      <c r="GR35">
        <v>3</v>
      </c>
      <c r="GS35">
        <v>3</v>
      </c>
      <c r="GT35">
        <v>0</v>
      </c>
      <c r="GU35" t="s">
        <v>3</v>
      </c>
      <c r="GV35">
        <f t="shared" si="32"/>
        <v>0</v>
      </c>
      <c r="GW35">
        <v>1</v>
      </c>
      <c r="GX35">
        <f t="shared" si="33"/>
        <v>0</v>
      </c>
      <c r="HA35">
        <v>0</v>
      </c>
      <c r="HB35">
        <v>0</v>
      </c>
      <c r="HC35">
        <f t="shared" si="34"/>
        <v>0</v>
      </c>
      <c r="HE35" t="s">
        <v>3</v>
      </c>
      <c r="HF35" t="s">
        <v>3</v>
      </c>
      <c r="HM35" t="s">
        <v>3</v>
      </c>
      <c r="HN35" t="s">
        <v>73</v>
      </c>
      <c r="HO35" t="s">
        <v>74</v>
      </c>
      <c r="HP35" t="s">
        <v>70</v>
      </c>
      <c r="HQ35" t="s">
        <v>70</v>
      </c>
      <c r="HS35">
        <v>0</v>
      </c>
      <c r="IK35">
        <v>0</v>
      </c>
    </row>
    <row r="36" spans="1:245">
      <c r="A36">
        <v>17</v>
      </c>
      <c r="B36">
        <v>1</v>
      </c>
      <c r="C36">
        <f>ROW(SmtRes!A63)</f>
        <v>63</v>
      </c>
      <c r="D36">
        <f>ROW(EtalonRes!A67)</f>
        <v>67</v>
      </c>
      <c r="E36" t="s">
        <v>79</v>
      </c>
      <c r="F36" t="s">
        <v>80</v>
      </c>
      <c r="G36" t="s">
        <v>81</v>
      </c>
      <c r="H36" t="s">
        <v>18</v>
      </c>
      <c r="I36">
        <f>ROUND(7.4/100,7)</f>
        <v>7.3999999999999996E-2</v>
      </c>
      <c r="J36">
        <v>0</v>
      </c>
      <c r="K36">
        <f>ROUND(7.4/100,7)</f>
        <v>7.3999999999999996E-2</v>
      </c>
      <c r="O36">
        <f t="shared" si="14"/>
        <v>7007.41</v>
      </c>
      <c r="P36">
        <f>SUMIF(SmtRes!AQ55:'SmtRes'!AQ63,"=1",SmtRes!DF55:'SmtRes'!DF63)</f>
        <v>492.43</v>
      </c>
      <c r="Q36">
        <f>SUMIF(SmtRes!AQ55:'SmtRes'!AQ63,"=1",SmtRes!DG55:'SmtRes'!DG63)</f>
        <v>16.939999999999998</v>
      </c>
      <c r="R36">
        <f>SUMIF(SmtRes!AQ55:'SmtRes'!AQ63,"=1",SmtRes!DH55:'SmtRes'!DH63)</f>
        <v>8.74</v>
      </c>
      <c r="S36">
        <f>SUMIF(SmtRes!AQ55:'SmtRes'!AQ63,"=1",SmtRes!DI55:'SmtRes'!DI63)</f>
        <v>6489.3</v>
      </c>
      <c r="T36">
        <f t="shared" si="15"/>
        <v>0</v>
      </c>
      <c r="U36">
        <f>SUMIF(SmtRes!AQ55:'SmtRes'!AQ63,"=1",SmtRes!CV55:'SmtRes'!CV63)</f>
        <v>17.385929999999998</v>
      </c>
      <c r="V36">
        <f>SUMIF(SmtRes!AQ55:'SmtRes'!AQ63,"=1",SmtRes!CW55:'SmtRes'!CW63)</f>
        <v>2.035E-2</v>
      </c>
      <c r="W36">
        <f t="shared" si="16"/>
        <v>0</v>
      </c>
      <c r="X36">
        <f t="shared" si="17"/>
        <v>6498.04</v>
      </c>
      <c r="Y36">
        <f t="shared" si="18"/>
        <v>3184.04</v>
      </c>
      <c r="AA36">
        <v>50837261</v>
      </c>
      <c r="AB36">
        <f t="shared" si="19"/>
        <v>92802.870353999999</v>
      </c>
      <c r="AC36">
        <f>ROUND((SUM(SmtRes!BQ55:'SmtRes'!BQ63)),6)</f>
        <v>4880.8021040000003</v>
      </c>
      <c r="AD36">
        <f>ROUND((((SUM(SmtRes!BR55:'SmtRes'!BR63))-(SUM(SmtRes!BS55:'SmtRes'!BS63)))+AE36),6)</f>
        <v>228.84700000000001</v>
      </c>
      <c r="AE36">
        <f>ROUND((SUM(SmtRes!BS55:'SmtRes'!BS63)),6)</f>
        <v>118.17175</v>
      </c>
      <c r="AF36">
        <f>ROUND((SUM(SmtRes!BT55:'SmtRes'!BT63)),6)</f>
        <v>87693.221250000002</v>
      </c>
      <c r="AG36">
        <f t="shared" si="20"/>
        <v>0</v>
      </c>
      <c r="AH36">
        <f>(SUM(SmtRes!BU55:'SmtRes'!BU63))</f>
        <v>234.94499999999999</v>
      </c>
      <c r="AI36">
        <f>(SUM(SmtRes!BV55:'SmtRes'!BV63))</f>
        <v>0.27500000000000002</v>
      </c>
      <c r="AJ36">
        <f t="shared" si="21"/>
        <v>0</v>
      </c>
      <c r="AK36">
        <v>81413.392103999999</v>
      </c>
      <c r="AL36">
        <v>4880.8021039999994</v>
      </c>
      <c r="AM36">
        <v>183.07760000000002</v>
      </c>
      <c r="AN36">
        <v>94.537400000000005</v>
      </c>
      <c r="AO36">
        <v>76254.975000000006</v>
      </c>
      <c r="AP36">
        <v>0</v>
      </c>
      <c r="AQ36">
        <v>204.3</v>
      </c>
      <c r="AR36">
        <v>0.22</v>
      </c>
      <c r="AS36">
        <v>0</v>
      </c>
      <c r="AT36">
        <v>100</v>
      </c>
      <c r="AU36">
        <v>49</v>
      </c>
      <c r="AV36">
        <v>1</v>
      </c>
      <c r="AW36">
        <v>1</v>
      </c>
      <c r="AZ36">
        <v>1</v>
      </c>
      <c r="BA36">
        <v>1</v>
      </c>
      <c r="BB36">
        <v>1</v>
      </c>
      <c r="BC36">
        <v>1</v>
      </c>
      <c r="BD36" t="s">
        <v>3</v>
      </c>
      <c r="BE36" t="s">
        <v>3</v>
      </c>
      <c r="BF36" t="s">
        <v>3</v>
      </c>
      <c r="BG36" t="s">
        <v>3</v>
      </c>
      <c r="BH36">
        <v>0</v>
      </c>
      <c r="BI36">
        <v>1</v>
      </c>
      <c r="BJ36" t="s">
        <v>82</v>
      </c>
      <c r="BM36">
        <v>15001</v>
      </c>
      <c r="BN36">
        <v>0</v>
      </c>
      <c r="BO36" t="s">
        <v>3</v>
      </c>
      <c r="BP36">
        <v>0</v>
      </c>
      <c r="BQ36">
        <v>2</v>
      </c>
      <c r="BR36">
        <v>0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100</v>
      </c>
      <c r="CA36">
        <v>49</v>
      </c>
      <c r="CB36" t="s">
        <v>3</v>
      </c>
      <c r="CE36">
        <v>0</v>
      </c>
      <c r="CF36">
        <v>0</v>
      </c>
      <c r="CG36">
        <v>0</v>
      </c>
      <c r="CM36">
        <v>0</v>
      </c>
      <c r="CN36" t="s">
        <v>396</v>
      </c>
      <c r="CO36">
        <v>0</v>
      </c>
      <c r="CP36">
        <f t="shared" si="22"/>
        <v>7007.41</v>
      </c>
      <c r="CQ36">
        <f>SUMIF(SmtRes!AQ55:'SmtRes'!AQ63,"=1",SmtRes!AA55:'SmtRes'!AA63)</f>
        <v>77019.210000000006</v>
      </c>
      <c r="CR36">
        <f>SUMIF(SmtRes!AQ55:'SmtRes'!AQ63,"=1",SmtRes!AB55:'SmtRes'!AB63)</f>
        <v>1731.64</v>
      </c>
      <c r="CS36">
        <f>SUMIF(SmtRes!AQ55:'SmtRes'!AQ63,"=1",SmtRes!AC55:'SmtRes'!AC63)</f>
        <v>870.42000000000007</v>
      </c>
      <c r="CT36">
        <f>SUMIF(SmtRes!AQ55:'SmtRes'!AQ63,"=1",SmtRes!AD55:'SmtRes'!AD63)</f>
        <v>373.25</v>
      </c>
      <c r="CU36">
        <f t="shared" si="23"/>
        <v>0</v>
      </c>
      <c r="CV36">
        <f>SUMIF(SmtRes!AQ55:'SmtRes'!AQ63,"=1",SmtRes!BU55:'SmtRes'!BU63)</f>
        <v>234.94499999999999</v>
      </c>
      <c r="CW36">
        <f>SUMIF(SmtRes!AQ55:'SmtRes'!AQ63,"=1",SmtRes!BV55:'SmtRes'!BV63)</f>
        <v>0.27500000000000002</v>
      </c>
      <c r="CX36">
        <f t="shared" si="24"/>
        <v>0</v>
      </c>
      <c r="CY36">
        <f t="shared" si="25"/>
        <v>6498.04</v>
      </c>
      <c r="CZ36">
        <f t="shared" si="26"/>
        <v>3184.0396000000001</v>
      </c>
      <c r="DB36">
        <v>2</v>
      </c>
      <c r="DC36" t="s">
        <v>3</v>
      </c>
      <c r="DD36" t="s">
        <v>3</v>
      </c>
      <c r="DE36" t="s">
        <v>67</v>
      </c>
      <c r="DF36" t="s">
        <v>67</v>
      </c>
      <c r="DG36" t="s">
        <v>68</v>
      </c>
      <c r="DH36" t="s">
        <v>3</v>
      </c>
      <c r="DI36" t="s">
        <v>68</v>
      </c>
      <c r="DJ36" t="s">
        <v>67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1005</v>
      </c>
      <c r="DV36" t="s">
        <v>18</v>
      </c>
      <c r="DW36" t="s">
        <v>18</v>
      </c>
      <c r="DX36">
        <v>100</v>
      </c>
      <c r="DZ36" t="s">
        <v>3</v>
      </c>
      <c r="EA36" t="s">
        <v>3</v>
      </c>
      <c r="EB36" t="s">
        <v>3</v>
      </c>
      <c r="EC36" t="s">
        <v>3</v>
      </c>
      <c r="EE36">
        <v>49642209</v>
      </c>
      <c r="EF36">
        <v>2</v>
      </c>
      <c r="EG36" t="s">
        <v>69</v>
      </c>
      <c r="EH36">
        <v>15</v>
      </c>
      <c r="EI36" t="s">
        <v>83</v>
      </c>
      <c r="EJ36">
        <v>1</v>
      </c>
      <c r="EK36">
        <v>15001</v>
      </c>
      <c r="EL36" t="s">
        <v>83</v>
      </c>
      <c r="EM36" t="s">
        <v>84</v>
      </c>
      <c r="EO36" t="s">
        <v>72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204.3</v>
      </c>
      <c r="EX36">
        <v>0.22</v>
      </c>
      <c r="EY36">
        <v>0</v>
      </c>
      <c r="FQ36">
        <v>0</v>
      </c>
      <c r="FR36">
        <v>0</v>
      </c>
      <c r="FS36">
        <v>0</v>
      </c>
      <c r="FX36">
        <v>100</v>
      </c>
      <c r="FY36">
        <v>49</v>
      </c>
      <c r="GA36" t="s">
        <v>3</v>
      </c>
      <c r="GD36">
        <v>1</v>
      </c>
      <c r="GF36">
        <v>-323815549</v>
      </c>
      <c r="GG36">
        <v>2</v>
      </c>
      <c r="GH36">
        <v>1</v>
      </c>
      <c r="GI36">
        <v>-2</v>
      </c>
      <c r="GJ36">
        <v>0</v>
      </c>
      <c r="GK36">
        <v>0</v>
      </c>
      <c r="GL36">
        <f t="shared" si="27"/>
        <v>0</v>
      </c>
      <c r="GM36">
        <f t="shared" si="28"/>
        <v>16689.490000000002</v>
      </c>
      <c r="GN36">
        <f t="shared" si="29"/>
        <v>16689.490000000002</v>
      </c>
      <c r="GO36">
        <f t="shared" si="30"/>
        <v>0</v>
      </c>
      <c r="GP36">
        <f t="shared" si="31"/>
        <v>0</v>
      </c>
      <c r="GR36">
        <v>0</v>
      </c>
      <c r="GS36">
        <v>3</v>
      </c>
      <c r="GT36">
        <v>0</v>
      </c>
      <c r="GU36" t="s">
        <v>3</v>
      </c>
      <c r="GV36">
        <f t="shared" si="32"/>
        <v>0</v>
      </c>
      <c r="GW36">
        <v>1</v>
      </c>
      <c r="GX36">
        <f t="shared" si="33"/>
        <v>0</v>
      </c>
      <c r="HA36">
        <v>0</v>
      </c>
      <c r="HB36">
        <v>0</v>
      </c>
      <c r="HC36">
        <f t="shared" si="34"/>
        <v>0</v>
      </c>
      <c r="HE36" t="s">
        <v>3</v>
      </c>
      <c r="HF36" t="s">
        <v>3</v>
      </c>
      <c r="HM36" t="s">
        <v>3</v>
      </c>
      <c r="HN36" t="s">
        <v>85</v>
      </c>
      <c r="HO36" t="s">
        <v>86</v>
      </c>
      <c r="HP36" t="s">
        <v>83</v>
      </c>
      <c r="HQ36" t="s">
        <v>83</v>
      </c>
      <c r="HS36">
        <v>0</v>
      </c>
      <c r="IK36">
        <v>0</v>
      </c>
    </row>
    <row r="37" spans="1:245">
      <c r="A37">
        <v>17</v>
      </c>
      <c r="B37">
        <v>1</v>
      </c>
      <c r="E37" t="s">
        <v>87</v>
      </c>
      <c r="F37" t="s">
        <v>88</v>
      </c>
      <c r="G37" t="s">
        <v>89</v>
      </c>
      <c r="H37" t="s">
        <v>65</v>
      </c>
      <c r="I37">
        <v>0.25900000000000001</v>
      </c>
      <c r="J37">
        <v>0</v>
      </c>
      <c r="K37">
        <v>0.25900000000000001</v>
      </c>
      <c r="O37">
        <f t="shared" si="14"/>
        <v>1765.27</v>
      </c>
      <c r="P37">
        <f>ROUND(CQ37*I37,2)</f>
        <v>1765.27</v>
      </c>
      <c r="Q37">
        <f>ROUND(CR37*I37,2)</f>
        <v>0</v>
      </c>
      <c r="R37">
        <f>ROUND(CS37*I37,2)</f>
        <v>0</v>
      </c>
      <c r="S37">
        <f>ROUND(CT37*I37,2)</f>
        <v>0</v>
      </c>
      <c r="T37">
        <f t="shared" si="15"/>
        <v>0</v>
      </c>
      <c r="U37">
        <f>ROUND(CV37*I37,7)</f>
        <v>0</v>
      </c>
      <c r="V37">
        <f>ROUND(CW37*I37,7)</f>
        <v>0</v>
      </c>
      <c r="W37">
        <f t="shared" si="16"/>
        <v>0</v>
      </c>
      <c r="X37">
        <f t="shared" si="17"/>
        <v>0</v>
      </c>
      <c r="Y37">
        <f t="shared" si="18"/>
        <v>0</v>
      </c>
      <c r="AA37">
        <v>50837261</v>
      </c>
      <c r="AB37">
        <f t="shared" si="19"/>
        <v>6815.7</v>
      </c>
      <c r="AC37">
        <f>ROUND((ES37),6)</f>
        <v>6815.7</v>
      </c>
      <c r="AD37">
        <f>ROUND((((ET37)-(EU37))+AE37),6)</f>
        <v>0</v>
      </c>
      <c r="AE37">
        <f>ROUND((EU37),6)</f>
        <v>0</v>
      </c>
      <c r="AF37">
        <f>ROUND((EV37),6)</f>
        <v>0</v>
      </c>
      <c r="AG37">
        <f t="shared" si="20"/>
        <v>0</v>
      </c>
      <c r="AH37">
        <f>(EW37)</f>
        <v>0</v>
      </c>
      <c r="AI37">
        <f>(EX37)</f>
        <v>0</v>
      </c>
      <c r="AJ37">
        <f t="shared" si="21"/>
        <v>0</v>
      </c>
      <c r="AK37">
        <v>6815.7</v>
      </c>
      <c r="AL37">
        <v>6815.7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1</v>
      </c>
      <c r="BJ37" t="s">
        <v>90</v>
      </c>
      <c r="BM37">
        <v>500001</v>
      </c>
      <c r="BN37">
        <v>0</v>
      </c>
      <c r="BO37" t="s">
        <v>3</v>
      </c>
      <c r="BP37">
        <v>0</v>
      </c>
      <c r="BQ37">
        <v>8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0</v>
      </c>
      <c r="CA37">
        <v>0</v>
      </c>
      <c r="CB37" t="s">
        <v>3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22"/>
        <v>1765.27</v>
      </c>
      <c r="CQ37">
        <f>ROUND(AL37*BC37,2)</f>
        <v>6815.7</v>
      </c>
      <c r="CR37">
        <f>ROUND(AM37*BB37,2)</f>
        <v>0</v>
      </c>
      <c r="CS37">
        <f>ROUND(AN37*BS37,2)</f>
        <v>0</v>
      </c>
      <c r="CT37">
        <f>ROUND(AO37*BA37,2)</f>
        <v>0</v>
      </c>
      <c r="CU37">
        <f t="shared" si="23"/>
        <v>0</v>
      </c>
      <c r="CV37">
        <f>AH37</f>
        <v>0</v>
      </c>
      <c r="CW37">
        <f>AI37</f>
        <v>0</v>
      </c>
      <c r="CX37">
        <f t="shared" si="24"/>
        <v>0</v>
      </c>
      <c r="CY37">
        <f>0</f>
        <v>0</v>
      </c>
      <c r="CZ37">
        <f>0</f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1007</v>
      </c>
      <c r="DV37" t="s">
        <v>65</v>
      </c>
      <c r="DW37" t="s">
        <v>65</v>
      </c>
      <c r="DX37">
        <v>1</v>
      </c>
      <c r="DZ37" t="s">
        <v>3</v>
      </c>
      <c r="EA37" t="s">
        <v>3</v>
      </c>
      <c r="EB37" t="s">
        <v>3</v>
      </c>
      <c r="EC37" t="s">
        <v>3</v>
      </c>
      <c r="EE37">
        <v>49642116</v>
      </c>
      <c r="EF37">
        <v>8</v>
      </c>
      <c r="EG37" t="s">
        <v>91</v>
      </c>
      <c r="EH37">
        <v>0</v>
      </c>
      <c r="EI37" t="s">
        <v>3</v>
      </c>
      <c r="EJ37">
        <v>1</v>
      </c>
      <c r="EK37">
        <v>500001</v>
      </c>
      <c r="EL37" t="s">
        <v>92</v>
      </c>
      <c r="EM37" t="s">
        <v>93</v>
      </c>
      <c r="EO37" t="s">
        <v>3</v>
      </c>
      <c r="EQ37">
        <v>0</v>
      </c>
      <c r="ER37">
        <v>6815.7</v>
      </c>
      <c r="ES37">
        <v>6815.7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FQ37">
        <v>0</v>
      </c>
      <c r="FR37">
        <v>0</v>
      </c>
      <c r="FS37">
        <v>0</v>
      </c>
      <c r="FX37">
        <v>0</v>
      </c>
      <c r="FY37">
        <v>0</v>
      </c>
      <c r="GA37" t="s">
        <v>3</v>
      </c>
      <c r="GD37">
        <v>1</v>
      </c>
      <c r="GE37">
        <v>3948.62</v>
      </c>
      <c r="GF37">
        <v>-339779113</v>
      </c>
      <c r="GG37">
        <v>2</v>
      </c>
      <c r="GH37">
        <v>1</v>
      </c>
      <c r="GI37">
        <v>-2</v>
      </c>
      <c r="GJ37">
        <v>0</v>
      </c>
      <c r="GK37">
        <v>0</v>
      </c>
      <c r="GL37">
        <f t="shared" si="27"/>
        <v>0</v>
      </c>
      <c r="GM37">
        <f t="shared" si="28"/>
        <v>1765.27</v>
      </c>
      <c r="GN37">
        <f t="shared" si="29"/>
        <v>1765.27</v>
      </c>
      <c r="GO37">
        <f t="shared" si="30"/>
        <v>0</v>
      </c>
      <c r="GP37">
        <f t="shared" si="31"/>
        <v>0</v>
      </c>
      <c r="GR37">
        <v>3</v>
      </c>
      <c r="GS37">
        <v>3</v>
      </c>
      <c r="GT37">
        <v>0</v>
      </c>
      <c r="GU37" t="s">
        <v>3</v>
      </c>
      <c r="GV37">
        <f t="shared" si="32"/>
        <v>0</v>
      </c>
      <c r="GW37">
        <v>1</v>
      </c>
      <c r="GX37">
        <f t="shared" si="33"/>
        <v>0</v>
      </c>
      <c r="HA37">
        <v>0</v>
      </c>
      <c r="HB37">
        <v>0</v>
      </c>
      <c r="HC37">
        <f t="shared" si="34"/>
        <v>0</v>
      </c>
      <c r="HE37" t="s">
        <v>3</v>
      </c>
      <c r="HF37" t="s">
        <v>3</v>
      </c>
      <c r="HM37" t="s">
        <v>3</v>
      </c>
      <c r="HN37" t="s">
        <v>3</v>
      </c>
      <c r="HO37" t="s">
        <v>3</v>
      </c>
      <c r="HP37" t="s">
        <v>3</v>
      </c>
      <c r="HQ37" t="s">
        <v>3</v>
      </c>
      <c r="HS37">
        <v>0</v>
      </c>
      <c r="IK37">
        <v>0</v>
      </c>
    </row>
    <row r="38" spans="1:245">
      <c r="A38">
        <v>17</v>
      </c>
      <c r="B38">
        <v>1</v>
      </c>
      <c r="E38" t="s">
        <v>94</v>
      </c>
      <c r="F38" t="s">
        <v>95</v>
      </c>
      <c r="G38" t="s">
        <v>96</v>
      </c>
      <c r="H38" t="s">
        <v>97</v>
      </c>
      <c r="I38">
        <v>0.74</v>
      </c>
      <c r="J38">
        <v>0</v>
      </c>
      <c r="K38">
        <v>0.74</v>
      </c>
      <c r="O38">
        <f t="shared" si="14"/>
        <v>3298.51</v>
      </c>
      <c r="P38">
        <f>ROUND(CQ38*I38,2)</f>
        <v>3298.51</v>
      </c>
      <c r="Q38">
        <f>ROUND(CR38*I38,2)</f>
        <v>0</v>
      </c>
      <c r="R38">
        <f>ROUND(CS38*I38,2)</f>
        <v>0</v>
      </c>
      <c r="S38">
        <f>ROUND(CT38*I38,2)</f>
        <v>0</v>
      </c>
      <c r="T38">
        <f t="shared" si="15"/>
        <v>0</v>
      </c>
      <c r="U38">
        <f>ROUND(CV38*I38,7)</f>
        <v>0</v>
      </c>
      <c r="V38">
        <f>ROUND(CW38*I38,7)</f>
        <v>0</v>
      </c>
      <c r="W38">
        <f t="shared" si="16"/>
        <v>0</v>
      </c>
      <c r="X38">
        <f t="shared" si="17"/>
        <v>0</v>
      </c>
      <c r="Y38">
        <f t="shared" si="18"/>
        <v>0</v>
      </c>
      <c r="AA38">
        <v>50837261</v>
      </c>
      <c r="AB38">
        <f t="shared" si="19"/>
        <v>2857.34</v>
      </c>
      <c r="AC38">
        <f>ROUND((ES38),6)</f>
        <v>2857.34</v>
      </c>
      <c r="AD38">
        <f>ROUND((((ET38)-(EU38))+AE38),6)</f>
        <v>0</v>
      </c>
      <c r="AE38">
        <f>ROUND((EU38),6)</f>
        <v>0</v>
      </c>
      <c r="AF38">
        <f>ROUND((EV38),6)</f>
        <v>0</v>
      </c>
      <c r="AG38">
        <f t="shared" si="20"/>
        <v>0</v>
      </c>
      <c r="AH38">
        <f>(EW38)</f>
        <v>0</v>
      </c>
      <c r="AI38">
        <f>(EX38)</f>
        <v>0</v>
      </c>
      <c r="AJ38">
        <f t="shared" si="21"/>
        <v>0</v>
      </c>
      <c r="AK38">
        <v>2857.34</v>
      </c>
      <c r="AL38">
        <v>2857.34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1</v>
      </c>
      <c r="AW38">
        <v>1</v>
      </c>
      <c r="AZ38">
        <v>1</v>
      </c>
      <c r="BA38">
        <v>1</v>
      </c>
      <c r="BB38">
        <v>1</v>
      </c>
      <c r="BC38">
        <v>1.56</v>
      </c>
      <c r="BD38" t="s">
        <v>3</v>
      </c>
      <c r="BE38" t="s">
        <v>3</v>
      </c>
      <c r="BF38" t="s">
        <v>3</v>
      </c>
      <c r="BG38" t="s">
        <v>3</v>
      </c>
      <c r="BH38">
        <v>3</v>
      </c>
      <c r="BI38">
        <v>1</v>
      </c>
      <c r="BJ38" t="s">
        <v>98</v>
      </c>
      <c r="BM38">
        <v>500001</v>
      </c>
      <c r="BN38">
        <v>0</v>
      </c>
      <c r="BO38" t="s">
        <v>95</v>
      </c>
      <c r="BP38">
        <v>1</v>
      </c>
      <c r="BQ38">
        <v>8</v>
      </c>
      <c r="BR38">
        <v>0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0</v>
      </c>
      <c r="CA38">
        <v>0</v>
      </c>
      <c r="CB38" t="s">
        <v>3</v>
      </c>
      <c r="CE38">
        <v>0</v>
      </c>
      <c r="CF38">
        <v>0</v>
      </c>
      <c r="CG38">
        <v>0</v>
      </c>
      <c r="CM38">
        <v>0</v>
      </c>
      <c r="CN38" t="s">
        <v>3</v>
      </c>
      <c r="CO38">
        <v>0</v>
      </c>
      <c r="CP38">
        <f t="shared" si="22"/>
        <v>3298.51</v>
      </c>
      <c r="CQ38">
        <f>ROUND(AL38*BC38,2)</f>
        <v>4457.45</v>
      </c>
      <c r="CR38">
        <f>ROUND(AM38*BB38,2)</f>
        <v>0</v>
      </c>
      <c r="CS38">
        <f>ROUND(AN38*BS38,2)</f>
        <v>0</v>
      </c>
      <c r="CT38">
        <f>ROUND(AO38*BA38,2)</f>
        <v>0</v>
      </c>
      <c r="CU38">
        <f t="shared" si="23"/>
        <v>0</v>
      </c>
      <c r="CV38">
        <f>AH38</f>
        <v>0</v>
      </c>
      <c r="CW38">
        <f>AI38</f>
        <v>0</v>
      </c>
      <c r="CX38">
        <f t="shared" si="24"/>
        <v>0</v>
      </c>
      <c r="CY38">
        <f>0</f>
        <v>0</v>
      </c>
      <c r="CZ38">
        <f>0</f>
        <v>0</v>
      </c>
      <c r="DC38" t="s">
        <v>3</v>
      </c>
      <c r="DD38" t="s">
        <v>3</v>
      </c>
      <c r="DE38" t="s">
        <v>3</v>
      </c>
      <c r="DF38" t="s">
        <v>3</v>
      </c>
      <c r="DG38" t="s">
        <v>3</v>
      </c>
      <c r="DH38" t="s">
        <v>3</v>
      </c>
      <c r="DI38" t="s">
        <v>3</v>
      </c>
      <c r="DJ38" t="s">
        <v>3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U38">
        <v>1005</v>
      </c>
      <c r="DV38" t="s">
        <v>97</v>
      </c>
      <c r="DW38" t="s">
        <v>97</v>
      </c>
      <c r="DX38">
        <v>1</v>
      </c>
      <c r="DZ38" t="s">
        <v>3</v>
      </c>
      <c r="EA38" t="s">
        <v>3</v>
      </c>
      <c r="EB38" t="s">
        <v>3</v>
      </c>
      <c r="EC38" t="s">
        <v>3</v>
      </c>
      <c r="EE38">
        <v>49642116</v>
      </c>
      <c r="EF38">
        <v>8</v>
      </c>
      <c r="EG38" t="s">
        <v>91</v>
      </c>
      <c r="EH38">
        <v>0</v>
      </c>
      <c r="EI38" t="s">
        <v>3</v>
      </c>
      <c r="EJ38">
        <v>1</v>
      </c>
      <c r="EK38">
        <v>500001</v>
      </c>
      <c r="EL38" t="s">
        <v>92</v>
      </c>
      <c r="EM38" t="s">
        <v>93</v>
      </c>
      <c r="EO38" t="s">
        <v>3</v>
      </c>
      <c r="EQ38">
        <v>0</v>
      </c>
      <c r="ER38">
        <v>2857.34</v>
      </c>
      <c r="ES38">
        <v>2857.34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FQ38">
        <v>0</v>
      </c>
      <c r="FR38">
        <v>0</v>
      </c>
      <c r="FS38">
        <v>0</v>
      </c>
      <c r="FX38">
        <v>0</v>
      </c>
      <c r="FY38">
        <v>0</v>
      </c>
      <c r="GA38" t="s">
        <v>3</v>
      </c>
      <c r="GD38">
        <v>1</v>
      </c>
      <c r="GF38">
        <v>-2039507341</v>
      </c>
      <c r="GG38">
        <v>2</v>
      </c>
      <c r="GH38">
        <v>1</v>
      </c>
      <c r="GI38">
        <v>2</v>
      </c>
      <c r="GJ38">
        <v>0</v>
      </c>
      <c r="GK38">
        <v>0</v>
      </c>
      <c r="GL38">
        <f t="shared" si="27"/>
        <v>0</v>
      </c>
      <c r="GM38">
        <f t="shared" si="28"/>
        <v>3298.51</v>
      </c>
      <c r="GN38">
        <f t="shared" si="29"/>
        <v>3298.51</v>
      </c>
      <c r="GO38">
        <f t="shared" si="30"/>
        <v>0</v>
      </c>
      <c r="GP38">
        <f t="shared" si="31"/>
        <v>0</v>
      </c>
      <c r="GR38">
        <v>0</v>
      </c>
      <c r="GS38">
        <v>3</v>
      </c>
      <c r="GT38">
        <v>0</v>
      </c>
      <c r="GU38" t="s">
        <v>3</v>
      </c>
      <c r="GV38">
        <f t="shared" si="32"/>
        <v>0</v>
      </c>
      <c r="GW38">
        <v>1</v>
      </c>
      <c r="GX38">
        <f t="shared" si="33"/>
        <v>0</v>
      </c>
      <c r="HA38">
        <v>0</v>
      </c>
      <c r="HB38">
        <v>0</v>
      </c>
      <c r="HC38">
        <f t="shared" si="34"/>
        <v>0</v>
      </c>
      <c r="HE38" t="s">
        <v>3</v>
      </c>
      <c r="HF38" t="s">
        <v>3</v>
      </c>
      <c r="HM38" t="s">
        <v>3</v>
      </c>
      <c r="HN38" t="s">
        <v>3</v>
      </c>
      <c r="HO38" t="s">
        <v>3</v>
      </c>
      <c r="HP38" t="s">
        <v>3</v>
      </c>
      <c r="HQ38" t="s">
        <v>3</v>
      </c>
      <c r="HS38">
        <v>0</v>
      </c>
      <c r="IK38">
        <v>0</v>
      </c>
    </row>
    <row r="39" spans="1:245">
      <c r="A39">
        <v>17</v>
      </c>
      <c r="B39">
        <v>1</v>
      </c>
      <c r="C39">
        <f>ROW(SmtRes!A73)</f>
        <v>73</v>
      </c>
      <c r="D39">
        <f>ROW(EtalonRes!A77)</f>
        <v>77</v>
      </c>
      <c r="E39" t="s">
        <v>99</v>
      </c>
      <c r="F39" t="s">
        <v>100</v>
      </c>
      <c r="G39" t="s">
        <v>101</v>
      </c>
      <c r="H39" t="s">
        <v>18</v>
      </c>
      <c r="I39">
        <f>ROUND(17.7/100,7)</f>
        <v>0.17699999999999999</v>
      </c>
      <c r="J39">
        <v>0</v>
      </c>
      <c r="K39">
        <f>ROUND(17.7/100,7)</f>
        <v>0.17699999999999999</v>
      </c>
      <c r="O39">
        <f t="shared" si="14"/>
        <v>36462.1</v>
      </c>
      <c r="P39">
        <f>SUMIF(SmtRes!AQ64:'SmtRes'!AQ73,"=1",SmtRes!DF64:'SmtRes'!DF73)</f>
        <v>4012.98</v>
      </c>
      <c r="Q39">
        <f>SUMIF(SmtRes!AQ64:'SmtRes'!AQ73,"=1",SmtRes!DG64:'SmtRes'!DG73)</f>
        <v>563.31000000000006</v>
      </c>
      <c r="R39">
        <f>SUMIF(SmtRes!AQ64:'SmtRes'!AQ73,"=1",SmtRes!DH64:'SmtRes'!DH73)</f>
        <v>260.49</v>
      </c>
      <c r="S39">
        <f>SUMIF(SmtRes!AQ64:'SmtRes'!AQ73,"=1",SmtRes!DI64:'SmtRes'!DI73)</f>
        <v>31625.32</v>
      </c>
      <c r="T39">
        <f t="shared" si="15"/>
        <v>0</v>
      </c>
      <c r="U39">
        <f>SUMIF(SmtRes!AQ64:'SmtRes'!AQ73,"=1",SmtRes!CV64:'SmtRes'!CV73)</f>
        <v>87.933599999999998</v>
      </c>
      <c r="V39">
        <f>SUMIF(SmtRes!AQ64:'SmtRes'!AQ73,"=1",SmtRes!CW64:'SmtRes'!CW73)</f>
        <v>0.62834999999999996</v>
      </c>
      <c r="W39">
        <f t="shared" si="16"/>
        <v>0</v>
      </c>
      <c r="X39">
        <f t="shared" si="17"/>
        <v>35712.11</v>
      </c>
      <c r="Y39">
        <f t="shared" si="18"/>
        <v>20725.78</v>
      </c>
      <c r="AA39">
        <v>50837261</v>
      </c>
      <c r="AB39">
        <f t="shared" si="19"/>
        <v>204509.9553</v>
      </c>
      <c r="AC39">
        <f>ROUND((SUM(SmtRes!BQ64:'SmtRes'!BQ73)),6)</f>
        <v>22687.345799999999</v>
      </c>
      <c r="AD39">
        <f>ROUND((((SUM(SmtRes!BR64:'SmtRes'!BR73))-(SUM(SmtRes!BS64:'SmtRes'!BS73)))+AE39),6)</f>
        <v>3148.4895000000001</v>
      </c>
      <c r="AE39">
        <f>ROUND((SUM(SmtRes!BS64:'SmtRes'!BS73)),6)</f>
        <v>1471.6975</v>
      </c>
      <c r="AF39">
        <f>ROUND((SUM(SmtRes!BT64:'SmtRes'!BT73)),6)</f>
        <v>178674.12</v>
      </c>
      <c r="AG39">
        <f t="shared" si="20"/>
        <v>0</v>
      </c>
      <c r="AH39">
        <f>(SUM(SmtRes!BU64:'SmtRes'!BU73))</f>
        <v>496.79999999999995</v>
      </c>
      <c r="AI39">
        <f>(SUM(SmtRes!BV64:'SmtRes'!BV73))</f>
        <v>3.55</v>
      </c>
      <c r="AJ39">
        <f t="shared" si="21"/>
        <v>0</v>
      </c>
      <c r="AK39">
        <v>181752.2954</v>
      </c>
      <c r="AL39">
        <v>22687.345799999999</v>
      </c>
      <c r="AM39">
        <v>2518.7916000000005</v>
      </c>
      <c r="AN39">
        <v>1177.3579999999999</v>
      </c>
      <c r="AO39">
        <v>155368.79999999999</v>
      </c>
      <c r="AP39">
        <v>0</v>
      </c>
      <c r="AQ39">
        <v>432</v>
      </c>
      <c r="AR39">
        <v>2.84</v>
      </c>
      <c r="AS39">
        <v>0</v>
      </c>
      <c r="AT39">
        <v>112</v>
      </c>
      <c r="AU39">
        <v>65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1</v>
      </c>
      <c r="BD39" t="s">
        <v>3</v>
      </c>
      <c r="BE39" t="s">
        <v>3</v>
      </c>
      <c r="BF39" t="s">
        <v>3</v>
      </c>
      <c r="BG39" t="s">
        <v>3</v>
      </c>
      <c r="BH39">
        <v>0</v>
      </c>
      <c r="BI39">
        <v>1</v>
      </c>
      <c r="BJ39" t="s">
        <v>102</v>
      </c>
      <c r="BM39">
        <v>11001</v>
      </c>
      <c r="BN39">
        <v>0</v>
      </c>
      <c r="BO39" t="s">
        <v>3</v>
      </c>
      <c r="BP39">
        <v>0</v>
      </c>
      <c r="BQ39">
        <v>2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112</v>
      </c>
      <c r="CA39">
        <v>65</v>
      </c>
      <c r="CB39" t="s">
        <v>3</v>
      </c>
      <c r="CE39">
        <v>0</v>
      </c>
      <c r="CF39">
        <v>0</v>
      </c>
      <c r="CG39">
        <v>0</v>
      </c>
      <c r="CM39">
        <v>0</v>
      </c>
      <c r="CN39" t="s">
        <v>396</v>
      </c>
      <c r="CO39">
        <v>0</v>
      </c>
      <c r="CP39">
        <f t="shared" si="22"/>
        <v>36462.1</v>
      </c>
      <c r="CQ39">
        <f>SUMIF(SmtRes!AQ64:'SmtRes'!AQ73,"=1",SmtRes!AA64:'SmtRes'!AA73)</f>
        <v>24800.800000000003</v>
      </c>
      <c r="CR39">
        <f>SUMIF(SmtRes!AQ64:'SmtRes'!AQ73,"=1",SmtRes!AB64:'SmtRes'!AB73)</f>
        <v>2431.3000000000002</v>
      </c>
      <c r="CS39">
        <f>SUMIF(SmtRes!AQ64:'SmtRes'!AQ73,"=1",SmtRes!AC64:'SmtRes'!AC73)</f>
        <v>1230.07</v>
      </c>
      <c r="CT39">
        <f>SUMIF(SmtRes!AQ64:'SmtRes'!AQ73,"=1",SmtRes!AD64:'SmtRes'!AD73)</f>
        <v>359.65</v>
      </c>
      <c r="CU39">
        <f t="shared" si="23"/>
        <v>0</v>
      </c>
      <c r="CV39">
        <f>SUMIF(SmtRes!AQ64:'SmtRes'!AQ73,"=1",SmtRes!BU64:'SmtRes'!BU73)</f>
        <v>496.79999999999995</v>
      </c>
      <c r="CW39">
        <f>SUMIF(SmtRes!AQ64:'SmtRes'!AQ73,"=1",SmtRes!BV64:'SmtRes'!BV73)</f>
        <v>3.55</v>
      </c>
      <c r="CX39">
        <f t="shared" si="24"/>
        <v>0</v>
      </c>
      <c r="CY39">
        <f>(((S39+R39)*AT39)/100)</f>
        <v>35712.107199999999</v>
      </c>
      <c r="CZ39">
        <f>(((S39+R39)*AU39)/100)</f>
        <v>20725.7765</v>
      </c>
      <c r="DB39">
        <v>3</v>
      </c>
      <c r="DC39" t="s">
        <v>3</v>
      </c>
      <c r="DD39" t="s">
        <v>3</v>
      </c>
      <c r="DE39" t="s">
        <v>67</v>
      </c>
      <c r="DF39" t="s">
        <v>67</v>
      </c>
      <c r="DG39" t="s">
        <v>68</v>
      </c>
      <c r="DH39" t="s">
        <v>3</v>
      </c>
      <c r="DI39" t="s">
        <v>68</v>
      </c>
      <c r="DJ39" t="s">
        <v>67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1005</v>
      </c>
      <c r="DV39" t="s">
        <v>18</v>
      </c>
      <c r="DW39" t="s">
        <v>18</v>
      </c>
      <c r="DX39">
        <v>100</v>
      </c>
      <c r="DZ39" t="s">
        <v>3</v>
      </c>
      <c r="EA39" t="s">
        <v>3</v>
      </c>
      <c r="EB39" t="s">
        <v>3</v>
      </c>
      <c r="EC39" t="s">
        <v>3</v>
      </c>
      <c r="EE39">
        <v>49642184</v>
      </c>
      <c r="EF39">
        <v>2</v>
      </c>
      <c r="EG39" t="s">
        <v>69</v>
      </c>
      <c r="EH39">
        <v>11</v>
      </c>
      <c r="EI39" t="s">
        <v>51</v>
      </c>
      <c r="EJ39">
        <v>1</v>
      </c>
      <c r="EK39">
        <v>11001</v>
      </c>
      <c r="EL39" t="s">
        <v>51</v>
      </c>
      <c r="EM39" t="s">
        <v>103</v>
      </c>
      <c r="EO39" t="s">
        <v>72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432</v>
      </c>
      <c r="EX39">
        <v>2.84</v>
      </c>
      <c r="EY39">
        <v>0</v>
      </c>
      <c r="FQ39">
        <v>0</v>
      </c>
      <c r="FR39">
        <v>0</v>
      </c>
      <c r="FS39">
        <v>0</v>
      </c>
      <c r="FX39">
        <v>112</v>
      </c>
      <c r="FY39">
        <v>65</v>
      </c>
      <c r="GA39" t="s">
        <v>3</v>
      </c>
      <c r="GD39">
        <v>1</v>
      </c>
      <c r="GF39">
        <v>-1212394051</v>
      </c>
      <c r="GG39">
        <v>2</v>
      </c>
      <c r="GH39">
        <v>1</v>
      </c>
      <c r="GI39">
        <v>-2</v>
      </c>
      <c r="GJ39">
        <v>0</v>
      </c>
      <c r="GK39">
        <v>0</v>
      </c>
      <c r="GL39">
        <f t="shared" si="27"/>
        <v>0</v>
      </c>
      <c r="GM39">
        <f t="shared" si="28"/>
        <v>92899.99</v>
      </c>
      <c r="GN39">
        <f t="shared" si="29"/>
        <v>92899.99</v>
      </c>
      <c r="GO39">
        <f t="shared" si="30"/>
        <v>0</v>
      </c>
      <c r="GP39">
        <f t="shared" si="31"/>
        <v>0</v>
      </c>
      <c r="GR39">
        <v>0</v>
      </c>
      <c r="GS39">
        <v>3</v>
      </c>
      <c r="GT39">
        <v>0</v>
      </c>
      <c r="GU39" t="s">
        <v>3</v>
      </c>
      <c r="GV39">
        <f t="shared" si="32"/>
        <v>0</v>
      </c>
      <c r="GW39">
        <v>1</v>
      </c>
      <c r="GX39">
        <f t="shared" si="33"/>
        <v>0</v>
      </c>
      <c r="HA39">
        <v>0</v>
      </c>
      <c r="HB39">
        <v>0</v>
      </c>
      <c r="HC39">
        <f t="shared" si="34"/>
        <v>0</v>
      </c>
      <c r="HE39" t="s">
        <v>3</v>
      </c>
      <c r="HF39" t="s">
        <v>3</v>
      </c>
      <c r="HM39" t="s">
        <v>3</v>
      </c>
      <c r="HN39" t="s">
        <v>104</v>
      </c>
      <c r="HO39" t="s">
        <v>105</v>
      </c>
      <c r="HP39" t="s">
        <v>51</v>
      </c>
      <c r="HQ39" t="s">
        <v>51</v>
      </c>
      <c r="HS39">
        <v>0</v>
      </c>
      <c r="IK39">
        <v>0</v>
      </c>
    </row>
    <row r="40" spans="1:245">
      <c r="A40">
        <v>18</v>
      </c>
      <c r="B40">
        <v>1</v>
      </c>
      <c r="C40">
        <v>73</v>
      </c>
      <c r="E40" t="s">
        <v>106</v>
      </c>
      <c r="F40" t="s">
        <v>95</v>
      </c>
      <c r="G40" t="s">
        <v>96</v>
      </c>
      <c r="H40" t="s">
        <v>97</v>
      </c>
      <c r="I40">
        <f>I39*J40</f>
        <v>1.8</v>
      </c>
      <c r="J40">
        <v>10.16949152542373</v>
      </c>
      <c r="K40">
        <v>10.169491499999999</v>
      </c>
      <c r="O40">
        <f t="shared" si="14"/>
        <v>8023.41</v>
      </c>
      <c r="P40">
        <f>ROUND(CQ40*I40,2)</f>
        <v>8023.41</v>
      </c>
      <c r="Q40">
        <f>ROUND(CR40*I40,2)</f>
        <v>0</v>
      </c>
      <c r="R40">
        <f>ROUND(CS40*I40,2)</f>
        <v>0</v>
      </c>
      <c r="S40">
        <f>ROUND(CT40*I40,2)</f>
        <v>0</v>
      </c>
      <c r="T40">
        <f t="shared" si="15"/>
        <v>0</v>
      </c>
      <c r="U40">
        <f>ROUND(CV40*I40,7)</f>
        <v>0</v>
      </c>
      <c r="V40">
        <f>ROUND(CW40*I40,7)</f>
        <v>0</v>
      </c>
      <c r="W40">
        <f t="shared" si="16"/>
        <v>0</v>
      </c>
      <c r="X40">
        <f t="shared" si="17"/>
        <v>0</v>
      </c>
      <c r="Y40">
        <f t="shared" si="18"/>
        <v>0</v>
      </c>
      <c r="AA40">
        <v>50837261</v>
      </c>
      <c r="AB40">
        <f t="shared" si="19"/>
        <v>2857.34</v>
      </c>
      <c r="AC40">
        <f>ROUND((ES40),6)</f>
        <v>2857.34</v>
      </c>
      <c r="AD40">
        <f>ROUND((((ET40)-(EU40))+AE40),6)</f>
        <v>0</v>
      </c>
      <c r="AE40">
        <f>ROUND((EU40),6)</f>
        <v>0</v>
      </c>
      <c r="AF40">
        <f>ROUND((EV40),6)</f>
        <v>0</v>
      </c>
      <c r="AG40">
        <f t="shared" si="20"/>
        <v>0</v>
      </c>
      <c r="AH40">
        <f>(EW40)</f>
        <v>0</v>
      </c>
      <c r="AI40">
        <f>(EX40)</f>
        <v>0</v>
      </c>
      <c r="AJ40">
        <f t="shared" si="21"/>
        <v>0</v>
      </c>
      <c r="AK40">
        <v>2857.34</v>
      </c>
      <c r="AL40">
        <v>2857.34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112</v>
      </c>
      <c r="AU40">
        <v>65</v>
      </c>
      <c r="AV40">
        <v>1</v>
      </c>
      <c r="AW40">
        <v>1</v>
      </c>
      <c r="AZ40">
        <v>1</v>
      </c>
      <c r="BA40">
        <v>1</v>
      </c>
      <c r="BB40">
        <v>1</v>
      </c>
      <c r="BC40">
        <v>1.56</v>
      </c>
      <c r="BD40" t="s">
        <v>3</v>
      </c>
      <c r="BE40" t="s">
        <v>3</v>
      </c>
      <c r="BF40" t="s">
        <v>3</v>
      </c>
      <c r="BG40" t="s">
        <v>3</v>
      </c>
      <c r="BH40">
        <v>3</v>
      </c>
      <c r="BI40">
        <v>1</v>
      </c>
      <c r="BJ40" t="s">
        <v>98</v>
      </c>
      <c r="BM40">
        <v>11001</v>
      </c>
      <c r="BN40">
        <v>0</v>
      </c>
      <c r="BO40" t="s">
        <v>95</v>
      </c>
      <c r="BP40">
        <v>1</v>
      </c>
      <c r="BQ40">
        <v>2</v>
      </c>
      <c r="BR40">
        <v>0</v>
      </c>
      <c r="BS40">
        <v>1</v>
      </c>
      <c r="BT40">
        <v>1</v>
      </c>
      <c r="BU40">
        <v>1</v>
      </c>
      <c r="BV40">
        <v>1</v>
      </c>
      <c r="BW40">
        <v>1</v>
      </c>
      <c r="BX40">
        <v>1</v>
      </c>
      <c r="BY40" t="s">
        <v>3</v>
      </c>
      <c r="BZ40">
        <v>112</v>
      </c>
      <c r="CA40">
        <v>65</v>
      </c>
      <c r="CB40" t="s">
        <v>3</v>
      </c>
      <c r="CE40">
        <v>0</v>
      </c>
      <c r="CF40">
        <v>0</v>
      </c>
      <c r="CG40">
        <v>0</v>
      </c>
      <c r="CM40">
        <v>0</v>
      </c>
      <c r="CN40" t="s">
        <v>3</v>
      </c>
      <c r="CO40">
        <v>0</v>
      </c>
      <c r="CP40">
        <f t="shared" si="22"/>
        <v>8023.41</v>
      </c>
      <c r="CQ40">
        <f>ROUND(AL40*BC40,2)</f>
        <v>4457.45</v>
      </c>
      <c r="CR40">
        <f>ROUND(AM40*BB40,2)</f>
        <v>0</v>
      </c>
      <c r="CS40">
        <f>ROUND(AN40*BS40,2)</f>
        <v>0</v>
      </c>
      <c r="CT40">
        <f>ROUND(AO40*BA40,2)</f>
        <v>0</v>
      </c>
      <c r="CU40">
        <f t="shared" si="23"/>
        <v>0</v>
      </c>
      <c r="CV40">
        <f>AH40</f>
        <v>0</v>
      </c>
      <c r="CW40">
        <f>AI40</f>
        <v>0</v>
      </c>
      <c r="CX40">
        <f t="shared" si="24"/>
        <v>0</v>
      </c>
      <c r="CY40">
        <f>(((S40+R40)*AT40)/100)</f>
        <v>0</v>
      </c>
      <c r="CZ40">
        <f>(((S40+R40)*AU40)/100)</f>
        <v>0</v>
      </c>
      <c r="DC40" t="s">
        <v>3</v>
      </c>
      <c r="DD40" t="s">
        <v>3</v>
      </c>
      <c r="DE40" t="s">
        <v>3</v>
      </c>
      <c r="DF40" t="s">
        <v>3</v>
      </c>
      <c r="DG40" t="s">
        <v>3</v>
      </c>
      <c r="DH40" t="s">
        <v>3</v>
      </c>
      <c r="DI40" t="s">
        <v>3</v>
      </c>
      <c r="DJ40" t="s">
        <v>3</v>
      </c>
      <c r="DK40" t="s">
        <v>3</v>
      </c>
      <c r="DL40" t="s">
        <v>3</v>
      </c>
      <c r="DM40" t="s">
        <v>3</v>
      </c>
      <c r="DN40">
        <v>0</v>
      </c>
      <c r="DO40">
        <v>0</v>
      </c>
      <c r="DP40">
        <v>1</v>
      </c>
      <c r="DQ40">
        <v>1</v>
      </c>
      <c r="DU40">
        <v>1005</v>
      </c>
      <c r="DV40" t="s">
        <v>97</v>
      </c>
      <c r="DW40" t="s">
        <v>97</v>
      </c>
      <c r="DX40">
        <v>1</v>
      </c>
      <c r="DZ40" t="s">
        <v>3</v>
      </c>
      <c r="EA40" t="s">
        <v>3</v>
      </c>
      <c r="EB40" t="s">
        <v>3</v>
      </c>
      <c r="EC40" t="s">
        <v>3</v>
      </c>
      <c r="EE40">
        <v>49642184</v>
      </c>
      <c r="EF40">
        <v>2</v>
      </c>
      <c r="EG40" t="s">
        <v>69</v>
      </c>
      <c r="EH40">
        <v>11</v>
      </c>
      <c r="EI40" t="s">
        <v>51</v>
      </c>
      <c r="EJ40">
        <v>1</v>
      </c>
      <c r="EK40">
        <v>11001</v>
      </c>
      <c r="EL40" t="s">
        <v>51</v>
      </c>
      <c r="EM40" t="s">
        <v>103</v>
      </c>
      <c r="EO40" t="s">
        <v>3</v>
      </c>
      <c r="EQ40">
        <v>0</v>
      </c>
      <c r="ER40">
        <v>2857.34</v>
      </c>
      <c r="ES40">
        <v>2857.34</v>
      </c>
      <c r="ET40">
        <v>0</v>
      </c>
      <c r="EU40">
        <v>0</v>
      </c>
      <c r="EV40">
        <v>0</v>
      </c>
      <c r="EW40">
        <v>0</v>
      </c>
      <c r="EX40">
        <v>0</v>
      </c>
      <c r="FQ40">
        <v>0</v>
      </c>
      <c r="FR40">
        <v>0</v>
      </c>
      <c r="FS40">
        <v>0</v>
      </c>
      <c r="FX40">
        <v>112</v>
      </c>
      <c r="FY40">
        <v>65</v>
      </c>
      <c r="GA40" t="s">
        <v>3</v>
      </c>
      <c r="GD40">
        <v>1</v>
      </c>
      <c r="GF40">
        <v>-2039507341</v>
      </c>
      <c r="GG40">
        <v>2</v>
      </c>
      <c r="GH40">
        <v>1</v>
      </c>
      <c r="GI40">
        <v>2</v>
      </c>
      <c r="GJ40">
        <v>0</v>
      </c>
      <c r="GK40">
        <v>0</v>
      </c>
      <c r="GL40">
        <f t="shared" si="27"/>
        <v>0</v>
      </c>
      <c r="GM40">
        <f t="shared" si="28"/>
        <v>8023.41</v>
      </c>
      <c r="GN40">
        <f t="shared" si="29"/>
        <v>8023.41</v>
      </c>
      <c r="GO40">
        <f t="shared" si="30"/>
        <v>0</v>
      </c>
      <c r="GP40">
        <f t="shared" si="31"/>
        <v>0</v>
      </c>
      <c r="GR40">
        <v>0</v>
      </c>
      <c r="GS40">
        <v>3</v>
      </c>
      <c r="GT40">
        <v>0</v>
      </c>
      <c r="GU40" t="s">
        <v>3</v>
      </c>
      <c r="GV40">
        <f t="shared" si="32"/>
        <v>0</v>
      </c>
      <c r="GW40">
        <v>1</v>
      </c>
      <c r="GX40">
        <f t="shared" si="33"/>
        <v>0</v>
      </c>
      <c r="HA40">
        <v>0</v>
      </c>
      <c r="HB40">
        <v>0</v>
      </c>
      <c r="HC40">
        <f t="shared" si="34"/>
        <v>0</v>
      </c>
      <c r="HE40" t="s">
        <v>3</v>
      </c>
      <c r="HF40" t="s">
        <v>3</v>
      </c>
      <c r="HM40" t="s">
        <v>3</v>
      </c>
      <c r="HN40" t="s">
        <v>104</v>
      </c>
      <c r="HO40" t="s">
        <v>105</v>
      </c>
      <c r="HP40" t="s">
        <v>51</v>
      </c>
      <c r="HQ40" t="s">
        <v>51</v>
      </c>
      <c r="HS40">
        <v>0</v>
      </c>
      <c r="IK40">
        <v>0</v>
      </c>
    </row>
    <row r="41" spans="1:245">
      <c r="A41">
        <v>17</v>
      </c>
      <c r="B41">
        <v>1</v>
      </c>
      <c r="C41">
        <f>ROW(SmtRes!A82)</f>
        <v>82</v>
      </c>
      <c r="D41">
        <f>ROW(EtalonRes!A89)</f>
        <v>89</v>
      </c>
      <c r="E41" t="s">
        <v>107</v>
      </c>
      <c r="F41" t="s">
        <v>108</v>
      </c>
      <c r="G41" t="s">
        <v>109</v>
      </c>
      <c r="H41" t="s">
        <v>18</v>
      </c>
      <c r="I41">
        <f>ROUND(10.404/100,7)</f>
        <v>0.10403999999999999</v>
      </c>
      <c r="J41">
        <v>0</v>
      </c>
      <c r="K41">
        <f>ROUND(10.404/100,7)</f>
        <v>0.10403999999999999</v>
      </c>
      <c r="O41">
        <f t="shared" si="14"/>
        <v>17848.810000000001</v>
      </c>
      <c r="P41">
        <f>SUMIF(SmtRes!AQ74:'SmtRes'!AQ82,"=1",SmtRes!DF74:'SmtRes'!DF82)</f>
        <v>167.44</v>
      </c>
      <c r="Q41">
        <f>SUMIF(SmtRes!AQ74:'SmtRes'!AQ82,"=1",SmtRes!DG74:'SmtRes'!DG82)</f>
        <v>58.599999999999994</v>
      </c>
      <c r="R41">
        <f>SUMIF(SmtRes!AQ74:'SmtRes'!AQ82,"=1",SmtRes!DH74:'SmtRes'!DH82)</f>
        <v>119.14999999999999</v>
      </c>
      <c r="S41">
        <f>SUMIF(SmtRes!AQ74:'SmtRes'!AQ82,"=1",SmtRes!DI74:'SmtRes'!DI82)</f>
        <v>17503.62</v>
      </c>
      <c r="T41">
        <f t="shared" si="15"/>
        <v>0</v>
      </c>
      <c r="U41">
        <f>SUMIF(SmtRes!AQ74:'SmtRes'!AQ82,"=1",SmtRes!CV74:'SmtRes'!CV82)</f>
        <v>45.246527800000003</v>
      </c>
      <c r="V41">
        <f>SUMIF(SmtRes!AQ74:'SmtRes'!AQ82,"=1",SmtRes!CW74:'SmtRes'!CW82)</f>
        <v>0.29781449999999998</v>
      </c>
      <c r="W41">
        <f t="shared" si="16"/>
        <v>0</v>
      </c>
      <c r="X41">
        <f t="shared" si="17"/>
        <v>17622.77</v>
      </c>
      <c r="Y41">
        <f t="shared" si="18"/>
        <v>8635.16</v>
      </c>
      <c r="AA41">
        <v>50837261</v>
      </c>
      <c r="AB41">
        <f t="shared" si="19"/>
        <v>169551.64363499999</v>
      </c>
      <c r="AC41">
        <f>ROUND((SUM(SmtRes!BQ74:'SmtRes'!BQ82)),6)</f>
        <v>810.32683499999996</v>
      </c>
      <c r="AD41">
        <f>ROUND((((SUM(SmtRes!BR74:'SmtRes'!BR82))-(SUM(SmtRes!BS74:'SmtRes'!BS82)))+AE41),6)</f>
        <v>501.99262499999998</v>
      </c>
      <c r="AE41">
        <f>ROUND((SUM(SmtRes!BS74:'SmtRes'!BS82)),6)</f>
        <v>1145.177375</v>
      </c>
      <c r="AF41">
        <f>ROUND((SUM(SmtRes!BT74:'SmtRes'!BT82)),6)</f>
        <v>168239.32417499999</v>
      </c>
      <c r="AG41">
        <f t="shared" si="20"/>
        <v>0</v>
      </c>
      <c r="AH41">
        <f>(SUM(SmtRes!BU74:'SmtRes'!BU82))</f>
        <v>434.89549999999997</v>
      </c>
      <c r="AI41">
        <f>(SUM(SmtRes!BV74:'SmtRes'!BV82))</f>
        <v>2.8624999999999998</v>
      </c>
      <c r="AJ41">
        <f t="shared" si="21"/>
        <v>0</v>
      </c>
      <c r="AK41">
        <v>148423.127335</v>
      </c>
      <c r="AL41">
        <v>810.32683500000007</v>
      </c>
      <c r="AM41">
        <v>401.59410000000003</v>
      </c>
      <c r="AN41">
        <v>916.14189999999996</v>
      </c>
      <c r="AO41">
        <v>146295.06450000001</v>
      </c>
      <c r="AP41">
        <v>0</v>
      </c>
      <c r="AQ41">
        <v>378.17</v>
      </c>
      <c r="AR41">
        <v>2.29</v>
      </c>
      <c r="AS41">
        <v>0</v>
      </c>
      <c r="AT41">
        <v>100</v>
      </c>
      <c r="AU41">
        <v>49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1</v>
      </c>
      <c r="BD41" t="s">
        <v>3</v>
      </c>
      <c r="BE41" t="s">
        <v>3</v>
      </c>
      <c r="BF41" t="s">
        <v>3</v>
      </c>
      <c r="BG41" t="s">
        <v>3</v>
      </c>
      <c r="BH41">
        <v>0</v>
      </c>
      <c r="BI41">
        <v>1</v>
      </c>
      <c r="BJ41" t="s">
        <v>110</v>
      </c>
      <c r="BM41">
        <v>15001</v>
      </c>
      <c r="BN41">
        <v>0</v>
      </c>
      <c r="BO41" t="s">
        <v>3</v>
      </c>
      <c r="BP41">
        <v>0</v>
      </c>
      <c r="BQ41">
        <v>2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100</v>
      </c>
      <c r="CA41">
        <v>49</v>
      </c>
      <c r="CB41" t="s">
        <v>3</v>
      </c>
      <c r="CE41">
        <v>0</v>
      </c>
      <c r="CF41">
        <v>0</v>
      </c>
      <c r="CG41">
        <v>0</v>
      </c>
      <c r="CM41">
        <v>0</v>
      </c>
      <c r="CN41" t="s">
        <v>396</v>
      </c>
      <c r="CO41">
        <v>0</v>
      </c>
      <c r="CP41">
        <f t="shared" si="22"/>
        <v>17848.810000000001</v>
      </c>
      <c r="CQ41">
        <f>SUMIF(SmtRes!AQ74:'SmtRes'!AQ82,"=1",SmtRes!AA74:'SmtRes'!AA82)</f>
        <v>76015.950000000012</v>
      </c>
      <c r="CR41">
        <f>SUMIF(SmtRes!AQ74:'SmtRes'!AQ82,"=1",SmtRes!AB74:'SmtRes'!AB82)</f>
        <v>2792.3799999999997</v>
      </c>
      <c r="CS41">
        <f>SUMIF(SmtRes!AQ74:'SmtRes'!AQ82,"=1",SmtRes!AC74:'SmtRes'!AC82)</f>
        <v>1852.66</v>
      </c>
      <c r="CT41">
        <f>SUMIF(SmtRes!AQ74:'SmtRes'!AQ82,"=1",SmtRes!AD74:'SmtRes'!AD82)</f>
        <v>386.85</v>
      </c>
      <c r="CU41">
        <f t="shared" si="23"/>
        <v>0</v>
      </c>
      <c r="CV41">
        <f>SUMIF(SmtRes!AQ74:'SmtRes'!AQ82,"=1",SmtRes!BU74:'SmtRes'!BU82)</f>
        <v>434.89549999999997</v>
      </c>
      <c r="CW41">
        <f>SUMIF(SmtRes!AQ74:'SmtRes'!AQ82,"=1",SmtRes!BV74:'SmtRes'!BV82)</f>
        <v>2.8624999999999998</v>
      </c>
      <c r="CX41">
        <f t="shared" si="24"/>
        <v>0</v>
      </c>
      <c r="CY41">
        <f>(((S41+R41)*AT41)/100)</f>
        <v>17622.77</v>
      </c>
      <c r="CZ41">
        <f>(((S41+R41)*AU41)/100)</f>
        <v>8635.1572999999989</v>
      </c>
      <c r="DB41">
        <v>4</v>
      </c>
      <c r="DC41" t="s">
        <v>3</v>
      </c>
      <c r="DD41" t="s">
        <v>3</v>
      </c>
      <c r="DE41" t="s">
        <v>67</v>
      </c>
      <c r="DF41" t="s">
        <v>67</v>
      </c>
      <c r="DG41" t="s">
        <v>68</v>
      </c>
      <c r="DH41" t="s">
        <v>3</v>
      </c>
      <c r="DI41" t="s">
        <v>68</v>
      </c>
      <c r="DJ41" t="s">
        <v>67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1005</v>
      </c>
      <c r="DV41" t="s">
        <v>18</v>
      </c>
      <c r="DW41" t="s">
        <v>18</v>
      </c>
      <c r="DX41">
        <v>100</v>
      </c>
      <c r="DZ41" t="s">
        <v>3</v>
      </c>
      <c r="EA41" t="s">
        <v>3</v>
      </c>
      <c r="EB41" t="s">
        <v>3</v>
      </c>
      <c r="EC41" t="s">
        <v>3</v>
      </c>
      <c r="EE41">
        <v>49642209</v>
      </c>
      <c r="EF41">
        <v>2</v>
      </c>
      <c r="EG41" t="s">
        <v>69</v>
      </c>
      <c r="EH41">
        <v>15</v>
      </c>
      <c r="EI41" t="s">
        <v>83</v>
      </c>
      <c r="EJ41">
        <v>1</v>
      </c>
      <c r="EK41">
        <v>15001</v>
      </c>
      <c r="EL41" t="s">
        <v>83</v>
      </c>
      <c r="EM41" t="s">
        <v>84</v>
      </c>
      <c r="EO41" t="s">
        <v>72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378.17</v>
      </c>
      <c r="EX41">
        <v>2.29</v>
      </c>
      <c r="EY41">
        <v>0</v>
      </c>
      <c r="FQ41">
        <v>0</v>
      </c>
      <c r="FR41">
        <v>0</v>
      </c>
      <c r="FS41">
        <v>0</v>
      </c>
      <c r="FX41">
        <v>100</v>
      </c>
      <c r="FY41">
        <v>49</v>
      </c>
      <c r="GA41" t="s">
        <v>3</v>
      </c>
      <c r="GD41">
        <v>1</v>
      </c>
      <c r="GF41">
        <v>-1479512017</v>
      </c>
      <c r="GG41">
        <v>2</v>
      </c>
      <c r="GH41">
        <v>1</v>
      </c>
      <c r="GI41">
        <v>-2</v>
      </c>
      <c r="GJ41">
        <v>0</v>
      </c>
      <c r="GK41">
        <v>0</v>
      </c>
      <c r="GL41">
        <f t="shared" si="27"/>
        <v>0</v>
      </c>
      <c r="GM41">
        <f t="shared" si="28"/>
        <v>44106.74</v>
      </c>
      <c r="GN41">
        <f t="shared" si="29"/>
        <v>44106.74</v>
      </c>
      <c r="GO41">
        <f t="shared" si="30"/>
        <v>0</v>
      </c>
      <c r="GP41">
        <f t="shared" si="31"/>
        <v>0</v>
      </c>
      <c r="GR41">
        <v>0</v>
      </c>
      <c r="GS41">
        <v>3</v>
      </c>
      <c r="GT41">
        <v>0</v>
      </c>
      <c r="GU41" t="s">
        <v>3</v>
      </c>
      <c r="GV41">
        <f t="shared" si="32"/>
        <v>0</v>
      </c>
      <c r="GW41">
        <v>1</v>
      </c>
      <c r="GX41">
        <f t="shared" si="33"/>
        <v>0</v>
      </c>
      <c r="HA41">
        <v>0</v>
      </c>
      <c r="HB41">
        <v>0</v>
      </c>
      <c r="HC41">
        <f t="shared" si="34"/>
        <v>0</v>
      </c>
      <c r="HE41" t="s">
        <v>3</v>
      </c>
      <c r="HF41" t="s">
        <v>3</v>
      </c>
      <c r="HM41" t="s">
        <v>3</v>
      </c>
      <c r="HN41" t="s">
        <v>85</v>
      </c>
      <c r="HO41" t="s">
        <v>86</v>
      </c>
      <c r="HP41" t="s">
        <v>83</v>
      </c>
      <c r="HQ41" t="s">
        <v>83</v>
      </c>
      <c r="HS41">
        <v>0</v>
      </c>
      <c r="IK41">
        <v>0</v>
      </c>
    </row>
    <row r="42" spans="1:245">
      <c r="A42">
        <v>17</v>
      </c>
      <c r="B42">
        <v>1</v>
      </c>
      <c r="E42" t="s">
        <v>111</v>
      </c>
      <c r="F42" t="s">
        <v>88</v>
      </c>
      <c r="G42" t="s">
        <v>89</v>
      </c>
      <c r="H42" t="s">
        <v>65</v>
      </c>
      <c r="I42">
        <v>0.37454399999999999</v>
      </c>
      <c r="J42">
        <v>0</v>
      </c>
      <c r="K42">
        <v>0.37454399999999999</v>
      </c>
      <c r="O42">
        <f t="shared" si="14"/>
        <v>2552.7800000000002</v>
      </c>
      <c r="P42">
        <f>ROUND(CQ42*I42,2)</f>
        <v>2552.7800000000002</v>
      </c>
      <c r="Q42">
        <f>ROUND(CR42*I42,2)</f>
        <v>0</v>
      </c>
      <c r="R42">
        <f>ROUND(CS42*I42,2)</f>
        <v>0</v>
      </c>
      <c r="S42">
        <f>ROUND(CT42*I42,2)</f>
        <v>0</v>
      </c>
      <c r="T42">
        <f t="shared" si="15"/>
        <v>0</v>
      </c>
      <c r="U42">
        <f>ROUND(CV42*I42,7)</f>
        <v>0</v>
      </c>
      <c r="V42">
        <f>ROUND(CW42*I42,7)</f>
        <v>0</v>
      </c>
      <c r="W42">
        <f t="shared" si="16"/>
        <v>0</v>
      </c>
      <c r="X42">
        <f t="shared" si="17"/>
        <v>0</v>
      </c>
      <c r="Y42">
        <f t="shared" si="18"/>
        <v>0</v>
      </c>
      <c r="AA42">
        <v>50837261</v>
      </c>
      <c r="AB42">
        <f t="shared" si="19"/>
        <v>6815.7</v>
      </c>
      <c r="AC42">
        <f>ROUND((ES42),6)</f>
        <v>6815.7</v>
      </c>
      <c r="AD42">
        <f>ROUND((((ET42)-(EU42))+AE42),6)</f>
        <v>0</v>
      </c>
      <c r="AE42">
        <f>ROUND((EU42),6)</f>
        <v>0</v>
      </c>
      <c r="AF42">
        <f>ROUND((EV42),6)</f>
        <v>0</v>
      </c>
      <c r="AG42">
        <f t="shared" si="20"/>
        <v>0</v>
      </c>
      <c r="AH42">
        <f>(EW42)</f>
        <v>0</v>
      </c>
      <c r="AI42">
        <f>(EX42)</f>
        <v>0</v>
      </c>
      <c r="AJ42">
        <f t="shared" si="21"/>
        <v>0</v>
      </c>
      <c r="AK42">
        <v>6815.7</v>
      </c>
      <c r="AL42">
        <v>6815.7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100</v>
      </c>
      <c r="AU42">
        <v>49</v>
      </c>
      <c r="AV42">
        <v>1</v>
      </c>
      <c r="AW42">
        <v>1</v>
      </c>
      <c r="AZ42">
        <v>1</v>
      </c>
      <c r="BA42">
        <v>1</v>
      </c>
      <c r="BB42">
        <v>1</v>
      </c>
      <c r="BC42">
        <v>1</v>
      </c>
      <c r="BD42" t="s">
        <v>3</v>
      </c>
      <c r="BE42" t="s">
        <v>3</v>
      </c>
      <c r="BF42" t="s">
        <v>3</v>
      </c>
      <c r="BG42" t="s">
        <v>3</v>
      </c>
      <c r="BH42">
        <v>3</v>
      </c>
      <c r="BI42">
        <v>1</v>
      </c>
      <c r="BJ42" t="s">
        <v>90</v>
      </c>
      <c r="BM42">
        <v>15001</v>
      </c>
      <c r="BN42">
        <v>0</v>
      </c>
      <c r="BO42" t="s">
        <v>3</v>
      </c>
      <c r="BP42">
        <v>0</v>
      </c>
      <c r="BQ42">
        <v>2</v>
      </c>
      <c r="BR42">
        <v>0</v>
      </c>
      <c r="BS42">
        <v>1</v>
      </c>
      <c r="BT42">
        <v>1</v>
      </c>
      <c r="BU42">
        <v>1</v>
      </c>
      <c r="BV42">
        <v>1</v>
      </c>
      <c r="BW42">
        <v>1</v>
      </c>
      <c r="BX42">
        <v>1</v>
      </c>
      <c r="BY42" t="s">
        <v>3</v>
      </c>
      <c r="BZ42">
        <v>100</v>
      </c>
      <c r="CA42">
        <v>49</v>
      </c>
      <c r="CB42" t="s">
        <v>3</v>
      </c>
      <c r="CE42">
        <v>0</v>
      </c>
      <c r="CF42">
        <v>0</v>
      </c>
      <c r="CG42">
        <v>0</v>
      </c>
      <c r="CM42">
        <v>0</v>
      </c>
      <c r="CN42" t="s">
        <v>3</v>
      </c>
      <c r="CO42">
        <v>0</v>
      </c>
      <c r="CP42">
        <f t="shared" si="22"/>
        <v>2552.7800000000002</v>
      </c>
      <c r="CQ42">
        <f>ROUND(AL42*BC42,2)</f>
        <v>6815.7</v>
      </c>
      <c r="CR42">
        <f>ROUND(AM42*BB42,2)</f>
        <v>0</v>
      </c>
      <c r="CS42">
        <f>ROUND(AN42*BS42,2)</f>
        <v>0</v>
      </c>
      <c r="CT42">
        <f>ROUND(AO42*BA42,2)</f>
        <v>0</v>
      </c>
      <c r="CU42">
        <f t="shared" si="23"/>
        <v>0</v>
      </c>
      <c r="CV42">
        <f>AH42</f>
        <v>0</v>
      </c>
      <c r="CW42">
        <f>AI42</f>
        <v>0</v>
      </c>
      <c r="CX42">
        <f t="shared" si="24"/>
        <v>0</v>
      </c>
      <c r="CY42">
        <f>(((S42+R42)*AT42)/100)</f>
        <v>0</v>
      </c>
      <c r="CZ42">
        <f>(((S42+R42)*AU42)/100)</f>
        <v>0</v>
      </c>
      <c r="DC42" t="s">
        <v>3</v>
      </c>
      <c r="DD42" t="s">
        <v>3</v>
      </c>
      <c r="DE42" t="s">
        <v>3</v>
      </c>
      <c r="DF42" t="s">
        <v>3</v>
      </c>
      <c r="DG42" t="s">
        <v>3</v>
      </c>
      <c r="DH42" t="s">
        <v>3</v>
      </c>
      <c r="DI42" t="s">
        <v>3</v>
      </c>
      <c r="DJ42" t="s">
        <v>3</v>
      </c>
      <c r="DK42" t="s">
        <v>3</v>
      </c>
      <c r="DL42" t="s">
        <v>3</v>
      </c>
      <c r="DM42" t="s">
        <v>3</v>
      </c>
      <c r="DN42">
        <v>0</v>
      </c>
      <c r="DO42">
        <v>0</v>
      </c>
      <c r="DP42">
        <v>1</v>
      </c>
      <c r="DQ42">
        <v>1</v>
      </c>
      <c r="DU42">
        <v>1007</v>
      </c>
      <c r="DV42" t="s">
        <v>65</v>
      </c>
      <c r="DW42" t="s">
        <v>65</v>
      </c>
      <c r="DX42">
        <v>1</v>
      </c>
      <c r="DZ42" t="s">
        <v>3</v>
      </c>
      <c r="EA42" t="s">
        <v>3</v>
      </c>
      <c r="EB42" t="s">
        <v>3</v>
      </c>
      <c r="EC42" t="s">
        <v>3</v>
      </c>
      <c r="EE42">
        <v>49642209</v>
      </c>
      <c r="EF42">
        <v>2</v>
      </c>
      <c r="EG42" t="s">
        <v>69</v>
      </c>
      <c r="EH42">
        <v>15</v>
      </c>
      <c r="EI42" t="s">
        <v>83</v>
      </c>
      <c r="EJ42">
        <v>1</v>
      </c>
      <c r="EK42">
        <v>15001</v>
      </c>
      <c r="EL42" t="s">
        <v>83</v>
      </c>
      <c r="EM42" t="s">
        <v>84</v>
      </c>
      <c r="EO42" t="s">
        <v>3</v>
      </c>
      <c r="EQ42">
        <v>0</v>
      </c>
      <c r="ER42">
        <v>6815.7</v>
      </c>
      <c r="ES42">
        <v>6815.7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FQ42">
        <v>0</v>
      </c>
      <c r="FR42">
        <v>0</v>
      </c>
      <c r="FS42">
        <v>0</v>
      </c>
      <c r="FX42">
        <v>100</v>
      </c>
      <c r="FY42">
        <v>49</v>
      </c>
      <c r="GA42" t="s">
        <v>3</v>
      </c>
      <c r="GD42">
        <v>1</v>
      </c>
      <c r="GE42">
        <v>3948.62</v>
      </c>
      <c r="GF42">
        <v>-339779113</v>
      </c>
      <c r="GG42">
        <v>2</v>
      </c>
      <c r="GH42">
        <v>1</v>
      </c>
      <c r="GI42">
        <v>-2</v>
      </c>
      <c r="GJ42">
        <v>0</v>
      </c>
      <c r="GK42">
        <v>0</v>
      </c>
      <c r="GL42">
        <f t="shared" si="27"/>
        <v>0</v>
      </c>
      <c r="GM42">
        <f t="shared" si="28"/>
        <v>2552.7800000000002</v>
      </c>
      <c r="GN42">
        <f t="shared" si="29"/>
        <v>2552.7800000000002</v>
      </c>
      <c r="GO42">
        <f t="shared" si="30"/>
        <v>0</v>
      </c>
      <c r="GP42">
        <f t="shared" si="31"/>
        <v>0</v>
      </c>
      <c r="GR42">
        <v>3</v>
      </c>
      <c r="GS42">
        <v>3</v>
      </c>
      <c r="GT42">
        <v>0</v>
      </c>
      <c r="GU42" t="s">
        <v>3</v>
      </c>
      <c r="GV42">
        <f t="shared" si="32"/>
        <v>0</v>
      </c>
      <c r="GW42">
        <v>1</v>
      </c>
      <c r="GX42">
        <f t="shared" si="33"/>
        <v>0</v>
      </c>
      <c r="HA42">
        <v>0</v>
      </c>
      <c r="HB42">
        <v>0</v>
      </c>
      <c r="HC42">
        <f t="shared" si="34"/>
        <v>0</v>
      </c>
      <c r="HE42" t="s">
        <v>3</v>
      </c>
      <c r="HF42" t="s">
        <v>3</v>
      </c>
      <c r="HM42" t="s">
        <v>3</v>
      </c>
      <c r="HN42" t="s">
        <v>85</v>
      </c>
      <c r="HO42" t="s">
        <v>86</v>
      </c>
      <c r="HP42" t="s">
        <v>83</v>
      </c>
      <c r="HQ42" t="s">
        <v>83</v>
      </c>
      <c r="HS42">
        <v>0</v>
      </c>
      <c r="IK42">
        <v>0</v>
      </c>
    </row>
    <row r="43" spans="1:245">
      <c r="A43">
        <v>17</v>
      </c>
      <c r="B43">
        <v>1</v>
      </c>
      <c r="E43" t="s">
        <v>112</v>
      </c>
      <c r="F43" t="s">
        <v>95</v>
      </c>
      <c r="G43" t="s">
        <v>96</v>
      </c>
      <c r="H43" t="s">
        <v>97</v>
      </c>
      <c r="I43">
        <v>1.0612079999999999</v>
      </c>
      <c r="J43">
        <v>0</v>
      </c>
      <c r="K43">
        <v>1.0612079999999999</v>
      </c>
      <c r="O43">
        <f t="shared" si="14"/>
        <v>4730.28</v>
      </c>
      <c r="P43">
        <f>ROUND(CQ43*I43,2)</f>
        <v>4730.28</v>
      </c>
      <c r="Q43">
        <f>ROUND(CR43*I43,2)</f>
        <v>0</v>
      </c>
      <c r="R43">
        <f>ROUND(CS43*I43,2)</f>
        <v>0</v>
      </c>
      <c r="S43">
        <f>ROUND(CT43*I43,2)</f>
        <v>0</v>
      </c>
      <c r="T43">
        <f t="shared" si="15"/>
        <v>0</v>
      </c>
      <c r="U43">
        <f>ROUND(CV43*I43,7)</f>
        <v>0</v>
      </c>
      <c r="V43">
        <f>ROUND(CW43*I43,7)</f>
        <v>0</v>
      </c>
      <c r="W43">
        <f t="shared" si="16"/>
        <v>0</v>
      </c>
      <c r="X43">
        <f t="shared" si="17"/>
        <v>0</v>
      </c>
      <c r="Y43">
        <f t="shared" si="18"/>
        <v>0</v>
      </c>
      <c r="AA43">
        <v>50837261</v>
      </c>
      <c r="AB43">
        <f t="shared" si="19"/>
        <v>2857.34</v>
      </c>
      <c r="AC43">
        <f>ROUND((ES43),6)</f>
        <v>2857.34</v>
      </c>
      <c r="AD43">
        <f>ROUND((((ET43)-(EU43))+AE43),6)</f>
        <v>0</v>
      </c>
      <c r="AE43">
        <f>ROUND((EU43),6)</f>
        <v>0</v>
      </c>
      <c r="AF43">
        <f>ROUND((EV43),6)</f>
        <v>0</v>
      </c>
      <c r="AG43">
        <f t="shared" si="20"/>
        <v>0</v>
      </c>
      <c r="AH43">
        <f>(EW43)</f>
        <v>0</v>
      </c>
      <c r="AI43">
        <f>(EX43)</f>
        <v>0</v>
      </c>
      <c r="AJ43">
        <f t="shared" si="21"/>
        <v>0</v>
      </c>
      <c r="AK43">
        <v>2857.34</v>
      </c>
      <c r="AL43">
        <v>2857.34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1</v>
      </c>
      <c r="AW43">
        <v>1</v>
      </c>
      <c r="AZ43">
        <v>1</v>
      </c>
      <c r="BA43">
        <v>1</v>
      </c>
      <c r="BB43">
        <v>1</v>
      </c>
      <c r="BC43">
        <v>1.56</v>
      </c>
      <c r="BD43" t="s">
        <v>3</v>
      </c>
      <c r="BE43" t="s">
        <v>3</v>
      </c>
      <c r="BF43" t="s">
        <v>3</v>
      </c>
      <c r="BG43" t="s">
        <v>3</v>
      </c>
      <c r="BH43">
        <v>3</v>
      </c>
      <c r="BI43">
        <v>1</v>
      </c>
      <c r="BJ43" t="s">
        <v>98</v>
      </c>
      <c r="BM43">
        <v>500001</v>
      </c>
      <c r="BN43">
        <v>0</v>
      </c>
      <c r="BO43" t="s">
        <v>95</v>
      </c>
      <c r="BP43">
        <v>1</v>
      </c>
      <c r="BQ43">
        <v>8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3</v>
      </c>
      <c r="BZ43">
        <v>0</v>
      </c>
      <c r="CA43">
        <v>0</v>
      </c>
      <c r="CB43" t="s">
        <v>3</v>
      </c>
      <c r="CE43">
        <v>0</v>
      </c>
      <c r="CF43">
        <v>0</v>
      </c>
      <c r="CG43">
        <v>0</v>
      </c>
      <c r="CM43">
        <v>0</v>
      </c>
      <c r="CN43" t="s">
        <v>3</v>
      </c>
      <c r="CO43">
        <v>0</v>
      </c>
      <c r="CP43">
        <f t="shared" si="22"/>
        <v>4730.28</v>
      </c>
      <c r="CQ43">
        <f>ROUND(AL43*BC43,2)</f>
        <v>4457.45</v>
      </c>
      <c r="CR43">
        <f>ROUND(AM43*BB43,2)</f>
        <v>0</v>
      </c>
      <c r="CS43">
        <f>ROUND(AN43*BS43,2)</f>
        <v>0</v>
      </c>
      <c r="CT43">
        <f>ROUND(AO43*BA43,2)</f>
        <v>0</v>
      </c>
      <c r="CU43">
        <f t="shared" si="23"/>
        <v>0</v>
      </c>
      <c r="CV43">
        <f>AH43</f>
        <v>0</v>
      </c>
      <c r="CW43">
        <f>AI43</f>
        <v>0</v>
      </c>
      <c r="CX43">
        <f t="shared" si="24"/>
        <v>0</v>
      </c>
      <c r="CY43">
        <f>0</f>
        <v>0</v>
      </c>
      <c r="CZ43">
        <f>0</f>
        <v>0</v>
      </c>
      <c r="DC43" t="s">
        <v>3</v>
      </c>
      <c r="DD43" t="s">
        <v>3</v>
      </c>
      <c r="DE43" t="s">
        <v>3</v>
      </c>
      <c r="DF43" t="s">
        <v>3</v>
      </c>
      <c r="DG43" t="s">
        <v>3</v>
      </c>
      <c r="DH43" t="s">
        <v>3</v>
      </c>
      <c r="DI43" t="s">
        <v>3</v>
      </c>
      <c r="DJ43" t="s">
        <v>3</v>
      </c>
      <c r="DK43" t="s">
        <v>3</v>
      </c>
      <c r="DL43" t="s">
        <v>3</v>
      </c>
      <c r="DM43" t="s">
        <v>3</v>
      </c>
      <c r="DN43">
        <v>0</v>
      </c>
      <c r="DO43">
        <v>0</v>
      </c>
      <c r="DP43">
        <v>1</v>
      </c>
      <c r="DQ43">
        <v>1</v>
      </c>
      <c r="DU43">
        <v>1005</v>
      </c>
      <c r="DV43" t="s">
        <v>97</v>
      </c>
      <c r="DW43" t="s">
        <v>97</v>
      </c>
      <c r="DX43">
        <v>1</v>
      </c>
      <c r="DZ43" t="s">
        <v>3</v>
      </c>
      <c r="EA43" t="s">
        <v>3</v>
      </c>
      <c r="EB43" t="s">
        <v>3</v>
      </c>
      <c r="EC43" t="s">
        <v>3</v>
      </c>
      <c r="EE43">
        <v>49642116</v>
      </c>
      <c r="EF43">
        <v>8</v>
      </c>
      <c r="EG43" t="s">
        <v>91</v>
      </c>
      <c r="EH43">
        <v>0</v>
      </c>
      <c r="EI43" t="s">
        <v>3</v>
      </c>
      <c r="EJ43">
        <v>1</v>
      </c>
      <c r="EK43">
        <v>500001</v>
      </c>
      <c r="EL43" t="s">
        <v>92</v>
      </c>
      <c r="EM43" t="s">
        <v>93</v>
      </c>
      <c r="EO43" t="s">
        <v>3</v>
      </c>
      <c r="EQ43">
        <v>0</v>
      </c>
      <c r="ER43">
        <v>2857.34</v>
      </c>
      <c r="ES43">
        <v>2857.34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FQ43">
        <v>0</v>
      </c>
      <c r="FR43">
        <v>0</v>
      </c>
      <c r="FS43">
        <v>0</v>
      </c>
      <c r="FX43">
        <v>0</v>
      </c>
      <c r="FY43">
        <v>0</v>
      </c>
      <c r="GA43" t="s">
        <v>3</v>
      </c>
      <c r="GD43">
        <v>1</v>
      </c>
      <c r="GF43">
        <v>-2039507341</v>
      </c>
      <c r="GG43">
        <v>2</v>
      </c>
      <c r="GH43">
        <v>1</v>
      </c>
      <c r="GI43">
        <v>2</v>
      </c>
      <c r="GJ43">
        <v>0</v>
      </c>
      <c r="GK43">
        <v>0</v>
      </c>
      <c r="GL43">
        <f t="shared" si="27"/>
        <v>0</v>
      </c>
      <c r="GM43">
        <f t="shared" si="28"/>
        <v>4730.28</v>
      </c>
      <c r="GN43">
        <f t="shared" si="29"/>
        <v>4730.28</v>
      </c>
      <c r="GO43">
        <f t="shared" si="30"/>
        <v>0</v>
      </c>
      <c r="GP43">
        <f t="shared" si="31"/>
        <v>0</v>
      </c>
      <c r="GR43">
        <v>0</v>
      </c>
      <c r="GS43">
        <v>3</v>
      </c>
      <c r="GT43">
        <v>0</v>
      </c>
      <c r="GU43" t="s">
        <v>3</v>
      </c>
      <c r="GV43">
        <f t="shared" si="32"/>
        <v>0</v>
      </c>
      <c r="GW43">
        <v>1</v>
      </c>
      <c r="GX43">
        <f t="shared" si="33"/>
        <v>0</v>
      </c>
      <c r="HA43">
        <v>0</v>
      </c>
      <c r="HB43">
        <v>0</v>
      </c>
      <c r="HC43">
        <f t="shared" si="34"/>
        <v>0</v>
      </c>
      <c r="HE43" t="s">
        <v>3</v>
      </c>
      <c r="HF43" t="s">
        <v>3</v>
      </c>
      <c r="HM43" t="s">
        <v>3</v>
      </c>
      <c r="HN43" t="s">
        <v>3</v>
      </c>
      <c r="HO43" t="s">
        <v>3</v>
      </c>
      <c r="HP43" t="s">
        <v>3</v>
      </c>
      <c r="HQ43" t="s">
        <v>3</v>
      </c>
      <c r="HS43">
        <v>0</v>
      </c>
      <c r="IK43">
        <v>0</v>
      </c>
    </row>
    <row r="45" spans="1:245">
      <c r="A45" s="2">
        <v>51</v>
      </c>
      <c r="B45" s="2">
        <f>B20</f>
        <v>1</v>
      </c>
      <c r="C45" s="2">
        <f>A20</f>
        <v>3</v>
      </c>
      <c r="D45" s="2">
        <f>ROW(A20)</f>
        <v>20</v>
      </c>
      <c r="E45" s="2"/>
      <c r="F45" s="2" t="str">
        <f>IF(F20&lt;&gt;"",F20,"")</f>
        <v>Новая локальная смета</v>
      </c>
      <c r="G45" s="2" t="str">
        <f>IF(G20&lt;&gt;"",G20,"")</f>
        <v>Новая локальная смета</v>
      </c>
      <c r="H45" s="2">
        <v>0</v>
      </c>
      <c r="I45" s="2"/>
      <c r="J45" s="2"/>
      <c r="K45" s="2"/>
      <c r="L45" s="2"/>
      <c r="M45" s="2"/>
      <c r="N45" s="2"/>
      <c r="O45" s="2">
        <f t="shared" ref="O45:T45" si="35">ROUND(AB45,2)</f>
        <v>247133.15</v>
      </c>
      <c r="P45" s="2">
        <f t="shared" si="35"/>
        <v>94938.45</v>
      </c>
      <c r="Q45" s="2">
        <f t="shared" si="35"/>
        <v>7796.82</v>
      </c>
      <c r="R45" s="2">
        <f t="shared" si="35"/>
        <v>4310.6000000000004</v>
      </c>
      <c r="S45" s="2">
        <f t="shared" si="35"/>
        <v>140087.28</v>
      </c>
      <c r="T45" s="2">
        <f t="shared" si="35"/>
        <v>0</v>
      </c>
      <c r="U45" s="2">
        <f>AH45</f>
        <v>392.06802779999998</v>
      </c>
      <c r="V45" s="2">
        <f>AI45</f>
        <v>10.6010715</v>
      </c>
      <c r="W45" s="2">
        <f>ROUND(AJ45,2)</f>
        <v>0</v>
      </c>
      <c r="X45" s="2">
        <f>ROUND(AK45,2)</f>
        <v>146939.63</v>
      </c>
      <c r="Y45" s="2">
        <f>ROUND(AL45,2)</f>
        <v>79930.42</v>
      </c>
      <c r="Z45" s="2"/>
      <c r="AA45" s="2"/>
      <c r="AB45" s="2">
        <f>ROUND(SUMIF(AA24:AA43,"=50837261",O24:O43),2)</f>
        <v>247133.15</v>
      </c>
      <c r="AC45" s="2">
        <f>ROUND(SUMIF(AA24:AA43,"=50837261",P24:P43),2)</f>
        <v>94938.45</v>
      </c>
      <c r="AD45" s="2">
        <f>ROUND(SUMIF(AA24:AA43,"=50837261",Q24:Q43),2)</f>
        <v>7796.82</v>
      </c>
      <c r="AE45" s="2">
        <f>ROUND(SUMIF(AA24:AA43,"=50837261",R24:R43),2)</f>
        <v>4310.6000000000004</v>
      </c>
      <c r="AF45" s="2">
        <f>ROUND(SUMIF(AA24:AA43,"=50837261",S24:S43),2)</f>
        <v>140087.28</v>
      </c>
      <c r="AG45" s="2">
        <f>ROUND(SUMIF(AA24:AA43,"=50837261",T24:T43),2)</f>
        <v>0</v>
      </c>
      <c r="AH45" s="2">
        <f>SUMIF(AA24:AA43,"=50837261",U24:U43)</f>
        <v>392.06802779999998</v>
      </c>
      <c r="AI45" s="2">
        <f>SUMIF(AA24:AA43,"=50837261",V24:V43)</f>
        <v>10.6010715</v>
      </c>
      <c r="AJ45" s="2">
        <f>ROUND(SUMIF(AA24:AA43,"=50837261",W24:W43),2)</f>
        <v>0</v>
      </c>
      <c r="AK45" s="2">
        <f>ROUND(SUMIF(AA24:AA43,"=50837261",X24:X43),2)</f>
        <v>146939.63</v>
      </c>
      <c r="AL45" s="2">
        <f>ROUND(SUMIF(AA24:AA43,"=50837261",Y24:Y43),2)</f>
        <v>79930.42</v>
      </c>
      <c r="AM45" s="2"/>
      <c r="AN45" s="2"/>
      <c r="AO45" s="2">
        <f t="shared" ref="AO45:BD45" si="36">ROUND(BX45,2)</f>
        <v>0</v>
      </c>
      <c r="AP45" s="2">
        <f t="shared" si="36"/>
        <v>0</v>
      </c>
      <c r="AQ45" s="2">
        <f t="shared" si="36"/>
        <v>0</v>
      </c>
      <c r="AR45" s="2">
        <f t="shared" si="36"/>
        <v>474003.20000000001</v>
      </c>
      <c r="AS45" s="2">
        <f t="shared" si="36"/>
        <v>474003.20000000001</v>
      </c>
      <c r="AT45" s="2">
        <f t="shared" si="36"/>
        <v>0</v>
      </c>
      <c r="AU45" s="2">
        <f t="shared" si="36"/>
        <v>0</v>
      </c>
      <c r="AV45" s="2">
        <f t="shared" si="36"/>
        <v>94938.45</v>
      </c>
      <c r="AW45" s="2">
        <f t="shared" si="36"/>
        <v>94938.45</v>
      </c>
      <c r="AX45" s="2">
        <f t="shared" si="36"/>
        <v>0</v>
      </c>
      <c r="AY45" s="2">
        <f t="shared" si="36"/>
        <v>94938.45</v>
      </c>
      <c r="AZ45" s="2">
        <f t="shared" si="36"/>
        <v>0</v>
      </c>
      <c r="BA45" s="2">
        <f t="shared" si="36"/>
        <v>0</v>
      </c>
      <c r="BB45" s="2">
        <f t="shared" si="36"/>
        <v>0</v>
      </c>
      <c r="BC45" s="2">
        <f t="shared" si="36"/>
        <v>0</v>
      </c>
      <c r="BD45" s="2">
        <f t="shared" si="36"/>
        <v>0</v>
      </c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>
        <f>ROUND(SUMIF(AA24:AA43,"=50837261",FQ24:FQ43),2)</f>
        <v>0</v>
      </c>
      <c r="BY45" s="2">
        <f>ROUND(SUMIF(AA24:AA43,"=50837261",FR24:FR43),2)</f>
        <v>0</v>
      </c>
      <c r="BZ45" s="2">
        <f>ROUND(SUMIF(AA24:AA43,"=50837261",GL24:GL43),2)</f>
        <v>0</v>
      </c>
      <c r="CA45" s="2">
        <f>ROUND(SUMIF(AA24:AA43,"=50837261",GM24:GM43),2)</f>
        <v>474003.20000000001</v>
      </c>
      <c r="CB45" s="2">
        <f>ROUND(SUMIF(AA24:AA43,"=50837261",GN24:GN43),2)</f>
        <v>474003.20000000001</v>
      </c>
      <c r="CC45" s="2">
        <f>ROUND(SUMIF(AA24:AA43,"=50837261",GO24:GO43),2)</f>
        <v>0</v>
      </c>
      <c r="CD45" s="2">
        <f>ROUND(SUMIF(AA24:AA43,"=50837261",GP24:GP43),2)</f>
        <v>0</v>
      </c>
      <c r="CE45" s="2">
        <f>AC45-BX45</f>
        <v>94938.45</v>
      </c>
      <c r="CF45" s="2">
        <f>AC45-BY45</f>
        <v>94938.45</v>
      </c>
      <c r="CG45" s="2">
        <f>BX45-BZ45</f>
        <v>0</v>
      </c>
      <c r="CH45" s="2">
        <f>AC45-BX45-BY45+BZ45</f>
        <v>94938.45</v>
      </c>
      <c r="CI45" s="2">
        <f>BY45-BZ45</f>
        <v>0</v>
      </c>
      <c r="CJ45" s="2">
        <f>ROUND(SUMIF(AA24:AA43,"=50837261",GX24:GX43),2)</f>
        <v>0</v>
      </c>
      <c r="CK45" s="2">
        <f>ROUND(SUMIF(AA24:AA43,"=50837261",GY24:GY43),2)</f>
        <v>0</v>
      </c>
      <c r="CL45" s="2">
        <f>ROUND(SUMIF(AA24:AA43,"=50837261",GZ24:GZ43),2)</f>
        <v>0</v>
      </c>
      <c r="CM45" s="2">
        <f>ROUND(SUMIF(AA24:AA43,"=50837261",HD24:HD43),2)</f>
        <v>0</v>
      </c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>
        <v>0</v>
      </c>
    </row>
    <row r="47" spans="1:245">
      <c r="A47" s="4">
        <v>50</v>
      </c>
      <c r="B47" s="4">
        <v>0</v>
      </c>
      <c r="C47" s="4">
        <v>0</v>
      </c>
      <c r="D47" s="4">
        <v>1</v>
      </c>
      <c r="E47" s="4">
        <v>201</v>
      </c>
      <c r="F47" s="4">
        <f>ROUND(Source!O45,O47)</f>
        <v>247133.15</v>
      </c>
      <c r="G47" s="4" t="s">
        <v>113</v>
      </c>
      <c r="H47" s="4" t="s">
        <v>114</v>
      </c>
      <c r="I47" s="4"/>
      <c r="J47" s="4"/>
      <c r="K47" s="4">
        <v>201</v>
      </c>
      <c r="L47" s="4">
        <v>1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>
        <v>247133.15</v>
      </c>
      <c r="X47" s="4">
        <v>1</v>
      </c>
      <c r="Y47" s="4">
        <v>247133.15</v>
      </c>
      <c r="Z47" s="4"/>
      <c r="AA47" s="4"/>
      <c r="AB47" s="4"/>
    </row>
    <row r="48" spans="1:245">
      <c r="A48" s="4">
        <v>50</v>
      </c>
      <c r="B48" s="4">
        <v>0</v>
      </c>
      <c r="C48" s="4">
        <v>0</v>
      </c>
      <c r="D48" s="4">
        <v>1</v>
      </c>
      <c r="E48" s="4">
        <v>202</v>
      </c>
      <c r="F48" s="4">
        <f>ROUND(Source!P45,O48)</f>
        <v>94938.45</v>
      </c>
      <c r="G48" s="4" t="s">
        <v>115</v>
      </c>
      <c r="H48" s="4" t="s">
        <v>116</v>
      </c>
      <c r="I48" s="4"/>
      <c r="J48" s="4"/>
      <c r="K48" s="4">
        <v>202</v>
      </c>
      <c r="L48" s="4">
        <v>2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>
        <v>94938.45</v>
      </c>
      <c r="X48" s="4">
        <v>1</v>
      </c>
      <c r="Y48" s="4">
        <v>94938.45</v>
      </c>
      <c r="Z48" s="4"/>
      <c r="AA48" s="4"/>
      <c r="AB48" s="4"/>
    </row>
    <row r="49" spans="1:28">
      <c r="A49" s="4">
        <v>50</v>
      </c>
      <c r="B49" s="4">
        <v>0</v>
      </c>
      <c r="C49" s="4">
        <v>0</v>
      </c>
      <c r="D49" s="4">
        <v>1</v>
      </c>
      <c r="E49" s="4">
        <v>222</v>
      </c>
      <c r="F49" s="4">
        <f>ROUND(Source!AO45,O49)</f>
        <v>0</v>
      </c>
      <c r="G49" s="4" t="s">
        <v>117</v>
      </c>
      <c r="H49" s="4" t="s">
        <v>118</v>
      </c>
      <c r="I49" s="4"/>
      <c r="J49" s="4"/>
      <c r="K49" s="4">
        <v>222</v>
      </c>
      <c r="L49" s="4">
        <v>3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>
        <v>0</v>
      </c>
      <c r="X49" s="4">
        <v>1</v>
      </c>
      <c r="Y49" s="4">
        <v>0</v>
      </c>
      <c r="Z49" s="4"/>
      <c r="AA49" s="4"/>
      <c r="AB49" s="4"/>
    </row>
    <row r="50" spans="1:28">
      <c r="A50" s="4">
        <v>50</v>
      </c>
      <c r="B50" s="4">
        <v>0</v>
      </c>
      <c r="C50" s="4">
        <v>0</v>
      </c>
      <c r="D50" s="4">
        <v>1</v>
      </c>
      <c r="E50" s="4">
        <v>225</v>
      </c>
      <c r="F50" s="4">
        <f>ROUND(Source!AV45,O50)</f>
        <v>94938.45</v>
      </c>
      <c r="G50" s="4" t="s">
        <v>119</v>
      </c>
      <c r="H50" s="4" t="s">
        <v>120</v>
      </c>
      <c r="I50" s="4"/>
      <c r="J50" s="4"/>
      <c r="K50" s="4">
        <v>225</v>
      </c>
      <c r="L50" s="4">
        <v>4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>
        <v>94938.45</v>
      </c>
      <c r="X50" s="4">
        <v>1</v>
      </c>
      <c r="Y50" s="4">
        <v>94938.45</v>
      </c>
      <c r="Z50" s="4"/>
      <c r="AA50" s="4"/>
      <c r="AB50" s="4"/>
    </row>
    <row r="51" spans="1:28">
      <c r="A51" s="4">
        <v>50</v>
      </c>
      <c r="B51" s="4">
        <v>0</v>
      </c>
      <c r="C51" s="4">
        <v>0</v>
      </c>
      <c r="D51" s="4">
        <v>1</v>
      </c>
      <c r="E51" s="4">
        <v>226</v>
      </c>
      <c r="F51" s="4">
        <f>ROUND(Source!AW45,O51)</f>
        <v>94938.45</v>
      </c>
      <c r="G51" s="4" t="s">
        <v>121</v>
      </c>
      <c r="H51" s="4" t="s">
        <v>122</v>
      </c>
      <c r="I51" s="4"/>
      <c r="J51" s="4"/>
      <c r="K51" s="4">
        <v>226</v>
      </c>
      <c r="L51" s="4">
        <v>5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>
        <v>94938.45</v>
      </c>
      <c r="X51" s="4">
        <v>1</v>
      </c>
      <c r="Y51" s="4">
        <v>94938.45</v>
      </c>
      <c r="Z51" s="4"/>
      <c r="AA51" s="4"/>
      <c r="AB51" s="4"/>
    </row>
    <row r="52" spans="1:28">
      <c r="A52" s="4">
        <v>50</v>
      </c>
      <c r="B52" s="4">
        <v>0</v>
      </c>
      <c r="C52" s="4">
        <v>0</v>
      </c>
      <c r="D52" s="4">
        <v>1</v>
      </c>
      <c r="E52" s="4">
        <v>227</v>
      </c>
      <c r="F52" s="4">
        <f>ROUND(Source!AX45,O52)</f>
        <v>0</v>
      </c>
      <c r="G52" s="4" t="s">
        <v>123</v>
      </c>
      <c r="H52" s="4" t="s">
        <v>124</v>
      </c>
      <c r="I52" s="4"/>
      <c r="J52" s="4"/>
      <c r="K52" s="4">
        <v>227</v>
      </c>
      <c r="L52" s="4">
        <v>6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>
        <v>0</v>
      </c>
      <c r="X52" s="4">
        <v>1</v>
      </c>
      <c r="Y52" s="4">
        <v>0</v>
      </c>
      <c r="Z52" s="4"/>
      <c r="AA52" s="4"/>
      <c r="AB52" s="4"/>
    </row>
    <row r="53" spans="1:28">
      <c r="A53" s="4">
        <v>50</v>
      </c>
      <c r="B53" s="4">
        <v>0</v>
      </c>
      <c r="C53" s="4">
        <v>0</v>
      </c>
      <c r="D53" s="4">
        <v>1</v>
      </c>
      <c r="E53" s="4">
        <v>228</v>
      </c>
      <c r="F53" s="4">
        <f>ROUND(Source!AY45,O53)</f>
        <v>94938.45</v>
      </c>
      <c r="G53" s="4" t="s">
        <v>125</v>
      </c>
      <c r="H53" s="4" t="s">
        <v>126</v>
      </c>
      <c r="I53" s="4"/>
      <c r="J53" s="4"/>
      <c r="K53" s="4">
        <v>228</v>
      </c>
      <c r="L53" s="4">
        <v>7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>
        <v>94938.45</v>
      </c>
      <c r="X53" s="4">
        <v>1</v>
      </c>
      <c r="Y53" s="4">
        <v>94938.45</v>
      </c>
      <c r="Z53" s="4"/>
      <c r="AA53" s="4"/>
      <c r="AB53" s="4"/>
    </row>
    <row r="54" spans="1:28">
      <c r="A54" s="4">
        <v>50</v>
      </c>
      <c r="B54" s="4">
        <v>0</v>
      </c>
      <c r="C54" s="4">
        <v>0</v>
      </c>
      <c r="D54" s="4">
        <v>1</v>
      </c>
      <c r="E54" s="4">
        <v>216</v>
      </c>
      <c r="F54" s="4">
        <f>ROUND(Source!AP45,O54)</f>
        <v>0</v>
      </c>
      <c r="G54" s="4" t="s">
        <v>127</v>
      </c>
      <c r="H54" s="4" t="s">
        <v>128</v>
      </c>
      <c r="I54" s="4"/>
      <c r="J54" s="4"/>
      <c r="K54" s="4">
        <v>216</v>
      </c>
      <c r="L54" s="4">
        <v>8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>
        <v>0</v>
      </c>
      <c r="X54" s="4">
        <v>1</v>
      </c>
      <c r="Y54" s="4">
        <v>0</v>
      </c>
      <c r="Z54" s="4"/>
      <c r="AA54" s="4"/>
      <c r="AB54" s="4"/>
    </row>
    <row r="55" spans="1:28">
      <c r="A55" s="4">
        <v>50</v>
      </c>
      <c r="B55" s="4">
        <v>0</v>
      </c>
      <c r="C55" s="4">
        <v>0</v>
      </c>
      <c r="D55" s="4">
        <v>1</v>
      </c>
      <c r="E55" s="4">
        <v>223</v>
      </c>
      <c r="F55" s="4">
        <f>ROUND(Source!AQ45,O55)</f>
        <v>0</v>
      </c>
      <c r="G55" s="4" t="s">
        <v>129</v>
      </c>
      <c r="H55" s="4" t="s">
        <v>130</v>
      </c>
      <c r="I55" s="4"/>
      <c r="J55" s="4"/>
      <c r="K55" s="4">
        <v>223</v>
      </c>
      <c r="L55" s="4">
        <v>9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>
        <v>0</v>
      </c>
      <c r="X55" s="4">
        <v>1</v>
      </c>
      <c r="Y55" s="4">
        <v>0</v>
      </c>
      <c r="Z55" s="4"/>
      <c r="AA55" s="4"/>
      <c r="AB55" s="4"/>
    </row>
    <row r="56" spans="1:28">
      <c r="A56" s="4">
        <v>50</v>
      </c>
      <c r="B56" s="4">
        <v>0</v>
      </c>
      <c r="C56" s="4">
        <v>0</v>
      </c>
      <c r="D56" s="4">
        <v>1</v>
      </c>
      <c r="E56" s="4">
        <v>229</v>
      </c>
      <c r="F56" s="4">
        <f>ROUND(Source!AZ45,O56)</f>
        <v>0</v>
      </c>
      <c r="G56" s="4" t="s">
        <v>131</v>
      </c>
      <c r="H56" s="4" t="s">
        <v>132</v>
      </c>
      <c r="I56" s="4"/>
      <c r="J56" s="4"/>
      <c r="K56" s="4">
        <v>229</v>
      </c>
      <c r="L56" s="4">
        <v>10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>
        <v>0</v>
      </c>
      <c r="X56" s="4">
        <v>1</v>
      </c>
      <c r="Y56" s="4">
        <v>0</v>
      </c>
      <c r="Z56" s="4"/>
      <c r="AA56" s="4"/>
      <c r="AB56" s="4"/>
    </row>
    <row r="57" spans="1:28">
      <c r="A57" s="4">
        <v>50</v>
      </c>
      <c r="B57" s="4">
        <v>0</v>
      </c>
      <c r="C57" s="4">
        <v>0</v>
      </c>
      <c r="D57" s="4">
        <v>1</v>
      </c>
      <c r="E57" s="4">
        <v>203</v>
      </c>
      <c r="F57" s="4">
        <f>ROUND(Source!Q45,O57)</f>
        <v>7796.82</v>
      </c>
      <c r="G57" s="4" t="s">
        <v>133</v>
      </c>
      <c r="H57" s="4" t="s">
        <v>134</v>
      </c>
      <c r="I57" s="4"/>
      <c r="J57" s="4"/>
      <c r="K57" s="4">
        <v>203</v>
      </c>
      <c r="L57" s="4">
        <v>11</v>
      </c>
      <c r="M57" s="4">
        <v>3</v>
      </c>
      <c r="N57" s="4" t="s">
        <v>3</v>
      </c>
      <c r="O57" s="4">
        <v>2</v>
      </c>
      <c r="P57" s="4"/>
      <c r="Q57" s="4"/>
      <c r="R57" s="4"/>
      <c r="S57" s="4"/>
      <c r="T57" s="4"/>
      <c r="U57" s="4"/>
      <c r="V57" s="4"/>
      <c r="W57" s="4">
        <v>7796.82</v>
      </c>
      <c r="X57" s="4">
        <v>1</v>
      </c>
      <c r="Y57" s="4">
        <v>7796.82</v>
      </c>
      <c r="Z57" s="4"/>
      <c r="AA57" s="4"/>
      <c r="AB57" s="4"/>
    </row>
    <row r="58" spans="1:28">
      <c r="A58" s="4">
        <v>50</v>
      </c>
      <c r="B58" s="4">
        <v>0</v>
      </c>
      <c r="C58" s="4">
        <v>0</v>
      </c>
      <c r="D58" s="4">
        <v>1</v>
      </c>
      <c r="E58" s="4">
        <v>231</v>
      </c>
      <c r="F58" s="4">
        <f>ROUND(Source!BB45,O58)</f>
        <v>0</v>
      </c>
      <c r="G58" s="4" t="s">
        <v>135</v>
      </c>
      <c r="H58" s="4" t="s">
        <v>136</v>
      </c>
      <c r="I58" s="4"/>
      <c r="J58" s="4"/>
      <c r="K58" s="4">
        <v>231</v>
      </c>
      <c r="L58" s="4">
        <v>12</v>
      </c>
      <c r="M58" s="4">
        <v>3</v>
      </c>
      <c r="N58" s="4" t="s">
        <v>3</v>
      </c>
      <c r="O58" s="4">
        <v>2</v>
      </c>
      <c r="P58" s="4"/>
      <c r="Q58" s="4"/>
      <c r="R58" s="4"/>
      <c r="S58" s="4"/>
      <c r="T58" s="4"/>
      <c r="U58" s="4"/>
      <c r="V58" s="4"/>
      <c r="W58" s="4">
        <v>0</v>
      </c>
      <c r="X58" s="4">
        <v>1</v>
      </c>
      <c r="Y58" s="4">
        <v>0</v>
      </c>
      <c r="Z58" s="4"/>
      <c r="AA58" s="4"/>
      <c r="AB58" s="4"/>
    </row>
    <row r="59" spans="1:28">
      <c r="A59" s="4">
        <v>50</v>
      </c>
      <c r="B59" s="4">
        <v>0</v>
      </c>
      <c r="C59" s="4">
        <v>0</v>
      </c>
      <c r="D59" s="4">
        <v>1</v>
      </c>
      <c r="E59" s="4">
        <v>204</v>
      </c>
      <c r="F59" s="4">
        <f>ROUND(Source!R45,O59)</f>
        <v>4310.6000000000004</v>
      </c>
      <c r="G59" s="4" t="s">
        <v>137</v>
      </c>
      <c r="H59" s="4" t="s">
        <v>138</v>
      </c>
      <c r="I59" s="4"/>
      <c r="J59" s="4"/>
      <c r="K59" s="4">
        <v>204</v>
      </c>
      <c r="L59" s="4">
        <v>13</v>
      </c>
      <c r="M59" s="4">
        <v>3</v>
      </c>
      <c r="N59" s="4" t="s">
        <v>3</v>
      </c>
      <c r="O59" s="4">
        <v>2</v>
      </c>
      <c r="P59" s="4"/>
      <c r="Q59" s="4"/>
      <c r="R59" s="4"/>
      <c r="S59" s="4"/>
      <c r="T59" s="4"/>
      <c r="U59" s="4"/>
      <c r="V59" s="4"/>
      <c r="W59" s="4">
        <v>4310.5999999999985</v>
      </c>
      <c r="X59" s="4">
        <v>1</v>
      </c>
      <c r="Y59" s="4">
        <v>4310.5999999999985</v>
      </c>
      <c r="Z59" s="4"/>
      <c r="AA59" s="4"/>
      <c r="AB59" s="4"/>
    </row>
    <row r="60" spans="1:28">
      <c r="A60" s="4">
        <v>50</v>
      </c>
      <c r="B60" s="4">
        <v>0</v>
      </c>
      <c r="C60" s="4">
        <v>0</v>
      </c>
      <c r="D60" s="4">
        <v>1</v>
      </c>
      <c r="E60" s="4">
        <v>205</v>
      </c>
      <c r="F60" s="4">
        <f>ROUND(Source!S45,O60)</f>
        <v>140087.28</v>
      </c>
      <c r="G60" s="4" t="s">
        <v>139</v>
      </c>
      <c r="H60" s="4" t="s">
        <v>140</v>
      </c>
      <c r="I60" s="4"/>
      <c r="J60" s="4"/>
      <c r="K60" s="4">
        <v>205</v>
      </c>
      <c r="L60" s="4">
        <v>14</v>
      </c>
      <c r="M60" s="4">
        <v>3</v>
      </c>
      <c r="N60" s="4" t="s">
        <v>3</v>
      </c>
      <c r="O60" s="4">
        <v>2</v>
      </c>
      <c r="P60" s="4"/>
      <c r="Q60" s="4"/>
      <c r="R60" s="4"/>
      <c r="S60" s="4"/>
      <c r="T60" s="4"/>
      <c r="U60" s="4"/>
      <c r="V60" s="4"/>
      <c r="W60" s="4">
        <v>140087.28</v>
      </c>
      <c r="X60" s="4">
        <v>1</v>
      </c>
      <c r="Y60" s="4">
        <v>140087.28</v>
      </c>
      <c r="Z60" s="4"/>
      <c r="AA60" s="4"/>
      <c r="AB60" s="4"/>
    </row>
    <row r="61" spans="1:28">
      <c r="A61" s="4">
        <v>50</v>
      </c>
      <c r="B61" s="4">
        <v>0</v>
      </c>
      <c r="C61" s="4">
        <v>0</v>
      </c>
      <c r="D61" s="4">
        <v>1</v>
      </c>
      <c r="E61" s="4">
        <v>232</v>
      </c>
      <c r="F61" s="4">
        <f>ROUND(Source!BC45,O61)</f>
        <v>0</v>
      </c>
      <c r="G61" s="4" t="s">
        <v>141</v>
      </c>
      <c r="H61" s="4" t="s">
        <v>142</v>
      </c>
      <c r="I61" s="4"/>
      <c r="J61" s="4"/>
      <c r="K61" s="4">
        <v>232</v>
      </c>
      <c r="L61" s="4">
        <v>15</v>
      </c>
      <c r="M61" s="4">
        <v>3</v>
      </c>
      <c r="N61" s="4" t="s">
        <v>3</v>
      </c>
      <c r="O61" s="4">
        <v>2</v>
      </c>
      <c r="P61" s="4"/>
      <c r="Q61" s="4"/>
      <c r="R61" s="4"/>
      <c r="S61" s="4"/>
      <c r="T61" s="4"/>
      <c r="U61" s="4"/>
      <c r="V61" s="4"/>
      <c r="W61" s="4">
        <v>0</v>
      </c>
      <c r="X61" s="4">
        <v>1</v>
      </c>
      <c r="Y61" s="4">
        <v>0</v>
      </c>
      <c r="Z61" s="4"/>
      <c r="AA61" s="4"/>
      <c r="AB61" s="4"/>
    </row>
    <row r="62" spans="1:28">
      <c r="A62" s="4">
        <v>50</v>
      </c>
      <c r="B62" s="4">
        <v>0</v>
      </c>
      <c r="C62" s="4">
        <v>0</v>
      </c>
      <c r="D62" s="4">
        <v>1</v>
      </c>
      <c r="E62" s="4">
        <v>214</v>
      </c>
      <c r="F62" s="4">
        <f>ROUND(Source!AS45,O62)</f>
        <v>474003.20000000001</v>
      </c>
      <c r="G62" s="4" t="s">
        <v>143</v>
      </c>
      <c r="H62" s="4" t="s">
        <v>144</v>
      </c>
      <c r="I62" s="4"/>
      <c r="J62" s="4"/>
      <c r="K62" s="4">
        <v>214</v>
      </c>
      <c r="L62" s="4">
        <v>16</v>
      </c>
      <c r="M62" s="4">
        <v>3</v>
      </c>
      <c r="N62" s="4" t="s">
        <v>3</v>
      </c>
      <c r="O62" s="4">
        <v>2</v>
      </c>
      <c r="P62" s="4"/>
      <c r="Q62" s="4"/>
      <c r="R62" s="4"/>
      <c r="S62" s="4"/>
      <c r="T62" s="4"/>
      <c r="U62" s="4"/>
      <c r="V62" s="4"/>
      <c r="W62" s="4">
        <v>474003.20000000001</v>
      </c>
      <c r="X62" s="4">
        <v>1</v>
      </c>
      <c r="Y62" s="4">
        <v>474003.20000000001</v>
      </c>
      <c r="Z62" s="4"/>
      <c r="AA62" s="4"/>
      <c r="AB62" s="4"/>
    </row>
    <row r="63" spans="1:28">
      <c r="A63" s="4">
        <v>50</v>
      </c>
      <c r="B63" s="4">
        <v>0</v>
      </c>
      <c r="C63" s="4">
        <v>0</v>
      </c>
      <c r="D63" s="4">
        <v>1</v>
      </c>
      <c r="E63" s="4">
        <v>215</v>
      </c>
      <c r="F63" s="4">
        <f>ROUND(Source!AT45,O63)</f>
        <v>0</v>
      </c>
      <c r="G63" s="4" t="s">
        <v>145</v>
      </c>
      <c r="H63" s="4" t="s">
        <v>146</v>
      </c>
      <c r="I63" s="4"/>
      <c r="J63" s="4"/>
      <c r="K63" s="4">
        <v>215</v>
      </c>
      <c r="L63" s="4">
        <v>17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>
        <v>0</v>
      </c>
      <c r="X63" s="4">
        <v>1</v>
      </c>
      <c r="Y63" s="4">
        <v>0</v>
      </c>
      <c r="Z63" s="4"/>
      <c r="AA63" s="4"/>
      <c r="AB63" s="4"/>
    </row>
    <row r="64" spans="1:28">
      <c r="A64" s="4">
        <v>50</v>
      </c>
      <c r="B64" s="4">
        <v>0</v>
      </c>
      <c r="C64" s="4">
        <v>0</v>
      </c>
      <c r="D64" s="4">
        <v>1</v>
      </c>
      <c r="E64" s="4">
        <v>217</v>
      </c>
      <c r="F64" s="4">
        <f>ROUND(Source!AU45,O64)</f>
        <v>0</v>
      </c>
      <c r="G64" s="4" t="s">
        <v>147</v>
      </c>
      <c r="H64" s="4" t="s">
        <v>148</v>
      </c>
      <c r="I64" s="4"/>
      <c r="J64" s="4"/>
      <c r="K64" s="4">
        <v>217</v>
      </c>
      <c r="L64" s="4">
        <v>18</v>
      </c>
      <c r="M64" s="4">
        <v>3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>
        <v>0</v>
      </c>
      <c r="X64" s="4">
        <v>1</v>
      </c>
      <c r="Y64" s="4">
        <v>0</v>
      </c>
      <c r="Z64" s="4"/>
      <c r="AA64" s="4"/>
      <c r="AB64" s="4"/>
    </row>
    <row r="65" spans="1:206">
      <c r="A65" s="4">
        <v>50</v>
      </c>
      <c r="B65" s="4">
        <v>0</v>
      </c>
      <c r="C65" s="4">
        <v>0</v>
      </c>
      <c r="D65" s="4">
        <v>1</v>
      </c>
      <c r="E65" s="4">
        <v>230</v>
      </c>
      <c r="F65" s="4">
        <f>ROUND(Source!BA45,O65)</f>
        <v>0</v>
      </c>
      <c r="G65" s="4" t="s">
        <v>149</v>
      </c>
      <c r="H65" s="4" t="s">
        <v>150</v>
      </c>
      <c r="I65" s="4"/>
      <c r="J65" s="4"/>
      <c r="K65" s="4">
        <v>230</v>
      </c>
      <c r="L65" s="4">
        <v>19</v>
      </c>
      <c r="M65" s="4">
        <v>3</v>
      </c>
      <c r="N65" s="4" t="s">
        <v>3</v>
      </c>
      <c r="O65" s="4">
        <v>2</v>
      </c>
      <c r="P65" s="4"/>
      <c r="Q65" s="4"/>
      <c r="R65" s="4"/>
      <c r="S65" s="4"/>
      <c r="T65" s="4"/>
      <c r="U65" s="4"/>
      <c r="V65" s="4"/>
      <c r="W65" s="4">
        <v>0</v>
      </c>
      <c r="X65" s="4">
        <v>1</v>
      </c>
      <c r="Y65" s="4">
        <v>0</v>
      </c>
      <c r="Z65" s="4"/>
      <c r="AA65" s="4"/>
      <c r="AB65" s="4"/>
    </row>
    <row r="66" spans="1:206">
      <c r="A66" s="4">
        <v>50</v>
      </c>
      <c r="B66" s="4">
        <v>0</v>
      </c>
      <c r="C66" s="4">
        <v>0</v>
      </c>
      <c r="D66" s="4">
        <v>1</v>
      </c>
      <c r="E66" s="4">
        <v>206</v>
      </c>
      <c r="F66" s="4">
        <f>ROUND(Source!T45,O66)</f>
        <v>0</v>
      </c>
      <c r="G66" s="4" t="s">
        <v>151</v>
      </c>
      <c r="H66" s="4" t="s">
        <v>152</v>
      </c>
      <c r="I66" s="4"/>
      <c r="J66" s="4"/>
      <c r="K66" s="4">
        <v>206</v>
      </c>
      <c r="L66" s="4">
        <v>20</v>
      </c>
      <c r="M66" s="4">
        <v>3</v>
      </c>
      <c r="N66" s="4" t="s">
        <v>3</v>
      </c>
      <c r="O66" s="4">
        <v>2</v>
      </c>
      <c r="P66" s="4"/>
      <c r="Q66" s="4"/>
      <c r="R66" s="4"/>
      <c r="S66" s="4"/>
      <c r="T66" s="4"/>
      <c r="U66" s="4"/>
      <c r="V66" s="4"/>
      <c r="W66" s="4">
        <v>0</v>
      </c>
      <c r="X66" s="4">
        <v>1</v>
      </c>
      <c r="Y66" s="4">
        <v>0</v>
      </c>
      <c r="Z66" s="4"/>
      <c r="AA66" s="4"/>
      <c r="AB66" s="4"/>
    </row>
    <row r="67" spans="1:206">
      <c r="A67" s="4">
        <v>50</v>
      </c>
      <c r="B67" s="4">
        <v>0</v>
      </c>
      <c r="C67" s="4">
        <v>0</v>
      </c>
      <c r="D67" s="4">
        <v>1</v>
      </c>
      <c r="E67" s="4">
        <v>207</v>
      </c>
      <c r="F67" s="4">
        <f>ROUND(Source!U45,O67)</f>
        <v>392.06802779999998</v>
      </c>
      <c r="G67" s="4" t="s">
        <v>153</v>
      </c>
      <c r="H67" s="4" t="s">
        <v>154</v>
      </c>
      <c r="I67" s="4"/>
      <c r="J67" s="4"/>
      <c r="K67" s="4">
        <v>207</v>
      </c>
      <c r="L67" s="4">
        <v>21</v>
      </c>
      <c r="M67" s="4">
        <v>3</v>
      </c>
      <c r="N67" s="4" t="s">
        <v>3</v>
      </c>
      <c r="O67" s="4">
        <v>7</v>
      </c>
      <c r="P67" s="4"/>
      <c r="Q67" s="4"/>
      <c r="R67" s="4"/>
      <c r="S67" s="4"/>
      <c r="T67" s="4"/>
      <c r="U67" s="4"/>
      <c r="V67" s="4"/>
      <c r="W67" s="4">
        <v>392.06802779999998</v>
      </c>
      <c r="X67" s="4">
        <v>1</v>
      </c>
      <c r="Y67" s="4">
        <v>392.06802779999998</v>
      </c>
      <c r="Z67" s="4"/>
      <c r="AA67" s="4"/>
      <c r="AB67" s="4"/>
    </row>
    <row r="68" spans="1:206">
      <c r="A68" s="4">
        <v>50</v>
      </c>
      <c r="B68" s="4">
        <v>0</v>
      </c>
      <c r="C68" s="4">
        <v>0</v>
      </c>
      <c r="D68" s="4">
        <v>1</v>
      </c>
      <c r="E68" s="4">
        <v>208</v>
      </c>
      <c r="F68" s="4">
        <f>ROUND(Source!V45,O68)</f>
        <v>10.6010715</v>
      </c>
      <c r="G68" s="4" t="s">
        <v>155</v>
      </c>
      <c r="H68" s="4" t="s">
        <v>156</v>
      </c>
      <c r="I68" s="4"/>
      <c r="J68" s="4"/>
      <c r="K68" s="4">
        <v>208</v>
      </c>
      <c r="L68" s="4">
        <v>22</v>
      </c>
      <c r="M68" s="4">
        <v>3</v>
      </c>
      <c r="N68" s="4" t="s">
        <v>3</v>
      </c>
      <c r="O68" s="4">
        <v>7</v>
      </c>
      <c r="P68" s="4"/>
      <c r="Q68" s="4"/>
      <c r="R68" s="4"/>
      <c r="S68" s="4"/>
      <c r="T68" s="4"/>
      <c r="U68" s="4"/>
      <c r="V68" s="4"/>
      <c r="W68" s="4">
        <v>10.6010715</v>
      </c>
      <c r="X68" s="4">
        <v>1</v>
      </c>
      <c r="Y68" s="4">
        <v>10.6010715</v>
      </c>
      <c r="Z68" s="4"/>
      <c r="AA68" s="4"/>
      <c r="AB68" s="4"/>
    </row>
    <row r="69" spans="1:206">
      <c r="A69" s="4">
        <v>50</v>
      </c>
      <c r="B69" s="4">
        <v>0</v>
      </c>
      <c r="C69" s="4">
        <v>0</v>
      </c>
      <c r="D69" s="4">
        <v>1</v>
      </c>
      <c r="E69" s="4">
        <v>209</v>
      </c>
      <c r="F69" s="4">
        <f>ROUND(Source!W45,O69)</f>
        <v>0</v>
      </c>
      <c r="G69" s="4" t="s">
        <v>157</v>
      </c>
      <c r="H69" s="4" t="s">
        <v>158</v>
      </c>
      <c r="I69" s="4"/>
      <c r="J69" s="4"/>
      <c r="K69" s="4">
        <v>209</v>
      </c>
      <c r="L69" s="4">
        <v>23</v>
      </c>
      <c r="M69" s="4">
        <v>3</v>
      </c>
      <c r="N69" s="4" t="s">
        <v>3</v>
      </c>
      <c r="O69" s="4">
        <v>2</v>
      </c>
      <c r="P69" s="4"/>
      <c r="Q69" s="4"/>
      <c r="R69" s="4"/>
      <c r="S69" s="4"/>
      <c r="T69" s="4"/>
      <c r="U69" s="4"/>
      <c r="V69" s="4"/>
      <c r="W69" s="4">
        <v>0</v>
      </c>
      <c r="X69" s="4">
        <v>1</v>
      </c>
      <c r="Y69" s="4">
        <v>0</v>
      </c>
      <c r="Z69" s="4"/>
      <c r="AA69" s="4"/>
      <c r="AB69" s="4"/>
    </row>
    <row r="70" spans="1:206">
      <c r="A70" s="4">
        <v>50</v>
      </c>
      <c r="B70" s="4">
        <v>0</v>
      </c>
      <c r="C70" s="4">
        <v>0</v>
      </c>
      <c r="D70" s="4">
        <v>1</v>
      </c>
      <c r="E70" s="4">
        <v>233</v>
      </c>
      <c r="F70" s="4">
        <f>ROUND(Source!BD45,O70)</f>
        <v>0</v>
      </c>
      <c r="G70" s="4" t="s">
        <v>159</v>
      </c>
      <c r="H70" s="4" t="s">
        <v>160</v>
      </c>
      <c r="I70" s="4"/>
      <c r="J70" s="4"/>
      <c r="K70" s="4">
        <v>233</v>
      </c>
      <c r="L70" s="4">
        <v>24</v>
      </c>
      <c r="M70" s="4">
        <v>3</v>
      </c>
      <c r="N70" s="4" t="s">
        <v>3</v>
      </c>
      <c r="O70" s="4">
        <v>2</v>
      </c>
      <c r="P70" s="4"/>
      <c r="Q70" s="4"/>
      <c r="R70" s="4"/>
      <c r="S70" s="4"/>
      <c r="T70" s="4"/>
      <c r="U70" s="4"/>
      <c r="V70" s="4"/>
      <c r="W70" s="4">
        <v>0</v>
      </c>
      <c r="X70" s="4">
        <v>1</v>
      </c>
      <c r="Y70" s="4">
        <v>0</v>
      </c>
      <c r="Z70" s="4"/>
      <c r="AA70" s="4"/>
      <c r="AB70" s="4"/>
    </row>
    <row r="71" spans="1:206">
      <c r="A71" s="4">
        <v>50</v>
      </c>
      <c r="B71" s="4">
        <v>0</v>
      </c>
      <c r="C71" s="4">
        <v>0</v>
      </c>
      <c r="D71" s="4">
        <v>1</v>
      </c>
      <c r="E71" s="4">
        <v>210</v>
      </c>
      <c r="F71" s="4">
        <f>ROUND(Source!X45,O71)</f>
        <v>146939.63</v>
      </c>
      <c r="G71" s="4" t="s">
        <v>161</v>
      </c>
      <c r="H71" s="4" t="s">
        <v>162</v>
      </c>
      <c r="I71" s="4"/>
      <c r="J71" s="4"/>
      <c r="K71" s="4">
        <v>210</v>
      </c>
      <c r="L71" s="4">
        <v>25</v>
      </c>
      <c r="M71" s="4">
        <v>3</v>
      </c>
      <c r="N71" s="4" t="s">
        <v>3</v>
      </c>
      <c r="O71" s="4">
        <v>2</v>
      </c>
      <c r="P71" s="4"/>
      <c r="Q71" s="4"/>
      <c r="R71" s="4"/>
      <c r="S71" s="4"/>
      <c r="T71" s="4"/>
      <c r="U71" s="4"/>
      <c r="V71" s="4"/>
      <c r="W71" s="4">
        <v>146939.63</v>
      </c>
      <c r="X71" s="4">
        <v>1</v>
      </c>
      <c r="Y71" s="4">
        <v>146939.63</v>
      </c>
      <c r="Z71" s="4"/>
      <c r="AA71" s="4"/>
      <c r="AB71" s="4"/>
    </row>
    <row r="72" spans="1:206">
      <c r="A72" s="4">
        <v>50</v>
      </c>
      <c r="B72" s="4">
        <v>0</v>
      </c>
      <c r="C72" s="4">
        <v>0</v>
      </c>
      <c r="D72" s="4">
        <v>1</v>
      </c>
      <c r="E72" s="4">
        <v>211</v>
      </c>
      <c r="F72" s="4">
        <f>ROUND(Source!Y45,O72)</f>
        <v>79930.42</v>
      </c>
      <c r="G72" s="4" t="s">
        <v>163</v>
      </c>
      <c r="H72" s="4" t="s">
        <v>164</v>
      </c>
      <c r="I72" s="4"/>
      <c r="J72" s="4"/>
      <c r="K72" s="4">
        <v>211</v>
      </c>
      <c r="L72" s="4">
        <v>26</v>
      </c>
      <c r="M72" s="4">
        <v>3</v>
      </c>
      <c r="N72" s="4" t="s">
        <v>3</v>
      </c>
      <c r="O72" s="4">
        <v>2</v>
      </c>
      <c r="P72" s="4"/>
      <c r="Q72" s="4"/>
      <c r="R72" s="4"/>
      <c r="S72" s="4"/>
      <c r="T72" s="4"/>
      <c r="U72" s="4"/>
      <c r="V72" s="4"/>
      <c r="W72" s="4">
        <v>79930.42</v>
      </c>
      <c r="X72" s="4">
        <v>1</v>
      </c>
      <c r="Y72" s="4">
        <v>79930.42</v>
      </c>
      <c r="Z72" s="4"/>
      <c r="AA72" s="4"/>
      <c r="AB72" s="4"/>
    </row>
    <row r="73" spans="1:206">
      <c r="A73" s="4">
        <v>50</v>
      </c>
      <c r="B73" s="4">
        <v>0</v>
      </c>
      <c r="C73" s="4">
        <v>0</v>
      </c>
      <c r="D73" s="4">
        <v>1</v>
      </c>
      <c r="E73" s="4">
        <v>224</v>
      </c>
      <c r="F73" s="4">
        <f>ROUND(Source!AR45,O73)</f>
        <v>474003.20000000001</v>
      </c>
      <c r="G73" s="4" t="s">
        <v>165</v>
      </c>
      <c r="H73" s="4" t="s">
        <v>166</v>
      </c>
      <c r="I73" s="4"/>
      <c r="J73" s="4"/>
      <c r="K73" s="4">
        <v>224</v>
      </c>
      <c r="L73" s="4">
        <v>27</v>
      </c>
      <c r="M73" s="4">
        <v>3</v>
      </c>
      <c r="N73" s="4" t="s">
        <v>3</v>
      </c>
      <c r="O73" s="4">
        <v>2</v>
      </c>
      <c r="P73" s="4"/>
      <c r="Q73" s="4"/>
      <c r="R73" s="4"/>
      <c r="S73" s="4"/>
      <c r="T73" s="4"/>
      <c r="U73" s="4"/>
      <c r="V73" s="4"/>
      <c r="W73" s="4">
        <v>474003.20000000001</v>
      </c>
      <c r="X73" s="4">
        <v>1</v>
      </c>
      <c r="Y73" s="4">
        <v>474003.20000000001</v>
      </c>
      <c r="Z73" s="4"/>
      <c r="AA73" s="4"/>
      <c r="AB73" s="4"/>
    </row>
    <row r="74" spans="1:206">
      <c r="A74" s="4">
        <v>50</v>
      </c>
      <c r="B74" s="4">
        <v>1</v>
      </c>
      <c r="C74" s="4">
        <v>0</v>
      </c>
      <c r="D74" s="4">
        <v>2</v>
      </c>
      <c r="E74" s="4">
        <v>0</v>
      </c>
      <c r="F74" s="4">
        <f>ROUND(F73,O74)</f>
        <v>474003.20000000001</v>
      </c>
      <c r="G74" s="4" t="s">
        <v>167</v>
      </c>
      <c r="H74" s="4" t="s">
        <v>168</v>
      </c>
      <c r="I74" s="4"/>
      <c r="J74" s="4"/>
      <c r="K74" s="4">
        <v>212</v>
      </c>
      <c r="L74" s="4">
        <v>28</v>
      </c>
      <c r="M74" s="4">
        <v>0</v>
      </c>
      <c r="N74" s="4" t="s">
        <v>3</v>
      </c>
      <c r="O74" s="4">
        <v>2</v>
      </c>
      <c r="P74" s="4"/>
      <c r="Q74" s="4"/>
      <c r="R74" s="4"/>
      <c r="S74" s="4"/>
      <c r="T74" s="4"/>
      <c r="U74" s="4"/>
      <c r="V74" s="4"/>
      <c r="W74" s="4">
        <v>474003.20000000001</v>
      </c>
      <c r="X74" s="4">
        <v>1</v>
      </c>
      <c r="Y74" s="4">
        <v>474003.20000000001</v>
      </c>
      <c r="Z74" s="4"/>
      <c r="AA74" s="4"/>
      <c r="AB74" s="4"/>
    </row>
    <row r="75" spans="1:206">
      <c r="A75" s="4">
        <v>50</v>
      </c>
      <c r="B75" s="4">
        <v>1</v>
      </c>
      <c r="C75" s="4">
        <v>0</v>
      </c>
      <c r="D75" s="4">
        <v>2</v>
      </c>
      <c r="E75" s="4">
        <v>0</v>
      </c>
      <c r="F75" s="4">
        <f>ROUND((F51+F54+F57)*0.22,O75)</f>
        <v>22601.759999999998</v>
      </c>
      <c r="G75" s="4" t="s">
        <v>169</v>
      </c>
      <c r="H75" s="4" t="s">
        <v>170</v>
      </c>
      <c r="I75" s="4"/>
      <c r="J75" s="4"/>
      <c r="K75" s="4">
        <v>212</v>
      </c>
      <c r="L75" s="4">
        <v>29</v>
      </c>
      <c r="M75" s="4">
        <v>0</v>
      </c>
      <c r="N75" s="4" t="s">
        <v>3</v>
      </c>
      <c r="O75" s="4">
        <v>2</v>
      </c>
      <c r="P75" s="4"/>
      <c r="Q75" s="4"/>
      <c r="R75" s="4"/>
      <c r="S75" s="4"/>
      <c r="T75" s="4"/>
      <c r="U75" s="4"/>
      <c r="V75" s="4"/>
      <c r="W75" s="4">
        <v>22601.759999999998</v>
      </c>
      <c r="X75" s="4">
        <v>1</v>
      </c>
      <c r="Y75" s="4">
        <v>22601.759999999998</v>
      </c>
      <c r="Z75" s="4"/>
      <c r="AA75" s="4"/>
      <c r="AB75" s="4"/>
    </row>
    <row r="76" spans="1:206">
      <c r="A76" s="4">
        <v>50</v>
      </c>
      <c r="B76" s="4">
        <v>1</v>
      </c>
      <c r="C76" s="4">
        <v>0</v>
      </c>
      <c r="D76" s="4">
        <v>2</v>
      </c>
      <c r="E76" s="4">
        <v>213</v>
      </c>
      <c r="F76" s="4">
        <f>ROUND(F73+F75,O76)</f>
        <v>496604.96</v>
      </c>
      <c r="G76" s="4" t="s">
        <v>171</v>
      </c>
      <c r="H76" s="4" t="s">
        <v>558</v>
      </c>
      <c r="I76" s="4"/>
      <c r="J76" s="4"/>
      <c r="K76" s="4">
        <v>212</v>
      </c>
      <c r="L76" s="4">
        <v>30</v>
      </c>
      <c r="M76" s="4">
        <v>0</v>
      </c>
      <c r="N76" s="4" t="s">
        <v>3</v>
      </c>
      <c r="O76" s="4">
        <v>2</v>
      </c>
      <c r="P76" s="4"/>
      <c r="Q76" s="4"/>
      <c r="R76" s="4"/>
      <c r="S76" s="4"/>
      <c r="T76" s="4"/>
      <c r="U76" s="4"/>
      <c r="V76" s="4"/>
      <c r="W76" s="4">
        <v>496604.96</v>
      </c>
      <c r="X76" s="4">
        <v>1</v>
      </c>
      <c r="Y76" s="4">
        <v>496604.96</v>
      </c>
      <c r="Z76" s="4"/>
      <c r="AA76" s="4"/>
      <c r="AB76" s="4"/>
    </row>
    <row r="78" spans="1:206">
      <c r="A78" s="2">
        <v>51</v>
      </c>
      <c r="B78" s="2">
        <f>B12</f>
        <v>138</v>
      </c>
      <c r="C78" s="2">
        <f>A12</f>
        <v>1</v>
      </c>
      <c r="D78" s="2">
        <f>ROW(A12)</f>
        <v>12</v>
      </c>
      <c r="E78" s="2"/>
      <c r="F78" s="2" t="str">
        <f>IF(F12&lt;&gt;"",F12,"")</f>
        <v>Новый объект</v>
      </c>
      <c r="G78" s="2" t="str">
        <f>IF(G12&lt;&gt;"",G12,"")</f>
        <v>Ремонт крыльца</v>
      </c>
      <c r="H78" s="2">
        <v>0</v>
      </c>
      <c r="I78" s="2"/>
      <c r="J78" s="2"/>
      <c r="K78" s="2"/>
      <c r="L78" s="2"/>
      <c r="M78" s="2"/>
      <c r="N78" s="2"/>
      <c r="O78" s="2">
        <f t="shared" ref="O78:T78" si="37">ROUND(O45,2)</f>
        <v>247133.15</v>
      </c>
      <c r="P78" s="2">
        <f t="shared" si="37"/>
        <v>94938.45</v>
      </c>
      <c r="Q78" s="2">
        <f t="shared" si="37"/>
        <v>7796.82</v>
      </c>
      <c r="R78" s="2">
        <f t="shared" si="37"/>
        <v>4310.6000000000004</v>
      </c>
      <c r="S78" s="2">
        <f t="shared" si="37"/>
        <v>140087.28</v>
      </c>
      <c r="T78" s="2">
        <f t="shared" si="37"/>
        <v>0</v>
      </c>
      <c r="U78" s="2">
        <f>U45</f>
        <v>392.06802779999998</v>
      </c>
      <c r="V78" s="2">
        <f>V45</f>
        <v>10.6010715</v>
      </c>
      <c r="W78" s="2">
        <f>ROUND(W45,2)</f>
        <v>0</v>
      </c>
      <c r="X78" s="2">
        <f>ROUND(X45,2)</f>
        <v>146939.63</v>
      </c>
      <c r="Y78" s="2">
        <f>ROUND(Y45,2)</f>
        <v>79930.42</v>
      </c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>
        <f t="shared" ref="AO78:BD78" si="38">ROUND(AO45,2)</f>
        <v>0</v>
      </c>
      <c r="AP78" s="2">
        <f t="shared" si="38"/>
        <v>0</v>
      </c>
      <c r="AQ78" s="2">
        <f t="shared" si="38"/>
        <v>0</v>
      </c>
      <c r="AR78" s="2">
        <f t="shared" si="38"/>
        <v>474003.20000000001</v>
      </c>
      <c r="AS78" s="2">
        <f t="shared" si="38"/>
        <v>474003.20000000001</v>
      </c>
      <c r="AT78" s="2">
        <f t="shared" si="38"/>
        <v>0</v>
      </c>
      <c r="AU78" s="2">
        <f t="shared" si="38"/>
        <v>0</v>
      </c>
      <c r="AV78" s="2">
        <f t="shared" si="38"/>
        <v>94938.45</v>
      </c>
      <c r="AW78" s="2">
        <f t="shared" si="38"/>
        <v>94938.45</v>
      </c>
      <c r="AX78" s="2">
        <f t="shared" si="38"/>
        <v>0</v>
      </c>
      <c r="AY78" s="2">
        <f t="shared" si="38"/>
        <v>94938.45</v>
      </c>
      <c r="AZ78" s="2">
        <f t="shared" si="38"/>
        <v>0</v>
      </c>
      <c r="BA78" s="2">
        <f t="shared" si="38"/>
        <v>0</v>
      </c>
      <c r="BB78" s="2">
        <f t="shared" si="38"/>
        <v>0</v>
      </c>
      <c r="BC78" s="2">
        <f t="shared" si="38"/>
        <v>0</v>
      </c>
      <c r="BD78" s="2">
        <f t="shared" si="38"/>
        <v>0</v>
      </c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>
        <v>0</v>
      </c>
    </row>
    <row r="80" spans="1:206">
      <c r="A80" s="4">
        <v>50</v>
      </c>
      <c r="B80" s="4">
        <v>0</v>
      </c>
      <c r="C80" s="4">
        <v>0</v>
      </c>
      <c r="D80" s="4">
        <v>1</v>
      </c>
      <c r="E80" s="4">
        <v>201</v>
      </c>
      <c r="F80" s="4">
        <f>ROUND(Source!O78,O80)</f>
        <v>247133.15</v>
      </c>
      <c r="G80" s="4" t="s">
        <v>113</v>
      </c>
      <c r="H80" s="4" t="s">
        <v>114</v>
      </c>
      <c r="I80" s="4"/>
      <c r="J80" s="4"/>
      <c r="K80" s="4">
        <v>201</v>
      </c>
      <c r="L80" s="4">
        <v>1</v>
      </c>
      <c r="M80" s="4">
        <v>3</v>
      </c>
      <c r="N80" s="4" t="s">
        <v>3</v>
      </c>
      <c r="O80" s="4">
        <v>2</v>
      </c>
      <c r="P80" s="4"/>
      <c r="Q80" s="4"/>
      <c r="R80" s="4"/>
      <c r="S80" s="4"/>
      <c r="T80" s="4"/>
      <c r="U80" s="4"/>
      <c r="V80" s="4"/>
      <c r="W80" s="4">
        <v>247133.15</v>
      </c>
      <c r="X80" s="4">
        <v>1</v>
      </c>
      <c r="Y80" s="4">
        <v>247133.15</v>
      </c>
      <c r="Z80" s="4"/>
      <c r="AA80" s="4"/>
      <c r="AB80" s="4"/>
    </row>
    <row r="81" spans="1:28">
      <c r="A81" s="4">
        <v>50</v>
      </c>
      <c r="B81" s="4">
        <v>0</v>
      </c>
      <c r="C81" s="4">
        <v>0</v>
      </c>
      <c r="D81" s="4">
        <v>1</v>
      </c>
      <c r="E81" s="4">
        <v>202</v>
      </c>
      <c r="F81" s="4">
        <f>ROUND(Source!P78,O81)</f>
        <v>94938.45</v>
      </c>
      <c r="G81" s="4" t="s">
        <v>115</v>
      </c>
      <c r="H81" s="4" t="s">
        <v>116</v>
      </c>
      <c r="I81" s="4"/>
      <c r="J81" s="4"/>
      <c r="K81" s="4">
        <v>202</v>
      </c>
      <c r="L81" s="4">
        <v>2</v>
      </c>
      <c r="M81" s="4">
        <v>3</v>
      </c>
      <c r="N81" s="4" t="s">
        <v>3</v>
      </c>
      <c r="O81" s="4">
        <v>2</v>
      </c>
      <c r="P81" s="4"/>
      <c r="Q81" s="4"/>
      <c r="R81" s="4"/>
      <c r="S81" s="4"/>
      <c r="T81" s="4"/>
      <c r="U81" s="4"/>
      <c r="V81" s="4"/>
      <c r="W81" s="4">
        <v>94938.45</v>
      </c>
      <c r="X81" s="4">
        <v>1</v>
      </c>
      <c r="Y81" s="4">
        <v>94938.45</v>
      </c>
      <c r="Z81" s="4"/>
      <c r="AA81" s="4"/>
      <c r="AB81" s="4"/>
    </row>
    <row r="82" spans="1:28">
      <c r="A82" s="4">
        <v>50</v>
      </c>
      <c r="B82" s="4">
        <v>0</v>
      </c>
      <c r="C82" s="4">
        <v>0</v>
      </c>
      <c r="D82" s="4">
        <v>1</v>
      </c>
      <c r="E82" s="4">
        <v>222</v>
      </c>
      <c r="F82" s="4">
        <f>ROUND(Source!AO78,O82)</f>
        <v>0</v>
      </c>
      <c r="G82" s="4" t="s">
        <v>117</v>
      </c>
      <c r="H82" s="4" t="s">
        <v>118</v>
      </c>
      <c r="I82" s="4"/>
      <c r="J82" s="4"/>
      <c r="K82" s="4">
        <v>222</v>
      </c>
      <c r="L82" s="4">
        <v>3</v>
      </c>
      <c r="M82" s="4">
        <v>3</v>
      </c>
      <c r="N82" s="4" t="s">
        <v>3</v>
      </c>
      <c r="O82" s="4">
        <v>2</v>
      </c>
      <c r="P82" s="4"/>
      <c r="Q82" s="4"/>
      <c r="R82" s="4"/>
      <c r="S82" s="4"/>
      <c r="T82" s="4"/>
      <c r="U82" s="4"/>
      <c r="V82" s="4"/>
      <c r="W82" s="4">
        <v>0</v>
      </c>
      <c r="X82" s="4">
        <v>1</v>
      </c>
      <c r="Y82" s="4">
        <v>0</v>
      </c>
      <c r="Z82" s="4"/>
      <c r="AA82" s="4"/>
      <c r="AB82" s="4"/>
    </row>
    <row r="83" spans="1:28">
      <c r="A83" s="4">
        <v>50</v>
      </c>
      <c r="B83" s="4">
        <v>0</v>
      </c>
      <c r="C83" s="4">
        <v>0</v>
      </c>
      <c r="D83" s="4">
        <v>1</v>
      </c>
      <c r="E83" s="4">
        <v>225</v>
      </c>
      <c r="F83" s="4">
        <f>ROUND(Source!AV78,O83)</f>
        <v>94938.45</v>
      </c>
      <c r="G83" s="4" t="s">
        <v>119</v>
      </c>
      <c r="H83" s="4" t="s">
        <v>120</v>
      </c>
      <c r="I83" s="4"/>
      <c r="J83" s="4"/>
      <c r="K83" s="4">
        <v>225</v>
      </c>
      <c r="L83" s="4">
        <v>4</v>
      </c>
      <c r="M83" s="4">
        <v>3</v>
      </c>
      <c r="N83" s="4" t="s">
        <v>3</v>
      </c>
      <c r="O83" s="4">
        <v>2</v>
      </c>
      <c r="P83" s="4"/>
      <c r="Q83" s="4"/>
      <c r="R83" s="4"/>
      <c r="S83" s="4"/>
      <c r="T83" s="4"/>
      <c r="U83" s="4"/>
      <c r="V83" s="4"/>
      <c r="W83" s="4">
        <v>94938.45</v>
      </c>
      <c r="X83" s="4">
        <v>1</v>
      </c>
      <c r="Y83" s="4">
        <v>94938.45</v>
      </c>
      <c r="Z83" s="4"/>
      <c r="AA83" s="4"/>
      <c r="AB83" s="4"/>
    </row>
    <row r="84" spans="1:28">
      <c r="A84" s="4">
        <v>50</v>
      </c>
      <c r="B84" s="4">
        <v>0</v>
      </c>
      <c r="C84" s="4">
        <v>0</v>
      </c>
      <c r="D84" s="4">
        <v>1</v>
      </c>
      <c r="E84" s="4">
        <v>226</v>
      </c>
      <c r="F84" s="4">
        <f>ROUND(Source!AW78,O84)</f>
        <v>94938.45</v>
      </c>
      <c r="G84" s="4" t="s">
        <v>121</v>
      </c>
      <c r="H84" s="4" t="s">
        <v>122</v>
      </c>
      <c r="I84" s="4"/>
      <c r="J84" s="4"/>
      <c r="K84" s="4">
        <v>226</v>
      </c>
      <c r="L84" s="4">
        <v>5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>
        <v>94938.45</v>
      </c>
      <c r="X84" s="4">
        <v>1</v>
      </c>
      <c r="Y84" s="4">
        <v>94938.45</v>
      </c>
      <c r="Z84" s="4"/>
      <c r="AA84" s="4"/>
      <c r="AB84" s="4"/>
    </row>
    <row r="85" spans="1:28">
      <c r="A85" s="4">
        <v>50</v>
      </c>
      <c r="B85" s="4">
        <v>0</v>
      </c>
      <c r="C85" s="4">
        <v>0</v>
      </c>
      <c r="D85" s="4">
        <v>1</v>
      </c>
      <c r="E85" s="4">
        <v>227</v>
      </c>
      <c r="F85" s="4">
        <f>ROUND(Source!AX78,O85)</f>
        <v>0</v>
      </c>
      <c r="G85" s="4" t="s">
        <v>123</v>
      </c>
      <c r="H85" s="4" t="s">
        <v>124</v>
      </c>
      <c r="I85" s="4"/>
      <c r="J85" s="4"/>
      <c r="K85" s="4">
        <v>227</v>
      </c>
      <c r="L85" s="4">
        <v>6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>
        <v>0</v>
      </c>
      <c r="X85" s="4">
        <v>1</v>
      </c>
      <c r="Y85" s="4">
        <v>0</v>
      </c>
      <c r="Z85" s="4"/>
      <c r="AA85" s="4"/>
      <c r="AB85" s="4"/>
    </row>
    <row r="86" spans="1:28">
      <c r="A86" s="4">
        <v>50</v>
      </c>
      <c r="B86" s="4">
        <v>0</v>
      </c>
      <c r="C86" s="4">
        <v>0</v>
      </c>
      <c r="D86" s="4">
        <v>1</v>
      </c>
      <c r="E86" s="4">
        <v>228</v>
      </c>
      <c r="F86" s="4">
        <f>ROUND(Source!AY78,O86)</f>
        <v>94938.45</v>
      </c>
      <c r="G86" s="4" t="s">
        <v>125</v>
      </c>
      <c r="H86" s="4" t="s">
        <v>126</v>
      </c>
      <c r="I86" s="4"/>
      <c r="J86" s="4"/>
      <c r="K86" s="4">
        <v>228</v>
      </c>
      <c r="L86" s="4">
        <v>7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>
        <v>94938.45</v>
      </c>
      <c r="X86" s="4">
        <v>1</v>
      </c>
      <c r="Y86" s="4">
        <v>94938.45</v>
      </c>
      <c r="Z86" s="4"/>
      <c r="AA86" s="4"/>
      <c r="AB86" s="4"/>
    </row>
    <row r="87" spans="1:28">
      <c r="A87" s="4">
        <v>50</v>
      </c>
      <c r="B87" s="4">
        <v>0</v>
      </c>
      <c r="C87" s="4">
        <v>0</v>
      </c>
      <c r="D87" s="4">
        <v>1</v>
      </c>
      <c r="E87" s="4">
        <v>216</v>
      </c>
      <c r="F87" s="4">
        <f>ROUND(Source!AP78,O87)</f>
        <v>0</v>
      </c>
      <c r="G87" s="4" t="s">
        <v>127</v>
      </c>
      <c r="H87" s="4" t="s">
        <v>128</v>
      </c>
      <c r="I87" s="4"/>
      <c r="J87" s="4"/>
      <c r="K87" s="4">
        <v>216</v>
      </c>
      <c r="L87" s="4">
        <v>8</v>
      </c>
      <c r="M87" s="4">
        <v>3</v>
      </c>
      <c r="N87" s="4" t="s">
        <v>3</v>
      </c>
      <c r="O87" s="4">
        <v>2</v>
      </c>
      <c r="P87" s="4"/>
      <c r="Q87" s="4"/>
      <c r="R87" s="4"/>
      <c r="S87" s="4"/>
      <c r="T87" s="4"/>
      <c r="U87" s="4"/>
      <c r="V87" s="4"/>
      <c r="W87" s="4">
        <v>0</v>
      </c>
      <c r="X87" s="4">
        <v>1</v>
      </c>
      <c r="Y87" s="4">
        <v>0</v>
      </c>
      <c r="Z87" s="4"/>
      <c r="AA87" s="4"/>
      <c r="AB87" s="4"/>
    </row>
    <row r="88" spans="1:28">
      <c r="A88" s="4">
        <v>50</v>
      </c>
      <c r="B88" s="4">
        <v>0</v>
      </c>
      <c r="C88" s="4">
        <v>0</v>
      </c>
      <c r="D88" s="4">
        <v>1</v>
      </c>
      <c r="E88" s="4">
        <v>223</v>
      </c>
      <c r="F88" s="4">
        <f>ROUND(Source!AQ78,O88)</f>
        <v>0</v>
      </c>
      <c r="G88" s="4" t="s">
        <v>129</v>
      </c>
      <c r="H88" s="4" t="s">
        <v>130</v>
      </c>
      <c r="I88" s="4"/>
      <c r="J88" s="4"/>
      <c r="K88" s="4">
        <v>223</v>
      </c>
      <c r="L88" s="4">
        <v>9</v>
      </c>
      <c r="M88" s="4">
        <v>3</v>
      </c>
      <c r="N88" s="4" t="s">
        <v>3</v>
      </c>
      <c r="O88" s="4">
        <v>2</v>
      </c>
      <c r="P88" s="4"/>
      <c r="Q88" s="4"/>
      <c r="R88" s="4"/>
      <c r="S88" s="4"/>
      <c r="T88" s="4"/>
      <c r="U88" s="4"/>
      <c r="V88" s="4"/>
      <c r="W88" s="4">
        <v>0</v>
      </c>
      <c r="X88" s="4">
        <v>1</v>
      </c>
      <c r="Y88" s="4">
        <v>0</v>
      </c>
      <c r="Z88" s="4"/>
      <c r="AA88" s="4"/>
      <c r="AB88" s="4"/>
    </row>
    <row r="89" spans="1:28">
      <c r="A89" s="4">
        <v>50</v>
      </c>
      <c r="B89" s="4">
        <v>0</v>
      </c>
      <c r="C89" s="4">
        <v>0</v>
      </c>
      <c r="D89" s="4">
        <v>1</v>
      </c>
      <c r="E89" s="4">
        <v>229</v>
      </c>
      <c r="F89" s="4">
        <f>ROUND(Source!AZ78,O89)</f>
        <v>0</v>
      </c>
      <c r="G89" s="4" t="s">
        <v>131</v>
      </c>
      <c r="H89" s="4" t="s">
        <v>132</v>
      </c>
      <c r="I89" s="4"/>
      <c r="J89" s="4"/>
      <c r="K89" s="4">
        <v>229</v>
      </c>
      <c r="L89" s="4">
        <v>10</v>
      </c>
      <c r="M89" s="4">
        <v>3</v>
      </c>
      <c r="N89" s="4" t="s">
        <v>3</v>
      </c>
      <c r="O89" s="4">
        <v>2</v>
      </c>
      <c r="P89" s="4"/>
      <c r="Q89" s="4"/>
      <c r="R89" s="4"/>
      <c r="S89" s="4"/>
      <c r="T89" s="4"/>
      <c r="U89" s="4"/>
      <c r="V89" s="4"/>
      <c r="W89" s="4">
        <v>0</v>
      </c>
      <c r="X89" s="4">
        <v>1</v>
      </c>
      <c r="Y89" s="4">
        <v>0</v>
      </c>
      <c r="Z89" s="4"/>
      <c r="AA89" s="4"/>
      <c r="AB89" s="4"/>
    </row>
    <row r="90" spans="1:28">
      <c r="A90" s="4">
        <v>50</v>
      </c>
      <c r="B90" s="4">
        <v>0</v>
      </c>
      <c r="C90" s="4">
        <v>0</v>
      </c>
      <c r="D90" s="4">
        <v>1</v>
      </c>
      <c r="E90" s="4">
        <v>203</v>
      </c>
      <c r="F90" s="4">
        <f>ROUND(Source!Q78,O90)</f>
        <v>7796.82</v>
      </c>
      <c r="G90" s="4" t="s">
        <v>133</v>
      </c>
      <c r="H90" s="4" t="s">
        <v>134</v>
      </c>
      <c r="I90" s="4"/>
      <c r="J90" s="4"/>
      <c r="K90" s="4">
        <v>203</v>
      </c>
      <c r="L90" s="4">
        <v>11</v>
      </c>
      <c r="M90" s="4">
        <v>3</v>
      </c>
      <c r="N90" s="4" t="s">
        <v>3</v>
      </c>
      <c r="O90" s="4">
        <v>2</v>
      </c>
      <c r="P90" s="4"/>
      <c r="Q90" s="4"/>
      <c r="R90" s="4"/>
      <c r="S90" s="4"/>
      <c r="T90" s="4"/>
      <c r="U90" s="4"/>
      <c r="V90" s="4"/>
      <c r="W90" s="4">
        <v>7796.82</v>
      </c>
      <c r="X90" s="4">
        <v>1</v>
      </c>
      <c r="Y90" s="4">
        <v>7796.82</v>
      </c>
      <c r="Z90" s="4"/>
      <c r="AA90" s="4"/>
      <c r="AB90" s="4"/>
    </row>
    <row r="91" spans="1:28">
      <c r="A91" s="4">
        <v>50</v>
      </c>
      <c r="B91" s="4">
        <v>0</v>
      </c>
      <c r="C91" s="4">
        <v>0</v>
      </c>
      <c r="D91" s="4">
        <v>1</v>
      </c>
      <c r="E91" s="4">
        <v>231</v>
      </c>
      <c r="F91" s="4">
        <f>ROUND(Source!BB78,O91)</f>
        <v>0</v>
      </c>
      <c r="G91" s="4" t="s">
        <v>135</v>
      </c>
      <c r="H91" s="4" t="s">
        <v>136</v>
      </c>
      <c r="I91" s="4"/>
      <c r="J91" s="4"/>
      <c r="K91" s="4">
        <v>231</v>
      </c>
      <c r="L91" s="4">
        <v>12</v>
      </c>
      <c r="M91" s="4">
        <v>3</v>
      </c>
      <c r="N91" s="4" t="s">
        <v>3</v>
      </c>
      <c r="O91" s="4">
        <v>2</v>
      </c>
      <c r="P91" s="4"/>
      <c r="Q91" s="4"/>
      <c r="R91" s="4"/>
      <c r="S91" s="4"/>
      <c r="T91" s="4"/>
      <c r="U91" s="4"/>
      <c r="V91" s="4"/>
      <c r="W91" s="4">
        <v>0</v>
      </c>
      <c r="X91" s="4">
        <v>1</v>
      </c>
      <c r="Y91" s="4">
        <v>0</v>
      </c>
      <c r="Z91" s="4"/>
      <c r="AA91" s="4"/>
      <c r="AB91" s="4"/>
    </row>
    <row r="92" spans="1:28">
      <c r="A92" s="4">
        <v>50</v>
      </c>
      <c r="B92" s="4">
        <v>0</v>
      </c>
      <c r="C92" s="4">
        <v>0</v>
      </c>
      <c r="D92" s="4">
        <v>1</v>
      </c>
      <c r="E92" s="4">
        <v>204</v>
      </c>
      <c r="F92" s="4">
        <f>ROUND(Source!R78,O92)</f>
        <v>4310.6000000000004</v>
      </c>
      <c r="G92" s="4" t="s">
        <v>137</v>
      </c>
      <c r="H92" s="4" t="s">
        <v>138</v>
      </c>
      <c r="I92" s="4"/>
      <c r="J92" s="4"/>
      <c r="K92" s="4">
        <v>204</v>
      </c>
      <c r="L92" s="4">
        <v>13</v>
      </c>
      <c r="M92" s="4">
        <v>3</v>
      </c>
      <c r="N92" s="4" t="s">
        <v>3</v>
      </c>
      <c r="O92" s="4">
        <v>2</v>
      </c>
      <c r="P92" s="4"/>
      <c r="Q92" s="4"/>
      <c r="R92" s="4"/>
      <c r="S92" s="4"/>
      <c r="T92" s="4"/>
      <c r="U92" s="4"/>
      <c r="V92" s="4"/>
      <c r="W92" s="4">
        <v>4310.5999999999985</v>
      </c>
      <c r="X92" s="4">
        <v>1</v>
      </c>
      <c r="Y92" s="4">
        <v>4310.5999999999985</v>
      </c>
      <c r="Z92" s="4"/>
      <c r="AA92" s="4"/>
      <c r="AB92" s="4"/>
    </row>
    <row r="93" spans="1:28">
      <c r="A93" s="4">
        <v>50</v>
      </c>
      <c r="B93" s="4">
        <v>0</v>
      </c>
      <c r="C93" s="4">
        <v>0</v>
      </c>
      <c r="D93" s="4">
        <v>1</v>
      </c>
      <c r="E93" s="4">
        <v>205</v>
      </c>
      <c r="F93" s="4">
        <f>ROUND(Source!S78,O93)</f>
        <v>140087.28</v>
      </c>
      <c r="G93" s="4" t="s">
        <v>139</v>
      </c>
      <c r="H93" s="4" t="s">
        <v>140</v>
      </c>
      <c r="I93" s="4"/>
      <c r="J93" s="4"/>
      <c r="K93" s="4">
        <v>205</v>
      </c>
      <c r="L93" s="4">
        <v>14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>
        <v>140087.28</v>
      </c>
      <c r="X93" s="4">
        <v>1</v>
      </c>
      <c r="Y93" s="4">
        <v>140087.28</v>
      </c>
      <c r="Z93" s="4"/>
      <c r="AA93" s="4"/>
      <c r="AB93" s="4"/>
    </row>
    <row r="94" spans="1:28">
      <c r="A94" s="4">
        <v>50</v>
      </c>
      <c r="B94" s="4">
        <v>0</v>
      </c>
      <c r="C94" s="4">
        <v>0</v>
      </c>
      <c r="D94" s="4">
        <v>1</v>
      </c>
      <c r="E94" s="4">
        <v>232</v>
      </c>
      <c r="F94" s="4">
        <f>ROUND(Source!BC78,O94)</f>
        <v>0</v>
      </c>
      <c r="G94" s="4" t="s">
        <v>141</v>
      </c>
      <c r="H94" s="4" t="s">
        <v>142</v>
      </c>
      <c r="I94" s="4"/>
      <c r="J94" s="4"/>
      <c r="K94" s="4">
        <v>232</v>
      </c>
      <c r="L94" s="4">
        <v>15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>
        <v>0</v>
      </c>
      <c r="X94" s="4">
        <v>1</v>
      </c>
      <c r="Y94" s="4">
        <v>0</v>
      </c>
      <c r="Z94" s="4"/>
      <c r="AA94" s="4"/>
      <c r="AB94" s="4"/>
    </row>
    <row r="95" spans="1:28">
      <c r="A95" s="4">
        <v>50</v>
      </c>
      <c r="B95" s="4">
        <v>0</v>
      </c>
      <c r="C95" s="4">
        <v>0</v>
      </c>
      <c r="D95" s="4">
        <v>1</v>
      </c>
      <c r="E95" s="4">
        <v>214</v>
      </c>
      <c r="F95" s="4">
        <f>ROUND(Source!AS78,O95)</f>
        <v>474003.20000000001</v>
      </c>
      <c r="G95" s="4" t="s">
        <v>143</v>
      </c>
      <c r="H95" s="4" t="s">
        <v>144</v>
      </c>
      <c r="I95" s="4"/>
      <c r="J95" s="4"/>
      <c r="K95" s="4">
        <v>214</v>
      </c>
      <c r="L95" s="4">
        <v>16</v>
      </c>
      <c r="M95" s="4">
        <v>3</v>
      </c>
      <c r="N95" s="4" t="s">
        <v>3</v>
      </c>
      <c r="O95" s="4">
        <v>2</v>
      </c>
      <c r="P95" s="4"/>
      <c r="Q95" s="4"/>
      <c r="R95" s="4"/>
      <c r="S95" s="4"/>
      <c r="T95" s="4"/>
      <c r="U95" s="4"/>
      <c r="V95" s="4"/>
      <c r="W95" s="4">
        <v>474003.20000000001</v>
      </c>
      <c r="X95" s="4">
        <v>1</v>
      </c>
      <c r="Y95" s="4">
        <v>474003.20000000001</v>
      </c>
      <c r="Z95" s="4"/>
      <c r="AA95" s="4"/>
      <c r="AB95" s="4"/>
    </row>
    <row r="96" spans="1:28">
      <c r="A96" s="4">
        <v>50</v>
      </c>
      <c r="B96" s="4">
        <v>0</v>
      </c>
      <c r="C96" s="4">
        <v>0</v>
      </c>
      <c r="D96" s="4">
        <v>1</v>
      </c>
      <c r="E96" s="4">
        <v>215</v>
      </c>
      <c r="F96" s="4">
        <f>ROUND(Source!AT78,O96)</f>
        <v>0</v>
      </c>
      <c r="G96" s="4" t="s">
        <v>145</v>
      </c>
      <c r="H96" s="4" t="s">
        <v>146</v>
      </c>
      <c r="I96" s="4"/>
      <c r="J96" s="4"/>
      <c r="K96" s="4">
        <v>215</v>
      </c>
      <c r="L96" s="4">
        <v>17</v>
      </c>
      <c r="M96" s="4">
        <v>3</v>
      </c>
      <c r="N96" s="4" t="s">
        <v>3</v>
      </c>
      <c r="O96" s="4">
        <v>2</v>
      </c>
      <c r="P96" s="4"/>
      <c r="Q96" s="4"/>
      <c r="R96" s="4"/>
      <c r="S96" s="4"/>
      <c r="T96" s="4"/>
      <c r="U96" s="4"/>
      <c r="V96" s="4"/>
      <c r="W96" s="4">
        <v>0</v>
      </c>
      <c r="X96" s="4">
        <v>1</v>
      </c>
      <c r="Y96" s="4">
        <v>0</v>
      </c>
      <c r="Z96" s="4"/>
      <c r="AA96" s="4"/>
      <c r="AB96" s="4"/>
    </row>
    <row r="97" spans="1:28">
      <c r="A97" s="4">
        <v>50</v>
      </c>
      <c r="B97" s="4">
        <v>0</v>
      </c>
      <c r="C97" s="4">
        <v>0</v>
      </c>
      <c r="D97" s="4">
        <v>1</v>
      </c>
      <c r="E97" s="4">
        <v>217</v>
      </c>
      <c r="F97" s="4">
        <f>ROUND(Source!AU78,O97)</f>
        <v>0</v>
      </c>
      <c r="G97" s="4" t="s">
        <v>147</v>
      </c>
      <c r="H97" s="4" t="s">
        <v>148</v>
      </c>
      <c r="I97" s="4"/>
      <c r="J97" s="4"/>
      <c r="K97" s="4">
        <v>217</v>
      </c>
      <c r="L97" s="4">
        <v>18</v>
      </c>
      <c r="M97" s="4">
        <v>3</v>
      </c>
      <c r="N97" s="4" t="s">
        <v>3</v>
      </c>
      <c r="O97" s="4">
        <v>2</v>
      </c>
      <c r="P97" s="4"/>
      <c r="Q97" s="4"/>
      <c r="R97" s="4"/>
      <c r="S97" s="4"/>
      <c r="T97" s="4"/>
      <c r="U97" s="4"/>
      <c r="V97" s="4"/>
      <c r="W97" s="4">
        <v>0</v>
      </c>
      <c r="X97" s="4">
        <v>1</v>
      </c>
      <c r="Y97" s="4">
        <v>0</v>
      </c>
      <c r="Z97" s="4"/>
      <c r="AA97" s="4"/>
      <c r="AB97" s="4"/>
    </row>
    <row r="98" spans="1:28">
      <c r="A98" s="4">
        <v>50</v>
      </c>
      <c r="B98" s="4">
        <v>0</v>
      </c>
      <c r="C98" s="4">
        <v>0</v>
      </c>
      <c r="D98" s="4">
        <v>1</v>
      </c>
      <c r="E98" s="4">
        <v>230</v>
      </c>
      <c r="F98" s="4">
        <f>ROUND(Source!BA78,O98)</f>
        <v>0</v>
      </c>
      <c r="G98" s="4" t="s">
        <v>149</v>
      </c>
      <c r="H98" s="4" t="s">
        <v>150</v>
      </c>
      <c r="I98" s="4"/>
      <c r="J98" s="4"/>
      <c r="K98" s="4">
        <v>230</v>
      </c>
      <c r="L98" s="4">
        <v>19</v>
      </c>
      <c r="M98" s="4">
        <v>3</v>
      </c>
      <c r="N98" s="4" t="s">
        <v>3</v>
      </c>
      <c r="O98" s="4">
        <v>2</v>
      </c>
      <c r="P98" s="4"/>
      <c r="Q98" s="4"/>
      <c r="R98" s="4"/>
      <c r="S98" s="4"/>
      <c r="T98" s="4"/>
      <c r="U98" s="4"/>
      <c r="V98" s="4"/>
      <c r="W98" s="4">
        <v>0</v>
      </c>
      <c r="X98" s="4">
        <v>1</v>
      </c>
      <c r="Y98" s="4">
        <v>0</v>
      </c>
      <c r="Z98" s="4"/>
      <c r="AA98" s="4"/>
      <c r="AB98" s="4"/>
    </row>
    <row r="99" spans="1:28">
      <c r="A99" s="4">
        <v>50</v>
      </c>
      <c r="B99" s="4">
        <v>0</v>
      </c>
      <c r="C99" s="4">
        <v>0</v>
      </c>
      <c r="D99" s="4">
        <v>1</v>
      </c>
      <c r="E99" s="4">
        <v>206</v>
      </c>
      <c r="F99" s="4">
        <f>ROUND(Source!T78,O99)</f>
        <v>0</v>
      </c>
      <c r="G99" s="4" t="s">
        <v>151</v>
      </c>
      <c r="H99" s="4" t="s">
        <v>152</v>
      </c>
      <c r="I99" s="4"/>
      <c r="J99" s="4"/>
      <c r="K99" s="4">
        <v>206</v>
      </c>
      <c r="L99" s="4">
        <v>20</v>
      </c>
      <c r="M99" s="4">
        <v>3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>
        <v>0</v>
      </c>
      <c r="X99" s="4">
        <v>1</v>
      </c>
      <c r="Y99" s="4">
        <v>0</v>
      </c>
      <c r="Z99" s="4"/>
      <c r="AA99" s="4"/>
      <c r="AB99" s="4"/>
    </row>
    <row r="100" spans="1:28">
      <c r="A100" s="4">
        <v>50</v>
      </c>
      <c r="B100" s="4">
        <v>0</v>
      </c>
      <c r="C100" s="4">
        <v>0</v>
      </c>
      <c r="D100" s="4">
        <v>1</v>
      </c>
      <c r="E100" s="4">
        <v>207</v>
      </c>
      <c r="F100" s="4">
        <f>ROUND(Source!U78,O100)</f>
        <v>392.06802779999998</v>
      </c>
      <c r="G100" s="4" t="s">
        <v>153</v>
      </c>
      <c r="H100" s="4" t="s">
        <v>154</v>
      </c>
      <c r="I100" s="4"/>
      <c r="J100" s="4"/>
      <c r="K100" s="4">
        <v>207</v>
      </c>
      <c r="L100" s="4">
        <v>21</v>
      </c>
      <c r="M100" s="4">
        <v>3</v>
      </c>
      <c r="N100" s="4" t="s">
        <v>3</v>
      </c>
      <c r="O100" s="4">
        <v>7</v>
      </c>
      <c r="P100" s="4"/>
      <c r="Q100" s="4"/>
      <c r="R100" s="4"/>
      <c r="S100" s="4"/>
      <c r="T100" s="4"/>
      <c r="U100" s="4"/>
      <c r="V100" s="4"/>
      <c r="W100" s="4">
        <v>392.06802779999998</v>
      </c>
      <c r="X100" s="4">
        <v>1</v>
      </c>
      <c r="Y100" s="4">
        <v>392.06802779999998</v>
      </c>
      <c r="Z100" s="4"/>
      <c r="AA100" s="4"/>
      <c r="AB100" s="4"/>
    </row>
    <row r="101" spans="1:28">
      <c r="A101" s="4">
        <v>50</v>
      </c>
      <c r="B101" s="4">
        <v>0</v>
      </c>
      <c r="C101" s="4">
        <v>0</v>
      </c>
      <c r="D101" s="4">
        <v>1</v>
      </c>
      <c r="E101" s="4">
        <v>208</v>
      </c>
      <c r="F101" s="4">
        <f>ROUND(Source!V78,O101)</f>
        <v>10.6010715</v>
      </c>
      <c r="G101" s="4" t="s">
        <v>155</v>
      </c>
      <c r="H101" s="4" t="s">
        <v>156</v>
      </c>
      <c r="I101" s="4"/>
      <c r="J101" s="4"/>
      <c r="K101" s="4">
        <v>208</v>
      </c>
      <c r="L101" s="4">
        <v>22</v>
      </c>
      <c r="M101" s="4">
        <v>3</v>
      </c>
      <c r="N101" s="4" t="s">
        <v>3</v>
      </c>
      <c r="O101" s="4">
        <v>7</v>
      </c>
      <c r="P101" s="4"/>
      <c r="Q101" s="4"/>
      <c r="R101" s="4"/>
      <c r="S101" s="4"/>
      <c r="T101" s="4"/>
      <c r="U101" s="4"/>
      <c r="V101" s="4"/>
      <c r="W101" s="4">
        <v>10.6010715</v>
      </c>
      <c r="X101" s="4">
        <v>1</v>
      </c>
      <c r="Y101" s="4">
        <v>10.6010715</v>
      </c>
      <c r="Z101" s="4"/>
      <c r="AA101" s="4"/>
      <c r="AB101" s="4"/>
    </row>
    <row r="102" spans="1:28">
      <c r="A102" s="4">
        <v>50</v>
      </c>
      <c r="B102" s="4">
        <v>0</v>
      </c>
      <c r="C102" s="4">
        <v>0</v>
      </c>
      <c r="D102" s="4">
        <v>1</v>
      </c>
      <c r="E102" s="4">
        <v>209</v>
      </c>
      <c r="F102" s="4">
        <f>ROUND(Source!W78,O102)</f>
        <v>0</v>
      </c>
      <c r="G102" s="4" t="s">
        <v>157</v>
      </c>
      <c r="H102" s="4" t="s">
        <v>158</v>
      </c>
      <c r="I102" s="4"/>
      <c r="J102" s="4"/>
      <c r="K102" s="4">
        <v>209</v>
      </c>
      <c r="L102" s="4">
        <v>23</v>
      </c>
      <c r="M102" s="4">
        <v>3</v>
      </c>
      <c r="N102" s="4" t="s">
        <v>3</v>
      </c>
      <c r="O102" s="4">
        <v>2</v>
      </c>
      <c r="P102" s="4"/>
      <c r="Q102" s="4"/>
      <c r="R102" s="4"/>
      <c r="S102" s="4"/>
      <c r="T102" s="4"/>
      <c r="U102" s="4"/>
      <c r="V102" s="4"/>
      <c r="W102" s="4">
        <v>0</v>
      </c>
      <c r="X102" s="4">
        <v>1</v>
      </c>
      <c r="Y102" s="4">
        <v>0</v>
      </c>
      <c r="Z102" s="4"/>
      <c r="AA102" s="4"/>
      <c r="AB102" s="4"/>
    </row>
    <row r="103" spans="1:28">
      <c r="A103" s="4">
        <v>50</v>
      </c>
      <c r="B103" s="4">
        <v>0</v>
      </c>
      <c r="C103" s="4">
        <v>0</v>
      </c>
      <c r="D103" s="4">
        <v>1</v>
      </c>
      <c r="E103" s="4">
        <v>233</v>
      </c>
      <c r="F103" s="4">
        <f>ROUND(Source!BD78,O103)</f>
        <v>0</v>
      </c>
      <c r="G103" s="4" t="s">
        <v>159</v>
      </c>
      <c r="H103" s="4" t="s">
        <v>160</v>
      </c>
      <c r="I103" s="4"/>
      <c r="J103" s="4"/>
      <c r="K103" s="4">
        <v>233</v>
      </c>
      <c r="L103" s="4">
        <v>24</v>
      </c>
      <c r="M103" s="4">
        <v>3</v>
      </c>
      <c r="N103" s="4" t="s">
        <v>3</v>
      </c>
      <c r="O103" s="4">
        <v>2</v>
      </c>
      <c r="P103" s="4"/>
      <c r="Q103" s="4"/>
      <c r="R103" s="4"/>
      <c r="S103" s="4"/>
      <c r="T103" s="4"/>
      <c r="U103" s="4"/>
      <c r="V103" s="4"/>
      <c r="W103" s="4">
        <v>0</v>
      </c>
      <c r="X103" s="4">
        <v>1</v>
      </c>
      <c r="Y103" s="4">
        <v>0</v>
      </c>
      <c r="Z103" s="4"/>
      <c r="AA103" s="4"/>
      <c r="AB103" s="4"/>
    </row>
    <row r="104" spans="1:28">
      <c r="A104" s="4">
        <v>50</v>
      </c>
      <c r="B104" s="4">
        <v>0</v>
      </c>
      <c r="C104" s="4">
        <v>0</v>
      </c>
      <c r="D104" s="4">
        <v>1</v>
      </c>
      <c r="E104" s="4">
        <v>210</v>
      </c>
      <c r="F104" s="4">
        <f>ROUND(Source!X78,O104)</f>
        <v>146939.63</v>
      </c>
      <c r="G104" s="4" t="s">
        <v>161</v>
      </c>
      <c r="H104" s="4" t="s">
        <v>162</v>
      </c>
      <c r="I104" s="4"/>
      <c r="J104" s="4"/>
      <c r="K104" s="4">
        <v>210</v>
      </c>
      <c r="L104" s="4">
        <v>25</v>
      </c>
      <c r="M104" s="4">
        <v>3</v>
      </c>
      <c r="N104" s="4" t="s">
        <v>3</v>
      </c>
      <c r="O104" s="4">
        <v>2</v>
      </c>
      <c r="P104" s="4"/>
      <c r="Q104" s="4"/>
      <c r="R104" s="4"/>
      <c r="S104" s="4"/>
      <c r="T104" s="4"/>
      <c r="U104" s="4"/>
      <c r="V104" s="4"/>
      <c r="W104" s="4">
        <v>146939.63</v>
      </c>
      <c r="X104" s="4">
        <v>1</v>
      </c>
      <c r="Y104" s="4">
        <v>146939.63</v>
      </c>
      <c r="Z104" s="4"/>
      <c r="AA104" s="4"/>
      <c r="AB104" s="4"/>
    </row>
    <row r="105" spans="1:28">
      <c r="A105" s="4">
        <v>50</v>
      </c>
      <c r="B105" s="4">
        <v>0</v>
      </c>
      <c r="C105" s="4">
        <v>0</v>
      </c>
      <c r="D105" s="4">
        <v>1</v>
      </c>
      <c r="E105" s="4">
        <v>211</v>
      </c>
      <c r="F105" s="4">
        <f>ROUND(Source!Y78,O105)</f>
        <v>79930.42</v>
      </c>
      <c r="G105" s="4" t="s">
        <v>163</v>
      </c>
      <c r="H105" s="4" t="s">
        <v>164</v>
      </c>
      <c r="I105" s="4"/>
      <c r="J105" s="4"/>
      <c r="K105" s="4">
        <v>211</v>
      </c>
      <c r="L105" s="4">
        <v>26</v>
      </c>
      <c r="M105" s="4">
        <v>3</v>
      </c>
      <c r="N105" s="4" t="s">
        <v>3</v>
      </c>
      <c r="O105" s="4">
        <v>2</v>
      </c>
      <c r="P105" s="4"/>
      <c r="Q105" s="4"/>
      <c r="R105" s="4"/>
      <c r="S105" s="4"/>
      <c r="T105" s="4"/>
      <c r="U105" s="4"/>
      <c r="V105" s="4"/>
      <c r="W105" s="4">
        <v>79930.42</v>
      </c>
      <c r="X105" s="4">
        <v>1</v>
      </c>
      <c r="Y105" s="4">
        <v>79930.42</v>
      </c>
      <c r="Z105" s="4"/>
      <c r="AA105" s="4"/>
      <c r="AB105" s="4"/>
    </row>
    <row r="106" spans="1:28">
      <c r="A106" s="4">
        <v>50</v>
      </c>
      <c r="B106" s="4">
        <v>0</v>
      </c>
      <c r="C106" s="4">
        <v>0</v>
      </c>
      <c r="D106" s="4">
        <v>1</v>
      </c>
      <c r="E106" s="4">
        <v>224</v>
      </c>
      <c r="F106" s="4">
        <f>ROUND(Source!AR78,O106)</f>
        <v>474003.20000000001</v>
      </c>
      <c r="G106" s="4" t="s">
        <v>165</v>
      </c>
      <c r="H106" s="4" t="s">
        <v>166</v>
      </c>
      <c r="I106" s="4"/>
      <c r="J106" s="4"/>
      <c r="K106" s="4">
        <v>224</v>
      </c>
      <c r="L106" s="4">
        <v>27</v>
      </c>
      <c r="M106" s="4">
        <v>3</v>
      </c>
      <c r="N106" s="4" t="s">
        <v>3</v>
      </c>
      <c r="O106" s="4">
        <v>2</v>
      </c>
      <c r="P106" s="4"/>
      <c r="Q106" s="4"/>
      <c r="R106" s="4"/>
      <c r="S106" s="4"/>
      <c r="T106" s="4"/>
      <c r="U106" s="4"/>
      <c r="V106" s="4"/>
      <c r="W106" s="4">
        <v>474003.20000000001</v>
      </c>
      <c r="X106" s="4">
        <v>1</v>
      </c>
      <c r="Y106" s="4">
        <v>474003.20000000001</v>
      </c>
      <c r="Z106" s="4"/>
      <c r="AA106" s="4"/>
      <c r="AB106" s="4"/>
    </row>
    <row r="107" spans="1:28">
      <c r="A107" s="4">
        <v>50</v>
      </c>
      <c r="B107" s="4">
        <v>1</v>
      </c>
      <c r="C107" s="4">
        <v>0</v>
      </c>
      <c r="D107" s="4">
        <v>2</v>
      </c>
      <c r="E107" s="4">
        <v>0</v>
      </c>
      <c r="F107" s="4">
        <f>ROUND(F106,O107)</f>
        <v>474003.20000000001</v>
      </c>
      <c r="G107" s="4" t="s">
        <v>167</v>
      </c>
      <c r="H107" s="4" t="s">
        <v>168</v>
      </c>
      <c r="I107" s="4"/>
      <c r="J107" s="4"/>
      <c r="K107" s="4">
        <v>212</v>
      </c>
      <c r="L107" s="4">
        <v>28</v>
      </c>
      <c r="M107" s="4">
        <v>0</v>
      </c>
      <c r="N107" s="4" t="s">
        <v>3</v>
      </c>
      <c r="O107" s="4">
        <v>2</v>
      </c>
      <c r="P107" s="4"/>
      <c r="Q107" s="4"/>
      <c r="R107" s="4"/>
      <c r="S107" s="4"/>
      <c r="T107" s="4"/>
      <c r="U107" s="4"/>
      <c r="V107" s="4"/>
      <c r="W107" s="4">
        <v>474003.20000000001</v>
      </c>
      <c r="X107" s="4">
        <v>1</v>
      </c>
      <c r="Y107" s="4">
        <v>474003.20000000001</v>
      </c>
      <c r="Z107" s="4"/>
      <c r="AA107" s="4"/>
      <c r="AB107" s="4"/>
    </row>
    <row r="108" spans="1:28">
      <c r="A108" s="4">
        <v>50</v>
      </c>
      <c r="B108" s="4">
        <v>1</v>
      </c>
      <c r="C108" s="4">
        <v>0</v>
      </c>
      <c r="D108" s="4">
        <v>2</v>
      </c>
      <c r="E108" s="4">
        <v>0</v>
      </c>
      <c r="F108" s="4">
        <f>ROUND((F84+F87+F90)*0.22,O108)</f>
        <v>22601.759999999998</v>
      </c>
      <c r="G108" s="4" t="s">
        <v>169</v>
      </c>
      <c r="H108" s="4" t="s">
        <v>170</v>
      </c>
      <c r="I108" s="4"/>
      <c r="J108" s="4"/>
      <c r="K108" s="4">
        <v>212</v>
      </c>
      <c r="L108" s="4">
        <v>29</v>
      </c>
      <c r="M108" s="4">
        <v>0</v>
      </c>
      <c r="N108" s="4" t="s">
        <v>3</v>
      </c>
      <c r="O108" s="4">
        <v>2</v>
      </c>
      <c r="P108" s="4"/>
      <c r="Q108" s="4"/>
      <c r="R108" s="4"/>
      <c r="S108" s="4"/>
      <c r="T108" s="4"/>
      <c r="U108" s="4"/>
      <c r="V108" s="4"/>
      <c r="W108" s="4">
        <v>22601.759999999998</v>
      </c>
      <c r="X108" s="4">
        <v>1</v>
      </c>
      <c r="Y108" s="4">
        <v>22601.759999999998</v>
      </c>
      <c r="Z108" s="4"/>
      <c r="AA108" s="4"/>
      <c r="AB108" s="4"/>
    </row>
    <row r="109" spans="1:28">
      <c r="A109" s="4">
        <v>50</v>
      </c>
      <c r="B109" s="4">
        <v>1</v>
      </c>
      <c r="C109" s="4">
        <v>0</v>
      </c>
      <c r="D109" s="4">
        <v>2</v>
      </c>
      <c r="E109" s="4">
        <v>213</v>
      </c>
      <c r="F109" s="4">
        <f>ROUND(F106+F108,O109)</f>
        <v>496604.96</v>
      </c>
      <c r="G109" s="4" t="s">
        <v>171</v>
      </c>
      <c r="H109" s="4" t="s">
        <v>172</v>
      </c>
      <c r="I109" s="4"/>
      <c r="J109" s="4"/>
      <c r="K109" s="4">
        <v>212</v>
      </c>
      <c r="L109" s="4">
        <v>30</v>
      </c>
      <c r="M109" s="4">
        <v>0</v>
      </c>
      <c r="N109" s="4" t="s">
        <v>3</v>
      </c>
      <c r="O109" s="4">
        <v>2</v>
      </c>
      <c r="P109" s="4"/>
      <c r="Q109" s="4"/>
      <c r="R109" s="4"/>
      <c r="S109" s="4"/>
      <c r="T109" s="4"/>
      <c r="U109" s="4"/>
      <c r="V109" s="4"/>
      <c r="W109" s="4">
        <v>496604.96</v>
      </c>
      <c r="X109" s="4">
        <v>1</v>
      </c>
      <c r="Y109" s="4">
        <v>496604.96</v>
      </c>
      <c r="Z109" s="4"/>
      <c r="AA109" s="4"/>
      <c r="AB109" s="4"/>
    </row>
    <row r="112" spans="1:28">
      <c r="A112">
        <v>70</v>
      </c>
      <c r="B112">
        <v>1</v>
      </c>
      <c r="D112">
        <v>1</v>
      </c>
      <c r="E112" t="s">
        <v>173</v>
      </c>
      <c r="F112" t="s">
        <v>174</v>
      </c>
      <c r="G112">
        <v>0</v>
      </c>
      <c r="H112">
        <v>0</v>
      </c>
      <c r="I112" t="s">
        <v>3</v>
      </c>
      <c r="J112">
        <v>1</v>
      </c>
      <c r="K112">
        <v>0</v>
      </c>
      <c r="L112" t="s">
        <v>3</v>
      </c>
      <c r="M112" t="s">
        <v>3</v>
      </c>
      <c r="N112">
        <v>0</v>
      </c>
      <c r="P112" t="s">
        <v>175</v>
      </c>
    </row>
    <row r="113" spans="1:16">
      <c r="A113">
        <v>70</v>
      </c>
      <c r="B113">
        <v>1</v>
      </c>
      <c r="D113">
        <v>2</v>
      </c>
      <c r="E113" t="s">
        <v>176</v>
      </c>
      <c r="F113" t="s">
        <v>177</v>
      </c>
      <c r="G113">
        <v>1</v>
      </c>
      <c r="H113">
        <v>0</v>
      </c>
      <c r="I113" t="s">
        <v>3</v>
      </c>
      <c r="J113">
        <v>1</v>
      </c>
      <c r="K113">
        <v>0</v>
      </c>
      <c r="L113" t="s">
        <v>3</v>
      </c>
      <c r="M113" t="s">
        <v>3</v>
      </c>
      <c r="N113">
        <v>0</v>
      </c>
      <c r="P113" t="s">
        <v>178</v>
      </c>
    </row>
    <row r="114" spans="1:16">
      <c r="A114">
        <v>70</v>
      </c>
      <c r="B114">
        <v>1</v>
      </c>
      <c r="D114">
        <v>3</v>
      </c>
      <c r="E114" t="s">
        <v>179</v>
      </c>
      <c r="F114" t="s">
        <v>180</v>
      </c>
      <c r="G114">
        <v>0</v>
      </c>
      <c r="H114">
        <v>0</v>
      </c>
      <c r="I114" t="s">
        <v>3</v>
      </c>
      <c r="J114">
        <v>1</v>
      </c>
      <c r="K114">
        <v>0</v>
      </c>
      <c r="L114" t="s">
        <v>3</v>
      </c>
      <c r="M114" t="s">
        <v>3</v>
      </c>
      <c r="N114">
        <v>0</v>
      </c>
      <c r="P114" t="s">
        <v>181</v>
      </c>
    </row>
    <row r="115" spans="1:16">
      <c r="A115">
        <v>70</v>
      </c>
      <c r="B115">
        <v>1</v>
      </c>
      <c r="D115">
        <v>4</v>
      </c>
      <c r="E115" t="s">
        <v>182</v>
      </c>
      <c r="F115" t="s">
        <v>183</v>
      </c>
      <c r="G115">
        <v>1</v>
      </c>
      <c r="H115">
        <v>0</v>
      </c>
      <c r="I115" t="s">
        <v>3</v>
      </c>
      <c r="J115">
        <v>2</v>
      </c>
      <c r="K115">
        <v>0</v>
      </c>
      <c r="L115" t="s">
        <v>3</v>
      </c>
      <c r="M115" t="s">
        <v>3</v>
      </c>
      <c r="N115">
        <v>0</v>
      </c>
      <c r="P115" t="s">
        <v>3</v>
      </c>
    </row>
    <row r="116" spans="1:16">
      <c r="A116">
        <v>70</v>
      </c>
      <c r="B116">
        <v>1</v>
      </c>
      <c r="D116">
        <v>5</v>
      </c>
      <c r="E116" t="s">
        <v>184</v>
      </c>
      <c r="F116" t="s">
        <v>185</v>
      </c>
      <c r="G116">
        <v>0</v>
      </c>
      <c r="H116">
        <v>0</v>
      </c>
      <c r="I116" t="s">
        <v>3</v>
      </c>
      <c r="J116">
        <v>2</v>
      </c>
      <c r="K116">
        <v>0</v>
      </c>
      <c r="L116" t="s">
        <v>3</v>
      </c>
      <c r="M116" t="s">
        <v>3</v>
      </c>
      <c r="N116">
        <v>0</v>
      </c>
      <c r="P116" t="s">
        <v>3</v>
      </c>
    </row>
    <row r="117" spans="1:16">
      <c r="A117">
        <v>70</v>
      </c>
      <c r="B117">
        <v>1</v>
      </c>
      <c r="D117">
        <v>6</v>
      </c>
      <c r="E117" t="s">
        <v>186</v>
      </c>
      <c r="F117" t="s">
        <v>187</v>
      </c>
      <c r="G117">
        <v>0</v>
      </c>
      <c r="H117">
        <v>0</v>
      </c>
      <c r="I117" t="s">
        <v>3</v>
      </c>
      <c r="J117">
        <v>2</v>
      </c>
      <c r="K117">
        <v>0</v>
      </c>
      <c r="L117" t="s">
        <v>3</v>
      </c>
      <c r="M117" t="s">
        <v>3</v>
      </c>
      <c r="N117">
        <v>0</v>
      </c>
      <c r="P117" t="s">
        <v>3</v>
      </c>
    </row>
    <row r="118" spans="1:16">
      <c r="A118">
        <v>70</v>
      </c>
      <c r="B118">
        <v>1</v>
      </c>
      <c r="D118">
        <v>7</v>
      </c>
      <c r="E118" t="s">
        <v>188</v>
      </c>
      <c r="F118" t="s">
        <v>189</v>
      </c>
      <c r="G118">
        <v>0</v>
      </c>
      <c r="H118">
        <v>0</v>
      </c>
      <c r="I118" t="s">
        <v>190</v>
      </c>
      <c r="J118">
        <v>0</v>
      </c>
      <c r="K118">
        <v>0</v>
      </c>
      <c r="L118" t="s">
        <v>3</v>
      </c>
      <c r="M118" t="s">
        <v>3</v>
      </c>
      <c r="N118">
        <v>0</v>
      </c>
      <c r="P118" t="s">
        <v>191</v>
      </c>
    </row>
    <row r="119" spans="1:16">
      <c r="A119">
        <v>70</v>
      </c>
      <c r="B119">
        <v>1</v>
      </c>
      <c r="D119">
        <v>8</v>
      </c>
      <c r="E119" t="s">
        <v>192</v>
      </c>
      <c r="F119" t="s">
        <v>193</v>
      </c>
      <c r="G119">
        <v>1</v>
      </c>
      <c r="H119">
        <v>0</v>
      </c>
      <c r="I119" t="s">
        <v>3</v>
      </c>
      <c r="J119">
        <v>5</v>
      </c>
      <c r="K119">
        <v>0</v>
      </c>
      <c r="L119" t="s">
        <v>3</v>
      </c>
      <c r="M119" t="s">
        <v>3</v>
      </c>
      <c r="N119">
        <v>0</v>
      </c>
      <c r="P119" t="s">
        <v>3</v>
      </c>
    </row>
    <row r="120" spans="1:16">
      <c r="A120">
        <v>70</v>
      </c>
      <c r="B120">
        <v>1</v>
      </c>
      <c r="D120">
        <v>9</v>
      </c>
      <c r="E120" t="s">
        <v>194</v>
      </c>
      <c r="F120" t="s">
        <v>195</v>
      </c>
      <c r="G120">
        <v>0</v>
      </c>
      <c r="H120">
        <v>0</v>
      </c>
      <c r="I120" t="s">
        <v>3</v>
      </c>
      <c r="J120">
        <v>5</v>
      </c>
      <c r="K120">
        <v>0</v>
      </c>
      <c r="L120" t="s">
        <v>3</v>
      </c>
      <c r="M120" t="s">
        <v>3</v>
      </c>
      <c r="N120">
        <v>0</v>
      </c>
      <c r="P120" t="s">
        <v>196</v>
      </c>
    </row>
    <row r="121" spans="1:16">
      <c r="A121">
        <v>70</v>
      </c>
      <c r="B121">
        <v>1</v>
      </c>
      <c r="D121">
        <v>10</v>
      </c>
      <c r="E121" t="s">
        <v>197</v>
      </c>
      <c r="F121" t="s">
        <v>198</v>
      </c>
      <c r="G121">
        <v>0</v>
      </c>
      <c r="H121">
        <v>0</v>
      </c>
      <c r="I121" t="s">
        <v>199</v>
      </c>
      <c r="J121">
        <v>5</v>
      </c>
      <c r="K121">
        <v>0</v>
      </c>
      <c r="L121" t="s">
        <v>3</v>
      </c>
      <c r="M121" t="s">
        <v>3</v>
      </c>
      <c r="N121">
        <v>0</v>
      </c>
      <c r="P121" t="s">
        <v>200</v>
      </c>
    </row>
    <row r="122" spans="1:16">
      <c r="A122">
        <v>70</v>
      </c>
      <c r="B122">
        <v>1</v>
      </c>
      <c r="D122">
        <v>11</v>
      </c>
      <c r="E122" t="s">
        <v>201</v>
      </c>
      <c r="F122" t="s">
        <v>202</v>
      </c>
      <c r="G122">
        <v>0</v>
      </c>
      <c r="H122">
        <v>0</v>
      </c>
      <c r="I122" t="s">
        <v>203</v>
      </c>
      <c r="J122">
        <v>0</v>
      </c>
      <c r="K122">
        <v>0</v>
      </c>
      <c r="L122" t="s">
        <v>3</v>
      </c>
      <c r="M122" t="s">
        <v>3</v>
      </c>
      <c r="N122">
        <v>0</v>
      </c>
      <c r="P122" t="s">
        <v>204</v>
      </c>
    </row>
    <row r="123" spans="1:16">
      <c r="A123">
        <v>70</v>
      </c>
      <c r="B123">
        <v>1</v>
      </c>
      <c r="D123">
        <v>12</v>
      </c>
      <c r="E123" t="s">
        <v>205</v>
      </c>
      <c r="F123" t="s">
        <v>206</v>
      </c>
      <c r="G123">
        <v>0</v>
      </c>
      <c r="H123">
        <v>0</v>
      </c>
      <c r="I123" t="s">
        <v>207</v>
      </c>
      <c r="J123">
        <v>0</v>
      </c>
      <c r="K123">
        <v>0</v>
      </c>
      <c r="L123" t="s">
        <v>3</v>
      </c>
      <c r="M123" t="s">
        <v>3</v>
      </c>
      <c r="N123">
        <v>0</v>
      </c>
      <c r="P123" t="s">
        <v>208</v>
      </c>
    </row>
    <row r="124" spans="1:16">
      <c r="A124">
        <v>70</v>
      </c>
      <c r="B124">
        <v>1</v>
      </c>
      <c r="D124">
        <v>13</v>
      </c>
      <c r="E124" t="s">
        <v>209</v>
      </c>
      <c r="F124" t="s">
        <v>210</v>
      </c>
      <c r="G124">
        <v>0</v>
      </c>
      <c r="H124">
        <v>0</v>
      </c>
      <c r="I124" t="s">
        <v>211</v>
      </c>
      <c r="J124">
        <v>0</v>
      </c>
      <c r="K124">
        <v>0</v>
      </c>
      <c r="L124" t="s">
        <v>3</v>
      </c>
      <c r="M124" t="s">
        <v>3</v>
      </c>
      <c r="N124">
        <v>0</v>
      </c>
      <c r="P124" t="s">
        <v>212</v>
      </c>
    </row>
    <row r="125" spans="1:16">
      <c r="A125">
        <v>70</v>
      </c>
      <c r="B125">
        <v>1</v>
      </c>
      <c r="D125">
        <v>14</v>
      </c>
      <c r="E125" t="s">
        <v>213</v>
      </c>
      <c r="F125" t="s">
        <v>214</v>
      </c>
      <c r="G125">
        <v>0</v>
      </c>
      <c r="H125">
        <v>0</v>
      </c>
      <c r="I125" t="s">
        <v>3</v>
      </c>
      <c r="J125">
        <v>0</v>
      </c>
      <c r="K125">
        <v>0</v>
      </c>
      <c r="L125" t="s">
        <v>3</v>
      </c>
      <c r="M125" t="s">
        <v>3</v>
      </c>
      <c r="N125">
        <v>0</v>
      </c>
      <c r="P125" t="s">
        <v>3</v>
      </c>
    </row>
    <row r="126" spans="1:16">
      <c r="A126">
        <v>70</v>
      </c>
      <c r="B126">
        <v>1</v>
      </c>
      <c r="D126">
        <v>15</v>
      </c>
      <c r="E126" t="s">
        <v>215</v>
      </c>
      <c r="F126" t="s">
        <v>216</v>
      </c>
      <c r="G126">
        <v>0</v>
      </c>
      <c r="H126">
        <v>0</v>
      </c>
      <c r="I126" t="s">
        <v>3</v>
      </c>
      <c r="J126">
        <v>0</v>
      </c>
      <c r="K126">
        <v>0</v>
      </c>
      <c r="L126" t="s">
        <v>3</v>
      </c>
      <c r="M126" t="s">
        <v>3</v>
      </c>
      <c r="N126">
        <v>0</v>
      </c>
      <c r="P126" t="s">
        <v>217</v>
      </c>
    </row>
    <row r="127" spans="1:16">
      <c r="A127">
        <v>70</v>
      </c>
      <c r="B127">
        <v>1</v>
      </c>
      <c r="D127">
        <v>16</v>
      </c>
      <c r="E127" t="s">
        <v>218</v>
      </c>
      <c r="F127" t="s">
        <v>219</v>
      </c>
      <c r="G127">
        <v>0</v>
      </c>
      <c r="H127">
        <v>0</v>
      </c>
      <c r="I127" t="s">
        <v>3</v>
      </c>
      <c r="J127">
        <v>3</v>
      </c>
      <c r="K127">
        <v>0</v>
      </c>
      <c r="L127" t="s">
        <v>3</v>
      </c>
      <c r="M127" t="s">
        <v>3</v>
      </c>
      <c r="N127">
        <v>0</v>
      </c>
      <c r="P127" t="s">
        <v>3</v>
      </c>
    </row>
    <row r="128" spans="1:16">
      <c r="A128">
        <v>70</v>
      </c>
      <c r="B128">
        <v>1</v>
      </c>
      <c r="D128">
        <v>17</v>
      </c>
      <c r="E128" t="s">
        <v>220</v>
      </c>
      <c r="F128" t="s">
        <v>221</v>
      </c>
      <c r="G128">
        <v>1</v>
      </c>
      <c r="H128">
        <v>0</v>
      </c>
      <c r="I128" t="s">
        <v>3</v>
      </c>
      <c r="J128">
        <v>3</v>
      </c>
      <c r="K128">
        <v>0</v>
      </c>
      <c r="L128" t="s">
        <v>3</v>
      </c>
      <c r="M128" t="s">
        <v>3</v>
      </c>
      <c r="N128">
        <v>0</v>
      </c>
      <c r="P128" t="s">
        <v>3</v>
      </c>
    </row>
    <row r="129" spans="1:50">
      <c r="A129">
        <v>70</v>
      </c>
      <c r="B129">
        <v>1</v>
      </c>
      <c r="D129">
        <v>1</v>
      </c>
      <c r="E129" t="s">
        <v>222</v>
      </c>
      <c r="F129" t="s">
        <v>223</v>
      </c>
      <c r="G129">
        <v>0.9</v>
      </c>
      <c r="H129">
        <v>1</v>
      </c>
      <c r="I129" t="s">
        <v>224</v>
      </c>
      <c r="J129">
        <v>0</v>
      </c>
      <c r="K129">
        <v>0</v>
      </c>
      <c r="L129" t="s">
        <v>3</v>
      </c>
      <c r="M129" t="s">
        <v>3</v>
      </c>
      <c r="N129">
        <v>0</v>
      </c>
      <c r="P129" t="s">
        <v>225</v>
      </c>
    </row>
    <row r="130" spans="1:50">
      <c r="A130">
        <v>70</v>
      </c>
      <c r="B130">
        <v>1</v>
      </c>
      <c r="D130">
        <v>2</v>
      </c>
      <c r="E130" t="s">
        <v>226</v>
      </c>
      <c r="F130" t="s">
        <v>227</v>
      </c>
      <c r="G130">
        <v>0.85</v>
      </c>
      <c r="H130">
        <v>1</v>
      </c>
      <c r="I130" t="s">
        <v>228</v>
      </c>
      <c r="J130">
        <v>0</v>
      </c>
      <c r="K130">
        <v>0</v>
      </c>
      <c r="L130" t="s">
        <v>3</v>
      </c>
      <c r="M130" t="s">
        <v>3</v>
      </c>
      <c r="N130">
        <v>0</v>
      </c>
      <c r="P130" t="s">
        <v>229</v>
      </c>
    </row>
    <row r="131" spans="1:50">
      <c r="A131">
        <v>70</v>
      </c>
      <c r="B131">
        <v>1</v>
      </c>
      <c r="D131">
        <v>3</v>
      </c>
      <c r="E131" t="s">
        <v>230</v>
      </c>
      <c r="F131" t="s">
        <v>231</v>
      </c>
      <c r="G131">
        <v>1.03</v>
      </c>
      <c r="H131">
        <v>0</v>
      </c>
      <c r="I131" t="s">
        <v>3</v>
      </c>
      <c r="J131">
        <v>0</v>
      </c>
      <c r="K131">
        <v>0</v>
      </c>
      <c r="L131" t="s">
        <v>3</v>
      </c>
      <c r="M131" t="s">
        <v>3</v>
      </c>
      <c r="N131">
        <v>0</v>
      </c>
      <c r="P131" t="s">
        <v>232</v>
      </c>
    </row>
    <row r="132" spans="1:50">
      <c r="A132">
        <v>70</v>
      </c>
      <c r="B132">
        <v>1</v>
      </c>
      <c r="D132">
        <v>4</v>
      </c>
      <c r="E132" t="s">
        <v>233</v>
      </c>
      <c r="F132" t="s">
        <v>234</v>
      </c>
      <c r="G132">
        <v>1.1499999999999999</v>
      </c>
      <c r="H132">
        <v>0</v>
      </c>
      <c r="I132" t="s">
        <v>3</v>
      </c>
      <c r="J132">
        <v>0</v>
      </c>
      <c r="K132">
        <v>0</v>
      </c>
      <c r="L132" t="s">
        <v>3</v>
      </c>
      <c r="M132" t="s">
        <v>3</v>
      </c>
      <c r="N132">
        <v>0</v>
      </c>
      <c r="P132" t="s">
        <v>235</v>
      </c>
    </row>
    <row r="133" spans="1:50">
      <c r="A133">
        <v>70</v>
      </c>
      <c r="B133">
        <v>1</v>
      </c>
      <c r="D133">
        <v>5</v>
      </c>
      <c r="E133" t="s">
        <v>236</v>
      </c>
      <c r="F133" t="s">
        <v>237</v>
      </c>
      <c r="G133">
        <v>7</v>
      </c>
      <c r="H133">
        <v>0</v>
      </c>
      <c r="I133" t="s">
        <v>3</v>
      </c>
      <c r="J133">
        <v>0</v>
      </c>
      <c r="K133">
        <v>0</v>
      </c>
      <c r="L133" t="s">
        <v>3</v>
      </c>
      <c r="M133" t="s">
        <v>3</v>
      </c>
      <c r="N133">
        <v>0</v>
      </c>
      <c r="P133" t="s">
        <v>3</v>
      </c>
    </row>
    <row r="134" spans="1:50">
      <c r="A134">
        <v>70</v>
      </c>
      <c r="B134">
        <v>1</v>
      </c>
      <c r="D134">
        <v>6</v>
      </c>
      <c r="E134" t="s">
        <v>238</v>
      </c>
      <c r="F134" t="s">
        <v>3</v>
      </c>
      <c r="G134">
        <v>2</v>
      </c>
      <c r="H134">
        <v>0</v>
      </c>
      <c r="I134" t="s">
        <v>3</v>
      </c>
      <c r="J134">
        <v>0</v>
      </c>
      <c r="K134">
        <v>0</v>
      </c>
      <c r="L134" t="s">
        <v>3</v>
      </c>
      <c r="M134" t="s">
        <v>3</v>
      </c>
      <c r="N134">
        <v>0</v>
      </c>
      <c r="P134" t="s">
        <v>3</v>
      </c>
    </row>
    <row r="136" spans="1:50">
      <c r="A136">
        <v>-1</v>
      </c>
    </row>
    <row r="138" spans="1:50">
      <c r="A138" s="3">
        <v>75</v>
      </c>
      <c r="B138" s="3" t="s">
        <v>239</v>
      </c>
      <c r="C138" s="3">
        <v>2026</v>
      </c>
      <c r="D138" s="3">
        <v>1</v>
      </c>
      <c r="E138" s="3">
        <v>0</v>
      </c>
      <c r="F138" s="3">
        <v>0</v>
      </c>
      <c r="G138" s="3">
        <v>0</v>
      </c>
      <c r="H138" s="3">
        <v>1</v>
      </c>
      <c r="I138" s="3">
        <v>0</v>
      </c>
      <c r="J138" s="3">
        <v>3</v>
      </c>
      <c r="K138" s="3">
        <v>0</v>
      </c>
      <c r="L138" s="3">
        <v>0</v>
      </c>
      <c r="M138" s="3">
        <v>0</v>
      </c>
      <c r="N138" s="3">
        <v>50837261</v>
      </c>
      <c r="O138" s="3">
        <v>1</v>
      </c>
    </row>
    <row r="139" spans="1:50">
      <c r="A139" s="5">
        <v>1</v>
      </c>
      <c r="B139" s="5" t="s">
        <v>240</v>
      </c>
      <c r="C139" s="5" t="s">
        <v>241</v>
      </c>
      <c r="D139" s="5">
        <v>2026</v>
      </c>
      <c r="E139" s="5">
        <v>3</v>
      </c>
      <c r="F139" s="5">
        <v>1</v>
      </c>
      <c r="G139" s="5">
        <v>1</v>
      </c>
      <c r="H139" s="5">
        <v>0</v>
      </c>
      <c r="I139" s="5">
        <v>2</v>
      </c>
      <c r="J139" s="5">
        <v>1</v>
      </c>
      <c r="K139" s="5">
        <v>1</v>
      </c>
      <c r="L139" s="5">
        <v>1</v>
      </c>
      <c r="M139" s="5">
        <v>1</v>
      </c>
      <c r="N139" s="5">
        <v>1</v>
      </c>
      <c r="O139" s="5">
        <v>1</v>
      </c>
      <c r="P139" s="5">
        <v>1</v>
      </c>
      <c r="Q139" s="5">
        <v>1</v>
      </c>
      <c r="R139" s="5" t="s">
        <v>3</v>
      </c>
      <c r="S139" s="5" t="s">
        <v>3</v>
      </c>
      <c r="T139" s="5" t="s">
        <v>3</v>
      </c>
      <c r="U139" s="5" t="s">
        <v>3</v>
      </c>
      <c r="V139" s="5" t="s">
        <v>3</v>
      </c>
      <c r="W139" s="5" t="s">
        <v>3</v>
      </c>
      <c r="X139" s="5" t="s">
        <v>3</v>
      </c>
      <c r="Y139" s="5" t="s">
        <v>3</v>
      </c>
      <c r="Z139" s="5" t="s">
        <v>3</v>
      </c>
      <c r="AA139" s="5" t="s">
        <v>3</v>
      </c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>
        <v>50837263</v>
      </c>
      <c r="AO139" s="5" t="s">
        <v>242</v>
      </c>
      <c r="AP139" s="5" t="s">
        <v>243</v>
      </c>
      <c r="AQ139" s="5">
        <v>46078</v>
      </c>
      <c r="AR139" s="5">
        <v>409</v>
      </c>
      <c r="AS139" s="5" t="s">
        <v>244</v>
      </c>
      <c r="AT139" s="5" t="s">
        <v>245</v>
      </c>
      <c r="AU139" s="5" t="s">
        <v>243</v>
      </c>
      <c r="AV139" s="5">
        <v>45769</v>
      </c>
      <c r="AW139" s="5">
        <v>213</v>
      </c>
      <c r="AX139" s="5" t="s">
        <v>246</v>
      </c>
    </row>
    <row r="140" spans="1:50">
      <c r="A140" s="5">
        <v>2</v>
      </c>
      <c r="B140" s="5" t="s">
        <v>247</v>
      </c>
      <c r="C140" s="5" t="s">
        <v>248</v>
      </c>
      <c r="D140" s="5">
        <v>0</v>
      </c>
      <c r="E140" s="5">
        <v>0</v>
      </c>
      <c r="F140" s="5">
        <v>0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>
        <v>50837262</v>
      </c>
    </row>
    <row r="144" spans="1:50">
      <c r="A144">
        <v>65</v>
      </c>
      <c r="C144">
        <v>1</v>
      </c>
      <c r="D144">
        <v>0</v>
      </c>
      <c r="E144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C56"/>
  <sheetViews>
    <sheetView workbookViewId="0"/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249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36884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33">
      <c r="A12" s="1">
        <v>1</v>
      </c>
      <c r="B12" s="1">
        <v>54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11</v>
      </c>
      <c r="N12" s="1"/>
      <c r="O12" s="1">
        <v>0</v>
      </c>
      <c r="P12" s="1">
        <v>0</v>
      </c>
      <c r="Q12" s="1">
        <v>7</v>
      </c>
      <c r="R12" s="1">
        <v>0</v>
      </c>
      <c r="S12" s="1"/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489193480</v>
      </c>
      <c r="CI12" s="1" t="s">
        <v>3</v>
      </c>
      <c r="CJ12" s="1" t="s">
        <v>3</v>
      </c>
      <c r="CK12" s="1">
        <v>17</v>
      </c>
      <c r="CL12" s="1"/>
      <c r="CM12" s="1"/>
      <c r="CN12" s="1"/>
      <c r="CO12" s="1"/>
      <c r="CP12" s="1"/>
      <c r="CQ12" s="1" t="s">
        <v>12</v>
      </c>
      <c r="CR12" s="1" t="s">
        <v>13</v>
      </c>
      <c r="CS12" s="1">
        <v>46073</v>
      </c>
      <c r="CT12" s="1">
        <v>540</v>
      </c>
      <c r="CU12" s="1">
        <v>17</v>
      </c>
      <c r="CV12" s="1" t="s">
        <v>395</v>
      </c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1</v>
      </c>
      <c r="C14" s="1">
        <v>0</v>
      </c>
      <c r="D14" s="1">
        <v>50837261</v>
      </c>
      <c r="E14" s="1">
        <v>0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1</v>
      </c>
      <c r="C16" s="6" t="s">
        <v>14</v>
      </c>
      <c r="D16" s="6" t="s">
        <v>14</v>
      </c>
      <c r="E16" s="7">
        <f>ROUND((Source!F62)/1000,2)</f>
        <v>474</v>
      </c>
      <c r="F16" s="7">
        <f>ROUND((Source!F63)/1000,2)</f>
        <v>0</v>
      </c>
      <c r="G16" s="7">
        <f>ROUND((Source!F54)/1000,2)</f>
        <v>0</v>
      </c>
      <c r="H16" s="7">
        <f>ROUND((Source!F64)/1000+(Source!F65)/1000,2)</f>
        <v>0</v>
      </c>
      <c r="I16" s="7">
        <f>E16+F16+G16+H16</f>
        <v>474</v>
      </c>
      <c r="J16" s="7">
        <f>ROUND((Source!F60+Source!F59)/1000,2)</f>
        <v>144.4</v>
      </c>
      <c r="K16" s="7">
        <v>342.07</v>
      </c>
      <c r="L16" s="7">
        <v>0</v>
      </c>
      <c r="M16" s="7">
        <v>0</v>
      </c>
      <c r="N16" s="7">
        <f>I16+L16+M16</f>
        <v>474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247133.15</v>
      </c>
      <c r="AU16" s="7">
        <v>94938.45</v>
      </c>
      <c r="AV16" s="7">
        <v>0</v>
      </c>
      <c r="AW16" s="7">
        <v>0</v>
      </c>
      <c r="AX16" s="7">
        <v>0</v>
      </c>
      <c r="AY16" s="7">
        <v>7796.82</v>
      </c>
      <c r="AZ16" s="7">
        <v>4310.5999999999985</v>
      </c>
      <c r="BA16" s="7">
        <v>140087.28</v>
      </c>
      <c r="BB16" s="7">
        <v>474003.20000000001</v>
      </c>
      <c r="BC16" s="7">
        <v>0</v>
      </c>
      <c r="BD16" s="7">
        <v>0</v>
      </c>
      <c r="BE16" s="7">
        <v>0</v>
      </c>
      <c r="BF16" s="7">
        <v>392.06802779999998</v>
      </c>
      <c r="BG16" s="7">
        <v>10.6010715</v>
      </c>
      <c r="BH16" s="7">
        <v>0</v>
      </c>
      <c r="BI16" s="7">
        <v>146939.63</v>
      </c>
      <c r="BJ16" s="7">
        <v>79930.42</v>
      </c>
      <c r="BK16" s="7">
        <v>474003.20000000001</v>
      </c>
    </row>
    <row r="18" spans="1:16">
      <c r="A18">
        <v>51</v>
      </c>
      <c r="E18">
        <v>474</v>
      </c>
      <c r="F18">
        <v>0</v>
      </c>
      <c r="G18">
        <v>0</v>
      </c>
      <c r="H18">
        <v>0</v>
      </c>
      <c r="I18">
        <v>474</v>
      </c>
      <c r="J18">
        <v>144.4</v>
      </c>
      <c r="K18">
        <v>342.07</v>
      </c>
      <c r="L18">
        <v>0</v>
      </c>
      <c r="M18">
        <v>0</v>
      </c>
      <c r="N18">
        <v>474</v>
      </c>
    </row>
    <row r="20" spans="1:16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247133.15</v>
      </c>
      <c r="G20" s="4" t="s">
        <v>113</v>
      </c>
      <c r="H20" s="4" t="s">
        <v>114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6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94938.45</v>
      </c>
      <c r="G21" s="4" t="s">
        <v>115</v>
      </c>
      <c r="H21" s="4" t="s">
        <v>116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6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117</v>
      </c>
      <c r="H22" s="4" t="s">
        <v>118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6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94938.45</v>
      </c>
      <c r="G23" s="4" t="s">
        <v>119</v>
      </c>
      <c r="H23" s="4" t="s">
        <v>120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6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94938.45</v>
      </c>
      <c r="G24" s="4" t="s">
        <v>121</v>
      </c>
      <c r="H24" s="4" t="s">
        <v>122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6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123</v>
      </c>
      <c r="H25" s="4" t="s">
        <v>124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6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94938.45</v>
      </c>
      <c r="G26" s="4" t="s">
        <v>125</v>
      </c>
      <c r="H26" s="4" t="s">
        <v>126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6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127</v>
      </c>
      <c r="H27" s="4" t="s">
        <v>128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6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129</v>
      </c>
      <c r="H28" s="4" t="s">
        <v>130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6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131</v>
      </c>
      <c r="H29" s="4" t="s">
        <v>132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6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7796.82</v>
      </c>
      <c r="G30" s="4" t="s">
        <v>133</v>
      </c>
      <c r="H30" s="4" t="s">
        <v>134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6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135</v>
      </c>
      <c r="H31" s="4" t="s">
        <v>136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6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4310.5999999999985</v>
      </c>
      <c r="G32" s="4" t="s">
        <v>137</v>
      </c>
      <c r="H32" s="4" t="s">
        <v>138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140087.28</v>
      </c>
      <c r="G33" s="4" t="s">
        <v>139</v>
      </c>
      <c r="H33" s="4" t="s">
        <v>140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141</v>
      </c>
      <c r="H34" s="4" t="s">
        <v>142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474003.20000000001</v>
      </c>
      <c r="G35" s="4" t="s">
        <v>143</v>
      </c>
      <c r="H35" s="4" t="s">
        <v>144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0</v>
      </c>
      <c r="G36" s="4" t="s">
        <v>145</v>
      </c>
      <c r="H36" s="4" t="s">
        <v>146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147</v>
      </c>
      <c r="H37" s="4" t="s">
        <v>148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149</v>
      </c>
      <c r="H38" s="4" t="s">
        <v>150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151</v>
      </c>
      <c r="H39" s="4" t="s">
        <v>152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392.06802779999998</v>
      </c>
      <c r="G40" s="4" t="s">
        <v>153</v>
      </c>
      <c r="H40" s="4" t="s">
        <v>154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10.6010715</v>
      </c>
      <c r="G41" s="4" t="s">
        <v>155</v>
      </c>
      <c r="H41" s="4" t="s">
        <v>156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157</v>
      </c>
      <c r="H42" s="4" t="s">
        <v>158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159</v>
      </c>
      <c r="H43" s="4" t="s">
        <v>160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146939.63</v>
      </c>
      <c r="G44" s="4" t="s">
        <v>161</v>
      </c>
      <c r="H44" s="4" t="s">
        <v>162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79930.42</v>
      </c>
      <c r="G45" s="4" t="s">
        <v>163</v>
      </c>
      <c r="H45" s="4" t="s">
        <v>164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474003.20000000001</v>
      </c>
      <c r="G46" s="4" t="s">
        <v>165</v>
      </c>
      <c r="H46" s="4" t="s">
        <v>166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474003.20000000001</v>
      </c>
      <c r="G47" s="4" t="s">
        <v>167</v>
      </c>
      <c r="H47" s="4" t="s">
        <v>168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2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0</v>
      </c>
      <c r="F48" s="4">
        <v>22601.759999999998</v>
      </c>
      <c r="G48" s="4" t="s">
        <v>169</v>
      </c>
      <c r="H48" s="4" t="s">
        <v>170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2</v>
      </c>
      <c r="P48" s="4"/>
    </row>
    <row r="49" spans="1:50">
      <c r="A49" s="4">
        <v>50</v>
      </c>
      <c r="B49" s="4">
        <v>1</v>
      </c>
      <c r="C49" s="4">
        <v>0</v>
      </c>
      <c r="D49" s="4">
        <v>2</v>
      </c>
      <c r="E49" s="4">
        <v>213</v>
      </c>
      <c r="F49" s="4">
        <v>496604.96</v>
      </c>
      <c r="G49" s="4" t="s">
        <v>171</v>
      </c>
      <c r="H49" s="4" t="s">
        <v>172</v>
      </c>
      <c r="I49" s="4"/>
      <c r="J49" s="4"/>
      <c r="K49" s="4">
        <v>212</v>
      </c>
      <c r="L49" s="4">
        <v>30</v>
      </c>
      <c r="M49" s="4">
        <v>0</v>
      </c>
      <c r="N49" s="4" t="s">
        <v>3</v>
      </c>
      <c r="O49" s="4">
        <v>2</v>
      </c>
      <c r="P49" s="4"/>
    </row>
    <row r="51" spans="1:50">
      <c r="A51">
        <v>-1</v>
      </c>
    </row>
    <row r="54" spans="1:50">
      <c r="A54" s="3">
        <v>75</v>
      </c>
      <c r="B54" s="3" t="s">
        <v>239</v>
      </c>
      <c r="C54" s="3">
        <v>2026</v>
      </c>
      <c r="D54" s="3">
        <v>1</v>
      </c>
      <c r="E54" s="3">
        <v>0</v>
      </c>
      <c r="F54" s="3">
        <v>0</v>
      </c>
      <c r="G54" s="3">
        <v>0</v>
      </c>
      <c r="H54" s="3">
        <v>1</v>
      </c>
      <c r="I54" s="3">
        <v>0</v>
      </c>
      <c r="J54" s="3">
        <v>3</v>
      </c>
      <c r="K54" s="3">
        <v>0</v>
      </c>
      <c r="L54" s="3">
        <v>0</v>
      </c>
      <c r="M54" s="3">
        <v>0</v>
      </c>
      <c r="N54" s="3">
        <v>50837261</v>
      </c>
      <c r="O54" s="3">
        <v>1</v>
      </c>
    </row>
    <row r="55" spans="1:50">
      <c r="A55" s="5">
        <v>1</v>
      </c>
      <c r="B55" s="5" t="s">
        <v>240</v>
      </c>
      <c r="C55" s="5" t="s">
        <v>241</v>
      </c>
      <c r="D55" s="5">
        <v>2026</v>
      </c>
      <c r="E55" s="5">
        <v>3</v>
      </c>
      <c r="F55" s="5">
        <v>1</v>
      </c>
      <c r="G55" s="5">
        <v>1</v>
      </c>
      <c r="H55" s="5">
        <v>0</v>
      </c>
      <c r="I55" s="5">
        <v>2</v>
      </c>
      <c r="J55" s="5">
        <v>1</v>
      </c>
      <c r="K55" s="5">
        <v>1</v>
      </c>
      <c r="L55" s="5">
        <v>1</v>
      </c>
      <c r="M55" s="5">
        <v>1</v>
      </c>
      <c r="N55" s="5">
        <v>1</v>
      </c>
      <c r="O55" s="5">
        <v>1</v>
      </c>
      <c r="P55" s="5">
        <v>1</v>
      </c>
      <c r="Q55" s="5">
        <v>1</v>
      </c>
      <c r="R55" s="5" t="s">
        <v>3</v>
      </c>
      <c r="S55" s="5" t="s">
        <v>3</v>
      </c>
      <c r="T55" s="5" t="s">
        <v>3</v>
      </c>
      <c r="U55" s="5" t="s">
        <v>3</v>
      </c>
      <c r="V55" s="5" t="s">
        <v>3</v>
      </c>
      <c r="W55" s="5" t="s">
        <v>3</v>
      </c>
      <c r="X55" s="5" t="s">
        <v>3</v>
      </c>
      <c r="Y55" s="5" t="s">
        <v>3</v>
      </c>
      <c r="Z55" s="5" t="s">
        <v>3</v>
      </c>
      <c r="AA55" s="5" t="s">
        <v>3</v>
      </c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50837263</v>
      </c>
      <c r="AO55" s="5" t="s">
        <v>242</v>
      </c>
      <c r="AP55" s="5" t="s">
        <v>243</v>
      </c>
      <c r="AQ55" s="5">
        <v>46078</v>
      </c>
      <c r="AR55" s="5">
        <v>409</v>
      </c>
      <c r="AS55" s="5" t="s">
        <v>244</v>
      </c>
      <c r="AT55" s="5" t="s">
        <v>245</v>
      </c>
      <c r="AU55" s="5" t="s">
        <v>243</v>
      </c>
      <c r="AV55" s="5">
        <v>45769</v>
      </c>
      <c r="AW55" s="5">
        <v>213</v>
      </c>
      <c r="AX55" s="5" t="s">
        <v>246</v>
      </c>
    </row>
    <row r="56" spans="1:50">
      <c r="A56" s="5">
        <v>2</v>
      </c>
      <c r="B56" s="5" t="s">
        <v>247</v>
      </c>
      <c r="C56" s="5" t="s">
        <v>248</v>
      </c>
      <c r="D56" s="5">
        <v>0</v>
      </c>
      <c r="E56" s="5">
        <v>0</v>
      </c>
      <c r="F56" s="5">
        <v>0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>
        <v>50837262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O82"/>
  <sheetViews>
    <sheetView workbookViewId="0"/>
  </sheetViews>
  <sheetFormatPr defaultColWidth="9.140625" defaultRowHeight="12.75"/>
  <cols>
    <col min="1" max="256" width="9.140625" customWidth="1"/>
  </cols>
  <sheetData>
    <row r="1" spans="1:119">
      <c r="A1">
        <f>ROW(Source!A24)</f>
        <v>24</v>
      </c>
      <c r="B1">
        <v>50837261</v>
      </c>
      <c r="C1">
        <v>50844000</v>
      </c>
      <c r="D1">
        <v>49752835</v>
      </c>
      <c r="E1">
        <v>117</v>
      </c>
      <c r="F1">
        <v>1</v>
      </c>
      <c r="G1">
        <v>1</v>
      </c>
      <c r="H1">
        <v>1</v>
      </c>
      <c r="I1" t="s">
        <v>250</v>
      </c>
      <c r="J1" t="s">
        <v>3</v>
      </c>
      <c r="K1" t="s">
        <v>251</v>
      </c>
      <c r="L1">
        <v>1191</v>
      </c>
      <c r="N1">
        <v>1013</v>
      </c>
      <c r="O1" t="s">
        <v>252</v>
      </c>
      <c r="P1" t="s">
        <v>252</v>
      </c>
      <c r="Q1">
        <v>1</v>
      </c>
      <c r="W1">
        <v>0</v>
      </c>
      <c r="X1">
        <v>-1991603921</v>
      </c>
      <c r="Y1">
        <f t="shared" ref="Y1:Y41" si="0">AT1</f>
        <v>223</v>
      </c>
      <c r="AA1">
        <v>0</v>
      </c>
      <c r="AB1">
        <v>0</v>
      </c>
      <c r="AC1">
        <v>0</v>
      </c>
      <c r="AD1">
        <v>344.54</v>
      </c>
      <c r="AE1">
        <v>0</v>
      </c>
      <c r="AF1">
        <v>0</v>
      </c>
      <c r="AG1">
        <v>0</v>
      </c>
      <c r="AH1">
        <v>344.54</v>
      </c>
      <c r="AI1">
        <v>1</v>
      </c>
      <c r="AJ1">
        <v>1</v>
      </c>
      <c r="AK1">
        <v>1</v>
      </c>
      <c r="AL1">
        <v>1</v>
      </c>
      <c r="AM1">
        <v>-2</v>
      </c>
      <c r="AN1">
        <v>0</v>
      </c>
      <c r="AO1">
        <v>0</v>
      </c>
      <c r="AP1">
        <v>1</v>
      </c>
      <c r="AQ1">
        <v>1</v>
      </c>
      <c r="AR1">
        <v>0</v>
      </c>
      <c r="AS1" t="s">
        <v>3</v>
      </c>
      <c r="AT1">
        <v>223</v>
      </c>
      <c r="AU1" t="s">
        <v>3</v>
      </c>
      <c r="AV1">
        <v>1</v>
      </c>
      <c r="AW1">
        <v>2</v>
      </c>
      <c r="AX1">
        <v>50844001</v>
      </c>
      <c r="AY1">
        <v>1</v>
      </c>
      <c r="AZ1">
        <v>0</v>
      </c>
      <c r="BA1">
        <v>1</v>
      </c>
      <c r="BB1">
        <v>1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76832.42</v>
      </c>
      <c r="BN1">
        <v>223</v>
      </c>
      <c r="BO1">
        <v>0</v>
      </c>
      <c r="BP1">
        <v>1</v>
      </c>
      <c r="BQ1">
        <v>0</v>
      </c>
      <c r="BR1">
        <v>0</v>
      </c>
      <c r="BS1">
        <v>0</v>
      </c>
      <c r="BT1">
        <v>76832.42</v>
      </c>
      <c r="BU1">
        <v>223</v>
      </c>
      <c r="BV1">
        <v>0</v>
      </c>
      <c r="BW1">
        <v>1</v>
      </c>
      <c r="CU1">
        <f>ROUND(AT1*Source!I24*AH1*AL1,2)</f>
        <v>6131.23</v>
      </c>
      <c r="CV1">
        <f>ROUND(Y1*Source!I24,7)</f>
        <v>17.795400000000001</v>
      </c>
      <c r="CW1">
        <v>0</v>
      </c>
      <c r="CX1">
        <f>ROUND(Y1*Source!I24,7)</f>
        <v>17.795400000000001</v>
      </c>
      <c r="CY1">
        <f>AD1</f>
        <v>344.54</v>
      </c>
      <c r="CZ1">
        <f>AH1</f>
        <v>344.54</v>
      </c>
      <c r="DA1">
        <f>AL1</f>
        <v>1</v>
      </c>
      <c r="DB1">
        <f t="shared" ref="DB1:DB41" si="1">ROUND(ROUND(AT1*CZ1,2),6)</f>
        <v>76832.42</v>
      </c>
      <c r="DC1">
        <f t="shared" ref="DC1:DC41" si="2">ROUND(ROUND(AT1*AG1,2),6)</f>
        <v>0</v>
      </c>
      <c r="DD1" t="s">
        <v>3</v>
      </c>
      <c r="DE1" t="s">
        <v>3</v>
      </c>
      <c r="DF1">
        <f t="shared" ref="DF1:DF7" si="3">ROUND(ROUND(AE1,2)*CX1,2)</f>
        <v>0</v>
      </c>
      <c r="DG1">
        <f>ROUND(ROUND(AF1,2)*CX1,2)</f>
        <v>0</v>
      </c>
      <c r="DH1">
        <f t="shared" ref="DH1:DH32" si="4">ROUND(ROUND(AG1,2)*CX1,2)</f>
        <v>0</v>
      </c>
      <c r="DI1">
        <f t="shared" ref="DI1:DI32" si="5">ROUND(ROUND(AH1,2)*CX1,2)</f>
        <v>6131.23</v>
      </c>
      <c r="DJ1">
        <f>DI1</f>
        <v>6131.23</v>
      </c>
      <c r="DK1">
        <v>1</v>
      </c>
      <c r="DL1" t="s">
        <v>3</v>
      </c>
      <c r="DM1">
        <v>0</v>
      </c>
      <c r="DN1" t="s">
        <v>3</v>
      </c>
      <c r="DO1">
        <v>0</v>
      </c>
    </row>
    <row r="2" spans="1:119">
      <c r="A2">
        <f>ROW(Source!A24)</f>
        <v>24</v>
      </c>
      <c r="B2">
        <v>50837261</v>
      </c>
      <c r="C2">
        <v>50844000</v>
      </c>
      <c r="D2">
        <v>49753052</v>
      </c>
      <c r="E2">
        <v>117</v>
      </c>
      <c r="F2">
        <v>1</v>
      </c>
      <c r="G2">
        <v>1</v>
      </c>
      <c r="H2">
        <v>1</v>
      </c>
      <c r="I2" t="s">
        <v>253</v>
      </c>
      <c r="J2" t="s">
        <v>3</v>
      </c>
      <c r="K2" t="s">
        <v>254</v>
      </c>
      <c r="L2">
        <v>1191</v>
      </c>
      <c r="N2">
        <v>1013</v>
      </c>
      <c r="O2" t="s">
        <v>252</v>
      </c>
      <c r="P2" t="s">
        <v>252</v>
      </c>
      <c r="Q2">
        <v>1</v>
      </c>
      <c r="W2">
        <v>0</v>
      </c>
      <c r="X2">
        <v>-1417349443</v>
      </c>
      <c r="Y2">
        <f t="shared" si="0"/>
        <v>24.83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M2">
        <v>-2</v>
      </c>
      <c r="AN2">
        <v>0</v>
      </c>
      <c r="AO2">
        <v>0</v>
      </c>
      <c r="AP2">
        <v>1</v>
      </c>
      <c r="AQ2">
        <v>1</v>
      </c>
      <c r="AR2">
        <v>0</v>
      </c>
      <c r="AS2" t="s">
        <v>3</v>
      </c>
      <c r="AT2">
        <v>24.83</v>
      </c>
      <c r="AU2" t="s">
        <v>3</v>
      </c>
      <c r="AV2">
        <v>2</v>
      </c>
      <c r="AW2">
        <v>2</v>
      </c>
      <c r="AX2">
        <v>50844002</v>
      </c>
      <c r="AY2">
        <v>1</v>
      </c>
      <c r="AZ2">
        <v>0</v>
      </c>
      <c r="BA2">
        <v>2</v>
      </c>
      <c r="BB2">
        <v>1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V2">
        <v>0</v>
      </c>
      <c r="CW2">
        <v>0</v>
      </c>
      <c r="CX2">
        <f>ROUND(Y2*Source!I24,7)</f>
        <v>1.9814339999999999</v>
      </c>
      <c r="CY2">
        <f>AD2</f>
        <v>0</v>
      </c>
      <c r="CZ2">
        <f>AH2</f>
        <v>0</v>
      </c>
      <c r="DA2">
        <f>AL2</f>
        <v>1</v>
      </c>
      <c r="DB2">
        <f t="shared" si="1"/>
        <v>0</v>
      </c>
      <c r="DC2">
        <f t="shared" si="2"/>
        <v>0</v>
      </c>
      <c r="DD2" t="s">
        <v>3</v>
      </c>
      <c r="DE2" t="s">
        <v>3</v>
      </c>
      <c r="DF2">
        <f t="shared" si="3"/>
        <v>0</v>
      </c>
      <c r="DG2">
        <f>ROUND(ROUND(AF2,2)*CX2,2)</f>
        <v>0</v>
      </c>
      <c r="DH2">
        <f t="shared" si="4"/>
        <v>0</v>
      </c>
      <c r="DI2">
        <f t="shared" si="5"/>
        <v>0</v>
      </c>
      <c r="DJ2">
        <f>DI2</f>
        <v>0</v>
      </c>
      <c r="DK2">
        <v>0</v>
      </c>
      <c r="DL2" t="s">
        <v>3</v>
      </c>
      <c r="DM2">
        <v>0</v>
      </c>
      <c r="DN2" t="s">
        <v>3</v>
      </c>
      <c r="DO2">
        <v>0</v>
      </c>
    </row>
    <row r="3" spans="1:119">
      <c r="A3">
        <f>ROW(Source!A24)</f>
        <v>24</v>
      </c>
      <c r="B3">
        <v>50837261</v>
      </c>
      <c r="C3">
        <v>50844000</v>
      </c>
      <c r="D3">
        <v>49759866</v>
      </c>
      <c r="E3">
        <v>1</v>
      </c>
      <c r="F3">
        <v>1</v>
      </c>
      <c r="G3">
        <v>1</v>
      </c>
      <c r="H3">
        <v>2</v>
      </c>
      <c r="I3" t="s">
        <v>255</v>
      </c>
      <c r="J3" t="s">
        <v>256</v>
      </c>
      <c r="K3" t="s">
        <v>257</v>
      </c>
      <c r="L3">
        <v>1368</v>
      </c>
      <c r="N3">
        <v>1011</v>
      </c>
      <c r="O3" t="s">
        <v>258</v>
      </c>
      <c r="P3" t="s">
        <v>258</v>
      </c>
      <c r="Q3">
        <v>1</v>
      </c>
      <c r="W3">
        <v>0</v>
      </c>
      <c r="X3">
        <v>-907676878</v>
      </c>
      <c r="Y3">
        <f t="shared" si="0"/>
        <v>2.52</v>
      </c>
      <c r="AA3">
        <v>0</v>
      </c>
      <c r="AB3">
        <v>1680.01</v>
      </c>
      <c r="AC3">
        <v>465.43</v>
      </c>
      <c r="AD3">
        <v>0</v>
      </c>
      <c r="AE3">
        <v>0</v>
      </c>
      <c r="AF3">
        <v>1680.01</v>
      </c>
      <c r="AG3">
        <v>465.43</v>
      </c>
      <c r="AH3">
        <v>0</v>
      </c>
      <c r="AI3">
        <v>1</v>
      </c>
      <c r="AJ3">
        <v>1</v>
      </c>
      <c r="AK3">
        <v>1</v>
      </c>
      <c r="AL3">
        <v>1</v>
      </c>
      <c r="AM3">
        <v>-2</v>
      </c>
      <c r="AN3">
        <v>0</v>
      </c>
      <c r="AO3">
        <v>0</v>
      </c>
      <c r="AP3">
        <v>1</v>
      </c>
      <c r="AQ3">
        <v>1</v>
      </c>
      <c r="AR3">
        <v>0</v>
      </c>
      <c r="AS3" t="s">
        <v>3</v>
      </c>
      <c r="AT3">
        <v>2.52</v>
      </c>
      <c r="AU3" t="s">
        <v>3</v>
      </c>
      <c r="AV3">
        <v>1</v>
      </c>
      <c r="AW3">
        <v>2</v>
      </c>
      <c r="AX3">
        <v>50844003</v>
      </c>
      <c r="AY3">
        <v>1</v>
      </c>
      <c r="AZ3">
        <v>0</v>
      </c>
      <c r="BA3">
        <v>3</v>
      </c>
      <c r="BB3">
        <v>1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4233.6252000000004</v>
      </c>
      <c r="BL3">
        <v>1172.8836000000001</v>
      </c>
      <c r="BM3">
        <v>0</v>
      </c>
      <c r="BN3">
        <v>0</v>
      </c>
      <c r="BO3">
        <v>2.52</v>
      </c>
      <c r="BP3">
        <v>1</v>
      </c>
      <c r="BQ3">
        <v>0</v>
      </c>
      <c r="BR3">
        <v>4233.6252000000004</v>
      </c>
      <c r="BS3">
        <v>1172.8836000000001</v>
      </c>
      <c r="BT3">
        <v>0</v>
      </c>
      <c r="BU3">
        <v>0</v>
      </c>
      <c r="BV3">
        <v>2.52</v>
      </c>
      <c r="BW3">
        <v>1</v>
      </c>
      <c r="CV3">
        <v>0</v>
      </c>
      <c r="CW3">
        <f>ROUND(Y3*Source!I24*DO3,7)</f>
        <v>0.201096</v>
      </c>
      <c r="CX3">
        <f>ROUND(Y3*Source!I24,7)</f>
        <v>0.201096</v>
      </c>
      <c r="CY3">
        <f>AB3</f>
        <v>1680.01</v>
      </c>
      <c r="CZ3">
        <f>AF3</f>
        <v>1680.01</v>
      </c>
      <c r="DA3">
        <f>AJ3</f>
        <v>1</v>
      </c>
      <c r="DB3">
        <f t="shared" si="1"/>
        <v>4233.63</v>
      </c>
      <c r="DC3">
        <f t="shared" si="2"/>
        <v>1172.8800000000001</v>
      </c>
      <c r="DD3" t="s">
        <v>3</v>
      </c>
      <c r="DE3" t="s">
        <v>3</v>
      </c>
      <c r="DF3">
        <f t="shared" si="3"/>
        <v>0</v>
      </c>
      <c r="DG3">
        <f>ROUND(ROUND(AF3,2)*CX3,2)</f>
        <v>337.84</v>
      </c>
      <c r="DH3">
        <f t="shared" si="4"/>
        <v>93.6</v>
      </c>
      <c r="DI3">
        <f t="shared" si="5"/>
        <v>0</v>
      </c>
      <c r="DJ3">
        <f>DG3+DH3</f>
        <v>431.43999999999994</v>
      </c>
      <c r="DK3">
        <v>1</v>
      </c>
      <c r="DL3" t="s">
        <v>259</v>
      </c>
      <c r="DM3">
        <v>5</v>
      </c>
      <c r="DN3" t="s">
        <v>252</v>
      </c>
      <c r="DO3">
        <v>1</v>
      </c>
    </row>
    <row r="4" spans="1:119">
      <c r="A4">
        <f>ROW(Source!A24)</f>
        <v>24</v>
      </c>
      <c r="B4">
        <v>50837261</v>
      </c>
      <c r="C4">
        <v>50844000</v>
      </c>
      <c r="D4">
        <v>49760098</v>
      </c>
      <c r="E4">
        <v>1</v>
      </c>
      <c r="F4">
        <v>1</v>
      </c>
      <c r="G4">
        <v>1</v>
      </c>
      <c r="H4">
        <v>2</v>
      </c>
      <c r="I4" t="s">
        <v>260</v>
      </c>
      <c r="J4" t="s">
        <v>261</v>
      </c>
      <c r="K4" t="s">
        <v>262</v>
      </c>
      <c r="L4">
        <v>1368</v>
      </c>
      <c r="N4">
        <v>1011</v>
      </c>
      <c r="O4" t="s">
        <v>258</v>
      </c>
      <c r="P4" t="s">
        <v>258</v>
      </c>
      <c r="Q4">
        <v>1</v>
      </c>
      <c r="W4">
        <v>0</v>
      </c>
      <c r="X4">
        <v>-576424668</v>
      </c>
      <c r="Y4">
        <f t="shared" si="0"/>
        <v>5.65</v>
      </c>
      <c r="AA4">
        <v>0</v>
      </c>
      <c r="AB4">
        <v>124.81</v>
      </c>
      <c r="AC4">
        <v>0</v>
      </c>
      <c r="AD4">
        <v>0</v>
      </c>
      <c r="AE4">
        <v>0</v>
      </c>
      <c r="AF4">
        <v>100.65</v>
      </c>
      <c r="AG4">
        <v>0</v>
      </c>
      <c r="AH4">
        <v>0</v>
      </c>
      <c r="AI4">
        <v>1</v>
      </c>
      <c r="AJ4">
        <v>1.24</v>
      </c>
      <c r="AK4">
        <v>1</v>
      </c>
      <c r="AL4">
        <v>1</v>
      </c>
      <c r="AM4">
        <v>2</v>
      </c>
      <c r="AN4">
        <v>0</v>
      </c>
      <c r="AO4">
        <v>0</v>
      </c>
      <c r="AP4">
        <v>1</v>
      </c>
      <c r="AQ4">
        <v>1</v>
      </c>
      <c r="AR4">
        <v>0</v>
      </c>
      <c r="AS4" t="s">
        <v>3</v>
      </c>
      <c r="AT4">
        <v>5.65</v>
      </c>
      <c r="AU4" t="s">
        <v>3</v>
      </c>
      <c r="AV4">
        <v>1</v>
      </c>
      <c r="AW4">
        <v>2</v>
      </c>
      <c r="AX4">
        <v>50844004</v>
      </c>
      <c r="AY4">
        <v>1</v>
      </c>
      <c r="AZ4">
        <v>0</v>
      </c>
      <c r="BA4">
        <v>4</v>
      </c>
      <c r="BB4">
        <v>1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568.67250000000001</v>
      </c>
      <c r="BL4">
        <v>0</v>
      </c>
      <c r="BM4">
        <v>0</v>
      </c>
      <c r="BN4">
        <v>0</v>
      </c>
      <c r="BO4">
        <v>0</v>
      </c>
      <c r="BP4">
        <v>1</v>
      </c>
      <c r="BQ4">
        <v>0</v>
      </c>
      <c r="BR4">
        <v>568.67250000000001</v>
      </c>
      <c r="BS4">
        <v>0</v>
      </c>
      <c r="BT4">
        <v>0</v>
      </c>
      <c r="BU4">
        <v>0</v>
      </c>
      <c r="BV4">
        <v>0</v>
      </c>
      <c r="BW4">
        <v>1</v>
      </c>
      <c r="CV4">
        <v>0</v>
      </c>
      <c r="CW4">
        <f>ROUND(Y4*Source!I24*DO4,7)</f>
        <v>0</v>
      </c>
      <c r="CX4">
        <f>ROUND(Y4*Source!I24,7)</f>
        <v>0.45086999999999999</v>
      </c>
      <c r="CY4">
        <f>AB4</f>
        <v>124.81</v>
      </c>
      <c r="CZ4">
        <f>AF4</f>
        <v>100.65</v>
      </c>
      <c r="DA4">
        <f>AJ4</f>
        <v>1.24</v>
      </c>
      <c r="DB4">
        <f t="shared" si="1"/>
        <v>568.66999999999996</v>
      </c>
      <c r="DC4">
        <f t="shared" si="2"/>
        <v>0</v>
      </c>
      <c r="DD4" t="s">
        <v>3</v>
      </c>
      <c r="DE4" t="s">
        <v>3</v>
      </c>
      <c r="DF4">
        <f t="shared" si="3"/>
        <v>0</v>
      </c>
      <c r="DG4">
        <f>ROUND(ROUND(AF4*AJ4,2)*CX4,2)</f>
        <v>56.27</v>
      </c>
      <c r="DH4">
        <f t="shared" si="4"/>
        <v>0</v>
      </c>
      <c r="DI4">
        <f t="shared" si="5"/>
        <v>0</v>
      </c>
      <c r="DJ4">
        <f>DG4+DH4</f>
        <v>56.27</v>
      </c>
      <c r="DK4">
        <v>0</v>
      </c>
      <c r="DL4" t="s">
        <v>3</v>
      </c>
      <c r="DM4">
        <v>0</v>
      </c>
      <c r="DN4" t="s">
        <v>3</v>
      </c>
      <c r="DO4">
        <v>0</v>
      </c>
    </row>
    <row r="5" spans="1:119">
      <c r="A5">
        <f>ROW(Source!A24)</f>
        <v>24</v>
      </c>
      <c r="B5">
        <v>50837261</v>
      </c>
      <c r="C5">
        <v>50844000</v>
      </c>
      <c r="D5">
        <v>49760548</v>
      </c>
      <c r="E5">
        <v>1</v>
      </c>
      <c r="F5">
        <v>1</v>
      </c>
      <c r="G5">
        <v>1</v>
      </c>
      <c r="H5">
        <v>2</v>
      </c>
      <c r="I5" t="s">
        <v>263</v>
      </c>
      <c r="J5" t="s">
        <v>264</v>
      </c>
      <c r="K5" t="s">
        <v>265</v>
      </c>
      <c r="L5">
        <v>1368</v>
      </c>
      <c r="N5">
        <v>1011</v>
      </c>
      <c r="O5" t="s">
        <v>258</v>
      </c>
      <c r="P5" t="s">
        <v>258</v>
      </c>
      <c r="Q5">
        <v>1</v>
      </c>
      <c r="W5">
        <v>0</v>
      </c>
      <c r="X5">
        <v>-847721515</v>
      </c>
      <c r="Y5">
        <f t="shared" si="0"/>
        <v>0.01</v>
      </c>
      <c r="AA5">
        <v>0</v>
      </c>
      <c r="AB5">
        <v>2138.69</v>
      </c>
      <c r="AC5">
        <v>404.99</v>
      </c>
      <c r="AD5">
        <v>0</v>
      </c>
      <c r="AE5">
        <v>0</v>
      </c>
      <c r="AF5">
        <v>1495.59</v>
      </c>
      <c r="AG5">
        <v>404.99</v>
      </c>
      <c r="AH5">
        <v>0</v>
      </c>
      <c r="AI5">
        <v>1</v>
      </c>
      <c r="AJ5">
        <v>1.43</v>
      </c>
      <c r="AK5">
        <v>1</v>
      </c>
      <c r="AL5">
        <v>1</v>
      </c>
      <c r="AM5">
        <v>2</v>
      </c>
      <c r="AN5">
        <v>0</v>
      </c>
      <c r="AO5">
        <v>0</v>
      </c>
      <c r="AP5">
        <v>1</v>
      </c>
      <c r="AQ5">
        <v>1</v>
      </c>
      <c r="AR5">
        <v>0</v>
      </c>
      <c r="AS5" t="s">
        <v>3</v>
      </c>
      <c r="AT5">
        <v>0.01</v>
      </c>
      <c r="AU5" t="s">
        <v>3</v>
      </c>
      <c r="AV5">
        <v>1</v>
      </c>
      <c r="AW5">
        <v>2</v>
      </c>
      <c r="AX5">
        <v>50844005</v>
      </c>
      <c r="AY5">
        <v>1</v>
      </c>
      <c r="AZ5">
        <v>0</v>
      </c>
      <c r="BA5">
        <v>5</v>
      </c>
      <c r="BB5">
        <v>1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14.9559</v>
      </c>
      <c r="BL5">
        <v>4.0499000000000001</v>
      </c>
      <c r="BM5">
        <v>0</v>
      </c>
      <c r="BN5">
        <v>0</v>
      </c>
      <c r="BO5">
        <v>0.01</v>
      </c>
      <c r="BP5">
        <v>1</v>
      </c>
      <c r="BQ5">
        <v>0</v>
      </c>
      <c r="BR5">
        <v>14.9559</v>
      </c>
      <c r="BS5">
        <v>4.0499000000000001</v>
      </c>
      <c r="BT5">
        <v>0</v>
      </c>
      <c r="BU5">
        <v>0</v>
      </c>
      <c r="BV5">
        <v>0.01</v>
      </c>
      <c r="BW5">
        <v>1</v>
      </c>
      <c r="CV5">
        <v>0</v>
      </c>
      <c r="CW5">
        <f>ROUND(Y5*Source!I24*DO5,7)</f>
        <v>7.9799999999999999E-4</v>
      </c>
      <c r="CX5">
        <f>ROUND(Y5*Source!I24,7)</f>
        <v>7.9799999999999999E-4</v>
      </c>
      <c r="CY5">
        <f>AB5</f>
        <v>2138.69</v>
      </c>
      <c r="CZ5">
        <f>AF5</f>
        <v>1495.59</v>
      </c>
      <c r="DA5">
        <f>AJ5</f>
        <v>1.43</v>
      </c>
      <c r="DB5">
        <f t="shared" si="1"/>
        <v>14.96</v>
      </c>
      <c r="DC5">
        <f t="shared" si="2"/>
        <v>4.05</v>
      </c>
      <c r="DD5" t="s">
        <v>3</v>
      </c>
      <c r="DE5" t="s">
        <v>3</v>
      </c>
      <c r="DF5">
        <f t="shared" si="3"/>
        <v>0</v>
      </c>
      <c r="DG5">
        <f>ROUND(ROUND(AF5*AJ5,2)*CX5,2)</f>
        <v>1.71</v>
      </c>
      <c r="DH5">
        <f t="shared" si="4"/>
        <v>0.32</v>
      </c>
      <c r="DI5">
        <f t="shared" si="5"/>
        <v>0</v>
      </c>
      <c r="DJ5">
        <f>DG5+DH5</f>
        <v>2.0299999999999998</v>
      </c>
      <c r="DK5">
        <v>0</v>
      </c>
      <c r="DL5" t="s">
        <v>266</v>
      </c>
      <c r="DM5">
        <v>4</v>
      </c>
      <c r="DN5" t="s">
        <v>252</v>
      </c>
      <c r="DO5">
        <v>1</v>
      </c>
    </row>
    <row r="6" spans="1:119">
      <c r="A6">
        <f>ROW(Source!A24)</f>
        <v>24</v>
      </c>
      <c r="B6">
        <v>50837261</v>
      </c>
      <c r="C6">
        <v>50844000</v>
      </c>
      <c r="D6">
        <v>49760822</v>
      </c>
      <c r="E6">
        <v>1</v>
      </c>
      <c r="F6">
        <v>1</v>
      </c>
      <c r="G6">
        <v>1</v>
      </c>
      <c r="H6">
        <v>2</v>
      </c>
      <c r="I6" t="s">
        <v>267</v>
      </c>
      <c r="J6" t="s">
        <v>268</v>
      </c>
      <c r="K6" t="s">
        <v>269</v>
      </c>
      <c r="L6">
        <v>1368</v>
      </c>
      <c r="N6">
        <v>1011</v>
      </c>
      <c r="O6" t="s">
        <v>258</v>
      </c>
      <c r="P6" t="s">
        <v>258</v>
      </c>
      <c r="Q6">
        <v>1</v>
      </c>
      <c r="W6">
        <v>0</v>
      </c>
      <c r="X6">
        <v>1282244495</v>
      </c>
      <c r="Y6">
        <f t="shared" si="0"/>
        <v>22.3</v>
      </c>
      <c r="AA6">
        <v>0</v>
      </c>
      <c r="AB6">
        <v>426.11</v>
      </c>
      <c r="AC6">
        <v>404.99</v>
      </c>
      <c r="AD6">
        <v>0</v>
      </c>
      <c r="AE6">
        <v>0</v>
      </c>
      <c r="AF6">
        <v>426.11</v>
      </c>
      <c r="AG6">
        <v>404.99</v>
      </c>
      <c r="AH6">
        <v>0</v>
      </c>
      <c r="AI6">
        <v>1</v>
      </c>
      <c r="AJ6">
        <v>1</v>
      </c>
      <c r="AK6">
        <v>1</v>
      </c>
      <c r="AL6">
        <v>1</v>
      </c>
      <c r="AM6">
        <v>-2</v>
      </c>
      <c r="AN6">
        <v>0</v>
      </c>
      <c r="AO6">
        <v>0</v>
      </c>
      <c r="AP6">
        <v>1</v>
      </c>
      <c r="AQ6">
        <v>1</v>
      </c>
      <c r="AR6">
        <v>0</v>
      </c>
      <c r="AS6" t="s">
        <v>3</v>
      </c>
      <c r="AT6">
        <v>22.3</v>
      </c>
      <c r="AU6" t="s">
        <v>3</v>
      </c>
      <c r="AV6">
        <v>1</v>
      </c>
      <c r="AW6">
        <v>2</v>
      </c>
      <c r="AX6">
        <v>50844006</v>
      </c>
      <c r="AY6">
        <v>1</v>
      </c>
      <c r="AZ6">
        <v>0</v>
      </c>
      <c r="BA6">
        <v>6</v>
      </c>
      <c r="BB6">
        <v>1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9502.2530000000006</v>
      </c>
      <c r="BL6">
        <v>9031.277</v>
      </c>
      <c r="BM6">
        <v>0</v>
      </c>
      <c r="BN6">
        <v>0</v>
      </c>
      <c r="BO6">
        <v>22.3</v>
      </c>
      <c r="BP6">
        <v>1</v>
      </c>
      <c r="BQ6">
        <v>0</v>
      </c>
      <c r="BR6">
        <v>9502.2530000000006</v>
      </c>
      <c r="BS6">
        <v>9031.277</v>
      </c>
      <c r="BT6">
        <v>0</v>
      </c>
      <c r="BU6">
        <v>0</v>
      </c>
      <c r="BV6">
        <v>22.3</v>
      </c>
      <c r="BW6">
        <v>1</v>
      </c>
      <c r="CV6">
        <v>0</v>
      </c>
      <c r="CW6">
        <f>ROUND(Y6*Source!I24*DO6,7)</f>
        <v>1.7795399999999999</v>
      </c>
      <c r="CX6">
        <f>ROUND(Y6*Source!I24,7)</f>
        <v>1.7795399999999999</v>
      </c>
      <c r="CY6">
        <f>AB6</f>
        <v>426.11</v>
      </c>
      <c r="CZ6">
        <f>AF6</f>
        <v>426.11</v>
      </c>
      <c r="DA6">
        <f>AJ6</f>
        <v>1</v>
      </c>
      <c r="DB6">
        <f t="shared" si="1"/>
        <v>9502.25</v>
      </c>
      <c r="DC6">
        <f t="shared" si="2"/>
        <v>9031.2800000000007</v>
      </c>
      <c r="DD6" t="s">
        <v>3</v>
      </c>
      <c r="DE6" t="s">
        <v>3</v>
      </c>
      <c r="DF6">
        <f t="shared" si="3"/>
        <v>0</v>
      </c>
      <c r="DG6">
        <f>ROUND(ROUND(AF6,2)*CX6,2)</f>
        <v>758.28</v>
      </c>
      <c r="DH6">
        <f t="shared" si="4"/>
        <v>720.7</v>
      </c>
      <c r="DI6">
        <f t="shared" si="5"/>
        <v>0</v>
      </c>
      <c r="DJ6">
        <f>DG6+DH6</f>
        <v>1478.98</v>
      </c>
      <c r="DK6">
        <v>1</v>
      </c>
      <c r="DL6" t="s">
        <v>266</v>
      </c>
      <c r="DM6">
        <v>4</v>
      </c>
      <c r="DN6" t="s">
        <v>252</v>
      </c>
      <c r="DO6">
        <v>1</v>
      </c>
    </row>
    <row r="7" spans="1:119">
      <c r="A7">
        <f>ROW(Source!A24)</f>
        <v>24</v>
      </c>
      <c r="B7">
        <v>50837261</v>
      </c>
      <c r="C7">
        <v>50844000</v>
      </c>
      <c r="D7">
        <v>49761222</v>
      </c>
      <c r="E7">
        <v>1</v>
      </c>
      <c r="F7">
        <v>1</v>
      </c>
      <c r="G7">
        <v>1</v>
      </c>
      <c r="H7">
        <v>2</v>
      </c>
      <c r="I7" t="s">
        <v>270</v>
      </c>
      <c r="J7" t="s">
        <v>271</v>
      </c>
      <c r="K7" t="s">
        <v>272</v>
      </c>
      <c r="L7">
        <v>1368</v>
      </c>
      <c r="N7">
        <v>1011</v>
      </c>
      <c r="O7" t="s">
        <v>258</v>
      </c>
      <c r="P7" t="s">
        <v>258</v>
      </c>
      <c r="Q7">
        <v>1</v>
      </c>
      <c r="W7">
        <v>0</v>
      </c>
      <c r="X7">
        <v>670153281</v>
      </c>
      <c r="Y7">
        <f t="shared" si="0"/>
        <v>36.799999999999997</v>
      </c>
      <c r="AA7">
        <v>0</v>
      </c>
      <c r="AB7">
        <v>4.54</v>
      </c>
      <c r="AC7">
        <v>0</v>
      </c>
      <c r="AD7">
        <v>0</v>
      </c>
      <c r="AE7">
        <v>0</v>
      </c>
      <c r="AF7">
        <v>2.93</v>
      </c>
      <c r="AG7">
        <v>0</v>
      </c>
      <c r="AH7">
        <v>0</v>
      </c>
      <c r="AI7">
        <v>1</v>
      </c>
      <c r="AJ7">
        <v>1.55</v>
      </c>
      <c r="AK7">
        <v>1</v>
      </c>
      <c r="AL7">
        <v>1</v>
      </c>
      <c r="AM7">
        <v>2</v>
      </c>
      <c r="AN7">
        <v>0</v>
      </c>
      <c r="AO7">
        <v>0</v>
      </c>
      <c r="AP7">
        <v>1</v>
      </c>
      <c r="AQ7">
        <v>1</v>
      </c>
      <c r="AR7">
        <v>0</v>
      </c>
      <c r="AS7" t="s">
        <v>3</v>
      </c>
      <c r="AT7">
        <v>36.799999999999997</v>
      </c>
      <c r="AU7" t="s">
        <v>3</v>
      </c>
      <c r="AV7">
        <v>1</v>
      </c>
      <c r="AW7">
        <v>2</v>
      </c>
      <c r="AX7">
        <v>50844007</v>
      </c>
      <c r="AY7">
        <v>1</v>
      </c>
      <c r="AZ7">
        <v>0</v>
      </c>
      <c r="BA7">
        <v>7</v>
      </c>
      <c r="BB7">
        <v>1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107.824</v>
      </c>
      <c r="BL7">
        <v>0</v>
      </c>
      <c r="BM7">
        <v>0</v>
      </c>
      <c r="BN7">
        <v>0</v>
      </c>
      <c r="BO7">
        <v>0</v>
      </c>
      <c r="BP7">
        <v>1</v>
      </c>
      <c r="BQ7">
        <v>0</v>
      </c>
      <c r="BR7">
        <v>107.824</v>
      </c>
      <c r="BS7">
        <v>0</v>
      </c>
      <c r="BT7">
        <v>0</v>
      </c>
      <c r="BU7">
        <v>0</v>
      </c>
      <c r="BV7">
        <v>0</v>
      </c>
      <c r="BW7">
        <v>1</v>
      </c>
      <c r="CV7">
        <v>0</v>
      </c>
      <c r="CW7">
        <f>ROUND(Y7*Source!I24*DO7,7)</f>
        <v>0</v>
      </c>
      <c r="CX7">
        <f>ROUND(Y7*Source!I24,7)</f>
        <v>2.9366400000000001</v>
      </c>
      <c r="CY7">
        <f>AB7</f>
        <v>4.54</v>
      </c>
      <c r="CZ7">
        <f>AF7</f>
        <v>2.93</v>
      </c>
      <c r="DA7">
        <f>AJ7</f>
        <v>1.55</v>
      </c>
      <c r="DB7">
        <f t="shared" si="1"/>
        <v>107.82</v>
      </c>
      <c r="DC7">
        <f t="shared" si="2"/>
        <v>0</v>
      </c>
      <c r="DD7" t="s">
        <v>3</v>
      </c>
      <c r="DE7" t="s">
        <v>3</v>
      </c>
      <c r="DF7">
        <f t="shared" si="3"/>
        <v>0</v>
      </c>
      <c r="DG7">
        <f>ROUND(ROUND(AF7*AJ7,2)*CX7,2)</f>
        <v>13.33</v>
      </c>
      <c r="DH7">
        <f t="shared" si="4"/>
        <v>0</v>
      </c>
      <c r="DI7">
        <f t="shared" si="5"/>
        <v>0</v>
      </c>
      <c r="DJ7">
        <f>DG7+DH7</f>
        <v>13.33</v>
      </c>
      <c r="DK7">
        <v>0</v>
      </c>
      <c r="DL7" t="s">
        <v>3</v>
      </c>
      <c r="DM7">
        <v>0</v>
      </c>
      <c r="DN7" t="s">
        <v>3</v>
      </c>
      <c r="DO7">
        <v>0</v>
      </c>
    </row>
    <row r="8" spans="1:119">
      <c r="A8">
        <f>ROW(Source!A24)</f>
        <v>24</v>
      </c>
      <c r="B8">
        <v>50837261</v>
      </c>
      <c r="C8">
        <v>50844000</v>
      </c>
      <c r="D8">
        <v>49830009</v>
      </c>
      <c r="E8">
        <v>1</v>
      </c>
      <c r="F8">
        <v>1</v>
      </c>
      <c r="G8">
        <v>1</v>
      </c>
      <c r="H8">
        <v>3</v>
      </c>
      <c r="I8" t="s">
        <v>273</v>
      </c>
      <c r="J8" t="s">
        <v>274</v>
      </c>
      <c r="K8" t="s">
        <v>275</v>
      </c>
      <c r="L8">
        <v>1301</v>
      </c>
      <c r="N8">
        <v>1003</v>
      </c>
      <c r="O8" t="s">
        <v>276</v>
      </c>
      <c r="P8" t="s">
        <v>276</v>
      </c>
      <c r="Q8">
        <v>1</v>
      </c>
      <c r="W8">
        <v>0</v>
      </c>
      <c r="X8">
        <v>-1928349209</v>
      </c>
      <c r="Y8">
        <f t="shared" si="0"/>
        <v>77.680000000000007</v>
      </c>
      <c r="AA8">
        <v>14.22</v>
      </c>
      <c r="AB8">
        <v>0</v>
      </c>
      <c r="AC8">
        <v>0</v>
      </c>
      <c r="AD8">
        <v>0</v>
      </c>
      <c r="AE8">
        <v>10.16</v>
      </c>
      <c r="AF8">
        <v>0</v>
      </c>
      <c r="AG8">
        <v>0</v>
      </c>
      <c r="AH8">
        <v>0</v>
      </c>
      <c r="AI8">
        <v>1.4</v>
      </c>
      <c r="AJ8">
        <v>1</v>
      </c>
      <c r="AK8">
        <v>1</v>
      </c>
      <c r="AL8">
        <v>1</v>
      </c>
      <c r="AM8">
        <v>2</v>
      </c>
      <c r="AN8">
        <v>0</v>
      </c>
      <c r="AO8">
        <v>0</v>
      </c>
      <c r="AP8">
        <v>1</v>
      </c>
      <c r="AQ8">
        <v>1</v>
      </c>
      <c r="AR8">
        <v>0</v>
      </c>
      <c r="AS8" t="s">
        <v>3</v>
      </c>
      <c r="AT8">
        <v>77.680000000000007</v>
      </c>
      <c r="AU8" t="s">
        <v>3</v>
      </c>
      <c r="AV8">
        <v>0</v>
      </c>
      <c r="AW8">
        <v>2</v>
      </c>
      <c r="AX8">
        <v>50844008</v>
      </c>
      <c r="AY8">
        <v>1</v>
      </c>
      <c r="AZ8">
        <v>0</v>
      </c>
      <c r="BA8">
        <v>8</v>
      </c>
      <c r="BB8">
        <v>1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789.22880000000009</v>
      </c>
      <c r="BK8">
        <v>0</v>
      </c>
      <c r="BL8">
        <v>0</v>
      </c>
      <c r="BM8">
        <v>0</v>
      </c>
      <c r="BN8">
        <v>0</v>
      </c>
      <c r="BO8">
        <v>0</v>
      </c>
      <c r="BP8">
        <v>1</v>
      </c>
      <c r="BQ8">
        <v>789.22880000000009</v>
      </c>
      <c r="BR8">
        <v>0</v>
      </c>
      <c r="BS8">
        <v>0</v>
      </c>
      <c r="BT8">
        <v>0</v>
      </c>
      <c r="BU8">
        <v>0</v>
      </c>
      <c r="BV8">
        <v>0</v>
      </c>
      <c r="BW8">
        <v>1</v>
      </c>
      <c r="CV8">
        <v>0</v>
      </c>
      <c r="CW8">
        <v>0</v>
      </c>
      <c r="CX8">
        <f>ROUND(Y8*Source!I24,7)</f>
        <v>6.1988640000000004</v>
      </c>
      <c r="CY8">
        <f t="shared" ref="CY8:CY15" si="6">AA8</f>
        <v>14.22</v>
      </c>
      <c r="CZ8">
        <f t="shared" ref="CZ8:CZ15" si="7">AE8</f>
        <v>10.16</v>
      </c>
      <c r="DA8">
        <f t="shared" ref="DA8:DA15" si="8">AI8</f>
        <v>1.4</v>
      </c>
      <c r="DB8">
        <f t="shared" si="1"/>
        <v>789.23</v>
      </c>
      <c r="DC8">
        <f t="shared" si="2"/>
        <v>0</v>
      </c>
      <c r="DD8" t="s">
        <v>3</v>
      </c>
      <c r="DE8" t="s">
        <v>3</v>
      </c>
      <c r="DF8">
        <f>ROUND(ROUND(AE8*AI8,2)*CX8,2)</f>
        <v>88.15</v>
      </c>
      <c r="DG8">
        <f t="shared" ref="DG8:DG18" si="9">ROUND(ROUND(AF8,2)*CX8,2)</f>
        <v>0</v>
      </c>
      <c r="DH8">
        <f t="shared" si="4"/>
        <v>0</v>
      </c>
      <c r="DI8">
        <f t="shared" si="5"/>
        <v>0</v>
      </c>
      <c r="DJ8">
        <f t="shared" ref="DJ8:DJ15" si="10">DF8</f>
        <v>88.15</v>
      </c>
      <c r="DK8">
        <v>0</v>
      </c>
      <c r="DL8" t="s">
        <v>3</v>
      </c>
      <c r="DM8">
        <v>0</v>
      </c>
      <c r="DN8" t="s">
        <v>3</v>
      </c>
      <c r="DO8">
        <v>0</v>
      </c>
    </row>
    <row r="9" spans="1:119">
      <c r="A9">
        <f>ROW(Source!A24)</f>
        <v>24</v>
      </c>
      <c r="B9">
        <v>50837261</v>
      </c>
      <c r="C9">
        <v>50844000</v>
      </c>
      <c r="D9">
        <v>49830028</v>
      </c>
      <c r="E9">
        <v>1</v>
      </c>
      <c r="F9">
        <v>1</v>
      </c>
      <c r="G9">
        <v>1</v>
      </c>
      <c r="H9">
        <v>3</v>
      </c>
      <c r="I9" t="s">
        <v>277</v>
      </c>
      <c r="J9" t="s">
        <v>278</v>
      </c>
      <c r="K9" t="s">
        <v>279</v>
      </c>
      <c r="L9">
        <v>1339</v>
      </c>
      <c r="N9">
        <v>1007</v>
      </c>
      <c r="O9" t="s">
        <v>65</v>
      </c>
      <c r="P9" t="s">
        <v>65</v>
      </c>
      <c r="Q9">
        <v>1</v>
      </c>
      <c r="W9">
        <v>0</v>
      </c>
      <c r="X9">
        <v>1964556667</v>
      </c>
      <c r="Y9">
        <f t="shared" si="0"/>
        <v>7.4999999999999997E-3</v>
      </c>
      <c r="AA9">
        <v>29.64</v>
      </c>
      <c r="AB9">
        <v>0</v>
      </c>
      <c r="AC9">
        <v>0</v>
      </c>
      <c r="AD9">
        <v>0</v>
      </c>
      <c r="AE9">
        <v>35.71</v>
      </c>
      <c r="AF9">
        <v>0</v>
      </c>
      <c r="AG9">
        <v>0</v>
      </c>
      <c r="AH9">
        <v>0</v>
      </c>
      <c r="AI9">
        <v>0.83</v>
      </c>
      <c r="AJ9">
        <v>1</v>
      </c>
      <c r="AK9">
        <v>1</v>
      </c>
      <c r="AL9">
        <v>1</v>
      </c>
      <c r="AM9">
        <v>2</v>
      </c>
      <c r="AN9">
        <v>0</v>
      </c>
      <c r="AO9">
        <v>0</v>
      </c>
      <c r="AP9">
        <v>1</v>
      </c>
      <c r="AQ9">
        <v>1</v>
      </c>
      <c r="AR9">
        <v>0</v>
      </c>
      <c r="AS9" t="s">
        <v>3</v>
      </c>
      <c r="AT9">
        <v>7.4999999999999997E-3</v>
      </c>
      <c r="AU9" t="s">
        <v>3</v>
      </c>
      <c r="AV9">
        <v>0</v>
      </c>
      <c r="AW9">
        <v>2</v>
      </c>
      <c r="AX9">
        <v>50844009</v>
      </c>
      <c r="AY9">
        <v>1</v>
      </c>
      <c r="AZ9">
        <v>0</v>
      </c>
      <c r="BA9">
        <v>9</v>
      </c>
      <c r="BB9">
        <v>1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0.26782499999999998</v>
      </c>
      <c r="BK9">
        <v>0</v>
      </c>
      <c r="BL9">
        <v>0</v>
      </c>
      <c r="BM9">
        <v>0</v>
      </c>
      <c r="BN9">
        <v>0</v>
      </c>
      <c r="BO9">
        <v>0</v>
      </c>
      <c r="BP9">
        <v>1</v>
      </c>
      <c r="BQ9">
        <v>0.26782499999999998</v>
      </c>
      <c r="BR9">
        <v>0</v>
      </c>
      <c r="BS9">
        <v>0</v>
      </c>
      <c r="BT9">
        <v>0</v>
      </c>
      <c r="BU9">
        <v>0</v>
      </c>
      <c r="BV9">
        <v>0</v>
      </c>
      <c r="BW9">
        <v>1</v>
      </c>
      <c r="CV9">
        <v>0</v>
      </c>
      <c r="CW9">
        <v>0</v>
      </c>
      <c r="CX9">
        <f>ROUND(Y9*Source!I24,7)</f>
        <v>5.9849999999999997E-4</v>
      </c>
      <c r="CY9">
        <f t="shared" si="6"/>
        <v>29.64</v>
      </c>
      <c r="CZ9">
        <f t="shared" si="7"/>
        <v>35.71</v>
      </c>
      <c r="DA9">
        <f t="shared" si="8"/>
        <v>0.83</v>
      </c>
      <c r="DB9">
        <f t="shared" si="1"/>
        <v>0.27</v>
      </c>
      <c r="DC9">
        <f t="shared" si="2"/>
        <v>0</v>
      </c>
      <c r="DD9" t="s">
        <v>3</v>
      </c>
      <c r="DE9" t="s">
        <v>3</v>
      </c>
      <c r="DF9">
        <f>ROUND(ROUND(AE9*AI9,2)*CX9,2)</f>
        <v>0.02</v>
      </c>
      <c r="DG9">
        <f t="shared" si="9"/>
        <v>0</v>
      </c>
      <c r="DH9">
        <f t="shared" si="4"/>
        <v>0</v>
      </c>
      <c r="DI9">
        <f t="shared" si="5"/>
        <v>0</v>
      </c>
      <c r="DJ9">
        <f t="shared" si="10"/>
        <v>0.02</v>
      </c>
      <c r="DK9">
        <v>0</v>
      </c>
      <c r="DL9" t="s">
        <v>3</v>
      </c>
      <c r="DM9">
        <v>0</v>
      </c>
      <c r="DN9" t="s">
        <v>3</v>
      </c>
      <c r="DO9">
        <v>0</v>
      </c>
    </row>
    <row r="10" spans="1:119">
      <c r="A10">
        <f>ROW(Source!A24)</f>
        <v>24</v>
      </c>
      <c r="B10">
        <v>50837261</v>
      </c>
      <c r="C10">
        <v>50844000</v>
      </c>
      <c r="D10">
        <v>49830344</v>
      </c>
      <c r="E10">
        <v>1</v>
      </c>
      <c r="F10">
        <v>1</v>
      </c>
      <c r="G10">
        <v>1</v>
      </c>
      <c r="H10">
        <v>3</v>
      </c>
      <c r="I10" t="s">
        <v>280</v>
      </c>
      <c r="J10" t="s">
        <v>281</v>
      </c>
      <c r="K10" t="s">
        <v>282</v>
      </c>
      <c r="L10">
        <v>1327</v>
      </c>
      <c r="N10">
        <v>1005</v>
      </c>
      <c r="O10" t="s">
        <v>97</v>
      </c>
      <c r="P10" t="s">
        <v>97</v>
      </c>
      <c r="Q10">
        <v>1</v>
      </c>
      <c r="W10">
        <v>0</v>
      </c>
      <c r="X10">
        <v>1044561098</v>
      </c>
      <c r="Y10">
        <f t="shared" si="0"/>
        <v>28.41</v>
      </c>
      <c r="AA10">
        <v>15.14</v>
      </c>
      <c r="AB10">
        <v>0</v>
      </c>
      <c r="AC10">
        <v>0</v>
      </c>
      <c r="AD10">
        <v>0</v>
      </c>
      <c r="AE10">
        <v>12.83</v>
      </c>
      <c r="AF10">
        <v>0</v>
      </c>
      <c r="AG10">
        <v>0</v>
      </c>
      <c r="AH10">
        <v>0</v>
      </c>
      <c r="AI10">
        <v>1.18</v>
      </c>
      <c r="AJ10">
        <v>1</v>
      </c>
      <c r="AK10">
        <v>1</v>
      </c>
      <c r="AL10">
        <v>1</v>
      </c>
      <c r="AM10">
        <v>2</v>
      </c>
      <c r="AN10">
        <v>0</v>
      </c>
      <c r="AO10">
        <v>0</v>
      </c>
      <c r="AP10">
        <v>1</v>
      </c>
      <c r="AQ10">
        <v>1</v>
      </c>
      <c r="AR10">
        <v>0</v>
      </c>
      <c r="AS10" t="s">
        <v>3</v>
      </c>
      <c r="AT10">
        <v>28.41</v>
      </c>
      <c r="AU10" t="s">
        <v>3</v>
      </c>
      <c r="AV10">
        <v>0</v>
      </c>
      <c r="AW10">
        <v>2</v>
      </c>
      <c r="AX10">
        <v>50844010</v>
      </c>
      <c r="AY10">
        <v>1</v>
      </c>
      <c r="AZ10">
        <v>0</v>
      </c>
      <c r="BA10">
        <v>10</v>
      </c>
      <c r="BB10">
        <v>1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364.50029999999998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1</v>
      </c>
      <c r="BQ10">
        <v>364.50029999999998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1</v>
      </c>
      <c r="CV10">
        <v>0</v>
      </c>
      <c r="CW10">
        <v>0</v>
      </c>
      <c r="CX10">
        <f>ROUND(Y10*Source!I24,7)</f>
        <v>2.267118</v>
      </c>
      <c r="CY10">
        <f t="shared" si="6"/>
        <v>15.14</v>
      </c>
      <c r="CZ10">
        <f t="shared" si="7"/>
        <v>12.83</v>
      </c>
      <c r="DA10">
        <f t="shared" si="8"/>
        <v>1.18</v>
      </c>
      <c r="DB10">
        <f t="shared" si="1"/>
        <v>364.5</v>
      </c>
      <c r="DC10">
        <f t="shared" si="2"/>
        <v>0</v>
      </c>
      <c r="DD10" t="s">
        <v>3</v>
      </c>
      <c r="DE10" t="s">
        <v>3</v>
      </c>
      <c r="DF10">
        <f>ROUND(ROUND(AE10*AI10,2)*CX10,2)</f>
        <v>34.32</v>
      </c>
      <c r="DG10">
        <f t="shared" si="9"/>
        <v>0</v>
      </c>
      <c r="DH10">
        <f t="shared" si="4"/>
        <v>0</v>
      </c>
      <c r="DI10">
        <f t="shared" si="5"/>
        <v>0</v>
      </c>
      <c r="DJ10">
        <f t="shared" si="10"/>
        <v>34.32</v>
      </c>
      <c r="DK10">
        <v>0</v>
      </c>
      <c r="DL10" t="s">
        <v>3</v>
      </c>
      <c r="DM10">
        <v>0</v>
      </c>
      <c r="DN10" t="s">
        <v>3</v>
      </c>
      <c r="DO10">
        <v>0</v>
      </c>
    </row>
    <row r="11" spans="1:119">
      <c r="A11">
        <f>ROW(Source!A24)</f>
        <v>24</v>
      </c>
      <c r="B11">
        <v>50837261</v>
      </c>
      <c r="C11">
        <v>50844000</v>
      </c>
      <c r="D11">
        <v>49753838</v>
      </c>
      <c r="E11">
        <v>117</v>
      </c>
      <c r="F11">
        <v>1</v>
      </c>
      <c r="G11">
        <v>1</v>
      </c>
      <c r="H11">
        <v>3</v>
      </c>
      <c r="I11" t="s">
        <v>26</v>
      </c>
      <c r="J11" t="s">
        <v>3</v>
      </c>
      <c r="K11" t="s">
        <v>27</v>
      </c>
      <c r="L11">
        <v>1371</v>
      </c>
      <c r="N11">
        <v>1013</v>
      </c>
      <c r="O11" t="s">
        <v>28</v>
      </c>
      <c r="P11" t="s">
        <v>28</v>
      </c>
      <c r="Q11">
        <v>1</v>
      </c>
      <c r="W11">
        <v>0</v>
      </c>
      <c r="X11">
        <v>2080980634</v>
      </c>
      <c r="Y11">
        <f t="shared" si="0"/>
        <v>0.71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1</v>
      </c>
      <c r="AJ11">
        <v>1</v>
      </c>
      <c r="AK11">
        <v>1</v>
      </c>
      <c r="AL11">
        <v>1</v>
      </c>
      <c r="AM11">
        <v>0</v>
      </c>
      <c r="AN11">
        <v>0</v>
      </c>
      <c r="AO11">
        <v>0</v>
      </c>
      <c r="AP11">
        <v>1</v>
      </c>
      <c r="AQ11">
        <v>0</v>
      </c>
      <c r="AR11">
        <v>0</v>
      </c>
      <c r="AS11" t="s">
        <v>3</v>
      </c>
      <c r="AT11">
        <v>0.71</v>
      </c>
      <c r="AU11" t="s">
        <v>3</v>
      </c>
      <c r="AV11">
        <v>0</v>
      </c>
      <c r="AW11">
        <v>2</v>
      </c>
      <c r="AX11">
        <v>50844011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V11">
        <v>0</v>
      </c>
      <c r="CW11">
        <v>0</v>
      </c>
      <c r="CX11">
        <f>ROUND(Y11*Source!I24,7)</f>
        <v>5.6658E-2</v>
      </c>
      <c r="CY11">
        <f t="shared" si="6"/>
        <v>0</v>
      </c>
      <c r="CZ11">
        <f t="shared" si="7"/>
        <v>0</v>
      </c>
      <c r="DA11">
        <f t="shared" si="8"/>
        <v>1</v>
      </c>
      <c r="DB11">
        <f t="shared" si="1"/>
        <v>0</v>
      </c>
      <c r="DC11">
        <f t="shared" si="2"/>
        <v>0</v>
      </c>
      <c r="DD11" t="s">
        <v>3</v>
      </c>
      <c r="DE11" t="s">
        <v>3</v>
      </c>
      <c r="DF11">
        <f>ROUND(ROUND(AE11,2)*CX11,2)</f>
        <v>0</v>
      </c>
      <c r="DG11">
        <f t="shared" si="9"/>
        <v>0</v>
      </c>
      <c r="DH11">
        <f t="shared" si="4"/>
        <v>0</v>
      </c>
      <c r="DI11">
        <f t="shared" si="5"/>
        <v>0</v>
      </c>
      <c r="DJ11">
        <f t="shared" si="10"/>
        <v>0</v>
      </c>
      <c r="DK11">
        <v>0</v>
      </c>
      <c r="DL11" t="s">
        <v>3</v>
      </c>
      <c r="DM11">
        <v>0</v>
      </c>
      <c r="DN11" t="s">
        <v>3</v>
      </c>
      <c r="DO11">
        <v>0</v>
      </c>
    </row>
    <row r="12" spans="1:119">
      <c r="A12">
        <f>ROW(Source!A24)</f>
        <v>24</v>
      </c>
      <c r="B12">
        <v>50837261</v>
      </c>
      <c r="C12">
        <v>50844000</v>
      </c>
      <c r="D12">
        <v>49839781</v>
      </c>
      <c r="E12">
        <v>1</v>
      </c>
      <c r="F12">
        <v>1</v>
      </c>
      <c r="G12">
        <v>1</v>
      </c>
      <c r="H12">
        <v>3</v>
      </c>
      <c r="I12" t="s">
        <v>283</v>
      </c>
      <c r="J12" t="s">
        <v>284</v>
      </c>
      <c r="K12" t="s">
        <v>285</v>
      </c>
      <c r="L12">
        <v>1348</v>
      </c>
      <c r="N12">
        <v>1009</v>
      </c>
      <c r="O12" t="s">
        <v>46</v>
      </c>
      <c r="P12" t="s">
        <v>46</v>
      </c>
      <c r="Q12">
        <v>1000</v>
      </c>
      <c r="W12">
        <v>0</v>
      </c>
      <c r="X12">
        <v>-1626911935</v>
      </c>
      <c r="Y12">
        <f t="shared" si="0"/>
        <v>2.0500000000000001E-2</v>
      </c>
      <c r="AA12">
        <v>68586.36</v>
      </c>
      <c r="AB12">
        <v>0</v>
      </c>
      <c r="AC12">
        <v>0</v>
      </c>
      <c r="AD12">
        <v>0</v>
      </c>
      <c r="AE12">
        <v>89073.2</v>
      </c>
      <c r="AF12">
        <v>0</v>
      </c>
      <c r="AG12">
        <v>0</v>
      </c>
      <c r="AH12">
        <v>0</v>
      </c>
      <c r="AI12">
        <v>0.77</v>
      </c>
      <c r="AJ12">
        <v>1</v>
      </c>
      <c r="AK12">
        <v>1</v>
      </c>
      <c r="AL12">
        <v>1</v>
      </c>
      <c r="AM12">
        <v>2</v>
      </c>
      <c r="AN12">
        <v>0</v>
      </c>
      <c r="AO12">
        <v>0</v>
      </c>
      <c r="AP12">
        <v>1</v>
      </c>
      <c r="AQ12">
        <v>1</v>
      </c>
      <c r="AR12">
        <v>0</v>
      </c>
      <c r="AS12" t="s">
        <v>3</v>
      </c>
      <c r="AT12">
        <v>2.0500000000000001E-2</v>
      </c>
      <c r="AU12" t="s">
        <v>3</v>
      </c>
      <c r="AV12">
        <v>0</v>
      </c>
      <c r="AW12">
        <v>2</v>
      </c>
      <c r="AX12">
        <v>50844012</v>
      </c>
      <c r="AY12">
        <v>1</v>
      </c>
      <c r="AZ12">
        <v>0</v>
      </c>
      <c r="BA12">
        <v>12</v>
      </c>
      <c r="BB12">
        <v>1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1826.0006000000001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1</v>
      </c>
      <c r="BQ12">
        <v>1826.0006000000001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1</v>
      </c>
      <c r="CV12">
        <v>0</v>
      </c>
      <c r="CW12">
        <v>0</v>
      </c>
      <c r="CX12">
        <f>ROUND(Y12*Source!I24,7)</f>
        <v>1.6359E-3</v>
      </c>
      <c r="CY12">
        <f t="shared" si="6"/>
        <v>68586.36</v>
      </c>
      <c r="CZ12">
        <f t="shared" si="7"/>
        <v>89073.2</v>
      </c>
      <c r="DA12">
        <f t="shared" si="8"/>
        <v>0.77</v>
      </c>
      <c r="DB12">
        <f t="shared" si="1"/>
        <v>1826</v>
      </c>
      <c r="DC12">
        <f t="shared" si="2"/>
        <v>0</v>
      </c>
      <c r="DD12" t="s">
        <v>3</v>
      </c>
      <c r="DE12" t="s">
        <v>3</v>
      </c>
      <c r="DF12">
        <f>ROUND(ROUND(AE12*AI12,2)*CX12,2)</f>
        <v>112.2</v>
      </c>
      <c r="DG12">
        <f t="shared" si="9"/>
        <v>0</v>
      </c>
      <c r="DH12">
        <f t="shared" si="4"/>
        <v>0</v>
      </c>
      <c r="DI12">
        <f t="shared" si="5"/>
        <v>0</v>
      </c>
      <c r="DJ12">
        <f t="shared" si="10"/>
        <v>112.2</v>
      </c>
      <c r="DK12">
        <v>0</v>
      </c>
      <c r="DL12" t="s">
        <v>3</v>
      </c>
      <c r="DM12">
        <v>0</v>
      </c>
      <c r="DN12" t="s">
        <v>3</v>
      </c>
      <c r="DO12">
        <v>0</v>
      </c>
    </row>
    <row r="13" spans="1:119">
      <c r="A13">
        <f>ROW(Source!A24)</f>
        <v>24</v>
      </c>
      <c r="B13">
        <v>50837261</v>
      </c>
      <c r="C13">
        <v>50844000</v>
      </c>
      <c r="D13">
        <v>49842103</v>
      </c>
      <c r="E13">
        <v>1</v>
      </c>
      <c r="F13">
        <v>1</v>
      </c>
      <c r="G13">
        <v>1</v>
      </c>
      <c r="H13">
        <v>3</v>
      </c>
      <c r="I13" t="s">
        <v>286</v>
      </c>
      <c r="J13" t="s">
        <v>287</v>
      </c>
      <c r="K13" t="s">
        <v>288</v>
      </c>
      <c r="L13">
        <v>1339</v>
      </c>
      <c r="N13">
        <v>1007</v>
      </c>
      <c r="O13" t="s">
        <v>65</v>
      </c>
      <c r="P13" t="s">
        <v>65</v>
      </c>
      <c r="Q13">
        <v>1</v>
      </c>
      <c r="W13">
        <v>0</v>
      </c>
      <c r="X13">
        <v>-803942224</v>
      </c>
      <c r="Y13">
        <f t="shared" si="0"/>
        <v>2.1999999999999999E-2</v>
      </c>
      <c r="AA13">
        <v>10728.1</v>
      </c>
      <c r="AB13">
        <v>0</v>
      </c>
      <c r="AC13">
        <v>0</v>
      </c>
      <c r="AD13">
        <v>0</v>
      </c>
      <c r="AE13">
        <v>7555</v>
      </c>
      <c r="AF13">
        <v>0</v>
      </c>
      <c r="AG13">
        <v>0</v>
      </c>
      <c r="AH13">
        <v>0</v>
      </c>
      <c r="AI13">
        <v>1.42</v>
      </c>
      <c r="AJ13">
        <v>1</v>
      </c>
      <c r="AK13">
        <v>1</v>
      </c>
      <c r="AL13">
        <v>1</v>
      </c>
      <c r="AM13">
        <v>2</v>
      </c>
      <c r="AN13">
        <v>0</v>
      </c>
      <c r="AO13">
        <v>0</v>
      </c>
      <c r="AP13">
        <v>1</v>
      </c>
      <c r="AQ13">
        <v>1</v>
      </c>
      <c r="AR13">
        <v>0</v>
      </c>
      <c r="AS13" t="s">
        <v>3</v>
      </c>
      <c r="AT13">
        <v>2.1999999999999999E-2</v>
      </c>
      <c r="AU13" t="s">
        <v>3</v>
      </c>
      <c r="AV13">
        <v>0</v>
      </c>
      <c r="AW13">
        <v>2</v>
      </c>
      <c r="AX13">
        <v>50844013</v>
      </c>
      <c r="AY13">
        <v>1</v>
      </c>
      <c r="AZ13">
        <v>0</v>
      </c>
      <c r="BA13">
        <v>13</v>
      </c>
      <c r="BB13">
        <v>1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166.20999999999998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1</v>
      </c>
      <c r="BQ13">
        <v>166.20999999999998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1</v>
      </c>
      <c r="CV13">
        <v>0</v>
      </c>
      <c r="CW13">
        <v>0</v>
      </c>
      <c r="CX13">
        <f>ROUND(Y13*Source!I24,7)</f>
        <v>1.7556E-3</v>
      </c>
      <c r="CY13">
        <f t="shared" si="6"/>
        <v>10728.1</v>
      </c>
      <c r="CZ13">
        <f t="shared" si="7"/>
        <v>7555</v>
      </c>
      <c r="DA13">
        <f t="shared" si="8"/>
        <v>1.42</v>
      </c>
      <c r="DB13">
        <f t="shared" si="1"/>
        <v>166.21</v>
      </c>
      <c r="DC13">
        <f t="shared" si="2"/>
        <v>0</v>
      </c>
      <c r="DD13" t="s">
        <v>3</v>
      </c>
      <c r="DE13" t="s">
        <v>3</v>
      </c>
      <c r="DF13">
        <f>ROUND(ROUND(AE13*AI13,2)*CX13,2)</f>
        <v>18.829999999999998</v>
      </c>
      <c r="DG13">
        <f t="shared" si="9"/>
        <v>0</v>
      </c>
      <c r="DH13">
        <f t="shared" si="4"/>
        <v>0</v>
      </c>
      <c r="DI13">
        <f t="shared" si="5"/>
        <v>0</v>
      </c>
      <c r="DJ13">
        <f t="shared" si="10"/>
        <v>18.829999999999998</v>
      </c>
      <c r="DK13">
        <v>0</v>
      </c>
      <c r="DL13" t="s">
        <v>3</v>
      </c>
      <c r="DM13">
        <v>0</v>
      </c>
      <c r="DN13" t="s">
        <v>3</v>
      </c>
      <c r="DO13">
        <v>0</v>
      </c>
    </row>
    <row r="14" spans="1:119">
      <c r="A14">
        <f>ROW(Source!A24)</f>
        <v>24</v>
      </c>
      <c r="B14">
        <v>50837261</v>
      </c>
      <c r="C14">
        <v>50844000</v>
      </c>
      <c r="D14">
        <v>49842337</v>
      </c>
      <c r="E14">
        <v>1</v>
      </c>
      <c r="F14">
        <v>1</v>
      </c>
      <c r="G14">
        <v>1</v>
      </c>
      <c r="H14">
        <v>3</v>
      </c>
      <c r="I14" t="s">
        <v>289</v>
      </c>
      <c r="J14" t="s">
        <v>290</v>
      </c>
      <c r="K14" t="s">
        <v>291</v>
      </c>
      <c r="L14">
        <v>1371</v>
      </c>
      <c r="N14">
        <v>1013</v>
      </c>
      <c r="O14" t="s">
        <v>28</v>
      </c>
      <c r="P14" t="s">
        <v>28</v>
      </c>
      <c r="Q14">
        <v>1</v>
      </c>
      <c r="W14">
        <v>0</v>
      </c>
      <c r="X14">
        <v>1597728806</v>
      </c>
      <c r="Y14">
        <f t="shared" si="0"/>
        <v>0.17</v>
      </c>
      <c r="AA14">
        <v>613.89</v>
      </c>
      <c r="AB14">
        <v>0</v>
      </c>
      <c r="AC14">
        <v>0</v>
      </c>
      <c r="AD14">
        <v>0</v>
      </c>
      <c r="AE14">
        <v>432.32</v>
      </c>
      <c r="AF14">
        <v>0</v>
      </c>
      <c r="AG14">
        <v>0</v>
      </c>
      <c r="AH14">
        <v>0</v>
      </c>
      <c r="AI14">
        <v>1.42</v>
      </c>
      <c r="AJ14">
        <v>1</v>
      </c>
      <c r="AK14">
        <v>1</v>
      </c>
      <c r="AL14">
        <v>1</v>
      </c>
      <c r="AM14">
        <v>2</v>
      </c>
      <c r="AN14">
        <v>0</v>
      </c>
      <c r="AO14">
        <v>0</v>
      </c>
      <c r="AP14">
        <v>1</v>
      </c>
      <c r="AQ14">
        <v>1</v>
      </c>
      <c r="AR14">
        <v>0</v>
      </c>
      <c r="AS14" t="s">
        <v>3</v>
      </c>
      <c r="AT14">
        <v>0.17</v>
      </c>
      <c r="AU14" t="s">
        <v>3</v>
      </c>
      <c r="AV14">
        <v>0</v>
      </c>
      <c r="AW14">
        <v>2</v>
      </c>
      <c r="AX14">
        <v>50844014</v>
      </c>
      <c r="AY14">
        <v>1</v>
      </c>
      <c r="AZ14">
        <v>0</v>
      </c>
      <c r="BA14">
        <v>14</v>
      </c>
      <c r="BB14">
        <v>1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73.494399999999999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1</v>
      </c>
      <c r="BQ14">
        <v>73.494399999999999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1</v>
      </c>
      <c r="CV14">
        <v>0</v>
      </c>
      <c r="CW14">
        <v>0</v>
      </c>
      <c r="CX14">
        <f>ROUND(Y14*Source!I24,7)</f>
        <v>1.3566E-2</v>
      </c>
      <c r="CY14">
        <f t="shared" si="6"/>
        <v>613.89</v>
      </c>
      <c r="CZ14">
        <f t="shared" si="7"/>
        <v>432.32</v>
      </c>
      <c r="DA14">
        <f t="shared" si="8"/>
        <v>1.42</v>
      </c>
      <c r="DB14">
        <f t="shared" si="1"/>
        <v>73.489999999999995</v>
      </c>
      <c r="DC14">
        <f t="shared" si="2"/>
        <v>0</v>
      </c>
      <c r="DD14" t="s">
        <v>3</v>
      </c>
      <c r="DE14" t="s">
        <v>3</v>
      </c>
      <c r="DF14">
        <f>ROUND(ROUND(AE14*AI14,2)*CX14,2)</f>
        <v>8.33</v>
      </c>
      <c r="DG14">
        <f t="shared" si="9"/>
        <v>0</v>
      </c>
      <c r="DH14">
        <f t="shared" si="4"/>
        <v>0</v>
      </c>
      <c r="DI14">
        <f t="shared" si="5"/>
        <v>0</v>
      </c>
      <c r="DJ14">
        <f t="shared" si="10"/>
        <v>8.33</v>
      </c>
      <c r="DK14">
        <v>0</v>
      </c>
      <c r="DL14" t="s">
        <v>3</v>
      </c>
      <c r="DM14">
        <v>0</v>
      </c>
      <c r="DN14" t="s">
        <v>3</v>
      </c>
      <c r="DO14">
        <v>0</v>
      </c>
    </row>
    <row r="15" spans="1:119">
      <c r="A15">
        <f>ROW(Source!A24)</f>
        <v>24</v>
      </c>
      <c r="B15">
        <v>50837261</v>
      </c>
      <c r="C15">
        <v>50844000</v>
      </c>
      <c r="D15">
        <v>49843831</v>
      </c>
      <c r="E15">
        <v>1</v>
      </c>
      <c r="F15">
        <v>1</v>
      </c>
      <c r="G15">
        <v>1</v>
      </c>
      <c r="H15">
        <v>3</v>
      </c>
      <c r="I15" t="s">
        <v>292</v>
      </c>
      <c r="J15" t="s">
        <v>293</v>
      </c>
      <c r="K15" t="s">
        <v>294</v>
      </c>
      <c r="L15">
        <v>1425</v>
      </c>
      <c r="N15">
        <v>1013</v>
      </c>
      <c r="O15" t="s">
        <v>295</v>
      </c>
      <c r="P15" t="s">
        <v>295</v>
      </c>
      <c r="Q15">
        <v>1</v>
      </c>
      <c r="W15">
        <v>0</v>
      </c>
      <c r="X15">
        <v>-1999359208</v>
      </c>
      <c r="Y15">
        <f t="shared" si="0"/>
        <v>0.57999999999999996</v>
      </c>
      <c r="AA15">
        <v>332.29</v>
      </c>
      <c r="AB15">
        <v>0</v>
      </c>
      <c r="AC15">
        <v>0</v>
      </c>
      <c r="AD15">
        <v>0</v>
      </c>
      <c r="AE15">
        <v>237.35</v>
      </c>
      <c r="AF15">
        <v>0</v>
      </c>
      <c r="AG15">
        <v>0</v>
      </c>
      <c r="AH15">
        <v>0</v>
      </c>
      <c r="AI15">
        <v>1.4</v>
      </c>
      <c r="AJ15">
        <v>1</v>
      </c>
      <c r="AK15">
        <v>1</v>
      </c>
      <c r="AL15">
        <v>1</v>
      </c>
      <c r="AM15">
        <v>2</v>
      </c>
      <c r="AN15">
        <v>0</v>
      </c>
      <c r="AO15">
        <v>0</v>
      </c>
      <c r="AP15">
        <v>1</v>
      </c>
      <c r="AQ15">
        <v>1</v>
      </c>
      <c r="AR15">
        <v>0</v>
      </c>
      <c r="AS15" t="s">
        <v>3</v>
      </c>
      <c r="AT15">
        <v>0.57999999999999996</v>
      </c>
      <c r="AU15" t="s">
        <v>3</v>
      </c>
      <c r="AV15">
        <v>0</v>
      </c>
      <c r="AW15">
        <v>2</v>
      </c>
      <c r="AX15">
        <v>50844015</v>
      </c>
      <c r="AY15">
        <v>1</v>
      </c>
      <c r="AZ15">
        <v>0</v>
      </c>
      <c r="BA15">
        <v>15</v>
      </c>
      <c r="BB15">
        <v>1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137.66299999999998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1</v>
      </c>
      <c r="BQ15">
        <v>137.66299999999998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1</v>
      </c>
      <c r="CV15">
        <v>0</v>
      </c>
      <c r="CW15">
        <v>0</v>
      </c>
      <c r="CX15">
        <f>ROUND(Y15*Source!I24,7)</f>
        <v>4.6283999999999999E-2</v>
      </c>
      <c r="CY15">
        <f t="shared" si="6"/>
        <v>332.29</v>
      </c>
      <c r="CZ15">
        <f t="shared" si="7"/>
        <v>237.35</v>
      </c>
      <c r="DA15">
        <f t="shared" si="8"/>
        <v>1.4</v>
      </c>
      <c r="DB15">
        <f t="shared" si="1"/>
        <v>137.66</v>
      </c>
      <c r="DC15">
        <f t="shared" si="2"/>
        <v>0</v>
      </c>
      <c r="DD15" t="s">
        <v>3</v>
      </c>
      <c r="DE15" t="s">
        <v>3</v>
      </c>
      <c r="DF15">
        <f>ROUND(ROUND(AE15*AI15,2)*CX15,2)</f>
        <v>15.38</v>
      </c>
      <c r="DG15">
        <f t="shared" si="9"/>
        <v>0</v>
      </c>
      <c r="DH15">
        <f t="shared" si="4"/>
        <v>0</v>
      </c>
      <c r="DI15">
        <f t="shared" si="5"/>
        <v>0</v>
      </c>
      <c r="DJ15">
        <f t="shared" si="10"/>
        <v>15.38</v>
      </c>
      <c r="DK15">
        <v>0</v>
      </c>
      <c r="DL15" t="s">
        <v>3</v>
      </c>
      <c r="DM15">
        <v>0</v>
      </c>
      <c r="DN15" t="s">
        <v>3</v>
      </c>
      <c r="DO15">
        <v>0</v>
      </c>
    </row>
    <row r="16" spans="1:119">
      <c r="A16">
        <f>ROW(Source!A26)</f>
        <v>26</v>
      </c>
      <c r="B16">
        <v>50837261</v>
      </c>
      <c r="C16">
        <v>50837397</v>
      </c>
      <c r="D16">
        <v>49752831</v>
      </c>
      <c r="E16">
        <v>117</v>
      </c>
      <c r="F16">
        <v>1</v>
      </c>
      <c r="G16">
        <v>1</v>
      </c>
      <c r="H16">
        <v>1</v>
      </c>
      <c r="I16" t="s">
        <v>296</v>
      </c>
      <c r="J16" t="s">
        <v>3</v>
      </c>
      <c r="K16" t="s">
        <v>297</v>
      </c>
      <c r="L16">
        <v>1191</v>
      </c>
      <c r="N16">
        <v>1013</v>
      </c>
      <c r="O16" t="s">
        <v>252</v>
      </c>
      <c r="P16" t="s">
        <v>252</v>
      </c>
      <c r="Q16">
        <v>1</v>
      </c>
      <c r="W16">
        <v>0</v>
      </c>
      <c r="X16">
        <v>-1483035894</v>
      </c>
      <c r="Y16">
        <f t="shared" si="0"/>
        <v>285.42</v>
      </c>
      <c r="AA16">
        <v>0</v>
      </c>
      <c r="AB16">
        <v>0</v>
      </c>
      <c r="AC16">
        <v>0</v>
      </c>
      <c r="AD16">
        <v>341.52</v>
      </c>
      <c r="AE16">
        <v>0</v>
      </c>
      <c r="AF16">
        <v>0</v>
      </c>
      <c r="AG16">
        <v>0</v>
      </c>
      <c r="AH16">
        <v>341.52</v>
      </c>
      <c r="AI16">
        <v>1</v>
      </c>
      <c r="AJ16">
        <v>1</v>
      </c>
      <c r="AK16">
        <v>1</v>
      </c>
      <c r="AL16">
        <v>1</v>
      </c>
      <c r="AM16">
        <v>-2</v>
      </c>
      <c r="AN16">
        <v>0</v>
      </c>
      <c r="AO16">
        <v>0</v>
      </c>
      <c r="AP16">
        <v>1</v>
      </c>
      <c r="AQ16">
        <v>1</v>
      </c>
      <c r="AR16">
        <v>0</v>
      </c>
      <c r="AS16" t="s">
        <v>3</v>
      </c>
      <c r="AT16">
        <v>285.42</v>
      </c>
      <c r="AU16" t="s">
        <v>3</v>
      </c>
      <c r="AV16">
        <v>1</v>
      </c>
      <c r="AW16">
        <v>2</v>
      </c>
      <c r="AX16">
        <v>50844017</v>
      </c>
      <c r="AY16">
        <v>1</v>
      </c>
      <c r="AZ16">
        <v>0</v>
      </c>
      <c r="BA16">
        <v>16</v>
      </c>
      <c r="BB16">
        <v>1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97476.638399999996</v>
      </c>
      <c r="BN16">
        <v>285.42</v>
      </c>
      <c r="BO16">
        <v>0</v>
      </c>
      <c r="BP16">
        <v>1</v>
      </c>
      <c r="BQ16">
        <v>0</v>
      </c>
      <c r="BR16">
        <v>0</v>
      </c>
      <c r="BS16">
        <v>0</v>
      </c>
      <c r="BT16">
        <v>97476.638399999996</v>
      </c>
      <c r="BU16">
        <v>285.42</v>
      </c>
      <c r="BV16">
        <v>0</v>
      </c>
      <c r="BW16">
        <v>1</v>
      </c>
      <c r="CU16">
        <f>ROUND(AT16*Source!I26*AH16*AL16,2)</f>
        <v>19719.52</v>
      </c>
      <c r="CV16">
        <f>ROUND(Y16*Source!I26,7)</f>
        <v>57.740465999999998</v>
      </c>
      <c r="CW16">
        <v>0</v>
      </c>
      <c r="CX16">
        <f>ROUND(Y16*Source!I26,7)</f>
        <v>57.740465999999998</v>
      </c>
      <c r="CY16">
        <f>AD16</f>
        <v>341.52</v>
      </c>
      <c r="CZ16">
        <f>AH16</f>
        <v>341.52</v>
      </c>
      <c r="DA16">
        <f>AL16</f>
        <v>1</v>
      </c>
      <c r="DB16">
        <f t="shared" si="1"/>
        <v>97476.64</v>
      </c>
      <c r="DC16">
        <f t="shared" si="2"/>
        <v>0</v>
      </c>
      <c r="DD16" t="s">
        <v>3</v>
      </c>
      <c r="DE16" t="s">
        <v>3</v>
      </c>
      <c r="DF16">
        <f t="shared" ref="DF16:DF22" si="11">ROUND(ROUND(AE16,2)*CX16,2)</f>
        <v>0</v>
      </c>
      <c r="DG16">
        <f t="shared" si="9"/>
        <v>0</v>
      </c>
      <c r="DH16">
        <f t="shared" si="4"/>
        <v>0</v>
      </c>
      <c r="DI16">
        <f t="shared" si="5"/>
        <v>19719.52</v>
      </c>
      <c r="DJ16">
        <f>DI16</f>
        <v>19719.52</v>
      </c>
      <c r="DK16">
        <v>1</v>
      </c>
      <c r="DL16" t="s">
        <v>3</v>
      </c>
      <c r="DM16">
        <v>0</v>
      </c>
      <c r="DN16" t="s">
        <v>3</v>
      </c>
      <c r="DO16">
        <v>0</v>
      </c>
    </row>
    <row r="17" spans="1:119">
      <c r="A17">
        <f>ROW(Source!A26)</f>
        <v>26</v>
      </c>
      <c r="B17">
        <v>50837261</v>
      </c>
      <c r="C17">
        <v>50837397</v>
      </c>
      <c r="D17">
        <v>49753052</v>
      </c>
      <c r="E17">
        <v>117</v>
      </c>
      <c r="F17">
        <v>1</v>
      </c>
      <c r="G17">
        <v>1</v>
      </c>
      <c r="H17">
        <v>1</v>
      </c>
      <c r="I17" t="s">
        <v>253</v>
      </c>
      <c r="J17" t="s">
        <v>3</v>
      </c>
      <c r="K17" t="s">
        <v>254</v>
      </c>
      <c r="L17">
        <v>1191</v>
      </c>
      <c r="N17">
        <v>1013</v>
      </c>
      <c r="O17" t="s">
        <v>252</v>
      </c>
      <c r="P17" t="s">
        <v>252</v>
      </c>
      <c r="Q17">
        <v>1</v>
      </c>
      <c r="W17">
        <v>0</v>
      </c>
      <c r="X17">
        <v>-1417349443</v>
      </c>
      <c r="Y17">
        <f t="shared" si="0"/>
        <v>25.76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1</v>
      </c>
      <c r="AJ17">
        <v>1</v>
      </c>
      <c r="AK17">
        <v>1</v>
      </c>
      <c r="AL17">
        <v>1</v>
      </c>
      <c r="AM17">
        <v>-2</v>
      </c>
      <c r="AN17">
        <v>0</v>
      </c>
      <c r="AO17">
        <v>0</v>
      </c>
      <c r="AP17">
        <v>1</v>
      </c>
      <c r="AQ17">
        <v>1</v>
      </c>
      <c r="AR17">
        <v>0</v>
      </c>
      <c r="AS17" t="s">
        <v>3</v>
      </c>
      <c r="AT17">
        <v>25.76</v>
      </c>
      <c r="AU17" t="s">
        <v>3</v>
      </c>
      <c r="AV17">
        <v>2</v>
      </c>
      <c r="AW17">
        <v>2</v>
      </c>
      <c r="AX17">
        <v>50844018</v>
      </c>
      <c r="AY17">
        <v>1</v>
      </c>
      <c r="AZ17">
        <v>0</v>
      </c>
      <c r="BA17">
        <v>17</v>
      </c>
      <c r="BB17">
        <v>1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V17">
        <v>0</v>
      </c>
      <c r="CW17">
        <v>0</v>
      </c>
      <c r="CX17">
        <f>ROUND(Y17*Source!I26,7)</f>
        <v>5.2112480000000003</v>
      </c>
      <c r="CY17">
        <f>AD17</f>
        <v>0</v>
      </c>
      <c r="CZ17">
        <f>AH17</f>
        <v>0</v>
      </c>
      <c r="DA17">
        <f>AL17</f>
        <v>1</v>
      </c>
      <c r="DB17">
        <f t="shared" si="1"/>
        <v>0</v>
      </c>
      <c r="DC17">
        <f t="shared" si="2"/>
        <v>0</v>
      </c>
      <c r="DD17" t="s">
        <v>3</v>
      </c>
      <c r="DE17" t="s">
        <v>3</v>
      </c>
      <c r="DF17">
        <f t="shared" si="11"/>
        <v>0</v>
      </c>
      <c r="DG17">
        <f t="shared" si="9"/>
        <v>0</v>
      </c>
      <c r="DH17">
        <f t="shared" si="4"/>
        <v>0</v>
      </c>
      <c r="DI17">
        <f t="shared" si="5"/>
        <v>0</v>
      </c>
      <c r="DJ17">
        <f>DI17</f>
        <v>0</v>
      </c>
      <c r="DK17">
        <v>0</v>
      </c>
      <c r="DL17" t="s">
        <v>3</v>
      </c>
      <c r="DM17">
        <v>0</v>
      </c>
      <c r="DN17" t="s">
        <v>3</v>
      </c>
      <c r="DO17">
        <v>0</v>
      </c>
    </row>
    <row r="18" spans="1:119">
      <c r="A18">
        <f>ROW(Source!A26)</f>
        <v>26</v>
      </c>
      <c r="B18">
        <v>50837261</v>
      </c>
      <c r="C18">
        <v>50837397</v>
      </c>
      <c r="D18">
        <v>49759866</v>
      </c>
      <c r="E18">
        <v>1</v>
      </c>
      <c r="F18">
        <v>1</v>
      </c>
      <c r="G18">
        <v>1</v>
      </c>
      <c r="H18">
        <v>2</v>
      </c>
      <c r="I18" t="s">
        <v>255</v>
      </c>
      <c r="J18" t="s">
        <v>256</v>
      </c>
      <c r="K18" t="s">
        <v>257</v>
      </c>
      <c r="L18">
        <v>1368</v>
      </c>
      <c r="N18">
        <v>1011</v>
      </c>
      <c r="O18" t="s">
        <v>258</v>
      </c>
      <c r="P18" t="s">
        <v>258</v>
      </c>
      <c r="Q18">
        <v>1</v>
      </c>
      <c r="W18">
        <v>0</v>
      </c>
      <c r="X18">
        <v>-907676878</v>
      </c>
      <c r="Y18">
        <f t="shared" si="0"/>
        <v>1.85</v>
      </c>
      <c r="AA18">
        <v>0</v>
      </c>
      <c r="AB18">
        <v>1680.01</v>
      </c>
      <c r="AC18">
        <v>465.43</v>
      </c>
      <c r="AD18">
        <v>0</v>
      </c>
      <c r="AE18">
        <v>0</v>
      </c>
      <c r="AF18">
        <v>1680.01</v>
      </c>
      <c r="AG18">
        <v>465.43</v>
      </c>
      <c r="AH18">
        <v>0</v>
      </c>
      <c r="AI18">
        <v>1</v>
      </c>
      <c r="AJ18">
        <v>1</v>
      </c>
      <c r="AK18">
        <v>1</v>
      </c>
      <c r="AL18">
        <v>1</v>
      </c>
      <c r="AM18">
        <v>-2</v>
      </c>
      <c r="AN18">
        <v>0</v>
      </c>
      <c r="AO18">
        <v>0</v>
      </c>
      <c r="AP18">
        <v>1</v>
      </c>
      <c r="AQ18">
        <v>1</v>
      </c>
      <c r="AR18">
        <v>0</v>
      </c>
      <c r="AS18" t="s">
        <v>3</v>
      </c>
      <c r="AT18">
        <v>1.85</v>
      </c>
      <c r="AU18" t="s">
        <v>3</v>
      </c>
      <c r="AV18">
        <v>1</v>
      </c>
      <c r="AW18">
        <v>2</v>
      </c>
      <c r="AX18">
        <v>50844019</v>
      </c>
      <c r="AY18">
        <v>1</v>
      </c>
      <c r="AZ18">
        <v>0</v>
      </c>
      <c r="BA18">
        <v>18</v>
      </c>
      <c r="BB18">
        <v>1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3108.0185000000001</v>
      </c>
      <c r="BL18">
        <v>861.04550000000006</v>
      </c>
      <c r="BM18">
        <v>0</v>
      </c>
      <c r="BN18">
        <v>0</v>
      </c>
      <c r="BO18">
        <v>1.85</v>
      </c>
      <c r="BP18">
        <v>1</v>
      </c>
      <c r="BQ18">
        <v>0</v>
      </c>
      <c r="BR18">
        <v>3108.0185000000001</v>
      </c>
      <c r="BS18">
        <v>861.04550000000006</v>
      </c>
      <c r="BT18">
        <v>0</v>
      </c>
      <c r="BU18">
        <v>0</v>
      </c>
      <c r="BV18">
        <v>1.85</v>
      </c>
      <c r="BW18">
        <v>1</v>
      </c>
      <c r="CV18">
        <v>0</v>
      </c>
      <c r="CW18">
        <f>ROUND(Y18*Source!I26*DO18,7)</f>
        <v>0.374255</v>
      </c>
      <c r="CX18">
        <f>ROUND(Y18*Source!I26,7)</f>
        <v>0.374255</v>
      </c>
      <c r="CY18">
        <f>AB18</f>
        <v>1680.01</v>
      </c>
      <c r="CZ18">
        <f>AF18</f>
        <v>1680.01</v>
      </c>
      <c r="DA18">
        <f>AJ18</f>
        <v>1</v>
      </c>
      <c r="DB18">
        <f t="shared" si="1"/>
        <v>3108.02</v>
      </c>
      <c r="DC18">
        <f t="shared" si="2"/>
        <v>861.05</v>
      </c>
      <c r="DD18" t="s">
        <v>3</v>
      </c>
      <c r="DE18" t="s">
        <v>3</v>
      </c>
      <c r="DF18">
        <f t="shared" si="11"/>
        <v>0</v>
      </c>
      <c r="DG18">
        <f t="shared" si="9"/>
        <v>628.75</v>
      </c>
      <c r="DH18">
        <f t="shared" si="4"/>
        <v>174.19</v>
      </c>
      <c r="DI18">
        <f t="shared" si="5"/>
        <v>0</v>
      </c>
      <c r="DJ18">
        <f>DG18+DH18</f>
        <v>802.94</v>
      </c>
      <c r="DK18">
        <v>1</v>
      </c>
      <c r="DL18" t="s">
        <v>259</v>
      </c>
      <c r="DM18">
        <v>5</v>
      </c>
      <c r="DN18" t="s">
        <v>252</v>
      </c>
      <c r="DO18">
        <v>1</v>
      </c>
    </row>
    <row r="19" spans="1:119">
      <c r="A19">
        <f>ROW(Source!A26)</f>
        <v>26</v>
      </c>
      <c r="B19">
        <v>50837261</v>
      </c>
      <c r="C19">
        <v>50837397</v>
      </c>
      <c r="D19">
        <v>49760098</v>
      </c>
      <c r="E19">
        <v>1</v>
      </c>
      <c r="F19">
        <v>1</v>
      </c>
      <c r="G19">
        <v>1</v>
      </c>
      <c r="H19">
        <v>2</v>
      </c>
      <c r="I19" t="s">
        <v>260</v>
      </c>
      <c r="J19" t="s">
        <v>261</v>
      </c>
      <c r="K19" t="s">
        <v>262</v>
      </c>
      <c r="L19">
        <v>1368</v>
      </c>
      <c r="N19">
        <v>1011</v>
      </c>
      <c r="O19" t="s">
        <v>258</v>
      </c>
      <c r="P19" t="s">
        <v>258</v>
      </c>
      <c r="Q19">
        <v>1</v>
      </c>
      <c r="W19">
        <v>0</v>
      </c>
      <c r="X19">
        <v>-576424668</v>
      </c>
      <c r="Y19">
        <f t="shared" si="0"/>
        <v>0.24</v>
      </c>
      <c r="AA19">
        <v>0</v>
      </c>
      <c r="AB19">
        <v>124.81</v>
      </c>
      <c r="AC19">
        <v>0</v>
      </c>
      <c r="AD19">
        <v>0</v>
      </c>
      <c r="AE19">
        <v>0</v>
      </c>
      <c r="AF19">
        <v>100.65</v>
      </c>
      <c r="AG19">
        <v>0</v>
      </c>
      <c r="AH19">
        <v>0</v>
      </c>
      <c r="AI19">
        <v>1</v>
      </c>
      <c r="AJ19">
        <v>1.24</v>
      </c>
      <c r="AK19">
        <v>1</v>
      </c>
      <c r="AL19">
        <v>1</v>
      </c>
      <c r="AM19">
        <v>2</v>
      </c>
      <c r="AN19">
        <v>0</v>
      </c>
      <c r="AO19">
        <v>0</v>
      </c>
      <c r="AP19">
        <v>1</v>
      </c>
      <c r="AQ19">
        <v>1</v>
      </c>
      <c r="AR19">
        <v>0</v>
      </c>
      <c r="AS19" t="s">
        <v>3</v>
      </c>
      <c r="AT19">
        <v>0.24</v>
      </c>
      <c r="AU19" t="s">
        <v>3</v>
      </c>
      <c r="AV19">
        <v>1</v>
      </c>
      <c r="AW19">
        <v>2</v>
      </c>
      <c r="AX19">
        <v>50844020</v>
      </c>
      <c r="AY19">
        <v>1</v>
      </c>
      <c r="AZ19">
        <v>0</v>
      </c>
      <c r="BA19">
        <v>19</v>
      </c>
      <c r="BB19">
        <v>1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24.155999999999999</v>
      </c>
      <c r="BL19">
        <v>0</v>
      </c>
      <c r="BM19">
        <v>0</v>
      </c>
      <c r="BN19">
        <v>0</v>
      </c>
      <c r="BO19">
        <v>0</v>
      </c>
      <c r="BP19">
        <v>1</v>
      </c>
      <c r="BQ19">
        <v>0</v>
      </c>
      <c r="BR19">
        <v>24.155999999999999</v>
      </c>
      <c r="BS19">
        <v>0</v>
      </c>
      <c r="BT19">
        <v>0</v>
      </c>
      <c r="BU19">
        <v>0</v>
      </c>
      <c r="BV19">
        <v>0</v>
      </c>
      <c r="BW19">
        <v>1</v>
      </c>
      <c r="CV19">
        <v>0</v>
      </c>
      <c r="CW19">
        <f>ROUND(Y19*Source!I26*DO19,7)</f>
        <v>0</v>
      </c>
      <c r="CX19">
        <f>ROUND(Y19*Source!I26,7)</f>
        <v>4.8551999999999998E-2</v>
      </c>
      <c r="CY19">
        <f>AB19</f>
        <v>124.81</v>
      </c>
      <c r="CZ19">
        <f>AF19</f>
        <v>100.65</v>
      </c>
      <c r="DA19">
        <f>AJ19</f>
        <v>1.24</v>
      </c>
      <c r="DB19">
        <f t="shared" si="1"/>
        <v>24.16</v>
      </c>
      <c r="DC19">
        <f t="shared" si="2"/>
        <v>0</v>
      </c>
      <c r="DD19" t="s">
        <v>3</v>
      </c>
      <c r="DE19" t="s">
        <v>3</v>
      </c>
      <c r="DF19">
        <f t="shared" si="11"/>
        <v>0</v>
      </c>
      <c r="DG19">
        <f>ROUND(ROUND(AF19*AJ19,2)*CX19,2)</f>
        <v>6.06</v>
      </c>
      <c r="DH19">
        <f t="shared" si="4"/>
        <v>0</v>
      </c>
      <c r="DI19">
        <f t="shared" si="5"/>
        <v>0</v>
      </c>
      <c r="DJ19">
        <f>DG19+DH19</f>
        <v>6.06</v>
      </c>
      <c r="DK19">
        <v>0</v>
      </c>
      <c r="DL19" t="s">
        <v>3</v>
      </c>
      <c r="DM19">
        <v>0</v>
      </c>
      <c r="DN19" t="s">
        <v>3</v>
      </c>
      <c r="DO19">
        <v>0</v>
      </c>
    </row>
    <row r="20" spans="1:119">
      <c r="A20">
        <f>ROW(Source!A26)</f>
        <v>26</v>
      </c>
      <c r="B20">
        <v>50837261</v>
      </c>
      <c r="C20">
        <v>50837397</v>
      </c>
      <c r="D20">
        <v>49760548</v>
      </c>
      <c r="E20">
        <v>1</v>
      </c>
      <c r="F20">
        <v>1</v>
      </c>
      <c r="G20">
        <v>1</v>
      </c>
      <c r="H20">
        <v>2</v>
      </c>
      <c r="I20" t="s">
        <v>263</v>
      </c>
      <c r="J20" t="s">
        <v>264</v>
      </c>
      <c r="K20" t="s">
        <v>265</v>
      </c>
      <c r="L20">
        <v>1368</v>
      </c>
      <c r="N20">
        <v>1011</v>
      </c>
      <c r="O20" t="s">
        <v>258</v>
      </c>
      <c r="P20" t="s">
        <v>258</v>
      </c>
      <c r="Q20">
        <v>1</v>
      </c>
      <c r="W20">
        <v>0</v>
      </c>
      <c r="X20">
        <v>-847721515</v>
      </c>
      <c r="Y20">
        <f t="shared" si="0"/>
        <v>0.01</v>
      </c>
      <c r="AA20">
        <v>0</v>
      </c>
      <c r="AB20">
        <v>2138.69</v>
      </c>
      <c r="AC20">
        <v>404.99</v>
      </c>
      <c r="AD20">
        <v>0</v>
      </c>
      <c r="AE20">
        <v>0</v>
      </c>
      <c r="AF20">
        <v>1495.59</v>
      </c>
      <c r="AG20">
        <v>404.99</v>
      </c>
      <c r="AH20">
        <v>0</v>
      </c>
      <c r="AI20">
        <v>1</v>
      </c>
      <c r="AJ20">
        <v>1.43</v>
      </c>
      <c r="AK20">
        <v>1</v>
      </c>
      <c r="AL20">
        <v>1</v>
      </c>
      <c r="AM20">
        <v>2</v>
      </c>
      <c r="AN20">
        <v>0</v>
      </c>
      <c r="AO20">
        <v>0</v>
      </c>
      <c r="AP20">
        <v>1</v>
      </c>
      <c r="AQ20">
        <v>1</v>
      </c>
      <c r="AR20">
        <v>0</v>
      </c>
      <c r="AS20" t="s">
        <v>3</v>
      </c>
      <c r="AT20">
        <v>0.01</v>
      </c>
      <c r="AU20" t="s">
        <v>3</v>
      </c>
      <c r="AV20">
        <v>1</v>
      </c>
      <c r="AW20">
        <v>2</v>
      </c>
      <c r="AX20">
        <v>50844021</v>
      </c>
      <c r="AY20">
        <v>1</v>
      </c>
      <c r="AZ20">
        <v>0</v>
      </c>
      <c r="BA20">
        <v>20</v>
      </c>
      <c r="BB20">
        <v>1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14.9559</v>
      </c>
      <c r="BL20">
        <v>4.0499000000000001</v>
      </c>
      <c r="BM20">
        <v>0</v>
      </c>
      <c r="BN20">
        <v>0</v>
      </c>
      <c r="BO20">
        <v>0.01</v>
      </c>
      <c r="BP20">
        <v>1</v>
      </c>
      <c r="BQ20">
        <v>0</v>
      </c>
      <c r="BR20">
        <v>14.9559</v>
      </c>
      <c r="BS20">
        <v>4.0499000000000001</v>
      </c>
      <c r="BT20">
        <v>0</v>
      </c>
      <c r="BU20">
        <v>0</v>
      </c>
      <c r="BV20">
        <v>0.01</v>
      </c>
      <c r="BW20">
        <v>1</v>
      </c>
      <c r="CV20">
        <v>0</v>
      </c>
      <c r="CW20">
        <f>ROUND(Y20*Source!I26*DO20,7)</f>
        <v>2.0230000000000001E-3</v>
      </c>
      <c r="CX20">
        <f>ROUND(Y20*Source!I26,7)</f>
        <v>2.0230000000000001E-3</v>
      </c>
      <c r="CY20">
        <f>AB20</f>
        <v>2138.69</v>
      </c>
      <c r="CZ20">
        <f>AF20</f>
        <v>1495.59</v>
      </c>
      <c r="DA20">
        <f>AJ20</f>
        <v>1.43</v>
      </c>
      <c r="DB20">
        <f t="shared" si="1"/>
        <v>14.96</v>
      </c>
      <c r="DC20">
        <f t="shared" si="2"/>
        <v>4.05</v>
      </c>
      <c r="DD20" t="s">
        <v>3</v>
      </c>
      <c r="DE20" t="s">
        <v>3</v>
      </c>
      <c r="DF20">
        <f t="shared" si="11"/>
        <v>0</v>
      </c>
      <c r="DG20">
        <f>ROUND(ROUND(AF20*AJ20,2)*CX20,2)</f>
        <v>4.33</v>
      </c>
      <c r="DH20">
        <f t="shared" si="4"/>
        <v>0.82</v>
      </c>
      <c r="DI20">
        <f t="shared" si="5"/>
        <v>0</v>
      </c>
      <c r="DJ20">
        <f>DG20+DH20</f>
        <v>5.15</v>
      </c>
      <c r="DK20">
        <v>0</v>
      </c>
      <c r="DL20" t="s">
        <v>266</v>
      </c>
      <c r="DM20">
        <v>4</v>
      </c>
      <c r="DN20" t="s">
        <v>252</v>
      </c>
      <c r="DO20">
        <v>1</v>
      </c>
    </row>
    <row r="21" spans="1:119">
      <c r="A21">
        <f>ROW(Source!A26)</f>
        <v>26</v>
      </c>
      <c r="B21">
        <v>50837261</v>
      </c>
      <c r="C21">
        <v>50837397</v>
      </c>
      <c r="D21">
        <v>49760822</v>
      </c>
      <c r="E21">
        <v>1</v>
      </c>
      <c r="F21">
        <v>1</v>
      </c>
      <c r="G21">
        <v>1</v>
      </c>
      <c r="H21">
        <v>2</v>
      </c>
      <c r="I21" t="s">
        <v>267</v>
      </c>
      <c r="J21" t="s">
        <v>268</v>
      </c>
      <c r="K21" t="s">
        <v>269</v>
      </c>
      <c r="L21">
        <v>1368</v>
      </c>
      <c r="N21">
        <v>1011</v>
      </c>
      <c r="O21" t="s">
        <v>258</v>
      </c>
      <c r="P21" t="s">
        <v>258</v>
      </c>
      <c r="Q21">
        <v>1</v>
      </c>
      <c r="W21">
        <v>0</v>
      </c>
      <c r="X21">
        <v>1282244495</v>
      </c>
      <c r="Y21">
        <f t="shared" si="0"/>
        <v>23.9</v>
      </c>
      <c r="AA21">
        <v>0</v>
      </c>
      <c r="AB21">
        <v>426.11</v>
      </c>
      <c r="AC21">
        <v>404.99</v>
      </c>
      <c r="AD21">
        <v>0</v>
      </c>
      <c r="AE21">
        <v>0</v>
      </c>
      <c r="AF21">
        <v>426.11</v>
      </c>
      <c r="AG21">
        <v>404.99</v>
      </c>
      <c r="AH21">
        <v>0</v>
      </c>
      <c r="AI21">
        <v>1</v>
      </c>
      <c r="AJ21">
        <v>1</v>
      </c>
      <c r="AK21">
        <v>1</v>
      </c>
      <c r="AL21">
        <v>1</v>
      </c>
      <c r="AM21">
        <v>-2</v>
      </c>
      <c r="AN21">
        <v>0</v>
      </c>
      <c r="AO21">
        <v>0</v>
      </c>
      <c r="AP21">
        <v>1</v>
      </c>
      <c r="AQ21">
        <v>1</v>
      </c>
      <c r="AR21">
        <v>0</v>
      </c>
      <c r="AS21" t="s">
        <v>3</v>
      </c>
      <c r="AT21">
        <v>23.9</v>
      </c>
      <c r="AU21" t="s">
        <v>3</v>
      </c>
      <c r="AV21">
        <v>1</v>
      </c>
      <c r="AW21">
        <v>2</v>
      </c>
      <c r="AX21">
        <v>50844022</v>
      </c>
      <c r="AY21">
        <v>1</v>
      </c>
      <c r="AZ21">
        <v>0</v>
      </c>
      <c r="BA21">
        <v>21</v>
      </c>
      <c r="BB21">
        <v>1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10184.029</v>
      </c>
      <c r="BL21">
        <v>9679.2610000000004</v>
      </c>
      <c r="BM21">
        <v>0</v>
      </c>
      <c r="BN21">
        <v>0</v>
      </c>
      <c r="BO21">
        <v>23.9</v>
      </c>
      <c r="BP21">
        <v>1</v>
      </c>
      <c r="BQ21">
        <v>0</v>
      </c>
      <c r="BR21">
        <v>10184.029</v>
      </c>
      <c r="BS21">
        <v>9679.2610000000004</v>
      </c>
      <c r="BT21">
        <v>0</v>
      </c>
      <c r="BU21">
        <v>0</v>
      </c>
      <c r="BV21">
        <v>23.9</v>
      </c>
      <c r="BW21">
        <v>1</v>
      </c>
      <c r="CV21">
        <v>0</v>
      </c>
      <c r="CW21">
        <f>ROUND(Y21*Source!I26*DO21,7)</f>
        <v>4.8349700000000002</v>
      </c>
      <c r="CX21">
        <f>ROUND(Y21*Source!I26,7)</f>
        <v>4.8349700000000002</v>
      </c>
      <c r="CY21">
        <f>AB21</f>
        <v>426.11</v>
      </c>
      <c r="CZ21">
        <f>AF21</f>
        <v>426.11</v>
      </c>
      <c r="DA21">
        <f>AJ21</f>
        <v>1</v>
      </c>
      <c r="DB21">
        <f t="shared" si="1"/>
        <v>10184.030000000001</v>
      </c>
      <c r="DC21">
        <f t="shared" si="2"/>
        <v>9679.26</v>
      </c>
      <c r="DD21" t="s">
        <v>3</v>
      </c>
      <c r="DE21" t="s">
        <v>3</v>
      </c>
      <c r="DF21">
        <f t="shared" si="11"/>
        <v>0</v>
      </c>
      <c r="DG21">
        <f>ROUND(ROUND(AF21,2)*CX21,2)</f>
        <v>2060.23</v>
      </c>
      <c r="DH21">
        <f t="shared" si="4"/>
        <v>1958.11</v>
      </c>
      <c r="DI21">
        <f t="shared" si="5"/>
        <v>0</v>
      </c>
      <c r="DJ21">
        <f>DG21+DH21</f>
        <v>4018.34</v>
      </c>
      <c r="DK21">
        <v>1</v>
      </c>
      <c r="DL21" t="s">
        <v>266</v>
      </c>
      <c r="DM21">
        <v>4</v>
      </c>
      <c r="DN21" t="s">
        <v>252</v>
      </c>
      <c r="DO21">
        <v>1</v>
      </c>
    </row>
    <row r="22" spans="1:119">
      <c r="A22">
        <f>ROW(Source!A26)</f>
        <v>26</v>
      </c>
      <c r="B22">
        <v>50837261</v>
      </c>
      <c r="C22">
        <v>50837397</v>
      </c>
      <c r="D22">
        <v>49761222</v>
      </c>
      <c r="E22">
        <v>1</v>
      </c>
      <c r="F22">
        <v>1</v>
      </c>
      <c r="G22">
        <v>1</v>
      </c>
      <c r="H22">
        <v>2</v>
      </c>
      <c r="I22" t="s">
        <v>270</v>
      </c>
      <c r="J22" t="s">
        <v>271</v>
      </c>
      <c r="K22" t="s">
        <v>272</v>
      </c>
      <c r="L22">
        <v>1368</v>
      </c>
      <c r="N22">
        <v>1011</v>
      </c>
      <c r="O22" t="s">
        <v>258</v>
      </c>
      <c r="P22" t="s">
        <v>258</v>
      </c>
      <c r="Q22">
        <v>1</v>
      </c>
      <c r="W22">
        <v>0</v>
      </c>
      <c r="X22">
        <v>670153281</v>
      </c>
      <c r="Y22">
        <f t="shared" si="0"/>
        <v>37.4</v>
      </c>
      <c r="AA22">
        <v>0</v>
      </c>
      <c r="AB22">
        <v>4.54</v>
      </c>
      <c r="AC22">
        <v>0</v>
      </c>
      <c r="AD22">
        <v>0</v>
      </c>
      <c r="AE22">
        <v>0</v>
      </c>
      <c r="AF22">
        <v>2.93</v>
      </c>
      <c r="AG22">
        <v>0</v>
      </c>
      <c r="AH22">
        <v>0</v>
      </c>
      <c r="AI22">
        <v>1</v>
      </c>
      <c r="AJ22">
        <v>1.55</v>
      </c>
      <c r="AK22">
        <v>1</v>
      </c>
      <c r="AL22">
        <v>1</v>
      </c>
      <c r="AM22">
        <v>2</v>
      </c>
      <c r="AN22">
        <v>0</v>
      </c>
      <c r="AO22">
        <v>0</v>
      </c>
      <c r="AP22">
        <v>1</v>
      </c>
      <c r="AQ22">
        <v>1</v>
      </c>
      <c r="AR22">
        <v>0</v>
      </c>
      <c r="AS22" t="s">
        <v>3</v>
      </c>
      <c r="AT22">
        <v>37.4</v>
      </c>
      <c r="AU22" t="s">
        <v>3</v>
      </c>
      <c r="AV22">
        <v>1</v>
      </c>
      <c r="AW22">
        <v>2</v>
      </c>
      <c r="AX22">
        <v>50844023</v>
      </c>
      <c r="AY22">
        <v>1</v>
      </c>
      <c r="AZ22">
        <v>0</v>
      </c>
      <c r="BA22">
        <v>22</v>
      </c>
      <c r="BB22">
        <v>1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109.58200000000001</v>
      </c>
      <c r="BL22">
        <v>0</v>
      </c>
      <c r="BM22">
        <v>0</v>
      </c>
      <c r="BN22">
        <v>0</v>
      </c>
      <c r="BO22">
        <v>0</v>
      </c>
      <c r="BP22">
        <v>1</v>
      </c>
      <c r="BQ22">
        <v>0</v>
      </c>
      <c r="BR22">
        <v>109.58200000000001</v>
      </c>
      <c r="BS22">
        <v>0</v>
      </c>
      <c r="BT22">
        <v>0</v>
      </c>
      <c r="BU22">
        <v>0</v>
      </c>
      <c r="BV22">
        <v>0</v>
      </c>
      <c r="BW22">
        <v>1</v>
      </c>
      <c r="CV22">
        <v>0</v>
      </c>
      <c r="CW22">
        <f>ROUND(Y22*Source!I26*DO22,7)</f>
        <v>0</v>
      </c>
      <c r="CX22">
        <f>ROUND(Y22*Source!I26,7)</f>
        <v>7.56602</v>
      </c>
      <c r="CY22">
        <f>AB22</f>
        <v>4.54</v>
      </c>
      <c r="CZ22">
        <f>AF22</f>
        <v>2.93</v>
      </c>
      <c r="DA22">
        <f>AJ22</f>
        <v>1.55</v>
      </c>
      <c r="DB22">
        <f t="shared" si="1"/>
        <v>109.58</v>
      </c>
      <c r="DC22">
        <f t="shared" si="2"/>
        <v>0</v>
      </c>
      <c r="DD22" t="s">
        <v>3</v>
      </c>
      <c r="DE22" t="s">
        <v>3</v>
      </c>
      <c r="DF22">
        <f t="shared" si="11"/>
        <v>0</v>
      </c>
      <c r="DG22">
        <f>ROUND(ROUND(AF22*AJ22,2)*CX22,2)</f>
        <v>34.35</v>
      </c>
      <c r="DH22">
        <f t="shared" si="4"/>
        <v>0</v>
      </c>
      <c r="DI22">
        <f t="shared" si="5"/>
        <v>0</v>
      </c>
      <c r="DJ22">
        <f>DG22+DH22</f>
        <v>34.35</v>
      </c>
      <c r="DK22">
        <v>0</v>
      </c>
      <c r="DL22" t="s">
        <v>3</v>
      </c>
      <c r="DM22">
        <v>0</v>
      </c>
      <c r="DN22" t="s">
        <v>3</v>
      </c>
      <c r="DO22">
        <v>0</v>
      </c>
    </row>
    <row r="23" spans="1:119">
      <c r="A23">
        <f>ROW(Source!A26)</f>
        <v>26</v>
      </c>
      <c r="B23">
        <v>50837261</v>
      </c>
      <c r="C23">
        <v>50837397</v>
      </c>
      <c r="D23">
        <v>49830009</v>
      </c>
      <c r="E23">
        <v>1</v>
      </c>
      <c r="F23">
        <v>1</v>
      </c>
      <c r="G23">
        <v>1</v>
      </c>
      <c r="H23">
        <v>3</v>
      </c>
      <c r="I23" t="s">
        <v>273</v>
      </c>
      <c r="J23" t="s">
        <v>274</v>
      </c>
      <c r="K23" t="s">
        <v>275</v>
      </c>
      <c r="L23">
        <v>1301</v>
      </c>
      <c r="N23">
        <v>1003</v>
      </c>
      <c r="O23" t="s">
        <v>276</v>
      </c>
      <c r="P23" t="s">
        <v>276</v>
      </c>
      <c r="Q23">
        <v>1</v>
      </c>
      <c r="W23">
        <v>0</v>
      </c>
      <c r="X23">
        <v>-1928349209</v>
      </c>
      <c r="Y23">
        <f t="shared" si="0"/>
        <v>68.3</v>
      </c>
      <c r="AA23">
        <v>14.22</v>
      </c>
      <c r="AB23">
        <v>0</v>
      </c>
      <c r="AC23">
        <v>0</v>
      </c>
      <c r="AD23">
        <v>0</v>
      </c>
      <c r="AE23">
        <v>10.16</v>
      </c>
      <c r="AF23">
        <v>0</v>
      </c>
      <c r="AG23">
        <v>0</v>
      </c>
      <c r="AH23">
        <v>0</v>
      </c>
      <c r="AI23">
        <v>1.4</v>
      </c>
      <c r="AJ23">
        <v>1</v>
      </c>
      <c r="AK23">
        <v>1</v>
      </c>
      <c r="AL23">
        <v>1</v>
      </c>
      <c r="AM23">
        <v>2</v>
      </c>
      <c r="AN23">
        <v>0</v>
      </c>
      <c r="AO23">
        <v>0</v>
      </c>
      <c r="AP23">
        <v>1</v>
      </c>
      <c r="AQ23">
        <v>1</v>
      </c>
      <c r="AR23">
        <v>0</v>
      </c>
      <c r="AS23" t="s">
        <v>3</v>
      </c>
      <c r="AT23">
        <v>68.3</v>
      </c>
      <c r="AU23" t="s">
        <v>3</v>
      </c>
      <c r="AV23">
        <v>0</v>
      </c>
      <c r="AW23">
        <v>2</v>
      </c>
      <c r="AX23">
        <v>50844024</v>
      </c>
      <c r="AY23">
        <v>1</v>
      </c>
      <c r="AZ23">
        <v>0</v>
      </c>
      <c r="BA23">
        <v>23</v>
      </c>
      <c r="BB23">
        <v>1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693.928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1</v>
      </c>
      <c r="BQ23">
        <v>693.928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1</v>
      </c>
      <c r="CV23">
        <v>0</v>
      </c>
      <c r="CW23">
        <v>0</v>
      </c>
      <c r="CX23">
        <f>ROUND(Y23*Source!I26,7)</f>
        <v>13.81709</v>
      </c>
      <c r="CY23">
        <f t="shared" ref="CY23:CY29" si="12">AA23</f>
        <v>14.22</v>
      </c>
      <c r="CZ23">
        <f t="shared" ref="CZ23:CZ29" si="13">AE23</f>
        <v>10.16</v>
      </c>
      <c r="DA23">
        <f t="shared" ref="DA23:DA29" si="14">AI23</f>
        <v>1.4</v>
      </c>
      <c r="DB23">
        <f t="shared" si="1"/>
        <v>693.93</v>
      </c>
      <c r="DC23">
        <f t="shared" si="2"/>
        <v>0</v>
      </c>
      <c r="DD23" t="s">
        <v>3</v>
      </c>
      <c r="DE23" t="s">
        <v>3</v>
      </c>
      <c r="DF23">
        <f>ROUND(ROUND(AE23*AI23,2)*CX23,2)</f>
        <v>196.48</v>
      </c>
      <c r="DG23">
        <f t="shared" ref="DG23:DG31" si="15">ROUND(ROUND(AF23,2)*CX23,2)</f>
        <v>0</v>
      </c>
      <c r="DH23">
        <f t="shared" si="4"/>
        <v>0</v>
      </c>
      <c r="DI23">
        <f t="shared" si="5"/>
        <v>0</v>
      </c>
      <c r="DJ23">
        <f t="shared" ref="DJ23:DJ29" si="16">DF23</f>
        <v>196.48</v>
      </c>
      <c r="DK23">
        <v>0</v>
      </c>
      <c r="DL23" t="s">
        <v>3</v>
      </c>
      <c r="DM23">
        <v>0</v>
      </c>
      <c r="DN23" t="s">
        <v>3</v>
      </c>
      <c r="DO23">
        <v>0</v>
      </c>
    </row>
    <row r="24" spans="1:119">
      <c r="A24">
        <f>ROW(Source!A26)</f>
        <v>26</v>
      </c>
      <c r="B24">
        <v>50837261</v>
      </c>
      <c r="C24">
        <v>50837397</v>
      </c>
      <c r="D24">
        <v>49830028</v>
      </c>
      <c r="E24">
        <v>1</v>
      </c>
      <c r="F24">
        <v>1</v>
      </c>
      <c r="G24">
        <v>1</v>
      </c>
      <c r="H24">
        <v>3</v>
      </c>
      <c r="I24" t="s">
        <v>277</v>
      </c>
      <c r="J24" t="s">
        <v>278</v>
      </c>
      <c r="K24" t="s">
        <v>279</v>
      </c>
      <c r="L24">
        <v>1339</v>
      </c>
      <c r="N24">
        <v>1007</v>
      </c>
      <c r="O24" t="s">
        <v>65</v>
      </c>
      <c r="P24" t="s">
        <v>65</v>
      </c>
      <c r="Q24">
        <v>1</v>
      </c>
      <c r="W24">
        <v>0</v>
      </c>
      <c r="X24">
        <v>1964556667</v>
      </c>
      <c r="Y24">
        <f t="shared" si="0"/>
        <v>7.4999999999999997E-3</v>
      </c>
      <c r="AA24">
        <v>29.64</v>
      </c>
      <c r="AB24">
        <v>0</v>
      </c>
      <c r="AC24">
        <v>0</v>
      </c>
      <c r="AD24">
        <v>0</v>
      </c>
      <c r="AE24">
        <v>35.71</v>
      </c>
      <c r="AF24">
        <v>0</v>
      </c>
      <c r="AG24">
        <v>0</v>
      </c>
      <c r="AH24">
        <v>0</v>
      </c>
      <c r="AI24">
        <v>0.83</v>
      </c>
      <c r="AJ24">
        <v>1</v>
      </c>
      <c r="AK24">
        <v>1</v>
      </c>
      <c r="AL24">
        <v>1</v>
      </c>
      <c r="AM24">
        <v>2</v>
      </c>
      <c r="AN24">
        <v>0</v>
      </c>
      <c r="AO24">
        <v>0</v>
      </c>
      <c r="AP24">
        <v>1</v>
      </c>
      <c r="AQ24">
        <v>1</v>
      </c>
      <c r="AR24">
        <v>0</v>
      </c>
      <c r="AS24" t="s">
        <v>3</v>
      </c>
      <c r="AT24">
        <v>7.4999999999999997E-3</v>
      </c>
      <c r="AU24" t="s">
        <v>3</v>
      </c>
      <c r="AV24">
        <v>0</v>
      </c>
      <c r="AW24">
        <v>2</v>
      </c>
      <c r="AX24">
        <v>50844025</v>
      </c>
      <c r="AY24">
        <v>1</v>
      </c>
      <c r="AZ24">
        <v>0</v>
      </c>
      <c r="BA24">
        <v>24</v>
      </c>
      <c r="BB24">
        <v>1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0.26782499999999998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1</v>
      </c>
      <c r="BQ24">
        <v>0.26782499999999998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1</v>
      </c>
      <c r="CV24">
        <v>0</v>
      </c>
      <c r="CW24">
        <v>0</v>
      </c>
      <c r="CX24">
        <f>ROUND(Y24*Source!I26,7)</f>
        <v>1.5173000000000001E-3</v>
      </c>
      <c r="CY24">
        <f t="shared" si="12"/>
        <v>29.64</v>
      </c>
      <c r="CZ24">
        <f t="shared" si="13"/>
        <v>35.71</v>
      </c>
      <c r="DA24">
        <f t="shared" si="14"/>
        <v>0.83</v>
      </c>
      <c r="DB24">
        <f t="shared" si="1"/>
        <v>0.27</v>
      </c>
      <c r="DC24">
        <f t="shared" si="2"/>
        <v>0</v>
      </c>
      <c r="DD24" t="s">
        <v>3</v>
      </c>
      <c r="DE24" t="s">
        <v>3</v>
      </c>
      <c r="DF24">
        <f>ROUND(ROUND(AE24*AI24,2)*CX24,2)</f>
        <v>0.04</v>
      </c>
      <c r="DG24">
        <f t="shared" si="15"/>
        <v>0</v>
      </c>
      <c r="DH24">
        <f t="shared" si="4"/>
        <v>0</v>
      </c>
      <c r="DI24">
        <f t="shared" si="5"/>
        <v>0</v>
      </c>
      <c r="DJ24">
        <f t="shared" si="16"/>
        <v>0.04</v>
      </c>
      <c r="DK24">
        <v>0</v>
      </c>
      <c r="DL24" t="s">
        <v>3</v>
      </c>
      <c r="DM24">
        <v>0</v>
      </c>
      <c r="DN24" t="s">
        <v>3</v>
      </c>
      <c r="DO24">
        <v>0</v>
      </c>
    </row>
    <row r="25" spans="1:119">
      <c r="A25">
        <f>ROW(Source!A26)</f>
        <v>26</v>
      </c>
      <c r="B25">
        <v>50837261</v>
      </c>
      <c r="C25">
        <v>50837397</v>
      </c>
      <c r="D25">
        <v>49830344</v>
      </c>
      <c r="E25">
        <v>1</v>
      </c>
      <c r="F25">
        <v>1</v>
      </c>
      <c r="G25">
        <v>1</v>
      </c>
      <c r="H25">
        <v>3</v>
      </c>
      <c r="I25" t="s">
        <v>280</v>
      </c>
      <c r="J25" t="s">
        <v>281</v>
      </c>
      <c r="K25" t="s">
        <v>282</v>
      </c>
      <c r="L25">
        <v>1327</v>
      </c>
      <c r="N25">
        <v>1005</v>
      </c>
      <c r="O25" t="s">
        <v>97</v>
      </c>
      <c r="P25" t="s">
        <v>97</v>
      </c>
      <c r="Q25">
        <v>1</v>
      </c>
      <c r="W25">
        <v>0</v>
      </c>
      <c r="X25">
        <v>1044561098</v>
      </c>
      <c r="Y25">
        <f t="shared" si="0"/>
        <v>24.5</v>
      </c>
      <c r="AA25">
        <v>15.14</v>
      </c>
      <c r="AB25">
        <v>0</v>
      </c>
      <c r="AC25">
        <v>0</v>
      </c>
      <c r="AD25">
        <v>0</v>
      </c>
      <c r="AE25">
        <v>12.83</v>
      </c>
      <c r="AF25">
        <v>0</v>
      </c>
      <c r="AG25">
        <v>0</v>
      </c>
      <c r="AH25">
        <v>0</v>
      </c>
      <c r="AI25">
        <v>1.18</v>
      </c>
      <c r="AJ25">
        <v>1</v>
      </c>
      <c r="AK25">
        <v>1</v>
      </c>
      <c r="AL25">
        <v>1</v>
      </c>
      <c r="AM25">
        <v>2</v>
      </c>
      <c r="AN25">
        <v>0</v>
      </c>
      <c r="AO25">
        <v>0</v>
      </c>
      <c r="AP25">
        <v>1</v>
      </c>
      <c r="AQ25">
        <v>1</v>
      </c>
      <c r="AR25">
        <v>0</v>
      </c>
      <c r="AS25" t="s">
        <v>3</v>
      </c>
      <c r="AT25">
        <v>24.5</v>
      </c>
      <c r="AU25" t="s">
        <v>3</v>
      </c>
      <c r="AV25">
        <v>0</v>
      </c>
      <c r="AW25">
        <v>2</v>
      </c>
      <c r="AX25">
        <v>50844026</v>
      </c>
      <c r="AY25">
        <v>1</v>
      </c>
      <c r="AZ25">
        <v>0</v>
      </c>
      <c r="BA25">
        <v>25</v>
      </c>
      <c r="BB25">
        <v>1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314.33499999999998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1</v>
      </c>
      <c r="BQ25">
        <v>314.33499999999998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1</v>
      </c>
      <c r="CV25">
        <v>0</v>
      </c>
      <c r="CW25">
        <v>0</v>
      </c>
      <c r="CX25">
        <f>ROUND(Y25*Source!I26,7)</f>
        <v>4.9563499999999996</v>
      </c>
      <c r="CY25">
        <f t="shared" si="12"/>
        <v>15.14</v>
      </c>
      <c r="CZ25">
        <f t="shared" si="13"/>
        <v>12.83</v>
      </c>
      <c r="DA25">
        <f t="shared" si="14"/>
        <v>1.18</v>
      </c>
      <c r="DB25">
        <f t="shared" si="1"/>
        <v>314.33999999999997</v>
      </c>
      <c r="DC25">
        <f t="shared" si="2"/>
        <v>0</v>
      </c>
      <c r="DD25" t="s">
        <v>3</v>
      </c>
      <c r="DE25" t="s">
        <v>3</v>
      </c>
      <c r="DF25">
        <f>ROUND(ROUND(AE25*AI25,2)*CX25,2)</f>
        <v>75.040000000000006</v>
      </c>
      <c r="DG25">
        <f t="shared" si="15"/>
        <v>0</v>
      </c>
      <c r="DH25">
        <f t="shared" si="4"/>
        <v>0</v>
      </c>
      <c r="DI25">
        <f t="shared" si="5"/>
        <v>0</v>
      </c>
      <c r="DJ25">
        <f t="shared" si="16"/>
        <v>75.040000000000006</v>
      </c>
      <c r="DK25">
        <v>0</v>
      </c>
      <c r="DL25" t="s">
        <v>3</v>
      </c>
      <c r="DM25">
        <v>0</v>
      </c>
      <c r="DN25" t="s">
        <v>3</v>
      </c>
      <c r="DO25">
        <v>0</v>
      </c>
    </row>
    <row r="26" spans="1:119">
      <c r="A26">
        <f>ROW(Source!A26)</f>
        <v>26</v>
      </c>
      <c r="B26">
        <v>50837261</v>
      </c>
      <c r="C26">
        <v>50837397</v>
      </c>
      <c r="D26">
        <v>49753838</v>
      </c>
      <c r="E26">
        <v>117</v>
      </c>
      <c r="F26">
        <v>1</v>
      </c>
      <c r="G26">
        <v>1</v>
      </c>
      <c r="H26">
        <v>3</v>
      </c>
      <c r="I26" t="s">
        <v>26</v>
      </c>
      <c r="J26" t="s">
        <v>3</v>
      </c>
      <c r="K26" t="s">
        <v>27</v>
      </c>
      <c r="L26">
        <v>1371</v>
      </c>
      <c r="N26">
        <v>1013</v>
      </c>
      <c r="O26" t="s">
        <v>28</v>
      </c>
      <c r="P26" t="s">
        <v>28</v>
      </c>
      <c r="Q26">
        <v>1</v>
      </c>
      <c r="W26">
        <v>0</v>
      </c>
      <c r="X26">
        <v>2080980634</v>
      </c>
      <c r="Y26">
        <f t="shared" si="0"/>
        <v>3.0000000000000001E-3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1</v>
      </c>
      <c r="AJ26">
        <v>1</v>
      </c>
      <c r="AK26">
        <v>1</v>
      </c>
      <c r="AL26">
        <v>1</v>
      </c>
      <c r="AM26">
        <v>0</v>
      </c>
      <c r="AN26">
        <v>0</v>
      </c>
      <c r="AO26">
        <v>0</v>
      </c>
      <c r="AP26">
        <v>1</v>
      </c>
      <c r="AQ26">
        <v>0</v>
      </c>
      <c r="AR26">
        <v>0</v>
      </c>
      <c r="AS26" t="s">
        <v>3</v>
      </c>
      <c r="AT26">
        <v>3.0000000000000001E-3</v>
      </c>
      <c r="AU26" t="s">
        <v>3</v>
      </c>
      <c r="AV26">
        <v>0</v>
      </c>
      <c r="AW26">
        <v>2</v>
      </c>
      <c r="AX26">
        <v>50844027</v>
      </c>
      <c r="AY26">
        <v>1</v>
      </c>
      <c r="AZ26">
        <v>0</v>
      </c>
      <c r="BA26">
        <v>26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V26">
        <v>0</v>
      </c>
      <c r="CW26">
        <v>0</v>
      </c>
      <c r="CX26">
        <f>ROUND(Y26*Source!I26,7)</f>
        <v>6.0689999999999995E-4</v>
      </c>
      <c r="CY26">
        <f t="shared" si="12"/>
        <v>0</v>
      </c>
      <c r="CZ26">
        <f t="shared" si="13"/>
        <v>0</v>
      </c>
      <c r="DA26">
        <f t="shared" si="14"/>
        <v>1</v>
      </c>
      <c r="DB26">
        <f t="shared" si="1"/>
        <v>0</v>
      </c>
      <c r="DC26">
        <f t="shared" si="2"/>
        <v>0</v>
      </c>
      <c r="DD26" t="s">
        <v>3</v>
      </c>
      <c r="DE26" t="s">
        <v>3</v>
      </c>
      <c r="DF26">
        <f>ROUND(ROUND(AE26,2)*CX26,2)</f>
        <v>0</v>
      </c>
      <c r="DG26">
        <f t="shared" si="15"/>
        <v>0</v>
      </c>
      <c r="DH26">
        <f t="shared" si="4"/>
        <v>0</v>
      </c>
      <c r="DI26">
        <f t="shared" si="5"/>
        <v>0</v>
      </c>
      <c r="DJ26">
        <f t="shared" si="16"/>
        <v>0</v>
      </c>
      <c r="DK26">
        <v>0</v>
      </c>
      <c r="DL26" t="s">
        <v>3</v>
      </c>
      <c r="DM26">
        <v>0</v>
      </c>
      <c r="DN26" t="s">
        <v>3</v>
      </c>
      <c r="DO26">
        <v>0</v>
      </c>
    </row>
    <row r="27" spans="1:119">
      <c r="A27">
        <f>ROW(Source!A26)</f>
        <v>26</v>
      </c>
      <c r="B27">
        <v>50837261</v>
      </c>
      <c r="C27">
        <v>50837397</v>
      </c>
      <c r="D27">
        <v>49839781</v>
      </c>
      <c r="E27">
        <v>1</v>
      </c>
      <c r="F27">
        <v>1</v>
      </c>
      <c r="G27">
        <v>1</v>
      </c>
      <c r="H27">
        <v>3</v>
      </c>
      <c r="I27" t="s">
        <v>283</v>
      </c>
      <c r="J27" t="s">
        <v>284</v>
      </c>
      <c r="K27" t="s">
        <v>285</v>
      </c>
      <c r="L27">
        <v>1348</v>
      </c>
      <c r="N27">
        <v>1009</v>
      </c>
      <c r="O27" t="s">
        <v>46</v>
      </c>
      <c r="P27" t="s">
        <v>46</v>
      </c>
      <c r="Q27">
        <v>1000</v>
      </c>
      <c r="W27">
        <v>0</v>
      </c>
      <c r="X27">
        <v>-1626911935</v>
      </c>
      <c r="Y27">
        <f t="shared" si="0"/>
        <v>1.7999999999999999E-2</v>
      </c>
      <c r="AA27">
        <v>68586.36</v>
      </c>
      <c r="AB27">
        <v>0</v>
      </c>
      <c r="AC27">
        <v>0</v>
      </c>
      <c r="AD27">
        <v>0</v>
      </c>
      <c r="AE27">
        <v>89073.2</v>
      </c>
      <c r="AF27">
        <v>0</v>
      </c>
      <c r="AG27">
        <v>0</v>
      </c>
      <c r="AH27">
        <v>0</v>
      </c>
      <c r="AI27">
        <v>0.77</v>
      </c>
      <c r="AJ27">
        <v>1</v>
      </c>
      <c r="AK27">
        <v>1</v>
      </c>
      <c r="AL27">
        <v>1</v>
      </c>
      <c r="AM27">
        <v>2</v>
      </c>
      <c r="AN27">
        <v>0</v>
      </c>
      <c r="AO27">
        <v>0</v>
      </c>
      <c r="AP27">
        <v>1</v>
      </c>
      <c r="AQ27">
        <v>1</v>
      </c>
      <c r="AR27">
        <v>0</v>
      </c>
      <c r="AS27" t="s">
        <v>3</v>
      </c>
      <c r="AT27">
        <v>1.7999999999999999E-2</v>
      </c>
      <c r="AU27" t="s">
        <v>3</v>
      </c>
      <c r="AV27">
        <v>0</v>
      </c>
      <c r="AW27">
        <v>2</v>
      </c>
      <c r="AX27">
        <v>50844028</v>
      </c>
      <c r="AY27">
        <v>1</v>
      </c>
      <c r="AZ27">
        <v>0</v>
      </c>
      <c r="BA27">
        <v>27</v>
      </c>
      <c r="BB27">
        <v>1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1603.3175999999999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1</v>
      </c>
      <c r="BQ27">
        <v>1603.3175999999999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1</v>
      </c>
      <c r="CV27">
        <v>0</v>
      </c>
      <c r="CW27">
        <v>0</v>
      </c>
      <c r="CX27">
        <f>ROUND(Y27*Source!I26,7)</f>
        <v>3.6413999999999999E-3</v>
      </c>
      <c r="CY27">
        <f t="shared" si="12"/>
        <v>68586.36</v>
      </c>
      <c r="CZ27">
        <f t="shared" si="13"/>
        <v>89073.2</v>
      </c>
      <c r="DA27">
        <f t="shared" si="14"/>
        <v>0.77</v>
      </c>
      <c r="DB27">
        <f t="shared" si="1"/>
        <v>1603.32</v>
      </c>
      <c r="DC27">
        <f t="shared" si="2"/>
        <v>0</v>
      </c>
      <c r="DD27" t="s">
        <v>3</v>
      </c>
      <c r="DE27" t="s">
        <v>3</v>
      </c>
      <c r="DF27">
        <f>ROUND(ROUND(AE27*AI27,2)*CX27,2)</f>
        <v>249.75</v>
      </c>
      <c r="DG27">
        <f t="shared" si="15"/>
        <v>0</v>
      </c>
      <c r="DH27">
        <f t="shared" si="4"/>
        <v>0</v>
      </c>
      <c r="DI27">
        <f t="shared" si="5"/>
        <v>0</v>
      </c>
      <c r="DJ27">
        <f t="shared" si="16"/>
        <v>249.75</v>
      </c>
      <c r="DK27">
        <v>0</v>
      </c>
      <c r="DL27" t="s">
        <v>3</v>
      </c>
      <c r="DM27">
        <v>0</v>
      </c>
      <c r="DN27" t="s">
        <v>3</v>
      </c>
      <c r="DO27">
        <v>0</v>
      </c>
    </row>
    <row r="28" spans="1:119">
      <c r="A28">
        <f>ROW(Source!A26)</f>
        <v>26</v>
      </c>
      <c r="B28">
        <v>50837261</v>
      </c>
      <c r="C28">
        <v>50837397</v>
      </c>
      <c r="D28">
        <v>49842337</v>
      </c>
      <c r="E28">
        <v>1</v>
      </c>
      <c r="F28">
        <v>1</v>
      </c>
      <c r="G28">
        <v>1</v>
      </c>
      <c r="H28">
        <v>3</v>
      </c>
      <c r="I28" t="s">
        <v>289</v>
      </c>
      <c r="J28" t="s">
        <v>290</v>
      </c>
      <c r="K28" t="s">
        <v>291</v>
      </c>
      <c r="L28">
        <v>1371</v>
      </c>
      <c r="N28">
        <v>1013</v>
      </c>
      <c r="O28" t="s">
        <v>28</v>
      </c>
      <c r="P28" t="s">
        <v>28</v>
      </c>
      <c r="Q28">
        <v>1</v>
      </c>
      <c r="W28">
        <v>0</v>
      </c>
      <c r="X28">
        <v>1597728806</v>
      </c>
      <c r="Y28">
        <f t="shared" si="0"/>
        <v>0.13</v>
      </c>
      <c r="AA28">
        <v>613.89</v>
      </c>
      <c r="AB28">
        <v>0</v>
      </c>
      <c r="AC28">
        <v>0</v>
      </c>
      <c r="AD28">
        <v>0</v>
      </c>
      <c r="AE28">
        <v>432.32</v>
      </c>
      <c r="AF28">
        <v>0</v>
      </c>
      <c r="AG28">
        <v>0</v>
      </c>
      <c r="AH28">
        <v>0</v>
      </c>
      <c r="AI28">
        <v>1.42</v>
      </c>
      <c r="AJ28">
        <v>1</v>
      </c>
      <c r="AK28">
        <v>1</v>
      </c>
      <c r="AL28">
        <v>1</v>
      </c>
      <c r="AM28">
        <v>2</v>
      </c>
      <c r="AN28">
        <v>0</v>
      </c>
      <c r="AO28">
        <v>0</v>
      </c>
      <c r="AP28">
        <v>1</v>
      </c>
      <c r="AQ28">
        <v>1</v>
      </c>
      <c r="AR28">
        <v>0</v>
      </c>
      <c r="AS28" t="s">
        <v>3</v>
      </c>
      <c r="AT28">
        <v>0.13</v>
      </c>
      <c r="AU28" t="s">
        <v>3</v>
      </c>
      <c r="AV28">
        <v>0</v>
      </c>
      <c r="AW28">
        <v>2</v>
      </c>
      <c r="AX28">
        <v>50844029</v>
      </c>
      <c r="AY28">
        <v>1</v>
      </c>
      <c r="AZ28">
        <v>0</v>
      </c>
      <c r="BA28">
        <v>28</v>
      </c>
      <c r="BB28">
        <v>1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56.201599999999999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1</v>
      </c>
      <c r="BQ28">
        <v>56.201599999999999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1</v>
      </c>
      <c r="CV28">
        <v>0</v>
      </c>
      <c r="CW28">
        <v>0</v>
      </c>
      <c r="CX28">
        <f>ROUND(Y28*Source!I26,7)</f>
        <v>2.6298999999999999E-2</v>
      </c>
      <c r="CY28">
        <f t="shared" si="12"/>
        <v>613.89</v>
      </c>
      <c r="CZ28">
        <f t="shared" si="13"/>
        <v>432.32</v>
      </c>
      <c r="DA28">
        <f t="shared" si="14"/>
        <v>1.42</v>
      </c>
      <c r="DB28">
        <f t="shared" si="1"/>
        <v>56.2</v>
      </c>
      <c r="DC28">
        <f t="shared" si="2"/>
        <v>0</v>
      </c>
      <c r="DD28" t="s">
        <v>3</v>
      </c>
      <c r="DE28" t="s">
        <v>3</v>
      </c>
      <c r="DF28">
        <f>ROUND(ROUND(AE28*AI28,2)*CX28,2)</f>
        <v>16.14</v>
      </c>
      <c r="DG28">
        <f t="shared" si="15"/>
        <v>0</v>
      </c>
      <c r="DH28">
        <f t="shared" si="4"/>
        <v>0</v>
      </c>
      <c r="DI28">
        <f t="shared" si="5"/>
        <v>0</v>
      </c>
      <c r="DJ28">
        <f t="shared" si="16"/>
        <v>16.14</v>
      </c>
      <c r="DK28">
        <v>0</v>
      </c>
      <c r="DL28" t="s">
        <v>3</v>
      </c>
      <c r="DM28">
        <v>0</v>
      </c>
      <c r="DN28" t="s">
        <v>3</v>
      </c>
      <c r="DO28">
        <v>0</v>
      </c>
    </row>
    <row r="29" spans="1:119">
      <c r="A29">
        <f>ROW(Source!A26)</f>
        <v>26</v>
      </c>
      <c r="B29">
        <v>50837261</v>
      </c>
      <c r="C29">
        <v>50837397</v>
      </c>
      <c r="D29">
        <v>49843831</v>
      </c>
      <c r="E29">
        <v>1</v>
      </c>
      <c r="F29">
        <v>1</v>
      </c>
      <c r="G29">
        <v>1</v>
      </c>
      <c r="H29">
        <v>3</v>
      </c>
      <c r="I29" t="s">
        <v>292</v>
      </c>
      <c r="J29" t="s">
        <v>293</v>
      </c>
      <c r="K29" t="s">
        <v>294</v>
      </c>
      <c r="L29">
        <v>1425</v>
      </c>
      <c r="N29">
        <v>1013</v>
      </c>
      <c r="O29" t="s">
        <v>295</v>
      </c>
      <c r="P29" t="s">
        <v>295</v>
      </c>
      <c r="Q29">
        <v>1</v>
      </c>
      <c r="W29">
        <v>0</v>
      </c>
      <c r="X29">
        <v>-1999359208</v>
      </c>
      <c r="Y29">
        <f t="shared" si="0"/>
        <v>0.51</v>
      </c>
      <c r="AA29">
        <v>332.29</v>
      </c>
      <c r="AB29">
        <v>0</v>
      </c>
      <c r="AC29">
        <v>0</v>
      </c>
      <c r="AD29">
        <v>0</v>
      </c>
      <c r="AE29">
        <v>237.35</v>
      </c>
      <c r="AF29">
        <v>0</v>
      </c>
      <c r="AG29">
        <v>0</v>
      </c>
      <c r="AH29">
        <v>0</v>
      </c>
      <c r="AI29">
        <v>1.4</v>
      </c>
      <c r="AJ29">
        <v>1</v>
      </c>
      <c r="AK29">
        <v>1</v>
      </c>
      <c r="AL29">
        <v>1</v>
      </c>
      <c r="AM29">
        <v>2</v>
      </c>
      <c r="AN29">
        <v>0</v>
      </c>
      <c r="AO29">
        <v>0</v>
      </c>
      <c r="AP29">
        <v>1</v>
      </c>
      <c r="AQ29">
        <v>1</v>
      </c>
      <c r="AR29">
        <v>0</v>
      </c>
      <c r="AS29" t="s">
        <v>3</v>
      </c>
      <c r="AT29">
        <v>0.51</v>
      </c>
      <c r="AU29" t="s">
        <v>3</v>
      </c>
      <c r="AV29">
        <v>0</v>
      </c>
      <c r="AW29">
        <v>2</v>
      </c>
      <c r="AX29">
        <v>50844030</v>
      </c>
      <c r="AY29">
        <v>1</v>
      </c>
      <c r="AZ29">
        <v>0</v>
      </c>
      <c r="BA29">
        <v>29</v>
      </c>
      <c r="BB29">
        <v>1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121.0485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1</v>
      </c>
      <c r="BQ29">
        <v>121.0485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1</v>
      </c>
      <c r="CV29">
        <v>0</v>
      </c>
      <c r="CW29">
        <v>0</v>
      </c>
      <c r="CX29">
        <f>ROUND(Y29*Source!I26,7)</f>
        <v>0.103173</v>
      </c>
      <c r="CY29">
        <f t="shared" si="12"/>
        <v>332.29</v>
      </c>
      <c r="CZ29">
        <f t="shared" si="13"/>
        <v>237.35</v>
      </c>
      <c r="DA29">
        <f t="shared" si="14"/>
        <v>1.4</v>
      </c>
      <c r="DB29">
        <f t="shared" si="1"/>
        <v>121.05</v>
      </c>
      <c r="DC29">
        <f t="shared" si="2"/>
        <v>0</v>
      </c>
      <c r="DD29" t="s">
        <v>3</v>
      </c>
      <c r="DE29" t="s">
        <v>3</v>
      </c>
      <c r="DF29">
        <f>ROUND(ROUND(AE29*AI29,2)*CX29,2)</f>
        <v>34.28</v>
      </c>
      <c r="DG29">
        <f t="shared" si="15"/>
        <v>0</v>
      </c>
      <c r="DH29">
        <f t="shared" si="4"/>
        <v>0</v>
      </c>
      <c r="DI29">
        <f t="shared" si="5"/>
        <v>0</v>
      </c>
      <c r="DJ29">
        <f t="shared" si="16"/>
        <v>34.28</v>
      </c>
      <c r="DK29">
        <v>0</v>
      </c>
      <c r="DL29" t="s">
        <v>3</v>
      </c>
      <c r="DM29">
        <v>0</v>
      </c>
      <c r="DN29" t="s">
        <v>3</v>
      </c>
      <c r="DO29">
        <v>0</v>
      </c>
    </row>
    <row r="30" spans="1:119">
      <c r="A30">
        <f>ROW(Source!A28)</f>
        <v>28</v>
      </c>
      <c r="B30">
        <v>50837261</v>
      </c>
      <c r="C30">
        <v>50844032</v>
      </c>
      <c r="D30">
        <v>49752819</v>
      </c>
      <c r="E30">
        <v>117</v>
      </c>
      <c r="F30">
        <v>1</v>
      </c>
      <c r="G30">
        <v>1</v>
      </c>
      <c r="H30">
        <v>1</v>
      </c>
      <c r="I30" t="s">
        <v>298</v>
      </c>
      <c r="J30" t="s">
        <v>3</v>
      </c>
      <c r="K30" t="s">
        <v>299</v>
      </c>
      <c r="L30">
        <v>1191</v>
      </c>
      <c r="N30">
        <v>1013</v>
      </c>
      <c r="O30" t="s">
        <v>252</v>
      </c>
      <c r="P30" t="s">
        <v>252</v>
      </c>
      <c r="Q30">
        <v>1</v>
      </c>
      <c r="W30">
        <v>0</v>
      </c>
      <c r="X30">
        <v>-1321739209</v>
      </c>
      <c r="Y30">
        <f t="shared" si="0"/>
        <v>532.29999999999995</v>
      </c>
      <c r="AA30">
        <v>0</v>
      </c>
      <c r="AB30">
        <v>0</v>
      </c>
      <c r="AC30">
        <v>0</v>
      </c>
      <c r="AD30">
        <v>332.45</v>
      </c>
      <c r="AE30">
        <v>0</v>
      </c>
      <c r="AF30">
        <v>0</v>
      </c>
      <c r="AG30">
        <v>0</v>
      </c>
      <c r="AH30">
        <v>332.45</v>
      </c>
      <c r="AI30">
        <v>1</v>
      </c>
      <c r="AJ30">
        <v>1</v>
      </c>
      <c r="AK30">
        <v>1</v>
      </c>
      <c r="AL30">
        <v>1</v>
      </c>
      <c r="AM30">
        <v>-2</v>
      </c>
      <c r="AN30">
        <v>0</v>
      </c>
      <c r="AO30">
        <v>0</v>
      </c>
      <c r="AP30">
        <v>1</v>
      </c>
      <c r="AQ30">
        <v>1</v>
      </c>
      <c r="AR30">
        <v>0</v>
      </c>
      <c r="AS30" t="s">
        <v>3</v>
      </c>
      <c r="AT30">
        <v>532.29999999999995</v>
      </c>
      <c r="AU30" t="s">
        <v>3</v>
      </c>
      <c r="AV30">
        <v>1</v>
      </c>
      <c r="AW30">
        <v>2</v>
      </c>
      <c r="AX30">
        <v>50844033</v>
      </c>
      <c r="AY30">
        <v>1</v>
      </c>
      <c r="AZ30">
        <v>0</v>
      </c>
      <c r="BA30">
        <v>30</v>
      </c>
      <c r="BB30">
        <v>1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176963.13499999998</v>
      </c>
      <c r="BN30">
        <v>532.29999999999995</v>
      </c>
      <c r="BO30">
        <v>0</v>
      </c>
      <c r="BP30">
        <v>1</v>
      </c>
      <c r="BQ30">
        <v>0</v>
      </c>
      <c r="BR30">
        <v>0</v>
      </c>
      <c r="BS30">
        <v>0</v>
      </c>
      <c r="BT30">
        <v>176963.13499999998</v>
      </c>
      <c r="BU30">
        <v>532.29999999999995</v>
      </c>
      <c r="BV30">
        <v>0</v>
      </c>
      <c r="BW30">
        <v>1</v>
      </c>
      <c r="CU30">
        <f>ROUND(AT30*Source!I28*AH30*AL30,2)</f>
        <v>13095.27</v>
      </c>
      <c r="CV30">
        <f>ROUND(Y30*Source!I28,7)</f>
        <v>39.3902</v>
      </c>
      <c r="CW30">
        <v>0</v>
      </c>
      <c r="CX30">
        <f>ROUND(Y30*Source!I28,7)</f>
        <v>39.3902</v>
      </c>
      <c r="CY30">
        <f>AD30</f>
        <v>332.45</v>
      </c>
      <c r="CZ30">
        <f>AH30</f>
        <v>332.45</v>
      </c>
      <c r="DA30">
        <f>AL30</f>
        <v>1</v>
      </c>
      <c r="DB30">
        <f t="shared" si="1"/>
        <v>176963.14</v>
      </c>
      <c r="DC30">
        <f t="shared" si="2"/>
        <v>0</v>
      </c>
      <c r="DD30" t="s">
        <v>3</v>
      </c>
      <c r="DE30" t="s">
        <v>3</v>
      </c>
      <c r="DF30">
        <f t="shared" ref="DF30:DF49" si="17">ROUND(ROUND(AE30,2)*CX30,2)</f>
        <v>0</v>
      </c>
      <c r="DG30">
        <f t="shared" si="15"/>
        <v>0</v>
      </c>
      <c r="DH30">
        <f t="shared" si="4"/>
        <v>0</v>
      </c>
      <c r="DI30">
        <f t="shared" si="5"/>
        <v>13095.27</v>
      </c>
      <c r="DJ30">
        <f>DI30</f>
        <v>13095.27</v>
      </c>
      <c r="DK30">
        <v>1</v>
      </c>
      <c r="DL30" t="s">
        <v>3</v>
      </c>
      <c r="DM30">
        <v>0</v>
      </c>
      <c r="DN30" t="s">
        <v>3</v>
      </c>
      <c r="DO30">
        <v>0</v>
      </c>
    </row>
    <row r="31" spans="1:119">
      <c r="A31">
        <f>ROW(Source!A28)</f>
        <v>28</v>
      </c>
      <c r="B31">
        <v>50837261</v>
      </c>
      <c r="C31">
        <v>50844032</v>
      </c>
      <c r="D31">
        <v>49753052</v>
      </c>
      <c r="E31">
        <v>117</v>
      </c>
      <c r="F31">
        <v>1</v>
      </c>
      <c r="G31">
        <v>1</v>
      </c>
      <c r="H31">
        <v>1</v>
      </c>
      <c r="I31" t="s">
        <v>253</v>
      </c>
      <c r="J31" t="s">
        <v>3</v>
      </c>
      <c r="K31" t="s">
        <v>254</v>
      </c>
      <c r="L31">
        <v>1191</v>
      </c>
      <c r="N31">
        <v>1013</v>
      </c>
      <c r="O31" t="s">
        <v>252</v>
      </c>
      <c r="P31" t="s">
        <v>252</v>
      </c>
      <c r="Q31">
        <v>1</v>
      </c>
      <c r="W31">
        <v>0</v>
      </c>
      <c r="X31">
        <v>-1417349443</v>
      </c>
      <c r="Y31">
        <f t="shared" si="0"/>
        <v>1.53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M31">
        <v>-2</v>
      </c>
      <c r="AN31">
        <v>0</v>
      </c>
      <c r="AO31">
        <v>0</v>
      </c>
      <c r="AP31">
        <v>1</v>
      </c>
      <c r="AQ31">
        <v>1</v>
      </c>
      <c r="AR31">
        <v>0</v>
      </c>
      <c r="AS31" t="s">
        <v>3</v>
      </c>
      <c r="AT31">
        <v>1.53</v>
      </c>
      <c r="AU31" t="s">
        <v>3</v>
      </c>
      <c r="AV31">
        <v>2</v>
      </c>
      <c r="AW31">
        <v>2</v>
      </c>
      <c r="AX31">
        <v>50844034</v>
      </c>
      <c r="AY31">
        <v>1</v>
      </c>
      <c r="AZ31">
        <v>0</v>
      </c>
      <c r="BA31">
        <v>31</v>
      </c>
      <c r="BB31">
        <v>1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V31">
        <v>0</v>
      </c>
      <c r="CW31">
        <v>0</v>
      </c>
      <c r="CX31">
        <f>ROUND(Y31*Source!I28,7)</f>
        <v>0.11322</v>
      </c>
      <c r="CY31">
        <f>AD31</f>
        <v>0</v>
      </c>
      <c r="CZ31">
        <f>AH31</f>
        <v>0</v>
      </c>
      <c r="DA31">
        <f>AL31</f>
        <v>1</v>
      </c>
      <c r="DB31">
        <f t="shared" si="1"/>
        <v>0</v>
      </c>
      <c r="DC31">
        <f t="shared" si="2"/>
        <v>0</v>
      </c>
      <c r="DD31" t="s">
        <v>3</v>
      </c>
      <c r="DE31" t="s">
        <v>3</v>
      </c>
      <c r="DF31">
        <f t="shared" si="17"/>
        <v>0</v>
      </c>
      <c r="DG31">
        <f t="shared" si="15"/>
        <v>0</v>
      </c>
      <c r="DH31">
        <f t="shared" si="4"/>
        <v>0</v>
      </c>
      <c r="DI31">
        <f t="shared" si="5"/>
        <v>0</v>
      </c>
      <c r="DJ31">
        <f>DI31</f>
        <v>0</v>
      </c>
      <c r="DK31">
        <v>0</v>
      </c>
      <c r="DL31" t="s">
        <v>3</v>
      </c>
      <c r="DM31">
        <v>0</v>
      </c>
      <c r="DN31" t="s">
        <v>3</v>
      </c>
      <c r="DO31">
        <v>0</v>
      </c>
    </row>
    <row r="32" spans="1:119">
      <c r="A32">
        <f>ROW(Source!A28)</f>
        <v>28</v>
      </c>
      <c r="B32">
        <v>50837261</v>
      </c>
      <c r="C32">
        <v>50844032</v>
      </c>
      <c r="D32">
        <v>49759884</v>
      </c>
      <c r="E32">
        <v>1</v>
      </c>
      <c r="F32">
        <v>1</v>
      </c>
      <c r="G32">
        <v>1</v>
      </c>
      <c r="H32">
        <v>2</v>
      </c>
      <c r="I32" t="s">
        <v>300</v>
      </c>
      <c r="J32" t="s">
        <v>301</v>
      </c>
      <c r="K32" t="s">
        <v>302</v>
      </c>
      <c r="L32">
        <v>1368</v>
      </c>
      <c r="N32">
        <v>1011</v>
      </c>
      <c r="O32" t="s">
        <v>258</v>
      </c>
      <c r="P32" t="s">
        <v>258</v>
      </c>
      <c r="Q32">
        <v>1</v>
      </c>
      <c r="W32">
        <v>0</v>
      </c>
      <c r="X32">
        <v>945201097</v>
      </c>
      <c r="Y32">
        <f t="shared" si="0"/>
        <v>1.53</v>
      </c>
      <c r="AA32">
        <v>0</v>
      </c>
      <c r="AB32">
        <v>60.83</v>
      </c>
      <c r="AC32">
        <v>359.65</v>
      </c>
      <c r="AD32">
        <v>0</v>
      </c>
      <c r="AE32">
        <v>0</v>
      </c>
      <c r="AF32">
        <v>37.32</v>
      </c>
      <c r="AG32">
        <v>359.65</v>
      </c>
      <c r="AH32">
        <v>0</v>
      </c>
      <c r="AI32">
        <v>1</v>
      </c>
      <c r="AJ32">
        <v>1.63</v>
      </c>
      <c r="AK32">
        <v>1</v>
      </c>
      <c r="AL32">
        <v>1</v>
      </c>
      <c r="AM32">
        <v>2</v>
      </c>
      <c r="AN32">
        <v>0</v>
      </c>
      <c r="AO32">
        <v>0</v>
      </c>
      <c r="AP32">
        <v>1</v>
      </c>
      <c r="AQ32">
        <v>1</v>
      </c>
      <c r="AR32">
        <v>0</v>
      </c>
      <c r="AS32" t="s">
        <v>3</v>
      </c>
      <c r="AT32">
        <v>1.53</v>
      </c>
      <c r="AU32" t="s">
        <v>3</v>
      </c>
      <c r="AV32">
        <v>1</v>
      </c>
      <c r="AW32">
        <v>2</v>
      </c>
      <c r="AX32">
        <v>50844035</v>
      </c>
      <c r="AY32">
        <v>1</v>
      </c>
      <c r="AZ32">
        <v>0</v>
      </c>
      <c r="BA32">
        <v>32</v>
      </c>
      <c r="BB32">
        <v>1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57.099600000000002</v>
      </c>
      <c r="BL32">
        <v>550.2645</v>
      </c>
      <c r="BM32">
        <v>0</v>
      </c>
      <c r="BN32">
        <v>0</v>
      </c>
      <c r="BO32">
        <v>1.53</v>
      </c>
      <c r="BP32">
        <v>1</v>
      </c>
      <c r="BQ32">
        <v>0</v>
      </c>
      <c r="BR32">
        <v>57.099600000000002</v>
      </c>
      <c r="BS32">
        <v>550.2645</v>
      </c>
      <c r="BT32">
        <v>0</v>
      </c>
      <c r="BU32">
        <v>0</v>
      </c>
      <c r="BV32">
        <v>1.53</v>
      </c>
      <c r="BW32">
        <v>1</v>
      </c>
      <c r="CV32">
        <v>0</v>
      </c>
      <c r="CW32">
        <f>ROUND(Y32*Source!I28*DO32,7)</f>
        <v>0.11322</v>
      </c>
      <c r="CX32">
        <f>ROUND(Y32*Source!I28,7)</f>
        <v>0.11322</v>
      </c>
      <c r="CY32">
        <f>AB32</f>
        <v>60.83</v>
      </c>
      <c r="CZ32">
        <f>AF32</f>
        <v>37.32</v>
      </c>
      <c r="DA32">
        <f>AJ32</f>
        <v>1.63</v>
      </c>
      <c r="DB32">
        <f t="shared" si="1"/>
        <v>57.1</v>
      </c>
      <c r="DC32">
        <f t="shared" si="2"/>
        <v>550.26</v>
      </c>
      <c r="DD32" t="s">
        <v>3</v>
      </c>
      <c r="DE32" t="s">
        <v>3</v>
      </c>
      <c r="DF32">
        <f t="shared" si="17"/>
        <v>0</v>
      </c>
      <c r="DG32">
        <f>ROUND(ROUND(AF32*AJ32,2)*CX32,2)</f>
        <v>6.89</v>
      </c>
      <c r="DH32">
        <f t="shared" si="4"/>
        <v>40.72</v>
      </c>
      <c r="DI32">
        <f t="shared" si="5"/>
        <v>0</v>
      </c>
      <c r="DJ32">
        <f>DG32+DH32</f>
        <v>47.61</v>
      </c>
      <c r="DK32">
        <v>0</v>
      </c>
      <c r="DL32" t="s">
        <v>303</v>
      </c>
      <c r="DM32">
        <v>3</v>
      </c>
      <c r="DN32" t="s">
        <v>252</v>
      </c>
      <c r="DO32">
        <v>1</v>
      </c>
    </row>
    <row r="33" spans="1:119">
      <c r="A33">
        <f>ROW(Source!A28)</f>
        <v>28</v>
      </c>
      <c r="B33">
        <v>50837261</v>
      </c>
      <c r="C33">
        <v>50844032</v>
      </c>
      <c r="D33">
        <v>49760830</v>
      </c>
      <c r="E33">
        <v>1</v>
      </c>
      <c r="F33">
        <v>1</v>
      </c>
      <c r="G33">
        <v>1</v>
      </c>
      <c r="H33">
        <v>2</v>
      </c>
      <c r="I33" t="s">
        <v>304</v>
      </c>
      <c r="J33" t="s">
        <v>305</v>
      </c>
      <c r="K33" t="s">
        <v>306</v>
      </c>
      <c r="L33">
        <v>1368</v>
      </c>
      <c r="N33">
        <v>1011</v>
      </c>
      <c r="O33" t="s">
        <v>258</v>
      </c>
      <c r="P33" t="s">
        <v>258</v>
      </c>
      <c r="Q33">
        <v>1</v>
      </c>
      <c r="W33">
        <v>0</v>
      </c>
      <c r="X33">
        <v>-2043076807</v>
      </c>
      <c r="Y33">
        <f t="shared" si="0"/>
        <v>7.14</v>
      </c>
      <c r="AA33">
        <v>0</v>
      </c>
      <c r="AB33">
        <v>181.23</v>
      </c>
      <c r="AC33">
        <v>0</v>
      </c>
      <c r="AD33">
        <v>0</v>
      </c>
      <c r="AE33">
        <v>0</v>
      </c>
      <c r="AF33">
        <v>115.43</v>
      </c>
      <c r="AG33">
        <v>0</v>
      </c>
      <c r="AH33">
        <v>0</v>
      </c>
      <c r="AI33">
        <v>1</v>
      </c>
      <c r="AJ33">
        <v>1.57</v>
      </c>
      <c r="AK33">
        <v>1</v>
      </c>
      <c r="AL33">
        <v>1</v>
      </c>
      <c r="AM33">
        <v>2</v>
      </c>
      <c r="AN33">
        <v>0</v>
      </c>
      <c r="AO33">
        <v>0</v>
      </c>
      <c r="AP33">
        <v>1</v>
      </c>
      <c r="AQ33">
        <v>1</v>
      </c>
      <c r="AR33">
        <v>0</v>
      </c>
      <c r="AS33" t="s">
        <v>3</v>
      </c>
      <c r="AT33">
        <v>7.14</v>
      </c>
      <c r="AU33" t="s">
        <v>3</v>
      </c>
      <c r="AV33">
        <v>1</v>
      </c>
      <c r="AW33">
        <v>2</v>
      </c>
      <c r="AX33">
        <v>50844036</v>
      </c>
      <c r="AY33">
        <v>1</v>
      </c>
      <c r="AZ33">
        <v>0</v>
      </c>
      <c r="BA33">
        <v>33</v>
      </c>
      <c r="BB33">
        <v>1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824.17020000000002</v>
      </c>
      <c r="BL33">
        <v>0</v>
      </c>
      <c r="BM33">
        <v>0</v>
      </c>
      <c r="BN33">
        <v>0</v>
      </c>
      <c r="BO33">
        <v>0</v>
      </c>
      <c r="BP33">
        <v>1</v>
      </c>
      <c r="BQ33">
        <v>0</v>
      </c>
      <c r="BR33">
        <v>824.17020000000002</v>
      </c>
      <c r="BS33">
        <v>0</v>
      </c>
      <c r="BT33">
        <v>0</v>
      </c>
      <c r="BU33">
        <v>0</v>
      </c>
      <c r="BV33">
        <v>0</v>
      </c>
      <c r="BW33">
        <v>1</v>
      </c>
      <c r="CV33">
        <v>0</v>
      </c>
      <c r="CW33">
        <f>ROUND(Y33*Source!I28*DO33,7)</f>
        <v>0</v>
      </c>
      <c r="CX33">
        <f>ROUND(Y33*Source!I28,7)</f>
        <v>0.52836000000000005</v>
      </c>
      <c r="CY33">
        <f>AB33</f>
        <v>181.23</v>
      </c>
      <c r="CZ33">
        <f>AF33</f>
        <v>115.43</v>
      </c>
      <c r="DA33">
        <f>AJ33</f>
        <v>1.57</v>
      </c>
      <c r="DB33">
        <f t="shared" si="1"/>
        <v>824.17</v>
      </c>
      <c r="DC33">
        <f t="shared" si="2"/>
        <v>0</v>
      </c>
      <c r="DD33" t="s">
        <v>3</v>
      </c>
      <c r="DE33" t="s">
        <v>3</v>
      </c>
      <c r="DF33">
        <f t="shared" si="17"/>
        <v>0</v>
      </c>
      <c r="DG33">
        <f>ROUND(ROUND(AF33*AJ33,2)*CX33,2)</f>
        <v>95.75</v>
      </c>
      <c r="DH33">
        <f t="shared" ref="DH33:DH64" si="18">ROUND(ROUND(AG33,2)*CX33,2)</f>
        <v>0</v>
      </c>
      <c r="DI33">
        <f t="shared" ref="DI33:DI64" si="19">ROUND(ROUND(AH33,2)*CX33,2)</f>
        <v>0</v>
      </c>
      <c r="DJ33">
        <f>DG33+DH33</f>
        <v>95.75</v>
      </c>
      <c r="DK33">
        <v>0</v>
      </c>
      <c r="DL33" t="s">
        <v>3</v>
      </c>
      <c r="DM33">
        <v>0</v>
      </c>
      <c r="DN33" t="s">
        <v>3</v>
      </c>
      <c r="DO33">
        <v>0</v>
      </c>
    </row>
    <row r="34" spans="1:119">
      <c r="A34">
        <f>ROW(Source!A28)</f>
        <v>28</v>
      </c>
      <c r="B34">
        <v>50837261</v>
      </c>
      <c r="C34">
        <v>50844032</v>
      </c>
      <c r="D34">
        <v>49761221</v>
      </c>
      <c r="E34">
        <v>1</v>
      </c>
      <c r="F34">
        <v>1</v>
      </c>
      <c r="G34">
        <v>1</v>
      </c>
      <c r="H34">
        <v>2</v>
      </c>
      <c r="I34" t="s">
        <v>307</v>
      </c>
      <c r="J34" t="s">
        <v>308</v>
      </c>
      <c r="K34" t="s">
        <v>309</v>
      </c>
      <c r="L34">
        <v>1368</v>
      </c>
      <c r="N34">
        <v>1011</v>
      </c>
      <c r="O34" t="s">
        <v>258</v>
      </c>
      <c r="P34" t="s">
        <v>258</v>
      </c>
      <c r="Q34">
        <v>1</v>
      </c>
      <c r="W34">
        <v>0</v>
      </c>
      <c r="X34">
        <v>584770812</v>
      </c>
      <c r="Y34">
        <f t="shared" si="0"/>
        <v>14.28</v>
      </c>
      <c r="AA34">
        <v>0</v>
      </c>
      <c r="AB34">
        <v>3.06</v>
      </c>
      <c r="AC34">
        <v>0</v>
      </c>
      <c r="AD34">
        <v>0</v>
      </c>
      <c r="AE34">
        <v>0</v>
      </c>
      <c r="AF34">
        <v>2.11</v>
      </c>
      <c r="AG34">
        <v>0</v>
      </c>
      <c r="AH34">
        <v>0</v>
      </c>
      <c r="AI34">
        <v>1</v>
      </c>
      <c r="AJ34">
        <v>1.45</v>
      </c>
      <c r="AK34">
        <v>1</v>
      </c>
      <c r="AL34">
        <v>1</v>
      </c>
      <c r="AM34">
        <v>2</v>
      </c>
      <c r="AN34">
        <v>0</v>
      </c>
      <c r="AO34">
        <v>0</v>
      </c>
      <c r="AP34">
        <v>1</v>
      </c>
      <c r="AQ34">
        <v>1</v>
      </c>
      <c r="AR34">
        <v>0</v>
      </c>
      <c r="AS34" t="s">
        <v>3</v>
      </c>
      <c r="AT34">
        <v>14.28</v>
      </c>
      <c r="AU34" t="s">
        <v>3</v>
      </c>
      <c r="AV34">
        <v>1</v>
      </c>
      <c r="AW34">
        <v>2</v>
      </c>
      <c r="AX34">
        <v>50844037</v>
      </c>
      <c r="AY34">
        <v>1</v>
      </c>
      <c r="AZ34">
        <v>0</v>
      </c>
      <c r="BA34">
        <v>34</v>
      </c>
      <c r="BB34">
        <v>1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30.130799999999997</v>
      </c>
      <c r="BL34">
        <v>0</v>
      </c>
      <c r="BM34">
        <v>0</v>
      </c>
      <c r="BN34">
        <v>0</v>
      </c>
      <c r="BO34">
        <v>0</v>
      </c>
      <c r="BP34">
        <v>1</v>
      </c>
      <c r="BQ34">
        <v>0</v>
      </c>
      <c r="BR34">
        <v>30.130799999999997</v>
      </c>
      <c r="BS34">
        <v>0</v>
      </c>
      <c r="BT34">
        <v>0</v>
      </c>
      <c r="BU34">
        <v>0</v>
      </c>
      <c r="BV34">
        <v>0</v>
      </c>
      <c r="BW34">
        <v>1</v>
      </c>
      <c r="CV34">
        <v>0</v>
      </c>
      <c r="CW34">
        <f>ROUND(Y34*Source!I28*DO34,7)</f>
        <v>0</v>
      </c>
      <c r="CX34">
        <f>ROUND(Y34*Source!I28,7)</f>
        <v>1.0567200000000001</v>
      </c>
      <c r="CY34">
        <f>AB34</f>
        <v>3.06</v>
      </c>
      <c r="CZ34">
        <f>AF34</f>
        <v>2.11</v>
      </c>
      <c r="DA34">
        <f>AJ34</f>
        <v>1.45</v>
      </c>
      <c r="DB34">
        <f t="shared" si="1"/>
        <v>30.13</v>
      </c>
      <c r="DC34">
        <f t="shared" si="2"/>
        <v>0</v>
      </c>
      <c r="DD34" t="s">
        <v>3</v>
      </c>
      <c r="DE34" t="s">
        <v>3</v>
      </c>
      <c r="DF34">
        <f t="shared" si="17"/>
        <v>0</v>
      </c>
      <c r="DG34">
        <f>ROUND(ROUND(AF34*AJ34,2)*CX34,2)</f>
        <v>3.23</v>
      </c>
      <c r="DH34">
        <f t="shared" si="18"/>
        <v>0</v>
      </c>
      <c r="DI34">
        <f t="shared" si="19"/>
        <v>0</v>
      </c>
      <c r="DJ34">
        <f>DG34+DH34</f>
        <v>3.23</v>
      </c>
      <c r="DK34">
        <v>0</v>
      </c>
      <c r="DL34" t="s">
        <v>3</v>
      </c>
      <c r="DM34">
        <v>0</v>
      </c>
      <c r="DN34" t="s">
        <v>3</v>
      </c>
      <c r="DO34">
        <v>0</v>
      </c>
    </row>
    <row r="35" spans="1:119">
      <c r="A35">
        <f>ROW(Source!A28)</f>
        <v>28</v>
      </c>
      <c r="B35">
        <v>50837261</v>
      </c>
      <c r="C35">
        <v>50844032</v>
      </c>
      <c r="D35">
        <v>49759032</v>
      </c>
      <c r="E35">
        <v>117</v>
      </c>
      <c r="F35">
        <v>1</v>
      </c>
      <c r="G35">
        <v>1</v>
      </c>
      <c r="H35">
        <v>3</v>
      </c>
      <c r="I35" t="s">
        <v>44</v>
      </c>
      <c r="J35" t="s">
        <v>3</v>
      </c>
      <c r="K35" t="s">
        <v>45</v>
      </c>
      <c r="L35">
        <v>1348</v>
      </c>
      <c r="N35">
        <v>1009</v>
      </c>
      <c r="O35" t="s">
        <v>46</v>
      </c>
      <c r="P35" t="s">
        <v>46</v>
      </c>
      <c r="Q35">
        <v>1000</v>
      </c>
      <c r="W35">
        <v>0</v>
      </c>
      <c r="X35">
        <v>2102561428</v>
      </c>
      <c r="Y35">
        <f t="shared" si="0"/>
        <v>19.3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1</v>
      </c>
      <c r="AJ35">
        <v>1</v>
      </c>
      <c r="AK35">
        <v>1</v>
      </c>
      <c r="AL35">
        <v>1</v>
      </c>
      <c r="AM35">
        <v>0</v>
      </c>
      <c r="AN35">
        <v>0</v>
      </c>
      <c r="AO35">
        <v>0</v>
      </c>
      <c r="AP35">
        <v>1</v>
      </c>
      <c r="AQ35">
        <v>0</v>
      </c>
      <c r="AR35">
        <v>0</v>
      </c>
      <c r="AS35" t="s">
        <v>3</v>
      </c>
      <c r="AT35">
        <v>19.3</v>
      </c>
      <c r="AU35" t="s">
        <v>3</v>
      </c>
      <c r="AV35">
        <v>0</v>
      </c>
      <c r="AW35">
        <v>2</v>
      </c>
      <c r="AX35">
        <v>50844038</v>
      </c>
      <c r="AY35">
        <v>1</v>
      </c>
      <c r="AZ35">
        <v>0</v>
      </c>
      <c r="BA35">
        <v>35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V35">
        <v>0</v>
      </c>
      <c r="CW35">
        <v>0</v>
      </c>
      <c r="CX35">
        <f>ROUND(Y35*Source!I28,7)</f>
        <v>1.4281999999999999</v>
      </c>
      <c r="CY35">
        <f>AA35</f>
        <v>0</v>
      </c>
      <c r="CZ35">
        <f>AE35</f>
        <v>0</v>
      </c>
      <c r="DA35">
        <f>AI35</f>
        <v>1</v>
      </c>
      <c r="DB35">
        <f t="shared" si="1"/>
        <v>0</v>
      </c>
      <c r="DC35">
        <f t="shared" si="2"/>
        <v>0</v>
      </c>
      <c r="DD35" t="s">
        <v>3</v>
      </c>
      <c r="DE35" t="s">
        <v>3</v>
      </c>
      <c r="DF35">
        <f t="shared" si="17"/>
        <v>0</v>
      </c>
      <c r="DG35">
        <f>ROUND(ROUND(AF35,2)*CX35,2)</f>
        <v>0</v>
      </c>
      <c r="DH35">
        <f t="shared" si="18"/>
        <v>0</v>
      </c>
      <c r="DI35">
        <f t="shared" si="19"/>
        <v>0</v>
      </c>
      <c r="DJ35">
        <f>DF35</f>
        <v>0</v>
      </c>
      <c r="DK35">
        <v>0</v>
      </c>
      <c r="DL35" t="s">
        <v>3</v>
      </c>
      <c r="DM35">
        <v>0</v>
      </c>
      <c r="DN35" t="s">
        <v>3</v>
      </c>
      <c r="DO35">
        <v>0</v>
      </c>
    </row>
    <row r="36" spans="1:119">
      <c r="A36">
        <f>ROW(Source!A30)</f>
        <v>30</v>
      </c>
      <c r="B36">
        <v>50837261</v>
      </c>
      <c r="C36">
        <v>50844040</v>
      </c>
      <c r="D36">
        <v>49752853</v>
      </c>
      <c r="E36">
        <v>117</v>
      </c>
      <c r="F36">
        <v>1</v>
      </c>
      <c r="G36">
        <v>1</v>
      </c>
      <c r="H36">
        <v>1</v>
      </c>
      <c r="I36" t="s">
        <v>310</v>
      </c>
      <c r="J36" t="s">
        <v>3</v>
      </c>
      <c r="K36" t="s">
        <v>311</v>
      </c>
      <c r="L36">
        <v>1191</v>
      </c>
      <c r="N36">
        <v>1013</v>
      </c>
      <c r="O36" t="s">
        <v>252</v>
      </c>
      <c r="P36" t="s">
        <v>252</v>
      </c>
      <c r="Q36">
        <v>1</v>
      </c>
      <c r="W36">
        <v>0</v>
      </c>
      <c r="X36">
        <v>-1833565283</v>
      </c>
      <c r="Y36">
        <f t="shared" si="0"/>
        <v>111.2</v>
      </c>
      <c r="AA36">
        <v>0</v>
      </c>
      <c r="AB36">
        <v>0</v>
      </c>
      <c r="AC36">
        <v>0</v>
      </c>
      <c r="AD36">
        <v>359.65</v>
      </c>
      <c r="AE36">
        <v>0</v>
      </c>
      <c r="AF36">
        <v>0</v>
      </c>
      <c r="AG36">
        <v>0</v>
      </c>
      <c r="AH36">
        <v>359.65</v>
      </c>
      <c r="AI36">
        <v>1</v>
      </c>
      <c r="AJ36">
        <v>1</v>
      </c>
      <c r="AK36">
        <v>1</v>
      </c>
      <c r="AL36">
        <v>1</v>
      </c>
      <c r="AM36">
        <v>-2</v>
      </c>
      <c r="AN36">
        <v>0</v>
      </c>
      <c r="AO36">
        <v>0</v>
      </c>
      <c r="AP36">
        <v>1</v>
      </c>
      <c r="AQ36">
        <v>1</v>
      </c>
      <c r="AR36">
        <v>0</v>
      </c>
      <c r="AS36" t="s">
        <v>3</v>
      </c>
      <c r="AT36">
        <v>111.2</v>
      </c>
      <c r="AU36" t="s">
        <v>3</v>
      </c>
      <c r="AV36">
        <v>1</v>
      </c>
      <c r="AW36">
        <v>2</v>
      </c>
      <c r="AX36">
        <v>50844041</v>
      </c>
      <c r="AY36">
        <v>1</v>
      </c>
      <c r="AZ36">
        <v>0</v>
      </c>
      <c r="BA36">
        <v>36</v>
      </c>
      <c r="BB36">
        <v>1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39993.08</v>
      </c>
      <c r="BN36">
        <v>111.2</v>
      </c>
      <c r="BO36">
        <v>0</v>
      </c>
      <c r="BP36">
        <v>1</v>
      </c>
      <c r="BQ36">
        <v>0</v>
      </c>
      <c r="BR36">
        <v>0</v>
      </c>
      <c r="BS36">
        <v>0</v>
      </c>
      <c r="BT36">
        <v>39993.08</v>
      </c>
      <c r="BU36">
        <v>111.2</v>
      </c>
      <c r="BV36">
        <v>0</v>
      </c>
      <c r="BW36">
        <v>1</v>
      </c>
      <c r="CU36">
        <f>ROUND(AT36*Source!I30*AH36*AL36,2)</f>
        <v>14601.47</v>
      </c>
      <c r="CV36">
        <f>ROUND(Y36*Source!I30,7)</f>
        <v>40.599119999999999</v>
      </c>
      <c r="CW36">
        <v>0</v>
      </c>
      <c r="CX36">
        <f>ROUND(Y36*Source!I30,7)</f>
        <v>40.599119999999999</v>
      </c>
      <c r="CY36">
        <f>AD36</f>
        <v>359.65</v>
      </c>
      <c r="CZ36">
        <f>AH36</f>
        <v>359.65</v>
      </c>
      <c r="DA36">
        <f>AL36</f>
        <v>1</v>
      </c>
      <c r="DB36">
        <f t="shared" si="1"/>
        <v>39993.08</v>
      </c>
      <c r="DC36">
        <f t="shared" si="2"/>
        <v>0</v>
      </c>
      <c r="DD36" t="s">
        <v>3</v>
      </c>
      <c r="DE36" t="s">
        <v>3</v>
      </c>
      <c r="DF36">
        <f t="shared" si="17"/>
        <v>0</v>
      </c>
      <c r="DG36">
        <f>ROUND(ROUND(AF36,2)*CX36,2)</f>
        <v>0</v>
      </c>
      <c r="DH36">
        <f t="shared" si="18"/>
        <v>0</v>
      </c>
      <c r="DI36">
        <f t="shared" si="19"/>
        <v>14601.47</v>
      </c>
      <c r="DJ36">
        <f>DI36</f>
        <v>14601.47</v>
      </c>
      <c r="DK36">
        <v>1</v>
      </c>
      <c r="DL36" t="s">
        <v>3</v>
      </c>
      <c r="DM36">
        <v>0</v>
      </c>
      <c r="DN36" t="s">
        <v>3</v>
      </c>
      <c r="DO36">
        <v>0</v>
      </c>
    </row>
    <row r="37" spans="1:119">
      <c r="A37">
        <f>ROW(Source!A30)</f>
        <v>30</v>
      </c>
      <c r="B37">
        <v>50837261</v>
      </c>
      <c r="C37">
        <v>50844040</v>
      </c>
      <c r="D37">
        <v>49753052</v>
      </c>
      <c r="E37">
        <v>117</v>
      </c>
      <c r="F37">
        <v>1</v>
      </c>
      <c r="G37">
        <v>1</v>
      </c>
      <c r="H37">
        <v>1</v>
      </c>
      <c r="I37" t="s">
        <v>253</v>
      </c>
      <c r="J37" t="s">
        <v>3</v>
      </c>
      <c r="K37" t="s">
        <v>254</v>
      </c>
      <c r="L37">
        <v>1191</v>
      </c>
      <c r="N37">
        <v>1013</v>
      </c>
      <c r="O37" t="s">
        <v>252</v>
      </c>
      <c r="P37" t="s">
        <v>252</v>
      </c>
      <c r="Q37">
        <v>1</v>
      </c>
      <c r="W37">
        <v>0</v>
      </c>
      <c r="X37">
        <v>-1417349443</v>
      </c>
      <c r="Y37">
        <f t="shared" si="0"/>
        <v>1.8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1</v>
      </c>
      <c r="AJ37">
        <v>1</v>
      </c>
      <c r="AK37">
        <v>1</v>
      </c>
      <c r="AL37">
        <v>1</v>
      </c>
      <c r="AM37">
        <v>-2</v>
      </c>
      <c r="AN37">
        <v>0</v>
      </c>
      <c r="AO37">
        <v>0</v>
      </c>
      <c r="AP37">
        <v>1</v>
      </c>
      <c r="AQ37">
        <v>1</v>
      </c>
      <c r="AR37">
        <v>0</v>
      </c>
      <c r="AS37" t="s">
        <v>3</v>
      </c>
      <c r="AT37">
        <v>1.8</v>
      </c>
      <c r="AU37" t="s">
        <v>3</v>
      </c>
      <c r="AV37">
        <v>2</v>
      </c>
      <c r="AW37">
        <v>2</v>
      </c>
      <c r="AX37">
        <v>50844042</v>
      </c>
      <c r="AY37">
        <v>1</v>
      </c>
      <c r="AZ37">
        <v>0</v>
      </c>
      <c r="BA37">
        <v>37</v>
      </c>
      <c r="BB37">
        <v>1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V37">
        <v>0</v>
      </c>
      <c r="CW37">
        <v>0</v>
      </c>
      <c r="CX37">
        <f>ROUND(Y37*Source!I30,7)</f>
        <v>0.65717999999999999</v>
      </c>
      <c r="CY37">
        <f>AD37</f>
        <v>0</v>
      </c>
      <c r="CZ37">
        <f>AH37</f>
        <v>0</v>
      </c>
      <c r="DA37">
        <f>AL37</f>
        <v>1</v>
      </c>
      <c r="DB37">
        <f t="shared" si="1"/>
        <v>0</v>
      </c>
      <c r="DC37">
        <f t="shared" si="2"/>
        <v>0</v>
      </c>
      <c r="DD37" t="s">
        <v>3</v>
      </c>
      <c r="DE37" t="s">
        <v>3</v>
      </c>
      <c r="DF37">
        <f t="shared" si="17"/>
        <v>0</v>
      </c>
      <c r="DG37">
        <f>ROUND(ROUND(AF37,2)*CX37,2)</f>
        <v>0</v>
      </c>
      <c r="DH37">
        <f t="shared" si="18"/>
        <v>0</v>
      </c>
      <c r="DI37">
        <f t="shared" si="19"/>
        <v>0</v>
      </c>
      <c r="DJ37">
        <f>DI37</f>
        <v>0</v>
      </c>
      <c r="DK37">
        <v>0</v>
      </c>
      <c r="DL37" t="s">
        <v>3</v>
      </c>
      <c r="DM37">
        <v>0</v>
      </c>
      <c r="DN37" t="s">
        <v>3</v>
      </c>
      <c r="DO37">
        <v>0</v>
      </c>
    </row>
    <row r="38" spans="1:119">
      <c r="A38">
        <f>ROW(Source!A30)</f>
        <v>30</v>
      </c>
      <c r="B38">
        <v>50837261</v>
      </c>
      <c r="C38">
        <v>50844040</v>
      </c>
      <c r="D38">
        <v>49759884</v>
      </c>
      <c r="E38">
        <v>1</v>
      </c>
      <c r="F38">
        <v>1</v>
      </c>
      <c r="G38">
        <v>1</v>
      </c>
      <c r="H38">
        <v>2</v>
      </c>
      <c r="I38" t="s">
        <v>300</v>
      </c>
      <c r="J38" t="s">
        <v>301</v>
      </c>
      <c r="K38" t="s">
        <v>302</v>
      </c>
      <c r="L38">
        <v>1368</v>
      </c>
      <c r="N38">
        <v>1011</v>
      </c>
      <c r="O38" t="s">
        <v>258</v>
      </c>
      <c r="P38" t="s">
        <v>258</v>
      </c>
      <c r="Q38">
        <v>1</v>
      </c>
      <c r="W38">
        <v>0</v>
      </c>
      <c r="X38">
        <v>945201097</v>
      </c>
      <c r="Y38">
        <f t="shared" si="0"/>
        <v>1.8</v>
      </c>
      <c r="AA38">
        <v>0</v>
      </c>
      <c r="AB38">
        <v>60.83</v>
      </c>
      <c r="AC38">
        <v>359.65</v>
      </c>
      <c r="AD38">
        <v>0</v>
      </c>
      <c r="AE38">
        <v>0</v>
      </c>
      <c r="AF38">
        <v>37.32</v>
      </c>
      <c r="AG38">
        <v>359.65</v>
      </c>
      <c r="AH38">
        <v>0</v>
      </c>
      <c r="AI38">
        <v>1</v>
      </c>
      <c r="AJ38">
        <v>1.63</v>
      </c>
      <c r="AK38">
        <v>1</v>
      </c>
      <c r="AL38">
        <v>1</v>
      </c>
      <c r="AM38">
        <v>2</v>
      </c>
      <c r="AN38">
        <v>0</v>
      </c>
      <c r="AO38">
        <v>0</v>
      </c>
      <c r="AP38">
        <v>1</v>
      </c>
      <c r="AQ38">
        <v>1</v>
      </c>
      <c r="AR38">
        <v>0</v>
      </c>
      <c r="AS38" t="s">
        <v>3</v>
      </c>
      <c r="AT38">
        <v>1.8</v>
      </c>
      <c r="AU38" t="s">
        <v>3</v>
      </c>
      <c r="AV38">
        <v>1</v>
      </c>
      <c r="AW38">
        <v>2</v>
      </c>
      <c r="AX38">
        <v>50844043</v>
      </c>
      <c r="AY38">
        <v>1</v>
      </c>
      <c r="AZ38">
        <v>0</v>
      </c>
      <c r="BA38">
        <v>38</v>
      </c>
      <c r="BB38">
        <v>1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67.176000000000002</v>
      </c>
      <c r="BL38">
        <v>647.37</v>
      </c>
      <c r="BM38">
        <v>0</v>
      </c>
      <c r="BN38">
        <v>0</v>
      </c>
      <c r="BO38">
        <v>1.8</v>
      </c>
      <c r="BP38">
        <v>1</v>
      </c>
      <c r="BQ38">
        <v>0</v>
      </c>
      <c r="BR38">
        <v>67.176000000000002</v>
      </c>
      <c r="BS38">
        <v>647.37</v>
      </c>
      <c r="BT38">
        <v>0</v>
      </c>
      <c r="BU38">
        <v>0</v>
      </c>
      <c r="BV38">
        <v>1.8</v>
      </c>
      <c r="BW38">
        <v>1</v>
      </c>
      <c r="CV38">
        <v>0</v>
      </c>
      <c r="CW38">
        <f>ROUND(Y38*Source!I30*DO38,7)</f>
        <v>0.65717999999999999</v>
      </c>
      <c r="CX38">
        <f>ROUND(Y38*Source!I30,7)</f>
        <v>0.65717999999999999</v>
      </c>
      <c r="CY38">
        <f>AB38</f>
        <v>60.83</v>
      </c>
      <c r="CZ38">
        <f>AF38</f>
        <v>37.32</v>
      </c>
      <c r="DA38">
        <f>AJ38</f>
        <v>1.63</v>
      </c>
      <c r="DB38">
        <f t="shared" si="1"/>
        <v>67.180000000000007</v>
      </c>
      <c r="DC38">
        <f t="shared" si="2"/>
        <v>647.37</v>
      </c>
      <c r="DD38" t="s">
        <v>3</v>
      </c>
      <c r="DE38" t="s">
        <v>3</v>
      </c>
      <c r="DF38">
        <f t="shared" si="17"/>
        <v>0</v>
      </c>
      <c r="DG38">
        <f>ROUND(ROUND(AF38*AJ38,2)*CX38,2)</f>
        <v>39.979999999999997</v>
      </c>
      <c r="DH38">
        <f t="shared" si="18"/>
        <v>236.35</v>
      </c>
      <c r="DI38">
        <f t="shared" si="19"/>
        <v>0</v>
      </c>
      <c r="DJ38">
        <f>DG38+DH38</f>
        <v>276.33</v>
      </c>
      <c r="DK38">
        <v>0</v>
      </c>
      <c r="DL38" t="s">
        <v>303</v>
      </c>
      <c r="DM38">
        <v>3</v>
      </c>
      <c r="DN38" t="s">
        <v>252</v>
      </c>
      <c r="DO38">
        <v>1</v>
      </c>
    </row>
    <row r="39" spans="1:119">
      <c r="A39">
        <f>ROW(Source!A30)</f>
        <v>30</v>
      </c>
      <c r="B39">
        <v>50837261</v>
      </c>
      <c r="C39">
        <v>50844040</v>
      </c>
      <c r="D39">
        <v>49760830</v>
      </c>
      <c r="E39">
        <v>1</v>
      </c>
      <c r="F39">
        <v>1</v>
      </c>
      <c r="G39">
        <v>1</v>
      </c>
      <c r="H39">
        <v>2</v>
      </c>
      <c r="I39" t="s">
        <v>304</v>
      </c>
      <c r="J39" t="s">
        <v>305</v>
      </c>
      <c r="K39" t="s">
        <v>306</v>
      </c>
      <c r="L39">
        <v>1368</v>
      </c>
      <c r="N39">
        <v>1011</v>
      </c>
      <c r="O39" t="s">
        <v>258</v>
      </c>
      <c r="P39" t="s">
        <v>258</v>
      </c>
      <c r="Q39">
        <v>1</v>
      </c>
      <c r="W39">
        <v>0</v>
      </c>
      <c r="X39">
        <v>-2043076807</v>
      </c>
      <c r="Y39">
        <f t="shared" si="0"/>
        <v>19.2</v>
      </c>
      <c r="AA39">
        <v>0</v>
      </c>
      <c r="AB39">
        <v>181.23</v>
      </c>
      <c r="AC39">
        <v>0</v>
      </c>
      <c r="AD39">
        <v>0</v>
      </c>
      <c r="AE39">
        <v>0</v>
      </c>
      <c r="AF39">
        <v>115.43</v>
      </c>
      <c r="AG39">
        <v>0</v>
      </c>
      <c r="AH39">
        <v>0</v>
      </c>
      <c r="AI39">
        <v>1</v>
      </c>
      <c r="AJ39">
        <v>1.57</v>
      </c>
      <c r="AK39">
        <v>1</v>
      </c>
      <c r="AL39">
        <v>1</v>
      </c>
      <c r="AM39">
        <v>2</v>
      </c>
      <c r="AN39">
        <v>0</v>
      </c>
      <c r="AO39">
        <v>0</v>
      </c>
      <c r="AP39">
        <v>1</v>
      </c>
      <c r="AQ39">
        <v>1</v>
      </c>
      <c r="AR39">
        <v>0</v>
      </c>
      <c r="AS39" t="s">
        <v>3</v>
      </c>
      <c r="AT39">
        <v>19.2</v>
      </c>
      <c r="AU39" t="s">
        <v>3</v>
      </c>
      <c r="AV39">
        <v>1</v>
      </c>
      <c r="AW39">
        <v>2</v>
      </c>
      <c r="AX39">
        <v>50844044</v>
      </c>
      <c r="AY39">
        <v>1</v>
      </c>
      <c r="AZ39">
        <v>0</v>
      </c>
      <c r="BA39">
        <v>39</v>
      </c>
      <c r="BB39">
        <v>1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2216.2559999999999</v>
      </c>
      <c r="BL39">
        <v>0</v>
      </c>
      <c r="BM39">
        <v>0</v>
      </c>
      <c r="BN39">
        <v>0</v>
      </c>
      <c r="BO39">
        <v>0</v>
      </c>
      <c r="BP39">
        <v>1</v>
      </c>
      <c r="BQ39">
        <v>0</v>
      </c>
      <c r="BR39">
        <v>2216.2559999999999</v>
      </c>
      <c r="BS39">
        <v>0</v>
      </c>
      <c r="BT39">
        <v>0</v>
      </c>
      <c r="BU39">
        <v>0</v>
      </c>
      <c r="BV39">
        <v>0</v>
      </c>
      <c r="BW39">
        <v>1</v>
      </c>
      <c r="CV39">
        <v>0</v>
      </c>
      <c r="CW39">
        <f>ROUND(Y39*Source!I30*DO39,7)</f>
        <v>0</v>
      </c>
      <c r="CX39">
        <f>ROUND(Y39*Source!I30,7)</f>
        <v>7.0099200000000002</v>
      </c>
      <c r="CY39">
        <f>AB39</f>
        <v>181.23</v>
      </c>
      <c r="CZ39">
        <f>AF39</f>
        <v>115.43</v>
      </c>
      <c r="DA39">
        <f>AJ39</f>
        <v>1.57</v>
      </c>
      <c r="DB39">
        <f t="shared" si="1"/>
        <v>2216.2600000000002</v>
      </c>
      <c r="DC39">
        <f t="shared" si="2"/>
        <v>0</v>
      </c>
      <c r="DD39" t="s">
        <v>3</v>
      </c>
      <c r="DE39" t="s">
        <v>3</v>
      </c>
      <c r="DF39">
        <f t="shared" si="17"/>
        <v>0</v>
      </c>
      <c r="DG39">
        <f>ROUND(ROUND(AF39*AJ39,2)*CX39,2)</f>
        <v>1270.4100000000001</v>
      </c>
      <c r="DH39">
        <f t="shared" si="18"/>
        <v>0</v>
      </c>
      <c r="DI39">
        <f t="shared" si="19"/>
        <v>0</v>
      </c>
      <c r="DJ39">
        <f>DG39+DH39</f>
        <v>1270.4100000000001</v>
      </c>
      <c r="DK39">
        <v>0</v>
      </c>
      <c r="DL39" t="s">
        <v>3</v>
      </c>
      <c r="DM39">
        <v>0</v>
      </c>
      <c r="DN39" t="s">
        <v>3</v>
      </c>
      <c r="DO39">
        <v>0</v>
      </c>
    </row>
    <row r="40" spans="1:119">
      <c r="A40">
        <f>ROW(Source!A30)</f>
        <v>30</v>
      </c>
      <c r="B40">
        <v>50837261</v>
      </c>
      <c r="C40">
        <v>50844040</v>
      </c>
      <c r="D40">
        <v>49761221</v>
      </c>
      <c r="E40">
        <v>1</v>
      </c>
      <c r="F40">
        <v>1</v>
      </c>
      <c r="G40">
        <v>1</v>
      </c>
      <c r="H40">
        <v>2</v>
      </c>
      <c r="I40" t="s">
        <v>307</v>
      </c>
      <c r="J40" t="s">
        <v>308</v>
      </c>
      <c r="K40" t="s">
        <v>309</v>
      </c>
      <c r="L40">
        <v>1368</v>
      </c>
      <c r="N40">
        <v>1011</v>
      </c>
      <c r="O40" t="s">
        <v>258</v>
      </c>
      <c r="P40" t="s">
        <v>258</v>
      </c>
      <c r="Q40">
        <v>1</v>
      </c>
      <c r="W40">
        <v>0</v>
      </c>
      <c r="X40">
        <v>584770812</v>
      </c>
      <c r="Y40">
        <f t="shared" si="0"/>
        <v>38.4</v>
      </c>
      <c r="AA40">
        <v>0</v>
      </c>
      <c r="AB40">
        <v>3.06</v>
      </c>
      <c r="AC40">
        <v>0</v>
      </c>
      <c r="AD40">
        <v>0</v>
      </c>
      <c r="AE40">
        <v>0</v>
      </c>
      <c r="AF40">
        <v>2.11</v>
      </c>
      <c r="AG40">
        <v>0</v>
      </c>
      <c r="AH40">
        <v>0</v>
      </c>
      <c r="AI40">
        <v>1</v>
      </c>
      <c r="AJ40">
        <v>1.45</v>
      </c>
      <c r="AK40">
        <v>1</v>
      </c>
      <c r="AL40">
        <v>1</v>
      </c>
      <c r="AM40">
        <v>2</v>
      </c>
      <c r="AN40">
        <v>0</v>
      </c>
      <c r="AO40">
        <v>0</v>
      </c>
      <c r="AP40">
        <v>1</v>
      </c>
      <c r="AQ40">
        <v>1</v>
      </c>
      <c r="AR40">
        <v>0</v>
      </c>
      <c r="AS40" t="s">
        <v>3</v>
      </c>
      <c r="AT40">
        <v>38.4</v>
      </c>
      <c r="AU40" t="s">
        <v>3</v>
      </c>
      <c r="AV40">
        <v>1</v>
      </c>
      <c r="AW40">
        <v>2</v>
      </c>
      <c r="AX40">
        <v>50844045</v>
      </c>
      <c r="AY40">
        <v>1</v>
      </c>
      <c r="AZ40">
        <v>0</v>
      </c>
      <c r="BA40">
        <v>40</v>
      </c>
      <c r="BB40">
        <v>1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81.023999999999987</v>
      </c>
      <c r="BL40">
        <v>0</v>
      </c>
      <c r="BM40">
        <v>0</v>
      </c>
      <c r="BN40">
        <v>0</v>
      </c>
      <c r="BO40">
        <v>0</v>
      </c>
      <c r="BP40">
        <v>1</v>
      </c>
      <c r="BQ40">
        <v>0</v>
      </c>
      <c r="BR40">
        <v>81.023999999999987</v>
      </c>
      <c r="BS40">
        <v>0</v>
      </c>
      <c r="BT40">
        <v>0</v>
      </c>
      <c r="BU40">
        <v>0</v>
      </c>
      <c r="BV40">
        <v>0</v>
      </c>
      <c r="BW40">
        <v>1</v>
      </c>
      <c r="CV40">
        <v>0</v>
      </c>
      <c r="CW40">
        <f>ROUND(Y40*Source!I30*DO40,7)</f>
        <v>0</v>
      </c>
      <c r="CX40">
        <f>ROUND(Y40*Source!I30,7)</f>
        <v>14.01984</v>
      </c>
      <c r="CY40">
        <f>AB40</f>
        <v>3.06</v>
      </c>
      <c r="CZ40">
        <f>AF40</f>
        <v>2.11</v>
      </c>
      <c r="DA40">
        <f>AJ40</f>
        <v>1.45</v>
      </c>
      <c r="DB40">
        <f t="shared" si="1"/>
        <v>81.02</v>
      </c>
      <c r="DC40">
        <f t="shared" si="2"/>
        <v>0</v>
      </c>
      <c r="DD40" t="s">
        <v>3</v>
      </c>
      <c r="DE40" t="s">
        <v>3</v>
      </c>
      <c r="DF40">
        <f t="shared" si="17"/>
        <v>0</v>
      </c>
      <c r="DG40">
        <f>ROUND(ROUND(AF40*AJ40,2)*CX40,2)</f>
        <v>42.9</v>
      </c>
      <c r="DH40">
        <f t="shared" si="18"/>
        <v>0</v>
      </c>
      <c r="DI40">
        <f t="shared" si="19"/>
        <v>0</v>
      </c>
      <c r="DJ40">
        <f>DG40+DH40</f>
        <v>42.9</v>
      </c>
      <c r="DK40">
        <v>0</v>
      </c>
      <c r="DL40" t="s">
        <v>3</v>
      </c>
      <c r="DM40">
        <v>0</v>
      </c>
      <c r="DN40" t="s">
        <v>3</v>
      </c>
      <c r="DO40">
        <v>0</v>
      </c>
    </row>
    <row r="41" spans="1:119">
      <c r="A41">
        <f>ROW(Source!A30)</f>
        <v>30</v>
      </c>
      <c r="B41">
        <v>50837261</v>
      </c>
      <c r="C41">
        <v>50844040</v>
      </c>
      <c r="D41">
        <v>49759032</v>
      </c>
      <c r="E41">
        <v>117</v>
      </c>
      <c r="F41">
        <v>1</v>
      </c>
      <c r="G41">
        <v>1</v>
      </c>
      <c r="H41">
        <v>3</v>
      </c>
      <c r="I41" t="s">
        <v>44</v>
      </c>
      <c r="J41" t="s">
        <v>3</v>
      </c>
      <c r="K41" t="s">
        <v>45</v>
      </c>
      <c r="L41">
        <v>1348</v>
      </c>
      <c r="N41">
        <v>1009</v>
      </c>
      <c r="O41" t="s">
        <v>46</v>
      </c>
      <c r="P41" t="s">
        <v>46</v>
      </c>
      <c r="Q41">
        <v>1000</v>
      </c>
      <c r="W41">
        <v>0</v>
      </c>
      <c r="X41">
        <v>2102561428</v>
      </c>
      <c r="Y41">
        <f t="shared" si="0"/>
        <v>33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1</v>
      </c>
      <c r="AJ41">
        <v>1</v>
      </c>
      <c r="AK41">
        <v>1</v>
      </c>
      <c r="AL41">
        <v>1</v>
      </c>
      <c r="AM41">
        <v>0</v>
      </c>
      <c r="AN41">
        <v>0</v>
      </c>
      <c r="AO41">
        <v>0</v>
      </c>
      <c r="AP41">
        <v>1</v>
      </c>
      <c r="AQ41">
        <v>0</v>
      </c>
      <c r="AR41">
        <v>0</v>
      </c>
      <c r="AS41" t="s">
        <v>3</v>
      </c>
      <c r="AT41">
        <v>33</v>
      </c>
      <c r="AU41" t="s">
        <v>3</v>
      </c>
      <c r="AV41">
        <v>0</v>
      </c>
      <c r="AW41">
        <v>2</v>
      </c>
      <c r="AX41">
        <v>50844046</v>
      </c>
      <c r="AY41">
        <v>1</v>
      </c>
      <c r="AZ41">
        <v>0</v>
      </c>
      <c r="BA41">
        <v>41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V41">
        <v>0</v>
      </c>
      <c r="CW41">
        <v>0</v>
      </c>
      <c r="CX41">
        <f>ROUND(Y41*Source!I30,7)</f>
        <v>12.048299999999999</v>
      </c>
      <c r="CY41">
        <f>AA41</f>
        <v>0</v>
      </c>
      <c r="CZ41">
        <f>AE41</f>
        <v>0</v>
      </c>
      <c r="DA41">
        <f>AI41</f>
        <v>1</v>
      </c>
      <c r="DB41">
        <f t="shared" si="1"/>
        <v>0</v>
      </c>
      <c r="DC41">
        <f t="shared" si="2"/>
        <v>0</v>
      </c>
      <c r="DD41" t="s">
        <v>3</v>
      </c>
      <c r="DE41" t="s">
        <v>3</v>
      </c>
      <c r="DF41">
        <f t="shared" si="17"/>
        <v>0</v>
      </c>
      <c r="DG41">
        <f t="shared" ref="DG41:DG46" si="20">ROUND(ROUND(AF41,2)*CX41,2)</f>
        <v>0</v>
      </c>
      <c r="DH41">
        <f t="shared" si="18"/>
        <v>0</v>
      </c>
      <c r="DI41">
        <f t="shared" si="19"/>
        <v>0</v>
      </c>
      <c r="DJ41">
        <f>DF41</f>
        <v>0</v>
      </c>
      <c r="DK41">
        <v>0</v>
      </c>
      <c r="DL41" t="s">
        <v>3</v>
      </c>
      <c r="DM41">
        <v>0</v>
      </c>
      <c r="DN41" t="s">
        <v>3</v>
      </c>
      <c r="DO41">
        <v>0</v>
      </c>
    </row>
    <row r="42" spans="1:119">
      <c r="A42">
        <f>ROW(Source!A32)</f>
        <v>32</v>
      </c>
      <c r="B42">
        <v>50837261</v>
      </c>
      <c r="C42">
        <v>50844048</v>
      </c>
      <c r="D42">
        <v>49752853</v>
      </c>
      <c r="E42">
        <v>117</v>
      </c>
      <c r="F42">
        <v>1</v>
      </c>
      <c r="G42">
        <v>1</v>
      </c>
      <c r="H42">
        <v>1</v>
      </c>
      <c r="I42" t="s">
        <v>310</v>
      </c>
      <c r="J42" t="s">
        <v>3</v>
      </c>
      <c r="K42" t="s">
        <v>311</v>
      </c>
      <c r="L42">
        <v>1191</v>
      </c>
      <c r="N42">
        <v>1013</v>
      </c>
      <c r="O42" t="s">
        <v>252</v>
      </c>
      <c r="P42" t="s">
        <v>252</v>
      </c>
      <c r="Q42">
        <v>1</v>
      </c>
      <c r="W42">
        <v>0</v>
      </c>
      <c r="X42">
        <v>-1833565283</v>
      </c>
      <c r="Y42">
        <f>(AT42*ROUND(10,7))</f>
        <v>27.200000000000003</v>
      </c>
      <c r="AA42">
        <v>0</v>
      </c>
      <c r="AB42">
        <v>0</v>
      </c>
      <c r="AC42">
        <v>0</v>
      </c>
      <c r="AD42">
        <v>359.65</v>
      </c>
      <c r="AE42">
        <v>0</v>
      </c>
      <c r="AF42">
        <v>0</v>
      </c>
      <c r="AG42">
        <v>0</v>
      </c>
      <c r="AH42">
        <v>359.65</v>
      </c>
      <c r="AI42">
        <v>1</v>
      </c>
      <c r="AJ42">
        <v>1</v>
      </c>
      <c r="AK42">
        <v>1</v>
      </c>
      <c r="AL42">
        <v>1</v>
      </c>
      <c r="AM42">
        <v>-2</v>
      </c>
      <c r="AN42">
        <v>0</v>
      </c>
      <c r="AO42">
        <v>0</v>
      </c>
      <c r="AP42">
        <v>1</v>
      </c>
      <c r="AQ42">
        <v>1</v>
      </c>
      <c r="AR42">
        <v>0</v>
      </c>
      <c r="AS42" t="s">
        <v>3</v>
      </c>
      <c r="AT42">
        <v>2.72</v>
      </c>
      <c r="AU42" t="s">
        <v>60</v>
      </c>
      <c r="AV42">
        <v>1</v>
      </c>
      <c r="AW42">
        <v>2</v>
      </c>
      <c r="AX42">
        <v>50844050</v>
      </c>
      <c r="AY42">
        <v>1</v>
      </c>
      <c r="AZ42">
        <v>0</v>
      </c>
      <c r="BA42">
        <v>42</v>
      </c>
      <c r="BB42">
        <v>1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978.24800000000005</v>
      </c>
      <c r="BN42">
        <v>2.72</v>
      </c>
      <c r="BO42">
        <v>0</v>
      </c>
      <c r="BP42">
        <v>1</v>
      </c>
      <c r="BQ42">
        <v>0</v>
      </c>
      <c r="BR42">
        <v>0</v>
      </c>
      <c r="BS42">
        <v>0</v>
      </c>
      <c r="BT42">
        <v>9782.48</v>
      </c>
      <c r="BU42">
        <v>27.200000000000003</v>
      </c>
      <c r="BV42">
        <v>0</v>
      </c>
      <c r="BW42">
        <v>1</v>
      </c>
      <c r="CU42">
        <f>ROUND(AT42*Source!I32*AH42*AL42,2)</f>
        <v>-348.35</v>
      </c>
      <c r="CV42">
        <f>ROUND(Y42*Source!I32,7)</f>
        <v>-9.6859199999999994</v>
      </c>
      <c r="CW42">
        <v>0</v>
      </c>
      <c r="CX42">
        <f>ROUND(Y42*Source!I32,7)</f>
        <v>-9.6859199999999994</v>
      </c>
      <c r="CY42">
        <f>AD42</f>
        <v>359.65</v>
      </c>
      <c r="CZ42">
        <f>AH42</f>
        <v>359.65</v>
      </c>
      <c r="DA42">
        <f>AL42</f>
        <v>1</v>
      </c>
      <c r="DB42">
        <f>ROUND((ROUND(AT42*CZ42,2)*ROUND(10,7)),6)</f>
        <v>9782.5</v>
      </c>
      <c r="DC42">
        <f>ROUND((ROUND(AT42*AG42,2)*ROUND(10,7)),6)</f>
        <v>0</v>
      </c>
      <c r="DD42" t="s">
        <v>3</v>
      </c>
      <c r="DE42" t="s">
        <v>3</v>
      </c>
      <c r="DF42">
        <f t="shared" si="17"/>
        <v>0</v>
      </c>
      <c r="DG42">
        <f t="shared" si="20"/>
        <v>0</v>
      </c>
      <c r="DH42">
        <f t="shared" si="18"/>
        <v>0</v>
      </c>
      <c r="DI42">
        <f t="shared" si="19"/>
        <v>-3483.54</v>
      </c>
      <c r="DJ42">
        <f>DI42</f>
        <v>-3483.54</v>
      </c>
      <c r="DK42">
        <v>1</v>
      </c>
      <c r="DL42" t="s">
        <v>3</v>
      </c>
      <c r="DM42">
        <v>0</v>
      </c>
      <c r="DN42" t="s">
        <v>3</v>
      </c>
      <c r="DO42">
        <v>0</v>
      </c>
    </row>
    <row r="43" spans="1:119">
      <c r="A43">
        <f>ROW(Source!A32)</f>
        <v>32</v>
      </c>
      <c r="B43">
        <v>50837261</v>
      </c>
      <c r="C43">
        <v>50844048</v>
      </c>
      <c r="D43">
        <v>49759032</v>
      </c>
      <c r="E43">
        <v>117</v>
      </c>
      <c r="F43">
        <v>1</v>
      </c>
      <c r="G43">
        <v>1</v>
      </c>
      <c r="H43">
        <v>3</v>
      </c>
      <c r="I43" t="s">
        <v>44</v>
      </c>
      <c r="J43" t="s">
        <v>3</v>
      </c>
      <c r="K43" t="s">
        <v>45</v>
      </c>
      <c r="L43">
        <v>1348</v>
      </c>
      <c r="N43">
        <v>1009</v>
      </c>
      <c r="O43" t="s">
        <v>46</v>
      </c>
      <c r="P43" t="s">
        <v>46</v>
      </c>
      <c r="Q43">
        <v>1000</v>
      </c>
      <c r="W43">
        <v>0</v>
      </c>
      <c r="X43">
        <v>2102561428</v>
      </c>
      <c r="Y43">
        <f>(AT43*ROUND(10,7))</f>
        <v>11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1</v>
      </c>
      <c r="AJ43">
        <v>1</v>
      </c>
      <c r="AK43">
        <v>1</v>
      </c>
      <c r="AL43">
        <v>1</v>
      </c>
      <c r="AM43">
        <v>0</v>
      </c>
      <c r="AN43">
        <v>0</v>
      </c>
      <c r="AO43">
        <v>0</v>
      </c>
      <c r="AP43">
        <v>1</v>
      </c>
      <c r="AQ43">
        <v>0</v>
      </c>
      <c r="AR43">
        <v>0</v>
      </c>
      <c r="AS43" t="s">
        <v>3</v>
      </c>
      <c r="AT43">
        <v>1.1000000000000001</v>
      </c>
      <c r="AU43" t="s">
        <v>60</v>
      </c>
      <c r="AV43">
        <v>0</v>
      </c>
      <c r="AW43">
        <v>2</v>
      </c>
      <c r="AX43">
        <v>50844051</v>
      </c>
      <c r="AY43">
        <v>1</v>
      </c>
      <c r="AZ43">
        <v>0</v>
      </c>
      <c r="BA43">
        <v>43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V43">
        <v>0</v>
      </c>
      <c r="CW43">
        <v>0</v>
      </c>
      <c r="CX43">
        <f>ROUND(Y43*Source!I32,7)</f>
        <v>-3.9171</v>
      </c>
      <c r="CY43">
        <f>AA43</f>
        <v>0</v>
      </c>
      <c r="CZ43">
        <f>AE43</f>
        <v>0</v>
      </c>
      <c r="DA43">
        <f>AI43</f>
        <v>1</v>
      </c>
      <c r="DB43">
        <f>ROUND((ROUND(AT43*CZ43,2)*ROUND(10,7)),6)</f>
        <v>0</v>
      </c>
      <c r="DC43">
        <f>ROUND((ROUND(AT43*AG43,2)*ROUND(10,7)),6)</f>
        <v>0</v>
      </c>
      <c r="DD43" t="s">
        <v>3</v>
      </c>
      <c r="DE43" t="s">
        <v>3</v>
      </c>
      <c r="DF43">
        <f t="shared" si="17"/>
        <v>0</v>
      </c>
      <c r="DG43">
        <f t="shared" si="20"/>
        <v>0</v>
      </c>
      <c r="DH43">
        <f t="shared" si="18"/>
        <v>0</v>
      </c>
      <c r="DI43">
        <f t="shared" si="19"/>
        <v>0</v>
      </c>
      <c r="DJ43">
        <f>DF43</f>
        <v>0</v>
      </c>
      <c r="DK43">
        <v>0</v>
      </c>
      <c r="DL43" t="s">
        <v>3</v>
      </c>
      <c r="DM43">
        <v>0</v>
      </c>
      <c r="DN43" t="s">
        <v>3</v>
      </c>
      <c r="DO43">
        <v>0</v>
      </c>
    </row>
    <row r="44" spans="1:119">
      <c r="A44">
        <f>ROW(Source!A34)</f>
        <v>34</v>
      </c>
      <c r="B44">
        <v>50837261</v>
      </c>
      <c r="C44">
        <v>50844053</v>
      </c>
      <c r="D44">
        <v>49752853</v>
      </c>
      <c r="E44">
        <v>117</v>
      </c>
      <c r="F44">
        <v>1</v>
      </c>
      <c r="G44">
        <v>1</v>
      </c>
      <c r="H44">
        <v>1</v>
      </c>
      <c r="I44" t="s">
        <v>310</v>
      </c>
      <c r="J44" t="s">
        <v>3</v>
      </c>
      <c r="K44" t="s">
        <v>311</v>
      </c>
      <c r="L44">
        <v>1191</v>
      </c>
      <c r="N44">
        <v>1013</v>
      </c>
      <c r="O44" t="s">
        <v>252</v>
      </c>
      <c r="P44" t="s">
        <v>252</v>
      </c>
      <c r="Q44">
        <v>1</v>
      </c>
      <c r="W44">
        <v>0</v>
      </c>
      <c r="X44">
        <v>-1833565283</v>
      </c>
      <c r="Y44">
        <f>(AT44*ROUND(1.15,7))</f>
        <v>13.431999999999999</v>
      </c>
      <c r="AA44">
        <v>0</v>
      </c>
      <c r="AB44">
        <v>0</v>
      </c>
      <c r="AC44">
        <v>0</v>
      </c>
      <c r="AD44">
        <v>359.65</v>
      </c>
      <c r="AE44">
        <v>0</v>
      </c>
      <c r="AF44">
        <v>0</v>
      </c>
      <c r="AG44">
        <v>0</v>
      </c>
      <c r="AH44">
        <v>359.65</v>
      </c>
      <c r="AI44">
        <v>1</v>
      </c>
      <c r="AJ44">
        <v>1</v>
      </c>
      <c r="AK44">
        <v>1</v>
      </c>
      <c r="AL44">
        <v>1</v>
      </c>
      <c r="AM44">
        <v>-2</v>
      </c>
      <c r="AN44">
        <v>0</v>
      </c>
      <c r="AO44">
        <v>0</v>
      </c>
      <c r="AP44">
        <v>1</v>
      </c>
      <c r="AQ44">
        <v>1</v>
      </c>
      <c r="AR44">
        <v>0</v>
      </c>
      <c r="AS44" t="s">
        <v>3</v>
      </c>
      <c r="AT44">
        <v>11.68</v>
      </c>
      <c r="AU44" t="s">
        <v>68</v>
      </c>
      <c r="AV44">
        <v>1</v>
      </c>
      <c r="AW44">
        <v>2</v>
      </c>
      <c r="AX44">
        <v>50844054</v>
      </c>
      <c r="AY44">
        <v>1</v>
      </c>
      <c r="AZ44">
        <v>0</v>
      </c>
      <c r="BA44">
        <v>44</v>
      </c>
      <c r="BB44">
        <v>1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4200.7119999999995</v>
      </c>
      <c r="BN44">
        <v>11.68</v>
      </c>
      <c r="BO44">
        <v>0</v>
      </c>
      <c r="BP44">
        <v>1</v>
      </c>
      <c r="BQ44">
        <v>0</v>
      </c>
      <c r="BR44">
        <v>0</v>
      </c>
      <c r="BS44">
        <v>0</v>
      </c>
      <c r="BT44">
        <v>4830.8187999999991</v>
      </c>
      <c r="BU44">
        <v>13.431999999999999</v>
      </c>
      <c r="BV44">
        <v>0</v>
      </c>
      <c r="BW44">
        <v>1</v>
      </c>
      <c r="CU44">
        <f>ROUND(AT44*Source!I34*AH44*AL44,2)</f>
        <v>29917.47</v>
      </c>
      <c r="CV44">
        <f>ROUND(Y44*Source!I34,7)</f>
        <v>95.662704000000005</v>
      </c>
      <c r="CW44">
        <v>0</v>
      </c>
      <c r="CX44">
        <f>ROUND(Y44*Source!I34,7)</f>
        <v>95.662704000000005</v>
      </c>
      <c r="CY44">
        <f>AD44</f>
        <v>359.65</v>
      </c>
      <c r="CZ44">
        <f>AH44</f>
        <v>359.65</v>
      </c>
      <c r="DA44">
        <f>AL44</f>
        <v>1</v>
      </c>
      <c r="DB44">
        <f>ROUND((ROUND(AT44*CZ44,2)*ROUND(1.15,7)),6)</f>
        <v>4830.8164999999999</v>
      </c>
      <c r="DC44">
        <f>ROUND((ROUND(AT44*AG44,2)*ROUND(1.15,7)),6)</f>
        <v>0</v>
      </c>
      <c r="DD44" t="s">
        <v>3</v>
      </c>
      <c r="DE44" t="s">
        <v>3</v>
      </c>
      <c r="DF44">
        <f t="shared" si="17"/>
        <v>0</v>
      </c>
      <c r="DG44">
        <f t="shared" si="20"/>
        <v>0</v>
      </c>
      <c r="DH44">
        <f t="shared" si="18"/>
        <v>0</v>
      </c>
      <c r="DI44">
        <f t="shared" si="19"/>
        <v>34405.089999999997</v>
      </c>
      <c r="DJ44">
        <f>DI44</f>
        <v>34405.089999999997</v>
      </c>
      <c r="DK44">
        <v>1</v>
      </c>
      <c r="DL44" t="s">
        <v>3</v>
      </c>
      <c r="DM44">
        <v>0</v>
      </c>
      <c r="DN44" t="s">
        <v>3</v>
      </c>
      <c r="DO44">
        <v>0</v>
      </c>
    </row>
    <row r="45" spans="1:119">
      <c r="A45">
        <f>ROW(Source!A34)</f>
        <v>34</v>
      </c>
      <c r="B45">
        <v>50837261</v>
      </c>
      <c r="C45">
        <v>50844053</v>
      </c>
      <c r="D45">
        <v>49753052</v>
      </c>
      <c r="E45">
        <v>117</v>
      </c>
      <c r="F45">
        <v>1</v>
      </c>
      <c r="G45">
        <v>1</v>
      </c>
      <c r="H45">
        <v>1</v>
      </c>
      <c r="I45" t="s">
        <v>253</v>
      </c>
      <c r="J45" t="s">
        <v>3</v>
      </c>
      <c r="K45" t="s">
        <v>254</v>
      </c>
      <c r="L45">
        <v>1191</v>
      </c>
      <c r="N45">
        <v>1013</v>
      </c>
      <c r="O45" t="s">
        <v>252</v>
      </c>
      <c r="P45" t="s">
        <v>252</v>
      </c>
      <c r="Q45">
        <v>1</v>
      </c>
      <c r="W45">
        <v>0</v>
      </c>
      <c r="X45">
        <v>-1417349443</v>
      </c>
      <c r="Y45">
        <f>(AT45*ROUND(1.25,7))</f>
        <v>0.23749999999999999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1</v>
      </c>
      <c r="AJ45">
        <v>1</v>
      </c>
      <c r="AK45">
        <v>1</v>
      </c>
      <c r="AL45">
        <v>1</v>
      </c>
      <c r="AM45">
        <v>-2</v>
      </c>
      <c r="AN45">
        <v>0</v>
      </c>
      <c r="AO45">
        <v>0</v>
      </c>
      <c r="AP45">
        <v>1</v>
      </c>
      <c r="AQ45">
        <v>1</v>
      </c>
      <c r="AR45">
        <v>0</v>
      </c>
      <c r="AS45" t="s">
        <v>3</v>
      </c>
      <c r="AT45">
        <v>0.19</v>
      </c>
      <c r="AU45" t="s">
        <v>67</v>
      </c>
      <c r="AV45">
        <v>2</v>
      </c>
      <c r="AW45">
        <v>2</v>
      </c>
      <c r="AX45">
        <v>50844055</v>
      </c>
      <c r="AY45">
        <v>1</v>
      </c>
      <c r="AZ45">
        <v>0</v>
      </c>
      <c r="BA45">
        <v>45</v>
      </c>
      <c r="BB45">
        <v>1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V45">
        <v>0</v>
      </c>
      <c r="CW45">
        <v>0</v>
      </c>
      <c r="CX45">
        <f>ROUND(Y45*Source!I34,7)</f>
        <v>1.6914750000000001</v>
      </c>
      <c r="CY45">
        <f>AD45</f>
        <v>0</v>
      </c>
      <c r="CZ45">
        <f>AH45</f>
        <v>0</v>
      </c>
      <c r="DA45">
        <f>AL45</f>
        <v>1</v>
      </c>
      <c r="DB45">
        <f>ROUND((ROUND(AT45*CZ45,2)*ROUND(1.25,7)),6)</f>
        <v>0</v>
      </c>
      <c r="DC45">
        <f>ROUND((ROUND(AT45*AG45,2)*ROUND(1.25,7)),6)</f>
        <v>0</v>
      </c>
      <c r="DD45" t="s">
        <v>3</v>
      </c>
      <c r="DE45" t="s">
        <v>3</v>
      </c>
      <c r="DF45">
        <f t="shared" si="17"/>
        <v>0</v>
      </c>
      <c r="DG45">
        <f t="shared" si="20"/>
        <v>0</v>
      </c>
      <c r="DH45">
        <f t="shared" si="18"/>
        <v>0</v>
      </c>
      <c r="DI45">
        <f t="shared" si="19"/>
        <v>0</v>
      </c>
      <c r="DJ45">
        <f>DI45</f>
        <v>0</v>
      </c>
      <c r="DK45">
        <v>0</v>
      </c>
      <c r="DL45" t="s">
        <v>3</v>
      </c>
      <c r="DM45">
        <v>0</v>
      </c>
      <c r="DN45" t="s">
        <v>3</v>
      </c>
      <c r="DO45">
        <v>0</v>
      </c>
    </row>
    <row r="46" spans="1:119">
      <c r="A46">
        <f>ROW(Source!A34)</f>
        <v>34</v>
      </c>
      <c r="B46">
        <v>50837261</v>
      </c>
      <c r="C46">
        <v>50844053</v>
      </c>
      <c r="D46">
        <v>49759696</v>
      </c>
      <c r="E46">
        <v>1</v>
      </c>
      <c r="F46">
        <v>1</v>
      </c>
      <c r="G46">
        <v>1</v>
      </c>
      <c r="H46">
        <v>2</v>
      </c>
      <c r="I46" t="s">
        <v>312</v>
      </c>
      <c r="J46" t="s">
        <v>313</v>
      </c>
      <c r="K46" t="s">
        <v>314</v>
      </c>
      <c r="L46">
        <v>1368</v>
      </c>
      <c r="N46">
        <v>1011</v>
      </c>
      <c r="O46" t="s">
        <v>258</v>
      </c>
      <c r="P46" t="s">
        <v>258</v>
      </c>
      <c r="Q46">
        <v>1</v>
      </c>
      <c r="W46">
        <v>0</v>
      </c>
      <c r="X46">
        <v>639918019</v>
      </c>
      <c r="Y46">
        <f>(AT46*ROUND(1.25,7))</f>
        <v>1.2500000000000001E-2</v>
      </c>
      <c r="AA46">
        <v>0</v>
      </c>
      <c r="AB46">
        <v>1719.93</v>
      </c>
      <c r="AC46">
        <v>544.01</v>
      </c>
      <c r="AD46">
        <v>0</v>
      </c>
      <c r="AE46">
        <v>0</v>
      </c>
      <c r="AF46">
        <v>1719.93</v>
      </c>
      <c r="AG46">
        <v>544.01</v>
      </c>
      <c r="AH46">
        <v>0</v>
      </c>
      <c r="AI46">
        <v>1</v>
      </c>
      <c r="AJ46">
        <v>1</v>
      </c>
      <c r="AK46">
        <v>1</v>
      </c>
      <c r="AL46">
        <v>1</v>
      </c>
      <c r="AM46">
        <v>-2</v>
      </c>
      <c r="AN46">
        <v>0</v>
      </c>
      <c r="AO46">
        <v>0</v>
      </c>
      <c r="AP46">
        <v>1</v>
      </c>
      <c r="AQ46">
        <v>1</v>
      </c>
      <c r="AR46">
        <v>0</v>
      </c>
      <c r="AS46" t="s">
        <v>3</v>
      </c>
      <c r="AT46">
        <v>0.01</v>
      </c>
      <c r="AU46" t="s">
        <v>67</v>
      </c>
      <c r="AV46">
        <v>1</v>
      </c>
      <c r="AW46">
        <v>2</v>
      </c>
      <c r="AX46">
        <v>50844056</v>
      </c>
      <c r="AY46">
        <v>1</v>
      </c>
      <c r="AZ46">
        <v>0</v>
      </c>
      <c r="BA46">
        <v>46</v>
      </c>
      <c r="BB46">
        <v>1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17.199300000000001</v>
      </c>
      <c r="BL46">
        <v>5.4401000000000002</v>
      </c>
      <c r="BM46">
        <v>0</v>
      </c>
      <c r="BN46">
        <v>0</v>
      </c>
      <c r="BO46">
        <v>0.01</v>
      </c>
      <c r="BP46">
        <v>1</v>
      </c>
      <c r="BQ46">
        <v>0</v>
      </c>
      <c r="BR46">
        <v>21.499125000000003</v>
      </c>
      <c r="BS46">
        <v>6.8001250000000004</v>
      </c>
      <c r="BT46">
        <v>0</v>
      </c>
      <c r="BU46">
        <v>0</v>
      </c>
      <c r="BV46">
        <v>1.2500000000000001E-2</v>
      </c>
      <c r="BW46">
        <v>1</v>
      </c>
      <c r="CV46">
        <v>0</v>
      </c>
      <c r="CW46">
        <f>ROUND(Y46*Source!I34*DO46,7)</f>
        <v>8.9025000000000007E-2</v>
      </c>
      <c r="CX46">
        <f>ROUND(Y46*Source!I34,7)</f>
        <v>8.9025000000000007E-2</v>
      </c>
      <c r="CY46">
        <f>AB46</f>
        <v>1719.93</v>
      </c>
      <c r="CZ46">
        <f>AF46</f>
        <v>1719.93</v>
      </c>
      <c r="DA46">
        <f>AJ46</f>
        <v>1</v>
      </c>
      <c r="DB46">
        <f>ROUND((ROUND(AT46*CZ46,2)*ROUND(1.25,7)),6)</f>
        <v>21.5</v>
      </c>
      <c r="DC46">
        <f>ROUND((ROUND(AT46*AG46,2)*ROUND(1.25,7)),6)</f>
        <v>6.8</v>
      </c>
      <c r="DD46" t="s">
        <v>3</v>
      </c>
      <c r="DE46" t="s">
        <v>3</v>
      </c>
      <c r="DF46">
        <f t="shared" si="17"/>
        <v>0</v>
      </c>
      <c r="DG46">
        <f t="shared" si="20"/>
        <v>153.12</v>
      </c>
      <c r="DH46">
        <f t="shared" si="18"/>
        <v>48.43</v>
      </c>
      <c r="DI46">
        <f t="shared" si="19"/>
        <v>0</v>
      </c>
      <c r="DJ46">
        <f>DG46+DH46</f>
        <v>201.55</v>
      </c>
      <c r="DK46">
        <v>1</v>
      </c>
      <c r="DL46" t="s">
        <v>315</v>
      </c>
      <c r="DM46">
        <v>6</v>
      </c>
      <c r="DN46" t="s">
        <v>252</v>
      </c>
      <c r="DO46">
        <v>1</v>
      </c>
    </row>
    <row r="47" spans="1:119">
      <c r="A47">
        <f>ROW(Source!A34)</f>
        <v>34</v>
      </c>
      <c r="B47">
        <v>50837261</v>
      </c>
      <c r="C47">
        <v>50844053</v>
      </c>
      <c r="D47">
        <v>49759954</v>
      </c>
      <c r="E47">
        <v>1</v>
      </c>
      <c r="F47">
        <v>1</v>
      </c>
      <c r="G47">
        <v>1</v>
      </c>
      <c r="H47">
        <v>2</v>
      </c>
      <c r="I47" t="s">
        <v>316</v>
      </c>
      <c r="J47" t="s">
        <v>317</v>
      </c>
      <c r="K47" t="s">
        <v>318</v>
      </c>
      <c r="L47">
        <v>1368</v>
      </c>
      <c r="N47">
        <v>1011</v>
      </c>
      <c r="O47" t="s">
        <v>258</v>
      </c>
      <c r="P47" t="s">
        <v>258</v>
      </c>
      <c r="Q47">
        <v>1</v>
      </c>
      <c r="W47">
        <v>0</v>
      </c>
      <c r="X47">
        <v>169089501</v>
      </c>
      <c r="Y47">
        <f>(AT47*ROUND(1.25,7))</f>
        <v>2.875</v>
      </c>
      <c r="AA47">
        <v>0</v>
      </c>
      <c r="AB47">
        <v>13.38</v>
      </c>
      <c r="AC47">
        <v>0</v>
      </c>
      <c r="AD47">
        <v>0</v>
      </c>
      <c r="AE47">
        <v>0</v>
      </c>
      <c r="AF47">
        <v>10.37</v>
      </c>
      <c r="AG47">
        <v>0</v>
      </c>
      <c r="AH47">
        <v>0</v>
      </c>
      <c r="AI47">
        <v>1</v>
      </c>
      <c r="AJ47">
        <v>1.29</v>
      </c>
      <c r="AK47">
        <v>1</v>
      </c>
      <c r="AL47">
        <v>1</v>
      </c>
      <c r="AM47">
        <v>2</v>
      </c>
      <c r="AN47">
        <v>0</v>
      </c>
      <c r="AO47">
        <v>0</v>
      </c>
      <c r="AP47">
        <v>1</v>
      </c>
      <c r="AQ47">
        <v>1</v>
      </c>
      <c r="AR47">
        <v>0</v>
      </c>
      <c r="AS47" t="s">
        <v>3</v>
      </c>
      <c r="AT47">
        <v>2.2999999999999998</v>
      </c>
      <c r="AU47" t="s">
        <v>67</v>
      </c>
      <c r="AV47">
        <v>1</v>
      </c>
      <c r="AW47">
        <v>2</v>
      </c>
      <c r="AX47">
        <v>50844057</v>
      </c>
      <c r="AY47">
        <v>1</v>
      </c>
      <c r="AZ47">
        <v>0</v>
      </c>
      <c r="BA47">
        <v>47</v>
      </c>
      <c r="BB47">
        <v>1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23.850999999999996</v>
      </c>
      <c r="BL47">
        <v>0</v>
      </c>
      <c r="BM47">
        <v>0</v>
      </c>
      <c r="BN47">
        <v>0</v>
      </c>
      <c r="BO47">
        <v>0</v>
      </c>
      <c r="BP47">
        <v>1</v>
      </c>
      <c r="BQ47">
        <v>0</v>
      </c>
      <c r="BR47">
        <v>29.813749999999999</v>
      </c>
      <c r="BS47">
        <v>0</v>
      </c>
      <c r="BT47">
        <v>0</v>
      </c>
      <c r="BU47">
        <v>0</v>
      </c>
      <c r="BV47">
        <v>0</v>
      </c>
      <c r="BW47">
        <v>1</v>
      </c>
      <c r="CV47">
        <v>0</v>
      </c>
      <c r="CW47">
        <f>ROUND(Y47*Source!I34*DO47,7)</f>
        <v>0</v>
      </c>
      <c r="CX47">
        <f>ROUND(Y47*Source!I34,7)</f>
        <v>20.475750000000001</v>
      </c>
      <c r="CY47">
        <f>AB47</f>
        <v>13.38</v>
      </c>
      <c r="CZ47">
        <f>AF47</f>
        <v>10.37</v>
      </c>
      <c r="DA47">
        <f>AJ47</f>
        <v>1.29</v>
      </c>
      <c r="DB47">
        <f>ROUND((ROUND(AT47*CZ47,2)*ROUND(1.25,7)),6)</f>
        <v>29.8125</v>
      </c>
      <c r="DC47">
        <f>ROUND((ROUND(AT47*AG47,2)*ROUND(1.25,7)),6)</f>
        <v>0</v>
      </c>
      <c r="DD47" t="s">
        <v>3</v>
      </c>
      <c r="DE47" t="s">
        <v>3</v>
      </c>
      <c r="DF47">
        <f t="shared" si="17"/>
        <v>0</v>
      </c>
      <c r="DG47">
        <f>ROUND(ROUND(AF47*AJ47,2)*CX47,2)</f>
        <v>273.97000000000003</v>
      </c>
      <c r="DH47">
        <f t="shared" si="18"/>
        <v>0</v>
      </c>
      <c r="DI47">
        <f t="shared" si="19"/>
        <v>0</v>
      </c>
      <c r="DJ47">
        <f>DG47+DH47</f>
        <v>273.97000000000003</v>
      </c>
      <c r="DK47">
        <v>0</v>
      </c>
      <c r="DL47" t="s">
        <v>3</v>
      </c>
      <c r="DM47">
        <v>0</v>
      </c>
      <c r="DN47" t="s">
        <v>3</v>
      </c>
      <c r="DO47">
        <v>0</v>
      </c>
    </row>
    <row r="48" spans="1:119">
      <c r="A48">
        <f>ROW(Source!A34)</f>
        <v>34</v>
      </c>
      <c r="B48">
        <v>50837261</v>
      </c>
      <c r="C48">
        <v>50844053</v>
      </c>
      <c r="D48">
        <v>49759955</v>
      </c>
      <c r="E48">
        <v>1</v>
      </c>
      <c r="F48">
        <v>1</v>
      </c>
      <c r="G48">
        <v>1</v>
      </c>
      <c r="H48">
        <v>2</v>
      </c>
      <c r="I48" t="s">
        <v>319</v>
      </c>
      <c r="J48" t="s">
        <v>320</v>
      </c>
      <c r="K48" t="s">
        <v>321</v>
      </c>
      <c r="L48">
        <v>1368</v>
      </c>
      <c r="N48">
        <v>1011</v>
      </c>
      <c r="O48" t="s">
        <v>258</v>
      </c>
      <c r="P48" t="s">
        <v>258</v>
      </c>
      <c r="Q48">
        <v>1</v>
      </c>
      <c r="W48">
        <v>0</v>
      </c>
      <c r="X48">
        <v>-521523170</v>
      </c>
      <c r="Y48">
        <f>(AT48*ROUND(1.25,7))</f>
        <v>2.875</v>
      </c>
      <c r="AA48">
        <v>0</v>
      </c>
      <c r="AB48">
        <v>13.66</v>
      </c>
      <c r="AC48">
        <v>0</v>
      </c>
      <c r="AD48">
        <v>0</v>
      </c>
      <c r="AE48">
        <v>0</v>
      </c>
      <c r="AF48">
        <v>8.5399999999999991</v>
      </c>
      <c r="AG48">
        <v>0</v>
      </c>
      <c r="AH48">
        <v>0</v>
      </c>
      <c r="AI48">
        <v>1</v>
      </c>
      <c r="AJ48">
        <v>1.6</v>
      </c>
      <c r="AK48">
        <v>1</v>
      </c>
      <c r="AL48">
        <v>1</v>
      </c>
      <c r="AM48">
        <v>2</v>
      </c>
      <c r="AN48">
        <v>0</v>
      </c>
      <c r="AO48">
        <v>0</v>
      </c>
      <c r="AP48">
        <v>1</v>
      </c>
      <c r="AQ48">
        <v>1</v>
      </c>
      <c r="AR48">
        <v>0</v>
      </c>
      <c r="AS48" t="s">
        <v>3</v>
      </c>
      <c r="AT48">
        <v>2.2999999999999998</v>
      </c>
      <c r="AU48" t="s">
        <v>67</v>
      </c>
      <c r="AV48">
        <v>1</v>
      </c>
      <c r="AW48">
        <v>2</v>
      </c>
      <c r="AX48">
        <v>50844058</v>
      </c>
      <c r="AY48">
        <v>1</v>
      </c>
      <c r="AZ48">
        <v>0</v>
      </c>
      <c r="BA48">
        <v>48</v>
      </c>
      <c r="BB48">
        <v>1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19.641999999999996</v>
      </c>
      <c r="BL48">
        <v>0</v>
      </c>
      <c r="BM48">
        <v>0</v>
      </c>
      <c r="BN48">
        <v>0</v>
      </c>
      <c r="BO48">
        <v>0</v>
      </c>
      <c r="BP48">
        <v>1</v>
      </c>
      <c r="BQ48">
        <v>0</v>
      </c>
      <c r="BR48">
        <v>24.552499999999998</v>
      </c>
      <c r="BS48">
        <v>0</v>
      </c>
      <c r="BT48">
        <v>0</v>
      </c>
      <c r="BU48">
        <v>0</v>
      </c>
      <c r="BV48">
        <v>0</v>
      </c>
      <c r="BW48">
        <v>1</v>
      </c>
      <c r="CV48">
        <v>0</v>
      </c>
      <c r="CW48">
        <f>ROUND(Y48*Source!I34*DO48,7)</f>
        <v>0</v>
      </c>
      <c r="CX48">
        <f>ROUND(Y48*Source!I34,7)</f>
        <v>20.475750000000001</v>
      </c>
      <c r="CY48">
        <f>AB48</f>
        <v>13.66</v>
      </c>
      <c r="CZ48">
        <f>AF48</f>
        <v>8.5399999999999991</v>
      </c>
      <c r="DA48">
        <f>AJ48</f>
        <v>1.6</v>
      </c>
      <c r="DB48">
        <f>ROUND((ROUND(AT48*CZ48,2)*ROUND(1.25,7)),6)</f>
        <v>24.55</v>
      </c>
      <c r="DC48">
        <f>ROUND((ROUND(AT48*AG48,2)*ROUND(1.25,7)),6)</f>
        <v>0</v>
      </c>
      <c r="DD48" t="s">
        <v>3</v>
      </c>
      <c r="DE48" t="s">
        <v>3</v>
      </c>
      <c r="DF48">
        <f t="shared" si="17"/>
        <v>0</v>
      </c>
      <c r="DG48">
        <f>ROUND(ROUND(AF48*AJ48,2)*CX48,2)</f>
        <v>279.7</v>
      </c>
      <c r="DH48">
        <f t="shared" si="18"/>
        <v>0</v>
      </c>
      <c r="DI48">
        <f t="shared" si="19"/>
        <v>0</v>
      </c>
      <c r="DJ48">
        <f>DG48+DH48</f>
        <v>279.7</v>
      </c>
      <c r="DK48">
        <v>0</v>
      </c>
      <c r="DL48" t="s">
        <v>3</v>
      </c>
      <c r="DM48">
        <v>0</v>
      </c>
      <c r="DN48" t="s">
        <v>3</v>
      </c>
      <c r="DO48">
        <v>0</v>
      </c>
    </row>
    <row r="49" spans="1:119">
      <c r="A49">
        <f>ROW(Source!A34)</f>
        <v>34</v>
      </c>
      <c r="B49">
        <v>50837261</v>
      </c>
      <c r="C49">
        <v>50844053</v>
      </c>
      <c r="D49">
        <v>49760608</v>
      </c>
      <c r="E49">
        <v>1</v>
      </c>
      <c r="F49">
        <v>1</v>
      </c>
      <c r="G49">
        <v>1</v>
      </c>
      <c r="H49">
        <v>2</v>
      </c>
      <c r="I49" t="s">
        <v>322</v>
      </c>
      <c r="J49" t="s">
        <v>323</v>
      </c>
      <c r="K49" t="s">
        <v>324</v>
      </c>
      <c r="L49">
        <v>1368</v>
      </c>
      <c r="N49">
        <v>1011</v>
      </c>
      <c r="O49" t="s">
        <v>258</v>
      </c>
      <c r="P49" t="s">
        <v>258</v>
      </c>
      <c r="Q49">
        <v>1</v>
      </c>
      <c r="W49">
        <v>0</v>
      </c>
      <c r="X49">
        <v>-849950259</v>
      </c>
      <c r="Y49">
        <f>(AT49*ROUND(1.25,7))</f>
        <v>0.22499999999999998</v>
      </c>
      <c r="AA49">
        <v>0</v>
      </c>
      <c r="AB49">
        <v>680.75</v>
      </c>
      <c r="AC49">
        <v>404.99</v>
      </c>
      <c r="AD49">
        <v>0</v>
      </c>
      <c r="AE49">
        <v>0</v>
      </c>
      <c r="AF49">
        <v>680.75</v>
      </c>
      <c r="AG49">
        <v>404.99</v>
      </c>
      <c r="AH49">
        <v>0</v>
      </c>
      <c r="AI49">
        <v>1</v>
      </c>
      <c r="AJ49">
        <v>1</v>
      </c>
      <c r="AK49">
        <v>1</v>
      </c>
      <c r="AL49">
        <v>1</v>
      </c>
      <c r="AM49">
        <v>-2</v>
      </c>
      <c r="AN49">
        <v>0</v>
      </c>
      <c r="AO49">
        <v>0</v>
      </c>
      <c r="AP49">
        <v>1</v>
      </c>
      <c r="AQ49">
        <v>1</v>
      </c>
      <c r="AR49">
        <v>0</v>
      </c>
      <c r="AS49" t="s">
        <v>3</v>
      </c>
      <c r="AT49">
        <v>0.18</v>
      </c>
      <c r="AU49" t="s">
        <v>67</v>
      </c>
      <c r="AV49">
        <v>1</v>
      </c>
      <c r="AW49">
        <v>2</v>
      </c>
      <c r="AX49">
        <v>50844059</v>
      </c>
      <c r="AY49">
        <v>1</v>
      </c>
      <c r="AZ49">
        <v>0</v>
      </c>
      <c r="BA49">
        <v>49</v>
      </c>
      <c r="BB49">
        <v>1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122.535</v>
      </c>
      <c r="BL49">
        <v>72.898200000000003</v>
      </c>
      <c r="BM49">
        <v>0</v>
      </c>
      <c r="BN49">
        <v>0</v>
      </c>
      <c r="BO49">
        <v>0.18</v>
      </c>
      <c r="BP49">
        <v>1</v>
      </c>
      <c r="BQ49">
        <v>0</v>
      </c>
      <c r="BR49">
        <v>153.16874999999999</v>
      </c>
      <c r="BS49">
        <v>91.122749999999996</v>
      </c>
      <c r="BT49">
        <v>0</v>
      </c>
      <c r="BU49">
        <v>0</v>
      </c>
      <c r="BV49">
        <v>0.22499999999999998</v>
      </c>
      <c r="BW49">
        <v>1</v>
      </c>
      <c r="CV49">
        <v>0</v>
      </c>
      <c r="CW49">
        <f>ROUND(Y49*Source!I34*DO49,7)</f>
        <v>1.6024499999999999</v>
      </c>
      <c r="CX49">
        <f>ROUND(Y49*Source!I34,7)</f>
        <v>1.6024499999999999</v>
      </c>
      <c r="CY49">
        <f>AB49</f>
        <v>680.75</v>
      </c>
      <c r="CZ49">
        <f>AF49</f>
        <v>680.75</v>
      </c>
      <c r="DA49">
        <f>AJ49</f>
        <v>1</v>
      </c>
      <c r="DB49">
        <f>ROUND((ROUND(AT49*CZ49,2)*ROUND(1.25,7)),6)</f>
        <v>153.17500000000001</v>
      </c>
      <c r="DC49">
        <f>ROUND((ROUND(AT49*AG49,2)*ROUND(1.25,7)),6)</f>
        <v>91.125</v>
      </c>
      <c r="DD49" t="s">
        <v>3</v>
      </c>
      <c r="DE49" t="s">
        <v>3</v>
      </c>
      <c r="DF49">
        <f t="shared" si="17"/>
        <v>0</v>
      </c>
      <c r="DG49">
        <f t="shared" ref="DG49:DG66" si="21">ROUND(ROUND(AF49,2)*CX49,2)</f>
        <v>1090.8699999999999</v>
      </c>
      <c r="DH49">
        <f t="shared" si="18"/>
        <v>648.98</v>
      </c>
      <c r="DI49">
        <f t="shared" si="19"/>
        <v>0</v>
      </c>
      <c r="DJ49">
        <f>DG49+DH49</f>
        <v>1739.85</v>
      </c>
      <c r="DK49">
        <v>1</v>
      </c>
      <c r="DL49" t="s">
        <v>266</v>
      </c>
      <c r="DM49">
        <v>4</v>
      </c>
      <c r="DN49" t="s">
        <v>252</v>
      </c>
      <c r="DO49">
        <v>1</v>
      </c>
    </row>
    <row r="50" spans="1:119">
      <c r="A50">
        <f>ROW(Source!A34)</f>
        <v>34</v>
      </c>
      <c r="B50">
        <v>50837261</v>
      </c>
      <c r="C50">
        <v>50844053</v>
      </c>
      <c r="D50">
        <v>49830028</v>
      </c>
      <c r="E50">
        <v>1</v>
      </c>
      <c r="F50">
        <v>1</v>
      </c>
      <c r="G50">
        <v>1</v>
      </c>
      <c r="H50">
        <v>3</v>
      </c>
      <c r="I50" t="s">
        <v>277</v>
      </c>
      <c r="J50" t="s">
        <v>278</v>
      </c>
      <c r="K50" t="s">
        <v>279</v>
      </c>
      <c r="L50">
        <v>1339</v>
      </c>
      <c r="N50">
        <v>1007</v>
      </c>
      <c r="O50" t="s">
        <v>65</v>
      </c>
      <c r="P50" t="s">
        <v>65</v>
      </c>
      <c r="Q50">
        <v>1</v>
      </c>
      <c r="W50">
        <v>0</v>
      </c>
      <c r="X50">
        <v>1964556667</v>
      </c>
      <c r="Y50">
        <f>AT50</f>
        <v>5.4999999999999997E-3</v>
      </c>
      <c r="AA50">
        <v>29.64</v>
      </c>
      <c r="AB50">
        <v>0</v>
      </c>
      <c r="AC50">
        <v>0</v>
      </c>
      <c r="AD50">
        <v>0</v>
      </c>
      <c r="AE50">
        <v>35.71</v>
      </c>
      <c r="AF50">
        <v>0</v>
      </c>
      <c r="AG50">
        <v>0</v>
      </c>
      <c r="AH50">
        <v>0</v>
      </c>
      <c r="AI50">
        <v>0.83</v>
      </c>
      <c r="AJ50">
        <v>1</v>
      </c>
      <c r="AK50">
        <v>1</v>
      </c>
      <c r="AL50">
        <v>1</v>
      </c>
      <c r="AM50">
        <v>2</v>
      </c>
      <c r="AN50">
        <v>0</v>
      </c>
      <c r="AO50">
        <v>0</v>
      </c>
      <c r="AP50">
        <v>1</v>
      </c>
      <c r="AQ50">
        <v>1</v>
      </c>
      <c r="AR50">
        <v>0</v>
      </c>
      <c r="AS50" t="s">
        <v>3</v>
      </c>
      <c r="AT50">
        <v>5.4999999999999997E-3</v>
      </c>
      <c r="AU50" t="s">
        <v>3</v>
      </c>
      <c r="AV50">
        <v>0</v>
      </c>
      <c r="AW50">
        <v>2</v>
      </c>
      <c r="AX50">
        <v>50844060</v>
      </c>
      <c r="AY50">
        <v>1</v>
      </c>
      <c r="AZ50">
        <v>0</v>
      </c>
      <c r="BA50">
        <v>50</v>
      </c>
      <c r="BB50">
        <v>1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0.196405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1</v>
      </c>
      <c r="BQ50">
        <v>0.196405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1</v>
      </c>
      <c r="CV50">
        <v>0</v>
      </c>
      <c r="CW50">
        <v>0</v>
      </c>
      <c r="CX50">
        <f>ROUND(Y50*Source!I34,7)</f>
        <v>3.9170999999999997E-2</v>
      </c>
      <c r="CY50">
        <f>AA50</f>
        <v>29.64</v>
      </c>
      <c r="CZ50">
        <f>AE50</f>
        <v>35.71</v>
      </c>
      <c r="DA50">
        <f>AI50</f>
        <v>0.83</v>
      </c>
      <c r="DB50">
        <f>ROUND(ROUND(AT50*CZ50,2),6)</f>
        <v>0.2</v>
      </c>
      <c r="DC50">
        <f>ROUND(ROUND(AT50*AG50,2),6)</f>
        <v>0</v>
      </c>
      <c r="DD50" t="s">
        <v>3</v>
      </c>
      <c r="DE50" t="s">
        <v>3</v>
      </c>
      <c r="DF50">
        <f>ROUND(ROUND(AE50*AI50,2)*CX50,2)</f>
        <v>1.1599999999999999</v>
      </c>
      <c r="DG50">
        <f t="shared" si="21"/>
        <v>0</v>
      </c>
      <c r="DH50">
        <f t="shared" si="18"/>
        <v>0</v>
      </c>
      <c r="DI50">
        <f t="shared" si="19"/>
        <v>0</v>
      </c>
      <c r="DJ50">
        <f>DF50</f>
        <v>1.1599999999999999</v>
      </c>
      <c r="DK50">
        <v>0</v>
      </c>
      <c r="DL50" t="s">
        <v>3</v>
      </c>
      <c r="DM50">
        <v>0</v>
      </c>
      <c r="DN50" t="s">
        <v>3</v>
      </c>
      <c r="DO50">
        <v>0</v>
      </c>
    </row>
    <row r="51" spans="1:119">
      <c r="A51">
        <f>ROW(Source!A34)</f>
        <v>34</v>
      </c>
      <c r="B51">
        <v>50837261</v>
      </c>
      <c r="C51">
        <v>50844053</v>
      </c>
      <c r="D51">
        <v>49830853</v>
      </c>
      <c r="E51">
        <v>1</v>
      </c>
      <c r="F51">
        <v>1</v>
      </c>
      <c r="G51">
        <v>1</v>
      </c>
      <c r="H51">
        <v>3</v>
      </c>
      <c r="I51" t="s">
        <v>325</v>
      </c>
      <c r="J51" t="s">
        <v>326</v>
      </c>
      <c r="K51" t="s">
        <v>327</v>
      </c>
      <c r="L51">
        <v>1327</v>
      </c>
      <c r="N51">
        <v>1005</v>
      </c>
      <c r="O51" t="s">
        <v>97</v>
      </c>
      <c r="P51" t="s">
        <v>97</v>
      </c>
      <c r="Q51">
        <v>1</v>
      </c>
      <c r="W51">
        <v>0</v>
      </c>
      <c r="X51">
        <v>577899087</v>
      </c>
      <c r="Y51">
        <f>AT51</f>
        <v>0.151</v>
      </c>
      <c r="AA51">
        <v>36.29</v>
      </c>
      <c r="AB51">
        <v>0</v>
      </c>
      <c r="AC51">
        <v>0</v>
      </c>
      <c r="AD51">
        <v>0</v>
      </c>
      <c r="AE51">
        <v>28.13</v>
      </c>
      <c r="AF51">
        <v>0</v>
      </c>
      <c r="AG51">
        <v>0</v>
      </c>
      <c r="AH51">
        <v>0</v>
      </c>
      <c r="AI51">
        <v>1.29</v>
      </c>
      <c r="AJ51">
        <v>1</v>
      </c>
      <c r="AK51">
        <v>1</v>
      </c>
      <c r="AL51">
        <v>1</v>
      </c>
      <c r="AM51">
        <v>2</v>
      </c>
      <c r="AN51">
        <v>0</v>
      </c>
      <c r="AO51">
        <v>0</v>
      </c>
      <c r="AP51">
        <v>1</v>
      </c>
      <c r="AQ51">
        <v>1</v>
      </c>
      <c r="AR51">
        <v>0</v>
      </c>
      <c r="AS51" t="s">
        <v>3</v>
      </c>
      <c r="AT51">
        <v>0.151</v>
      </c>
      <c r="AU51" t="s">
        <v>3</v>
      </c>
      <c r="AV51">
        <v>0</v>
      </c>
      <c r="AW51">
        <v>2</v>
      </c>
      <c r="AX51">
        <v>50844061</v>
      </c>
      <c r="AY51">
        <v>1</v>
      </c>
      <c r="AZ51">
        <v>0</v>
      </c>
      <c r="BA51">
        <v>51</v>
      </c>
      <c r="BB51">
        <v>1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4.24763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1</v>
      </c>
      <c r="BQ51">
        <v>4.24763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1</v>
      </c>
      <c r="CV51">
        <v>0</v>
      </c>
      <c r="CW51">
        <v>0</v>
      </c>
      <c r="CX51">
        <f>ROUND(Y51*Source!I34,7)</f>
        <v>1.0754220000000001</v>
      </c>
      <c r="CY51">
        <f>AA51</f>
        <v>36.29</v>
      </c>
      <c r="CZ51">
        <f>AE51</f>
        <v>28.13</v>
      </c>
      <c r="DA51">
        <f>AI51</f>
        <v>1.29</v>
      </c>
      <c r="DB51">
        <f>ROUND(ROUND(AT51*CZ51,2),6)</f>
        <v>4.25</v>
      </c>
      <c r="DC51">
        <f>ROUND(ROUND(AT51*AG51,2),6)</f>
        <v>0</v>
      </c>
      <c r="DD51" t="s">
        <v>3</v>
      </c>
      <c r="DE51" t="s">
        <v>3</v>
      </c>
      <c r="DF51">
        <f>ROUND(ROUND(AE51*AI51,2)*CX51,2)</f>
        <v>39.03</v>
      </c>
      <c r="DG51">
        <f t="shared" si="21"/>
        <v>0</v>
      </c>
      <c r="DH51">
        <f t="shared" si="18"/>
        <v>0</v>
      </c>
      <c r="DI51">
        <f t="shared" si="19"/>
        <v>0</v>
      </c>
      <c r="DJ51">
        <f>DF51</f>
        <v>39.03</v>
      </c>
      <c r="DK51">
        <v>0</v>
      </c>
      <c r="DL51" t="s">
        <v>3</v>
      </c>
      <c r="DM51">
        <v>0</v>
      </c>
      <c r="DN51" t="s">
        <v>3</v>
      </c>
      <c r="DO51">
        <v>0</v>
      </c>
    </row>
    <row r="52" spans="1:119">
      <c r="A52">
        <f>ROW(Source!A34)</f>
        <v>34</v>
      </c>
      <c r="B52">
        <v>50837261</v>
      </c>
      <c r="C52">
        <v>50844053</v>
      </c>
      <c r="D52">
        <v>49834021</v>
      </c>
      <c r="E52">
        <v>1</v>
      </c>
      <c r="F52">
        <v>1</v>
      </c>
      <c r="G52">
        <v>1</v>
      </c>
      <c r="H52">
        <v>3</v>
      </c>
      <c r="I52" t="s">
        <v>76</v>
      </c>
      <c r="J52" t="s">
        <v>78</v>
      </c>
      <c r="K52" t="s">
        <v>77</v>
      </c>
      <c r="L52">
        <v>1339</v>
      </c>
      <c r="N52">
        <v>1007</v>
      </c>
      <c r="O52" t="s">
        <v>65</v>
      </c>
      <c r="P52" t="s">
        <v>65</v>
      </c>
      <c r="Q52">
        <v>1</v>
      </c>
      <c r="W52">
        <v>0</v>
      </c>
      <c r="X52">
        <v>450413759</v>
      </c>
      <c r="Y52">
        <f>AT52</f>
        <v>1.02</v>
      </c>
      <c r="AA52">
        <v>6110.06</v>
      </c>
      <c r="AB52">
        <v>0</v>
      </c>
      <c r="AC52">
        <v>0</v>
      </c>
      <c r="AD52">
        <v>0</v>
      </c>
      <c r="AE52">
        <v>6110.06</v>
      </c>
      <c r="AF52">
        <v>0</v>
      </c>
      <c r="AG52">
        <v>0</v>
      </c>
      <c r="AH52">
        <v>0</v>
      </c>
      <c r="AI52">
        <v>1</v>
      </c>
      <c r="AJ52">
        <v>1</v>
      </c>
      <c r="AK52">
        <v>1</v>
      </c>
      <c r="AL52">
        <v>1</v>
      </c>
      <c r="AM52">
        <v>0</v>
      </c>
      <c r="AN52">
        <v>0</v>
      </c>
      <c r="AO52">
        <v>0</v>
      </c>
      <c r="AP52">
        <v>1</v>
      </c>
      <c r="AQ52">
        <v>0</v>
      </c>
      <c r="AR52">
        <v>0</v>
      </c>
      <c r="AS52" t="s">
        <v>3</v>
      </c>
      <c r="AT52">
        <v>1.02</v>
      </c>
      <c r="AU52" t="s">
        <v>3</v>
      </c>
      <c r="AV52">
        <v>0</v>
      </c>
      <c r="AW52">
        <v>1</v>
      </c>
      <c r="AX52">
        <v>-1</v>
      </c>
      <c r="AY52">
        <v>0</v>
      </c>
      <c r="AZ52">
        <v>0</v>
      </c>
      <c r="BA52" t="s">
        <v>3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V52">
        <v>0</v>
      </c>
      <c r="CW52">
        <v>0</v>
      </c>
      <c r="CX52">
        <f>ROUND(Y52*Source!I34,7)</f>
        <v>7.2644399999999996</v>
      </c>
      <c r="CY52">
        <f>AA52</f>
        <v>6110.06</v>
      </c>
      <c r="CZ52">
        <f>AE52</f>
        <v>6110.06</v>
      </c>
      <c r="DA52">
        <f>AI52</f>
        <v>1</v>
      </c>
      <c r="DB52">
        <f>ROUND(ROUND(AT52*CZ52,2),6)</f>
        <v>6232.26</v>
      </c>
      <c r="DC52">
        <f>ROUND(ROUND(AT52*AG52,2),6)</f>
        <v>0</v>
      </c>
      <c r="DD52" t="s">
        <v>3</v>
      </c>
      <c r="DE52" t="s">
        <v>3</v>
      </c>
      <c r="DF52">
        <f>ROUND(ROUND(AE52,2)*CX52,2)</f>
        <v>44386.16</v>
      </c>
      <c r="DG52">
        <f t="shared" si="21"/>
        <v>0</v>
      </c>
      <c r="DH52">
        <f t="shared" si="18"/>
        <v>0</v>
      </c>
      <c r="DI52">
        <f t="shared" si="19"/>
        <v>0</v>
      </c>
      <c r="DJ52">
        <f>DF52</f>
        <v>44386.16</v>
      </c>
      <c r="DK52">
        <v>1</v>
      </c>
      <c r="DL52" t="s">
        <v>3</v>
      </c>
      <c r="DM52">
        <v>0</v>
      </c>
      <c r="DN52" t="s">
        <v>3</v>
      </c>
      <c r="DO52">
        <v>0</v>
      </c>
    </row>
    <row r="53" spans="1:119">
      <c r="A53">
        <f>ROW(Source!A34)</f>
        <v>34</v>
      </c>
      <c r="B53">
        <v>50837261</v>
      </c>
      <c r="C53">
        <v>50844053</v>
      </c>
      <c r="D53">
        <v>49842080</v>
      </c>
      <c r="E53">
        <v>1</v>
      </c>
      <c r="F53">
        <v>1</v>
      </c>
      <c r="G53">
        <v>1</v>
      </c>
      <c r="H53">
        <v>3</v>
      </c>
      <c r="I53" t="s">
        <v>328</v>
      </c>
      <c r="J53" t="s">
        <v>329</v>
      </c>
      <c r="K53" t="s">
        <v>330</v>
      </c>
      <c r="L53">
        <v>1339</v>
      </c>
      <c r="N53">
        <v>1007</v>
      </c>
      <c r="O53" t="s">
        <v>65</v>
      </c>
      <c r="P53" t="s">
        <v>65</v>
      </c>
      <c r="Q53">
        <v>1</v>
      </c>
      <c r="W53">
        <v>0</v>
      </c>
      <c r="X53">
        <v>1562942180</v>
      </c>
      <c r="Y53">
        <f>AT53</f>
        <v>0.02</v>
      </c>
      <c r="AA53">
        <v>17320.830000000002</v>
      </c>
      <c r="AB53">
        <v>0</v>
      </c>
      <c r="AC53">
        <v>0</v>
      </c>
      <c r="AD53">
        <v>0</v>
      </c>
      <c r="AE53">
        <v>16496.03</v>
      </c>
      <c r="AF53">
        <v>0</v>
      </c>
      <c r="AG53">
        <v>0</v>
      </c>
      <c r="AH53">
        <v>0</v>
      </c>
      <c r="AI53">
        <v>1.05</v>
      </c>
      <c r="AJ53">
        <v>1</v>
      </c>
      <c r="AK53">
        <v>1</v>
      </c>
      <c r="AL53">
        <v>1</v>
      </c>
      <c r="AM53">
        <v>2</v>
      </c>
      <c r="AN53">
        <v>0</v>
      </c>
      <c r="AO53">
        <v>0</v>
      </c>
      <c r="AP53">
        <v>1</v>
      </c>
      <c r="AQ53">
        <v>1</v>
      </c>
      <c r="AR53">
        <v>0</v>
      </c>
      <c r="AS53" t="s">
        <v>3</v>
      </c>
      <c r="AT53">
        <v>0.02</v>
      </c>
      <c r="AU53" t="s">
        <v>3</v>
      </c>
      <c r="AV53">
        <v>0</v>
      </c>
      <c r="AW53">
        <v>2</v>
      </c>
      <c r="AX53">
        <v>50844064</v>
      </c>
      <c r="AY53">
        <v>1</v>
      </c>
      <c r="AZ53">
        <v>0</v>
      </c>
      <c r="BA53">
        <v>54</v>
      </c>
      <c r="BB53">
        <v>1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329.92059999999998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1</v>
      </c>
      <c r="BQ53">
        <v>329.92059999999998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1</v>
      </c>
      <c r="CV53">
        <v>0</v>
      </c>
      <c r="CW53">
        <v>0</v>
      </c>
      <c r="CX53">
        <f>ROUND(Y53*Source!I34,7)</f>
        <v>0.14244000000000001</v>
      </c>
      <c r="CY53">
        <f>AA53</f>
        <v>17320.830000000002</v>
      </c>
      <c r="CZ53">
        <f>AE53</f>
        <v>16496.03</v>
      </c>
      <c r="DA53">
        <f>AI53</f>
        <v>1.05</v>
      </c>
      <c r="DB53">
        <f>ROUND(ROUND(AT53*CZ53,2),6)</f>
        <v>329.92</v>
      </c>
      <c r="DC53">
        <f>ROUND(ROUND(AT53*AG53,2),6)</f>
        <v>0</v>
      </c>
      <c r="DD53" t="s">
        <v>3</v>
      </c>
      <c r="DE53" t="s">
        <v>3</v>
      </c>
      <c r="DF53">
        <f>ROUND(ROUND(AE53*AI53,2)*CX53,2)</f>
        <v>2467.1799999999998</v>
      </c>
      <c r="DG53">
        <f t="shared" si="21"/>
        <v>0</v>
      </c>
      <c r="DH53">
        <f t="shared" si="18"/>
        <v>0</v>
      </c>
      <c r="DI53">
        <f t="shared" si="19"/>
        <v>0</v>
      </c>
      <c r="DJ53">
        <f>DF53</f>
        <v>2467.1799999999998</v>
      </c>
      <c r="DK53">
        <v>0</v>
      </c>
      <c r="DL53" t="s">
        <v>3</v>
      </c>
      <c r="DM53">
        <v>0</v>
      </c>
      <c r="DN53" t="s">
        <v>3</v>
      </c>
      <c r="DO53">
        <v>0</v>
      </c>
    </row>
    <row r="54" spans="1:119">
      <c r="A54">
        <f>ROW(Source!A34)</f>
        <v>34</v>
      </c>
      <c r="B54">
        <v>50837261</v>
      </c>
      <c r="C54">
        <v>50844053</v>
      </c>
      <c r="D54">
        <v>49842134</v>
      </c>
      <c r="E54">
        <v>1</v>
      </c>
      <c r="F54">
        <v>1</v>
      </c>
      <c r="G54">
        <v>1</v>
      </c>
      <c r="H54">
        <v>3</v>
      </c>
      <c r="I54" t="s">
        <v>331</v>
      </c>
      <c r="J54" t="s">
        <v>332</v>
      </c>
      <c r="K54" t="s">
        <v>333</v>
      </c>
      <c r="L54">
        <v>1339</v>
      </c>
      <c r="N54">
        <v>1007</v>
      </c>
      <c r="O54" t="s">
        <v>65</v>
      </c>
      <c r="P54" t="s">
        <v>65</v>
      </c>
      <c r="Q54">
        <v>1</v>
      </c>
      <c r="W54">
        <v>0</v>
      </c>
      <c r="X54">
        <v>-2132912994</v>
      </c>
      <c r="Y54">
        <f>AT54</f>
        <v>0.38</v>
      </c>
      <c r="AA54">
        <v>8185.48</v>
      </c>
      <c r="AB54">
        <v>0</v>
      </c>
      <c r="AC54">
        <v>0</v>
      </c>
      <c r="AD54">
        <v>0</v>
      </c>
      <c r="AE54">
        <v>5764.42</v>
      </c>
      <c r="AF54">
        <v>0</v>
      </c>
      <c r="AG54">
        <v>0</v>
      </c>
      <c r="AH54">
        <v>0</v>
      </c>
      <c r="AI54">
        <v>1.42</v>
      </c>
      <c r="AJ54">
        <v>1</v>
      </c>
      <c r="AK54">
        <v>1</v>
      </c>
      <c r="AL54">
        <v>1</v>
      </c>
      <c r="AM54">
        <v>2</v>
      </c>
      <c r="AN54">
        <v>0</v>
      </c>
      <c r="AO54">
        <v>0</v>
      </c>
      <c r="AP54">
        <v>1</v>
      </c>
      <c r="AQ54">
        <v>1</v>
      </c>
      <c r="AR54">
        <v>0</v>
      </c>
      <c r="AS54" t="s">
        <v>3</v>
      </c>
      <c r="AT54">
        <v>0.38</v>
      </c>
      <c r="AU54" t="s">
        <v>3</v>
      </c>
      <c r="AV54">
        <v>0</v>
      </c>
      <c r="AW54">
        <v>2</v>
      </c>
      <c r="AX54">
        <v>50844065</v>
      </c>
      <c r="AY54">
        <v>1</v>
      </c>
      <c r="AZ54">
        <v>0</v>
      </c>
      <c r="BA54">
        <v>55</v>
      </c>
      <c r="BB54">
        <v>1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2190.4796000000001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1</v>
      </c>
      <c r="BQ54">
        <v>2190.4796000000001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1</v>
      </c>
      <c r="CV54">
        <v>0</v>
      </c>
      <c r="CW54">
        <v>0</v>
      </c>
      <c r="CX54">
        <f>ROUND(Y54*Source!I34,7)</f>
        <v>2.7063600000000001</v>
      </c>
      <c r="CY54">
        <f>AA54</f>
        <v>8185.48</v>
      </c>
      <c r="CZ54">
        <f>AE54</f>
        <v>5764.42</v>
      </c>
      <c r="DA54">
        <f>AI54</f>
        <v>1.42</v>
      </c>
      <c r="DB54">
        <f>ROUND(ROUND(AT54*CZ54,2),6)</f>
        <v>2190.48</v>
      </c>
      <c r="DC54">
        <f>ROUND(ROUND(AT54*AG54,2),6)</f>
        <v>0</v>
      </c>
      <c r="DD54" t="s">
        <v>3</v>
      </c>
      <c r="DE54" t="s">
        <v>3</v>
      </c>
      <c r="DF54">
        <f>ROUND(ROUND(AE54*AI54,2)*CX54,2)</f>
        <v>22152.86</v>
      </c>
      <c r="DG54">
        <f t="shared" si="21"/>
        <v>0</v>
      </c>
      <c r="DH54">
        <f t="shared" si="18"/>
        <v>0</v>
      </c>
      <c r="DI54">
        <f t="shared" si="19"/>
        <v>0</v>
      </c>
      <c r="DJ54">
        <f>DF54</f>
        <v>22152.86</v>
      </c>
      <c r="DK54">
        <v>0</v>
      </c>
      <c r="DL54" t="s">
        <v>3</v>
      </c>
      <c r="DM54">
        <v>0</v>
      </c>
      <c r="DN54" t="s">
        <v>3</v>
      </c>
      <c r="DO54">
        <v>0</v>
      </c>
    </row>
    <row r="55" spans="1:119">
      <c r="A55">
        <f>ROW(Source!A36)</f>
        <v>36</v>
      </c>
      <c r="B55">
        <v>50837261</v>
      </c>
      <c r="C55">
        <v>50837403</v>
      </c>
      <c r="D55">
        <v>49752860</v>
      </c>
      <c r="E55">
        <v>117</v>
      </c>
      <c r="F55">
        <v>1</v>
      </c>
      <c r="G55">
        <v>1</v>
      </c>
      <c r="H55">
        <v>1</v>
      </c>
      <c r="I55" t="s">
        <v>334</v>
      </c>
      <c r="J55" t="s">
        <v>3</v>
      </c>
      <c r="K55" t="s">
        <v>335</v>
      </c>
      <c r="L55">
        <v>1191</v>
      </c>
      <c r="N55">
        <v>1013</v>
      </c>
      <c r="O55" t="s">
        <v>252</v>
      </c>
      <c r="P55" t="s">
        <v>252</v>
      </c>
      <c r="Q55">
        <v>1</v>
      </c>
      <c r="W55">
        <v>0</v>
      </c>
      <c r="X55">
        <v>32079103</v>
      </c>
      <c r="Y55">
        <f>(AT55*ROUND(1.15,7))</f>
        <v>234.94499999999999</v>
      </c>
      <c r="AA55">
        <v>0</v>
      </c>
      <c r="AB55">
        <v>0</v>
      </c>
      <c r="AC55">
        <v>0</v>
      </c>
      <c r="AD55">
        <v>373.25</v>
      </c>
      <c r="AE55">
        <v>0</v>
      </c>
      <c r="AF55">
        <v>0</v>
      </c>
      <c r="AG55">
        <v>0</v>
      </c>
      <c r="AH55">
        <v>373.25</v>
      </c>
      <c r="AI55">
        <v>1</v>
      </c>
      <c r="AJ55">
        <v>1</v>
      </c>
      <c r="AK55">
        <v>1</v>
      </c>
      <c r="AL55">
        <v>1</v>
      </c>
      <c r="AM55">
        <v>-2</v>
      </c>
      <c r="AN55">
        <v>0</v>
      </c>
      <c r="AO55">
        <v>0</v>
      </c>
      <c r="AP55">
        <v>1</v>
      </c>
      <c r="AQ55">
        <v>1</v>
      </c>
      <c r="AR55">
        <v>0</v>
      </c>
      <c r="AS55" t="s">
        <v>3</v>
      </c>
      <c r="AT55">
        <v>204.3</v>
      </c>
      <c r="AU55" t="s">
        <v>68</v>
      </c>
      <c r="AV55">
        <v>1</v>
      </c>
      <c r="AW55">
        <v>2</v>
      </c>
      <c r="AX55">
        <v>50837404</v>
      </c>
      <c r="AY55">
        <v>1</v>
      </c>
      <c r="AZ55">
        <v>0</v>
      </c>
      <c r="BA55">
        <v>56</v>
      </c>
      <c r="BB55">
        <v>1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76254.975000000006</v>
      </c>
      <c r="BN55">
        <v>204.3</v>
      </c>
      <c r="BO55">
        <v>0</v>
      </c>
      <c r="BP55">
        <v>1</v>
      </c>
      <c r="BQ55">
        <v>0</v>
      </c>
      <c r="BR55">
        <v>0</v>
      </c>
      <c r="BS55">
        <v>0</v>
      </c>
      <c r="BT55">
        <v>87693.221250000002</v>
      </c>
      <c r="BU55">
        <v>234.94499999999999</v>
      </c>
      <c r="BV55">
        <v>0</v>
      </c>
      <c r="BW55">
        <v>1</v>
      </c>
      <c r="CU55">
        <f>ROUND(AT55*Source!I36*AH55*AL55,2)</f>
        <v>5642.87</v>
      </c>
      <c r="CV55">
        <f>ROUND(Y55*Source!I36,7)</f>
        <v>17.385929999999998</v>
      </c>
      <c r="CW55">
        <v>0</v>
      </c>
      <c r="CX55">
        <f>ROUND(Y55*Source!I36,7)</f>
        <v>17.385929999999998</v>
      </c>
      <c r="CY55">
        <f>AD55</f>
        <v>373.25</v>
      </c>
      <c r="CZ55">
        <f>AH55</f>
        <v>373.25</v>
      </c>
      <c r="DA55">
        <f>AL55</f>
        <v>1</v>
      </c>
      <c r="DB55">
        <f>ROUND((ROUND(AT55*CZ55,2)*ROUND(1.15,7)),6)</f>
        <v>87693.226999999999</v>
      </c>
      <c r="DC55">
        <f>ROUND((ROUND(AT55*AG55,2)*ROUND(1.15,7)),6)</f>
        <v>0</v>
      </c>
      <c r="DD55" t="s">
        <v>3</v>
      </c>
      <c r="DE55" t="s">
        <v>3</v>
      </c>
      <c r="DF55">
        <f>ROUND(ROUND(AE55,2)*CX55,2)</f>
        <v>0</v>
      </c>
      <c r="DG55">
        <f t="shared" si="21"/>
        <v>0</v>
      </c>
      <c r="DH55">
        <f t="shared" si="18"/>
        <v>0</v>
      </c>
      <c r="DI55">
        <f t="shared" si="19"/>
        <v>6489.3</v>
      </c>
      <c r="DJ55">
        <f>DI55</f>
        <v>6489.3</v>
      </c>
      <c r="DK55">
        <v>1</v>
      </c>
      <c r="DL55" t="s">
        <v>3</v>
      </c>
      <c r="DM55">
        <v>0</v>
      </c>
      <c r="DN55" t="s">
        <v>3</v>
      </c>
      <c r="DO55">
        <v>0</v>
      </c>
    </row>
    <row r="56" spans="1:119">
      <c r="A56">
        <f>ROW(Source!A36)</f>
        <v>36</v>
      </c>
      <c r="B56">
        <v>50837261</v>
      </c>
      <c r="C56">
        <v>50837403</v>
      </c>
      <c r="D56">
        <v>49753052</v>
      </c>
      <c r="E56">
        <v>117</v>
      </c>
      <c r="F56">
        <v>1</v>
      </c>
      <c r="G56">
        <v>1</v>
      </c>
      <c r="H56">
        <v>1</v>
      </c>
      <c r="I56" t="s">
        <v>253</v>
      </c>
      <c r="J56" t="s">
        <v>3</v>
      </c>
      <c r="K56" t="s">
        <v>254</v>
      </c>
      <c r="L56">
        <v>1191</v>
      </c>
      <c r="N56">
        <v>1013</v>
      </c>
      <c r="O56" t="s">
        <v>252</v>
      </c>
      <c r="P56" t="s">
        <v>252</v>
      </c>
      <c r="Q56">
        <v>1</v>
      </c>
      <c r="W56">
        <v>0</v>
      </c>
      <c r="X56">
        <v>-1417349443</v>
      </c>
      <c r="Y56">
        <f>(AT56*ROUND(1.25,7))</f>
        <v>0.27500000000000002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1</v>
      </c>
      <c r="AJ56">
        <v>1</v>
      </c>
      <c r="AK56">
        <v>1</v>
      </c>
      <c r="AL56">
        <v>1</v>
      </c>
      <c r="AM56">
        <v>-2</v>
      </c>
      <c r="AN56">
        <v>0</v>
      </c>
      <c r="AO56">
        <v>0</v>
      </c>
      <c r="AP56">
        <v>1</v>
      </c>
      <c r="AQ56">
        <v>1</v>
      </c>
      <c r="AR56">
        <v>0</v>
      </c>
      <c r="AS56" t="s">
        <v>3</v>
      </c>
      <c r="AT56">
        <v>0.22</v>
      </c>
      <c r="AU56" t="s">
        <v>67</v>
      </c>
      <c r="AV56">
        <v>2</v>
      </c>
      <c r="AW56">
        <v>2</v>
      </c>
      <c r="AX56">
        <v>50837405</v>
      </c>
      <c r="AY56">
        <v>1</v>
      </c>
      <c r="AZ56">
        <v>0</v>
      </c>
      <c r="BA56">
        <v>57</v>
      </c>
      <c r="BB56">
        <v>1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V56">
        <v>0</v>
      </c>
      <c r="CW56">
        <v>0</v>
      </c>
      <c r="CX56">
        <f>ROUND(Y56*Source!I36,7)</f>
        <v>2.035E-2</v>
      </c>
      <c r="CY56">
        <f>AD56</f>
        <v>0</v>
      </c>
      <c r="CZ56">
        <f>AH56</f>
        <v>0</v>
      </c>
      <c r="DA56">
        <f>AL56</f>
        <v>1</v>
      </c>
      <c r="DB56">
        <f>ROUND((ROUND(AT56*CZ56,2)*ROUND(1.25,7)),6)</f>
        <v>0</v>
      </c>
      <c r="DC56">
        <f>ROUND((ROUND(AT56*AG56,2)*ROUND(1.25,7)),6)</f>
        <v>0</v>
      </c>
      <c r="DD56" t="s">
        <v>3</v>
      </c>
      <c r="DE56" t="s">
        <v>3</v>
      </c>
      <c r="DF56">
        <f>ROUND(ROUND(AE56,2)*CX56,2)</f>
        <v>0</v>
      </c>
      <c r="DG56">
        <f t="shared" si="21"/>
        <v>0</v>
      </c>
      <c r="DH56">
        <f t="shared" si="18"/>
        <v>0</v>
      </c>
      <c r="DI56">
        <f t="shared" si="19"/>
        <v>0</v>
      </c>
      <c r="DJ56">
        <f>DI56</f>
        <v>0</v>
      </c>
      <c r="DK56">
        <v>0</v>
      </c>
      <c r="DL56" t="s">
        <v>3</v>
      </c>
      <c r="DM56">
        <v>0</v>
      </c>
      <c r="DN56" t="s">
        <v>3</v>
      </c>
      <c r="DO56">
        <v>0</v>
      </c>
    </row>
    <row r="57" spans="1:119">
      <c r="A57">
        <f>ROW(Source!A36)</f>
        <v>36</v>
      </c>
      <c r="B57">
        <v>50837261</v>
      </c>
      <c r="C57">
        <v>50837403</v>
      </c>
      <c r="D57">
        <v>49759859</v>
      </c>
      <c r="E57">
        <v>1</v>
      </c>
      <c r="F57">
        <v>1</v>
      </c>
      <c r="G57">
        <v>1</v>
      </c>
      <c r="H57">
        <v>2</v>
      </c>
      <c r="I57" t="s">
        <v>336</v>
      </c>
      <c r="J57" t="s">
        <v>337</v>
      </c>
      <c r="K57" t="s">
        <v>338</v>
      </c>
      <c r="L57">
        <v>1368</v>
      </c>
      <c r="N57">
        <v>1011</v>
      </c>
      <c r="O57" t="s">
        <v>258</v>
      </c>
      <c r="P57" t="s">
        <v>258</v>
      </c>
      <c r="Q57">
        <v>1</v>
      </c>
      <c r="W57">
        <v>0</v>
      </c>
      <c r="X57">
        <v>-1829373108</v>
      </c>
      <c r="Y57">
        <f>(AT57*ROUND(1.25,7))</f>
        <v>0.11249999999999999</v>
      </c>
      <c r="AA57">
        <v>0</v>
      </c>
      <c r="AB57">
        <v>1050.8900000000001</v>
      </c>
      <c r="AC57">
        <v>465.43</v>
      </c>
      <c r="AD57">
        <v>0</v>
      </c>
      <c r="AE57">
        <v>0</v>
      </c>
      <c r="AF57">
        <v>1050.8900000000001</v>
      </c>
      <c r="AG57">
        <v>465.43</v>
      </c>
      <c r="AH57">
        <v>0</v>
      </c>
      <c r="AI57">
        <v>1</v>
      </c>
      <c r="AJ57">
        <v>1</v>
      </c>
      <c r="AK57">
        <v>1</v>
      </c>
      <c r="AL57">
        <v>1</v>
      </c>
      <c r="AM57">
        <v>-2</v>
      </c>
      <c r="AN57">
        <v>0</v>
      </c>
      <c r="AO57">
        <v>0</v>
      </c>
      <c r="AP57">
        <v>1</v>
      </c>
      <c r="AQ57">
        <v>1</v>
      </c>
      <c r="AR57">
        <v>0</v>
      </c>
      <c r="AS57" t="s">
        <v>3</v>
      </c>
      <c r="AT57">
        <v>0.09</v>
      </c>
      <c r="AU57" t="s">
        <v>67</v>
      </c>
      <c r="AV57">
        <v>1</v>
      </c>
      <c r="AW57">
        <v>2</v>
      </c>
      <c r="AX57">
        <v>50837406</v>
      </c>
      <c r="AY57">
        <v>1</v>
      </c>
      <c r="AZ57">
        <v>0</v>
      </c>
      <c r="BA57">
        <v>58</v>
      </c>
      <c r="BB57">
        <v>1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94.580100000000002</v>
      </c>
      <c r="BL57">
        <v>41.8887</v>
      </c>
      <c r="BM57">
        <v>0</v>
      </c>
      <c r="BN57">
        <v>0</v>
      </c>
      <c r="BO57">
        <v>0.09</v>
      </c>
      <c r="BP57">
        <v>1</v>
      </c>
      <c r="BQ57">
        <v>0</v>
      </c>
      <c r="BR57">
        <v>118.22512500000001</v>
      </c>
      <c r="BS57">
        <v>52.360874999999993</v>
      </c>
      <c r="BT57">
        <v>0</v>
      </c>
      <c r="BU57">
        <v>0</v>
      </c>
      <c r="BV57">
        <v>0.11249999999999999</v>
      </c>
      <c r="BW57">
        <v>1</v>
      </c>
      <c r="CV57">
        <v>0</v>
      </c>
      <c r="CW57">
        <f>ROUND(Y57*Source!I36*DO57,7)</f>
        <v>8.3250000000000008E-3</v>
      </c>
      <c r="CX57">
        <f>ROUND(Y57*Source!I36,7)</f>
        <v>8.3250000000000008E-3</v>
      </c>
      <c r="CY57">
        <f>AB57</f>
        <v>1050.8900000000001</v>
      </c>
      <c r="CZ57">
        <f>AF57</f>
        <v>1050.8900000000001</v>
      </c>
      <c r="DA57">
        <f>AJ57</f>
        <v>1</v>
      </c>
      <c r="DB57">
        <f>ROUND((ROUND(AT57*CZ57,2)*ROUND(1.25,7)),6)</f>
        <v>118.22499999999999</v>
      </c>
      <c r="DC57">
        <f>ROUND((ROUND(AT57*AG57,2)*ROUND(1.25,7)),6)</f>
        <v>52.362499999999997</v>
      </c>
      <c r="DD57" t="s">
        <v>3</v>
      </c>
      <c r="DE57" t="s">
        <v>3</v>
      </c>
      <c r="DF57">
        <f>ROUND(ROUND(AE57,2)*CX57,2)</f>
        <v>0</v>
      </c>
      <c r="DG57">
        <f t="shared" si="21"/>
        <v>8.75</v>
      </c>
      <c r="DH57">
        <f t="shared" si="18"/>
        <v>3.87</v>
      </c>
      <c r="DI57">
        <f t="shared" si="19"/>
        <v>0</v>
      </c>
      <c r="DJ57">
        <f>DG57+DH57</f>
        <v>12.620000000000001</v>
      </c>
      <c r="DK57">
        <v>1</v>
      </c>
      <c r="DL57" t="s">
        <v>259</v>
      </c>
      <c r="DM57">
        <v>5</v>
      </c>
      <c r="DN57" t="s">
        <v>252</v>
      </c>
      <c r="DO57">
        <v>1</v>
      </c>
    </row>
    <row r="58" spans="1:119">
      <c r="A58">
        <f>ROW(Source!A36)</f>
        <v>36</v>
      </c>
      <c r="B58">
        <v>50837261</v>
      </c>
      <c r="C58">
        <v>50837403</v>
      </c>
      <c r="D58">
        <v>49760608</v>
      </c>
      <c r="E58">
        <v>1</v>
      </c>
      <c r="F58">
        <v>1</v>
      </c>
      <c r="G58">
        <v>1</v>
      </c>
      <c r="H58">
        <v>2</v>
      </c>
      <c r="I58" t="s">
        <v>322</v>
      </c>
      <c r="J58" t="s">
        <v>323</v>
      </c>
      <c r="K58" t="s">
        <v>324</v>
      </c>
      <c r="L58">
        <v>1368</v>
      </c>
      <c r="N58">
        <v>1011</v>
      </c>
      <c r="O58" t="s">
        <v>258</v>
      </c>
      <c r="P58" t="s">
        <v>258</v>
      </c>
      <c r="Q58">
        <v>1</v>
      </c>
      <c r="W58">
        <v>0</v>
      </c>
      <c r="X58">
        <v>-849950259</v>
      </c>
      <c r="Y58">
        <f>(AT58*ROUND(1.25,7))</f>
        <v>0.16250000000000001</v>
      </c>
      <c r="AA58">
        <v>0</v>
      </c>
      <c r="AB58">
        <v>680.75</v>
      </c>
      <c r="AC58">
        <v>404.99</v>
      </c>
      <c r="AD58">
        <v>0</v>
      </c>
      <c r="AE58">
        <v>0</v>
      </c>
      <c r="AF58">
        <v>680.75</v>
      </c>
      <c r="AG58">
        <v>404.99</v>
      </c>
      <c r="AH58">
        <v>0</v>
      </c>
      <c r="AI58">
        <v>1</v>
      </c>
      <c r="AJ58">
        <v>1</v>
      </c>
      <c r="AK58">
        <v>1</v>
      </c>
      <c r="AL58">
        <v>1</v>
      </c>
      <c r="AM58">
        <v>-2</v>
      </c>
      <c r="AN58">
        <v>0</v>
      </c>
      <c r="AO58">
        <v>0</v>
      </c>
      <c r="AP58">
        <v>1</v>
      </c>
      <c r="AQ58">
        <v>1</v>
      </c>
      <c r="AR58">
        <v>0</v>
      </c>
      <c r="AS58" t="s">
        <v>3</v>
      </c>
      <c r="AT58">
        <v>0.13</v>
      </c>
      <c r="AU58" t="s">
        <v>67</v>
      </c>
      <c r="AV58">
        <v>1</v>
      </c>
      <c r="AW58">
        <v>2</v>
      </c>
      <c r="AX58">
        <v>50837407</v>
      </c>
      <c r="AY58">
        <v>1</v>
      </c>
      <c r="AZ58">
        <v>0</v>
      </c>
      <c r="BA58">
        <v>59</v>
      </c>
      <c r="BB58">
        <v>1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88.497500000000002</v>
      </c>
      <c r="BL58">
        <v>52.648700000000005</v>
      </c>
      <c r="BM58">
        <v>0</v>
      </c>
      <c r="BN58">
        <v>0</v>
      </c>
      <c r="BO58">
        <v>0.13</v>
      </c>
      <c r="BP58">
        <v>1</v>
      </c>
      <c r="BQ58">
        <v>0</v>
      </c>
      <c r="BR58">
        <v>110.621875</v>
      </c>
      <c r="BS58">
        <v>65.81087500000001</v>
      </c>
      <c r="BT58">
        <v>0</v>
      </c>
      <c r="BU58">
        <v>0</v>
      </c>
      <c r="BV58">
        <v>0.16250000000000001</v>
      </c>
      <c r="BW58">
        <v>1</v>
      </c>
      <c r="CV58">
        <v>0</v>
      </c>
      <c r="CW58">
        <f>ROUND(Y58*Source!I36*DO58,7)</f>
        <v>1.2024999999999999E-2</v>
      </c>
      <c r="CX58">
        <f>ROUND(Y58*Source!I36,7)</f>
        <v>1.2024999999999999E-2</v>
      </c>
      <c r="CY58">
        <f>AB58</f>
        <v>680.75</v>
      </c>
      <c r="CZ58">
        <f>AF58</f>
        <v>680.75</v>
      </c>
      <c r="DA58">
        <f>AJ58</f>
        <v>1</v>
      </c>
      <c r="DB58">
        <f>ROUND((ROUND(AT58*CZ58,2)*ROUND(1.25,7)),6)</f>
        <v>110.625</v>
      </c>
      <c r="DC58">
        <f>ROUND((ROUND(AT58*AG58,2)*ROUND(1.25,7)),6)</f>
        <v>65.8125</v>
      </c>
      <c r="DD58" t="s">
        <v>3</v>
      </c>
      <c r="DE58" t="s">
        <v>3</v>
      </c>
      <c r="DF58">
        <f>ROUND(ROUND(AE58,2)*CX58,2)</f>
        <v>0</v>
      </c>
      <c r="DG58">
        <f t="shared" si="21"/>
        <v>8.19</v>
      </c>
      <c r="DH58">
        <f t="shared" si="18"/>
        <v>4.87</v>
      </c>
      <c r="DI58">
        <f t="shared" si="19"/>
        <v>0</v>
      </c>
      <c r="DJ58">
        <f>DG58+DH58</f>
        <v>13.059999999999999</v>
      </c>
      <c r="DK58">
        <v>1</v>
      </c>
      <c r="DL58" t="s">
        <v>266</v>
      </c>
      <c r="DM58">
        <v>4</v>
      </c>
      <c r="DN58" t="s">
        <v>252</v>
      </c>
      <c r="DO58">
        <v>1</v>
      </c>
    </row>
    <row r="59" spans="1:119">
      <c r="A59">
        <f>ROW(Source!A36)</f>
        <v>36</v>
      </c>
      <c r="B59">
        <v>50837261</v>
      </c>
      <c r="C59">
        <v>50837403</v>
      </c>
      <c r="D59">
        <v>49830028</v>
      </c>
      <c r="E59">
        <v>1</v>
      </c>
      <c r="F59">
        <v>1</v>
      </c>
      <c r="G59">
        <v>1</v>
      </c>
      <c r="H59">
        <v>3</v>
      </c>
      <c r="I59" t="s">
        <v>277</v>
      </c>
      <c r="J59" t="s">
        <v>278</v>
      </c>
      <c r="K59" t="s">
        <v>279</v>
      </c>
      <c r="L59">
        <v>1339</v>
      </c>
      <c r="N59">
        <v>1007</v>
      </c>
      <c r="O59" t="s">
        <v>65</v>
      </c>
      <c r="P59" t="s">
        <v>65</v>
      </c>
      <c r="Q59">
        <v>1</v>
      </c>
      <c r="W59">
        <v>0</v>
      </c>
      <c r="X59">
        <v>1964556667</v>
      </c>
      <c r="Y59">
        <f>AT59</f>
        <v>0.14000000000000001</v>
      </c>
      <c r="AA59">
        <v>29.64</v>
      </c>
      <c r="AB59">
        <v>0</v>
      </c>
      <c r="AC59">
        <v>0</v>
      </c>
      <c r="AD59">
        <v>0</v>
      </c>
      <c r="AE59">
        <v>35.71</v>
      </c>
      <c r="AF59">
        <v>0</v>
      </c>
      <c r="AG59">
        <v>0</v>
      </c>
      <c r="AH59">
        <v>0</v>
      </c>
      <c r="AI59">
        <v>0.83</v>
      </c>
      <c r="AJ59">
        <v>1</v>
      </c>
      <c r="AK59">
        <v>1</v>
      </c>
      <c r="AL59">
        <v>1</v>
      </c>
      <c r="AM59">
        <v>2</v>
      </c>
      <c r="AN59">
        <v>0</v>
      </c>
      <c r="AO59">
        <v>0</v>
      </c>
      <c r="AP59">
        <v>1</v>
      </c>
      <c r="AQ59">
        <v>1</v>
      </c>
      <c r="AR59">
        <v>0</v>
      </c>
      <c r="AS59" t="s">
        <v>3</v>
      </c>
      <c r="AT59">
        <v>0.14000000000000001</v>
      </c>
      <c r="AU59" t="s">
        <v>3</v>
      </c>
      <c r="AV59">
        <v>0</v>
      </c>
      <c r="AW59">
        <v>2</v>
      </c>
      <c r="AX59">
        <v>50837408</v>
      </c>
      <c r="AY59">
        <v>1</v>
      </c>
      <c r="AZ59">
        <v>0</v>
      </c>
      <c r="BA59">
        <v>60</v>
      </c>
      <c r="BB59">
        <v>1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4.9994000000000005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1</v>
      </c>
      <c r="BQ59">
        <v>4.9994000000000005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1</v>
      </c>
      <c r="CV59">
        <v>0</v>
      </c>
      <c r="CW59">
        <v>0</v>
      </c>
      <c r="CX59">
        <f>ROUND(Y59*Source!I36,7)</f>
        <v>1.0359999999999999E-2</v>
      </c>
      <c r="CY59">
        <f>AA59</f>
        <v>29.64</v>
      </c>
      <c r="CZ59">
        <f>AE59</f>
        <v>35.71</v>
      </c>
      <c r="DA59">
        <f>AI59</f>
        <v>0.83</v>
      </c>
      <c r="DB59">
        <f>ROUND(ROUND(AT59*CZ59,2),6)</f>
        <v>5</v>
      </c>
      <c r="DC59">
        <f>ROUND(ROUND(AT59*AG59,2),6)</f>
        <v>0</v>
      </c>
      <c r="DD59" t="s">
        <v>3</v>
      </c>
      <c r="DE59" t="s">
        <v>3</v>
      </c>
      <c r="DF59">
        <f>ROUND(ROUND(AE59*AI59,2)*CX59,2)</f>
        <v>0.31</v>
      </c>
      <c r="DG59">
        <f t="shared" si="21"/>
        <v>0</v>
      </c>
      <c r="DH59">
        <f t="shared" si="18"/>
        <v>0</v>
      </c>
      <c r="DI59">
        <f t="shared" si="19"/>
        <v>0</v>
      </c>
      <c r="DJ59">
        <f>DF59</f>
        <v>0.31</v>
      </c>
      <c r="DK59">
        <v>0</v>
      </c>
      <c r="DL59" t="s">
        <v>3</v>
      </c>
      <c r="DM59">
        <v>0</v>
      </c>
      <c r="DN59" t="s">
        <v>3</v>
      </c>
      <c r="DO59">
        <v>0</v>
      </c>
    </row>
    <row r="60" spans="1:119">
      <c r="A60">
        <f>ROW(Source!A36)</f>
        <v>36</v>
      </c>
      <c r="B60">
        <v>50837261</v>
      </c>
      <c r="C60">
        <v>50837403</v>
      </c>
      <c r="D60">
        <v>49830040</v>
      </c>
      <c r="E60">
        <v>1</v>
      </c>
      <c r="F60">
        <v>1</v>
      </c>
      <c r="G60">
        <v>1</v>
      </c>
      <c r="H60">
        <v>3</v>
      </c>
      <c r="I60" t="s">
        <v>339</v>
      </c>
      <c r="J60" t="s">
        <v>340</v>
      </c>
      <c r="K60" t="s">
        <v>341</v>
      </c>
      <c r="L60">
        <v>1383</v>
      </c>
      <c r="N60">
        <v>1013</v>
      </c>
      <c r="O60" t="s">
        <v>342</v>
      </c>
      <c r="P60" t="s">
        <v>342</v>
      </c>
      <c r="Q60">
        <v>1</v>
      </c>
      <c r="W60">
        <v>0</v>
      </c>
      <c r="X60">
        <v>1840299850</v>
      </c>
      <c r="Y60">
        <f>AT60</f>
        <v>0.57999999999999996</v>
      </c>
      <c r="AA60">
        <v>7.71</v>
      </c>
      <c r="AB60">
        <v>0</v>
      </c>
      <c r="AC60">
        <v>0</v>
      </c>
      <c r="AD60">
        <v>0</v>
      </c>
      <c r="AE60">
        <v>7.71</v>
      </c>
      <c r="AF60">
        <v>0</v>
      </c>
      <c r="AG60">
        <v>0</v>
      </c>
      <c r="AH60">
        <v>0</v>
      </c>
      <c r="AI60">
        <v>1</v>
      </c>
      <c r="AJ60">
        <v>1</v>
      </c>
      <c r="AK60">
        <v>1</v>
      </c>
      <c r="AL60">
        <v>1</v>
      </c>
      <c r="AM60">
        <v>-2</v>
      </c>
      <c r="AN60">
        <v>0</v>
      </c>
      <c r="AO60">
        <v>0</v>
      </c>
      <c r="AP60">
        <v>1</v>
      </c>
      <c r="AQ60">
        <v>1</v>
      </c>
      <c r="AR60">
        <v>0</v>
      </c>
      <c r="AS60" t="s">
        <v>3</v>
      </c>
      <c r="AT60">
        <v>0.57999999999999996</v>
      </c>
      <c r="AU60" t="s">
        <v>3</v>
      </c>
      <c r="AV60">
        <v>0</v>
      </c>
      <c r="AW60">
        <v>2</v>
      </c>
      <c r="AX60">
        <v>50837409</v>
      </c>
      <c r="AY60">
        <v>1</v>
      </c>
      <c r="AZ60">
        <v>0</v>
      </c>
      <c r="BA60">
        <v>61</v>
      </c>
      <c r="BB60">
        <v>1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4.4718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1</v>
      </c>
      <c r="BQ60">
        <v>4.4718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1</v>
      </c>
      <c r="CV60">
        <v>0</v>
      </c>
      <c r="CW60">
        <v>0</v>
      </c>
      <c r="CX60">
        <f>ROUND(Y60*Source!I36,7)</f>
        <v>4.292E-2</v>
      </c>
      <c r="CY60">
        <f>AA60</f>
        <v>7.71</v>
      </c>
      <c r="CZ60">
        <f>AE60</f>
        <v>7.71</v>
      </c>
      <c r="DA60">
        <f>AI60</f>
        <v>1</v>
      </c>
      <c r="DB60">
        <f>ROUND(ROUND(AT60*CZ60,2),6)</f>
        <v>4.47</v>
      </c>
      <c r="DC60">
        <f>ROUND(ROUND(AT60*AG60,2),6)</f>
        <v>0</v>
      </c>
      <c r="DD60" t="s">
        <v>3</v>
      </c>
      <c r="DE60" t="s">
        <v>3</v>
      </c>
      <c r="DF60">
        <f>ROUND(ROUND(AE60,2)*CX60,2)</f>
        <v>0.33</v>
      </c>
      <c r="DG60">
        <f t="shared" si="21"/>
        <v>0</v>
      </c>
      <c r="DH60">
        <f t="shared" si="18"/>
        <v>0</v>
      </c>
      <c r="DI60">
        <f t="shared" si="19"/>
        <v>0</v>
      </c>
      <c r="DJ60">
        <f>DF60</f>
        <v>0.33</v>
      </c>
      <c r="DK60">
        <v>1</v>
      </c>
      <c r="DL60" t="s">
        <v>3</v>
      </c>
      <c r="DM60">
        <v>0</v>
      </c>
      <c r="DN60" t="s">
        <v>3</v>
      </c>
      <c r="DO60">
        <v>0</v>
      </c>
    </row>
    <row r="61" spans="1:119">
      <c r="A61">
        <f>ROW(Source!A36)</f>
        <v>36</v>
      </c>
      <c r="B61">
        <v>50837261</v>
      </c>
      <c r="C61">
        <v>50837403</v>
      </c>
      <c r="D61">
        <v>49831748</v>
      </c>
      <c r="E61">
        <v>1</v>
      </c>
      <c r="F61">
        <v>1</v>
      </c>
      <c r="G61">
        <v>1</v>
      </c>
      <c r="H61">
        <v>3</v>
      </c>
      <c r="I61" t="s">
        <v>343</v>
      </c>
      <c r="J61" t="s">
        <v>344</v>
      </c>
      <c r="K61" t="s">
        <v>345</v>
      </c>
      <c r="L61">
        <v>1348</v>
      </c>
      <c r="N61">
        <v>1009</v>
      </c>
      <c r="O61" t="s">
        <v>46</v>
      </c>
      <c r="P61" t="s">
        <v>46</v>
      </c>
      <c r="Q61">
        <v>1000</v>
      </c>
      <c r="W61">
        <v>0</v>
      </c>
      <c r="X61">
        <v>-1061297381</v>
      </c>
      <c r="Y61">
        <f>AT61</f>
        <v>1.1999999999999999E-3</v>
      </c>
      <c r="AA61">
        <v>76729.919999999998</v>
      </c>
      <c r="AB61">
        <v>0</v>
      </c>
      <c r="AC61">
        <v>0</v>
      </c>
      <c r="AD61">
        <v>0</v>
      </c>
      <c r="AE61">
        <v>76729.919999999998</v>
      </c>
      <c r="AF61">
        <v>0</v>
      </c>
      <c r="AG61">
        <v>0</v>
      </c>
      <c r="AH61">
        <v>0</v>
      </c>
      <c r="AI61">
        <v>1</v>
      </c>
      <c r="AJ61">
        <v>1</v>
      </c>
      <c r="AK61">
        <v>1</v>
      </c>
      <c r="AL61">
        <v>1</v>
      </c>
      <c r="AM61">
        <v>-2</v>
      </c>
      <c r="AN61">
        <v>0</v>
      </c>
      <c r="AO61">
        <v>0</v>
      </c>
      <c r="AP61">
        <v>1</v>
      </c>
      <c r="AQ61">
        <v>1</v>
      </c>
      <c r="AR61">
        <v>0</v>
      </c>
      <c r="AS61" t="s">
        <v>3</v>
      </c>
      <c r="AT61">
        <v>1.1999999999999999E-3</v>
      </c>
      <c r="AU61" t="s">
        <v>3</v>
      </c>
      <c r="AV61">
        <v>0</v>
      </c>
      <c r="AW61">
        <v>2</v>
      </c>
      <c r="AX61">
        <v>50837410</v>
      </c>
      <c r="AY61">
        <v>1</v>
      </c>
      <c r="AZ61">
        <v>0</v>
      </c>
      <c r="BA61">
        <v>62</v>
      </c>
      <c r="BB61">
        <v>1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92.075903999999994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1</v>
      </c>
      <c r="BQ61">
        <v>92.075903999999994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1</v>
      </c>
      <c r="CV61">
        <v>0</v>
      </c>
      <c r="CW61">
        <v>0</v>
      </c>
      <c r="CX61">
        <f>ROUND(Y61*Source!I36,7)</f>
        <v>8.8800000000000004E-5</v>
      </c>
      <c r="CY61">
        <f>AA61</f>
        <v>76729.919999999998</v>
      </c>
      <c r="CZ61">
        <f>AE61</f>
        <v>76729.919999999998</v>
      </c>
      <c r="DA61">
        <f>AI61</f>
        <v>1</v>
      </c>
      <c r="DB61">
        <f>ROUND(ROUND(AT61*CZ61,2),6)</f>
        <v>92.08</v>
      </c>
      <c r="DC61">
        <f>ROUND(ROUND(AT61*AG61,2),6)</f>
        <v>0</v>
      </c>
      <c r="DD61" t="s">
        <v>3</v>
      </c>
      <c r="DE61" t="s">
        <v>3</v>
      </c>
      <c r="DF61">
        <f>ROUND(ROUND(AE61,2)*CX61,2)</f>
        <v>6.81</v>
      </c>
      <c r="DG61">
        <f t="shared" si="21"/>
        <v>0</v>
      </c>
      <c r="DH61">
        <f t="shared" si="18"/>
        <v>0</v>
      </c>
      <c r="DI61">
        <f t="shared" si="19"/>
        <v>0</v>
      </c>
      <c r="DJ61">
        <f>DF61</f>
        <v>6.81</v>
      </c>
      <c r="DK61">
        <v>1</v>
      </c>
      <c r="DL61" t="s">
        <v>3</v>
      </c>
      <c r="DM61">
        <v>0</v>
      </c>
      <c r="DN61" t="s">
        <v>3</v>
      </c>
      <c r="DO61">
        <v>0</v>
      </c>
    </row>
    <row r="62" spans="1:119">
      <c r="A62">
        <f>ROW(Source!A36)</f>
        <v>36</v>
      </c>
      <c r="B62">
        <v>50837261</v>
      </c>
      <c r="C62">
        <v>50837403</v>
      </c>
      <c r="D62">
        <v>49832898</v>
      </c>
      <c r="E62">
        <v>1</v>
      </c>
      <c r="F62">
        <v>1</v>
      </c>
      <c r="G62">
        <v>1</v>
      </c>
      <c r="H62">
        <v>3</v>
      </c>
      <c r="I62" t="s">
        <v>346</v>
      </c>
      <c r="J62" t="s">
        <v>347</v>
      </c>
      <c r="K62" t="s">
        <v>348</v>
      </c>
      <c r="L62">
        <v>1346</v>
      </c>
      <c r="N62">
        <v>1009</v>
      </c>
      <c r="O62" t="s">
        <v>349</v>
      </c>
      <c r="P62" t="s">
        <v>349</v>
      </c>
      <c r="Q62">
        <v>1</v>
      </c>
      <c r="W62">
        <v>0</v>
      </c>
      <c r="X62">
        <v>-373327139</v>
      </c>
      <c r="Y62">
        <f>AT62</f>
        <v>0.5</v>
      </c>
      <c r="AA62">
        <v>89.21</v>
      </c>
      <c r="AB62">
        <v>0</v>
      </c>
      <c r="AC62">
        <v>0</v>
      </c>
      <c r="AD62">
        <v>0</v>
      </c>
      <c r="AE62">
        <v>56.11</v>
      </c>
      <c r="AF62">
        <v>0</v>
      </c>
      <c r="AG62">
        <v>0</v>
      </c>
      <c r="AH62">
        <v>0</v>
      </c>
      <c r="AI62">
        <v>1.59</v>
      </c>
      <c r="AJ62">
        <v>1</v>
      </c>
      <c r="AK62">
        <v>1</v>
      </c>
      <c r="AL62">
        <v>1</v>
      </c>
      <c r="AM62">
        <v>2</v>
      </c>
      <c r="AN62">
        <v>0</v>
      </c>
      <c r="AO62">
        <v>0</v>
      </c>
      <c r="AP62">
        <v>1</v>
      </c>
      <c r="AQ62">
        <v>1</v>
      </c>
      <c r="AR62">
        <v>0</v>
      </c>
      <c r="AS62" t="s">
        <v>3</v>
      </c>
      <c r="AT62">
        <v>0.5</v>
      </c>
      <c r="AU62" t="s">
        <v>3</v>
      </c>
      <c r="AV62">
        <v>0</v>
      </c>
      <c r="AW62">
        <v>2</v>
      </c>
      <c r="AX62">
        <v>50837412</v>
      </c>
      <c r="AY62">
        <v>1</v>
      </c>
      <c r="AZ62">
        <v>0</v>
      </c>
      <c r="BA62">
        <v>64</v>
      </c>
      <c r="BB62">
        <v>1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28.055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1</v>
      </c>
      <c r="BQ62">
        <v>28.055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1</v>
      </c>
      <c r="CV62">
        <v>0</v>
      </c>
      <c r="CW62">
        <v>0</v>
      </c>
      <c r="CX62">
        <f>ROUND(Y62*Source!I36,7)</f>
        <v>3.6999999999999998E-2</v>
      </c>
      <c r="CY62">
        <f>AA62</f>
        <v>89.21</v>
      </c>
      <c r="CZ62">
        <f>AE62</f>
        <v>56.11</v>
      </c>
      <c r="DA62">
        <f>AI62</f>
        <v>1.59</v>
      </c>
      <c r="DB62">
        <f>ROUND(ROUND(AT62*CZ62,2),6)</f>
        <v>28.06</v>
      </c>
      <c r="DC62">
        <f>ROUND(ROUND(AT62*AG62,2),6)</f>
        <v>0</v>
      </c>
      <c r="DD62" t="s">
        <v>3</v>
      </c>
      <c r="DE62" t="s">
        <v>3</v>
      </c>
      <c r="DF62">
        <f>ROUND(ROUND(AE62*AI62,2)*CX62,2)</f>
        <v>3.3</v>
      </c>
      <c r="DG62">
        <f t="shared" si="21"/>
        <v>0</v>
      </c>
      <c r="DH62">
        <f t="shared" si="18"/>
        <v>0</v>
      </c>
      <c r="DI62">
        <f t="shared" si="19"/>
        <v>0</v>
      </c>
      <c r="DJ62">
        <f>DF62</f>
        <v>3.3</v>
      </c>
      <c r="DK62">
        <v>0</v>
      </c>
      <c r="DL62" t="s">
        <v>3</v>
      </c>
      <c r="DM62">
        <v>0</v>
      </c>
      <c r="DN62" t="s">
        <v>3</v>
      </c>
      <c r="DO62">
        <v>0</v>
      </c>
    </row>
    <row r="63" spans="1:119">
      <c r="A63">
        <f>ROW(Source!A36)</f>
        <v>36</v>
      </c>
      <c r="B63">
        <v>50837261</v>
      </c>
      <c r="C63">
        <v>50837403</v>
      </c>
      <c r="D63">
        <v>49851852</v>
      </c>
      <c r="E63">
        <v>1</v>
      </c>
      <c r="F63">
        <v>1</v>
      </c>
      <c r="G63">
        <v>1</v>
      </c>
      <c r="H63">
        <v>3</v>
      </c>
      <c r="I63" t="s">
        <v>350</v>
      </c>
      <c r="J63" t="s">
        <v>351</v>
      </c>
      <c r="K63" t="s">
        <v>352</v>
      </c>
      <c r="L63">
        <v>1346</v>
      </c>
      <c r="N63">
        <v>1009</v>
      </c>
      <c r="O63" t="s">
        <v>349</v>
      </c>
      <c r="P63" t="s">
        <v>349</v>
      </c>
      <c r="Q63">
        <v>1</v>
      </c>
      <c r="W63">
        <v>0</v>
      </c>
      <c r="X63">
        <v>-2076143856</v>
      </c>
      <c r="Y63">
        <f>AT63</f>
        <v>40</v>
      </c>
      <c r="AA63">
        <v>162.72999999999999</v>
      </c>
      <c r="AB63">
        <v>0</v>
      </c>
      <c r="AC63">
        <v>0</v>
      </c>
      <c r="AD63">
        <v>0</v>
      </c>
      <c r="AE63">
        <v>118.78</v>
      </c>
      <c r="AF63">
        <v>0</v>
      </c>
      <c r="AG63">
        <v>0</v>
      </c>
      <c r="AH63">
        <v>0</v>
      </c>
      <c r="AI63">
        <v>1.37</v>
      </c>
      <c r="AJ63">
        <v>1</v>
      </c>
      <c r="AK63">
        <v>1</v>
      </c>
      <c r="AL63">
        <v>1</v>
      </c>
      <c r="AM63">
        <v>2</v>
      </c>
      <c r="AN63">
        <v>0</v>
      </c>
      <c r="AO63">
        <v>0</v>
      </c>
      <c r="AP63">
        <v>1</v>
      </c>
      <c r="AQ63">
        <v>1</v>
      </c>
      <c r="AR63">
        <v>0</v>
      </c>
      <c r="AS63" t="s">
        <v>3</v>
      </c>
      <c r="AT63">
        <v>40</v>
      </c>
      <c r="AU63" t="s">
        <v>3</v>
      </c>
      <c r="AV63">
        <v>0</v>
      </c>
      <c r="AW63">
        <v>2</v>
      </c>
      <c r="AX63">
        <v>50837415</v>
      </c>
      <c r="AY63">
        <v>1</v>
      </c>
      <c r="AZ63">
        <v>0</v>
      </c>
      <c r="BA63">
        <v>67</v>
      </c>
      <c r="BB63">
        <v>1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4751.2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1</v>
      </c>
      <c r="BQ63">
        <v>4751.2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1</v>
      </c>
      <c r="CV63">
        <v>0</v>
      </c>
      <c r="CW63">
        <v>0</v>
      </c>
      <c r="CX63">
        <f>ROUND(Y63*Source!I36,7)</f>
        <v>2.96</v>
      </c>
      <c r="CY63">
        <f>AA63</f>
        <v>162.72999999999999</v>
      </c>
      <c r="CZ63">
        <f>AE63</f>
        <v>118.78</v>
      </c>
      <c r="DA63">
        <f>AI63</f>
        <v>1.37</v>
      </c>
      <c r="DB63">
        <f>ROUND(ROUND(AT63*CZ63,2),6)</f>
        <v>4751.2</v>
      </c>
      <c r="DC63">
        <f>ROUND(ROUND(AT63*AG63,2),6)</f>
        <v>0</v>
      </c>
      <c r="DD63" t="s">
        <v>3</v>
      </c>
      <c r="DE63" t="s">
        <v>3</v>
      </c>
      <c r="DF63">
        <f>ROUND(ROUND(AE63*AI63,2)*CX63,2)</f>
        <v>481.68</v>
      </c>
      <c r="DG63">
        <f t="shared" si="21"/>
        <v>0</v>
      </c>
      <c r="DH63">
        <f t="shared" si="18"/>
        <v>0</v>
      </c>
      <c r="DI63">
        <f t="shared" si="19"/>
        <v>0</v>
      </c>
      <c r="DJ63">
        <f>DF63</f>
        <v>481.68</v>
      </c>
      <c r="DK63">
        <v>0</v>
      </c>
      <c r="DL63" t="s">
        <v>3</v>
      </c>
      <c r="DM63">
        <v>0</v>
      </c>
      <c r="DN63" t="s">
        <v>3</v>
      </c>
      <c r="DO63">
        <v>0</v>
      </c>
    </row>
    <row r="64" spans="1:119">
      <c r="A64">
        <f>ROW(Source!A39)</f>
        <v>39</v>
      </c>
      <c r="B64">
        <v>50837261</v>
      </c>
      <c r="C64">
        <v>50837420</v>
      </c>
      <c r="D64">
        <v>49752853</v>
      </c>
      <c r="E64">
        <v>117</v>
      </c>
      <c r="F64">
        <v>1</v>
      </c>
      <c r="G64">
        <v>1</v>
      </c>
      <c r="H64">
        <v>1</v>
      </c>
      <c r="I64" t="s">
        <v>310</v>
      </c>
      <c r="J64" t="s">
        <v>3</v>
      </c>
      <c r="K64" t="s">
        <v>311</v>
      </c>
      <c r="L64">
        <v>1191</v>
      </c>
      <c r="N64">
        <v>1013</v>
      </c>
      <c r="O64" t="s">
        <v>252</v>
      </c>
      <c r="P64" t="s">
        <v>252</v>
      </c>
      <c r="Q64">
        <v>1</v>
      </c>
      <c r="W64">
        <v>0</v>
      </c>
      <c r="X64">
        <v>-1833565283</v>
      </c>
      <c r="Y64">
        <f>(AT64*ROUND(1.15,7))</f>
        <v>496.79999999999995</v>
      </c>
      <c r="AA64">
        <v>0</v>
      </c>
      <c r="AB64">
        <v>0</v>
      </c>
      <c r="AC64">
        <v>0</v>
      </c>
      <c r="AD64">
        <v>359.65</v>
      </c>
      <c r="AE64">
        <v>0</v>
      </c>
      <c r="AF64">
        <v>0</v>
      </c>
      <c r="AG64">
        <v>0</v>
      </c>
      <c r="AH64">
        <v>359.65</v>
      </c>
      <c r="AI64">
        <v>1</v>
      </c>
      <c r="AJ64">
        <v>1</v>
      </c>
      <c r="AK64">
        <v>1</v>
      </c>
      <c r="AL64">
        <v>1</v>
      </c>
      <c r="AM64">
        <v>-2</v>
      </c>
      <c r="AN64">
        <v>0</v>
      </c>
      <c r="AO64">
        <v>0</v>
      </c>
      <c r="AP64">
        <v>1</v>
      </c>
      <c r="AQ64">
        <v>1</v>
      </c>
      <c r="AR64">
        <v>0</v>
      </c>
      <c r="AS64" t="s">
        <v>3</v>
      </c>
      <c r="AT64">
        <v>432</v>
      </c>
      <c r="AU64" t="s">
        <v>68</v>
      </c>
      <c r="AV64">
        <v>1</v>
      </c>
      <c r="AW64">
        <v>2</v>
      </c>
      <c r="AX64">
        <v>50844080</v>
      </c>
      <c r="AY64">
        <v>1</v>
      </c>
      <c r="AZ64">
        <v>0</v>
      </c>
      <c r="BA64">
        <v>68</v>
      </c>
      <c r="BB64">
        <v>1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155368.79999999999</v>
      </c>
      <c r="BN64">
        <v>432</v>
      </c>
      <c r="BO64">
        <v>0</v>
      </c>
      <c r="BP64">
        <v>1</v>
      </c>
      <c r="BQ64">
        <v>0</v>
      </c>
      <c r="BR64">
        <v>0</v>
      </c>
      <c r="BS64">
        <v>0</v>
      </c>
      <c r="BT64">
        <v>178674.11999999997</v>
      </c>
      <c r="BU64">
        <v>496.79999999999995</v>
      </c>
      <c r="BV64">
        <v>0</v>
      </c>
      <c r="BW64">
        <v>1</v>
      </c>
      <c r="CU64">
        <f>ROUND(AT64*Source!I39*AH64*AL64,2)</f>
        <v>27500.28</v>
      </c>
      <c r="CV64">
        <f>ROUND(Y64*Source!I39,7)</f>
        <v>87.933599999999998</v>
      </c>
      <c r="CW64">
        <v>0</v>
      </c>
      <c r="CX64">
        <f>ROUND(Y64*Source!I39,7)</f>
        <v>87.933599999999998</v>
      </c>
      <c r="CY64">
        <f>AD64</f>
        <v>359.65</v>
      </c>
      <c r="CZ64">
        <f>AH64</f>
        <v>359.65</v>
      </c>
      <c r="DA64">
        <f>AL64</f>
        <v>1</v>
      </c>
      <c r="DB64">
        <f>ROUND((ROUND(AT64*CZ64,2)*ROUND(1.15,7)),6)</f>
        <v>178674.12</v>
      </c>
      <c r="DC64">
        <f>ROUND((ROUND(AT64*AG64,2)*ROUND(1.15,7)),6)</f>
        <v>0</v>
      </c>
      <c r="DD64" t="s">
        <v>3</v>
      </c>
      <c r="DE64" t="s">
        <v>3</v>
      </c>
      <c r="DF64">
        <f>ROUND(ROUND(AE64,2)*CX64,2)</f>
        <v>0</v>
      </c>
      <c r="DG64">
        <f t="shared" si="21"/>
        <v>0</v>
      </c>
      <c r="DH64">
        <f t="shared" si="18"/>
        <v>0</v>
      </c>
      <c r="DI64">
        <f t="shared" si="19"/>
        <v>31625.32</v>
      </c>
      <c r="DJ64">
        <f>DI64</f>
        <v>31625.32</v>
      </c>
      <c r="DK64">
        <v>1</v>
      </c>
      <c r="DL64" t="s">
        <v>3</v>
      </c>
      <c r="DM64">
        <v>0</v>
      </c>
      <c r="DN64" t="s">
        <v>3</v>
      </c>
      <c r="DO64">
        <v>0</v>
      </c>
    </row>
    <row r="65" spans="1:119">
      <c r="A65">
        <f>ROW(Source!A39)</f>
        <v>39</v>
      </c>
      <c r="B65">
        <v>50837261</v>
      </c>
      <c r="C65">
        <v>50837420</v>
      </c>
      <c r="D65">
        <v>49753052</v>
      </c>
      <c r="E65">
        <v>117</v>
      </c>
      <c r="F65">
        <v>1</v>
      </c>
      <c r="G65">
        <v>1</v>
      </c>
      <c r="H65">
        <v>1</v>
      </c>
      <c r="I65" t="s">
        <v>253</v>
      </c>
      <c r="J65" t="s">
        <v>3</v>
      </c>
      <c r="K65" t="s">
        <v>254</v>
      </c>
      <c r="L65">
        <v>1191</v>
      </c>
      <c r="N65">
        <v>1013</v>
      </c>
      <c r="O65" t="s">
        <v>252</v>
      </c>
      <c r="P65" t="s">
        <v>252</v>
      </c>
      <c r="Q65">
        <v>1</v>
      </c>
      <c r="W65">
        <v>0</v>
      </c>
      <c r="X65">
        <v>-1417349443</v>
      </c>
      <c r="Y65">
        <f>(AT65*ROUND(1.25,7))</f>
        <v>3.55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1</v>
      </c>
      <c r="AJ65">
        <v>1</v>
      </c>
      <c r="AK65">
        <v>1</v>
      </c>
      <c r="AL65">
        <v>1</v>
      </c>
      <c r="AM65">
        <v>-2</v>
      </c>
      <c r="AN65">
        <v>0</v>
      </c>
      <c r="AO65">
        <v>0</v>
      </c>
      <c r="AP65">
        <v>1</v>
      </c>
      <c r="AQ65">
        <v>1</v>
      </c>
      <c r="AR65">
        <v>0</v>
      </c>
      <c r="AS65" t="s">
        <v>3</v>
      </c>
      <c r="AT65">
        <v>2.84</v>
      </c>
      <c r="AU65" t="s">
        <v>67</v>
      </c>
      <c r="AV65">
        <v>2</v>
      </c>
      <c r="AW65">
        <v>2</v>
      </c>
      <c r="AX65">
        <v>50844081</v>
      </c>
      <c r="AY65">
        <v>1</v>
      </c>
      <c r="AZ65">
        <v>0</v>
      </c>
      <c r="BA65">
        <v>69</v>
      </c>
      <c r="BB65">
        <v>1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V65">
        <v>0</v>
      </c>
      <c r="CW65">
        <v>0</v>
      </c>
      <c r="CX65">
        <f>ROUND(Y65*Source!I39,7)</f>
        <v>0.62834999999999996</v>
      </c>
      <c r="CY65">
        <f>AD65</f>
        <v>0</v>
      </c>
      <c r="CZ65">
        <f>AH65</f>
        <v>0</v>
      </c>
      <c r="DA65">
        <f>AL65</f>
        <v>1</v>
      </c>
      <c r="DB65">
        <f>ROUND((ROUND(AT65*CZ65,2)*ROUND(1.25,7)),6)</f>
        <v>0</v>
      </c>
      <c r="DC65">
        <f>ROUND((ROUND(AT65*AG65,2)*ROUND(1.25,7)),6)</f>
        <v>0</v>
      </c>
      <c r="DD65" t="s">
        <v>3</v>
      </c>
      <c r="DE65" t="s">
        <v>3</v>
      </c>
      <c r="DF65">
        <f>ROUND(ROUND(AE65,2)*CX65,2)</f>
        <v>0</v>
      </c>
      <c r="DG65">
        <f t="shared" si="21"/>
        <v>0</v>
      </c>
      <c r="DH65">
        <f t="shared" ref="DH65:DH82" si="22">ROUND(ROUND(AG65,2)*CX65,2)</f>
        <v>0</v>
      </c>
      <c r="DI65">
        <f t="shared" ref="DI65:DI82" si="23">ROUND(ROUND(AH65,2)*CX65,2)</f>
        <v>0</v>
      </c>
      <c r="DJ65">
        <f>DI65</f>
        <v>0</v>
      </c>
      <c r="DK65">
        <v>0</v>
      </c>
      <c r="DL65" t="s">
        <v>3</v>
      </c>
      <c r="DM65">
        <v>0</v>
      </c>
      <c r="DN65" t="s">
        <v>3</v>
      </c>
      <c r="DO65">
        <v>0</v>
      </c>
    </row>
    <row r="66" spans="1:119">
      <c r="A66">
        <f>ROW(Source!A39)</f>
        <v>39</v>
      </c>
      <c r="B66">
        <v>50837261</v>
      </c>
      <c r="C66">
        <v>50837420</v>
      </c>
      <c r="D66">
        <v>49759854</v>
      </c>
      <c r="E66">
        <v>1</v>
      </c>
      <c r="F66">
        <v>1</v>
      </c>
      <c r="G66">
        <v>1</v>
      </c>
      <c r="H66">
        <v>2</v>
      </c>
      <c r="I66" t="s">
        <v>353</v>
      </c>
      <c r="J66" t="s">
        <v>354</v>
      </c>
      <c r="K66" t="s">
        <v>355</v>
      </c>
      <c r="L66">
        <v>1368</v>
      </c>
      <c r="N66">
        <v>1011</v>
      </c>
      <c r="O66" t="s">
        <v>258</v>
      </c>
      <c r="P66" t="s">
        <v>258</v>
      </c>
      <c r="Q66">
        <v>1</v>
      </c>
      <c r="W66">
        <v>0</v>
      </c>
      <c r="X66">
        <v>-664744344</v>
      </c>
      <c r="Y66">
        <f>(AT66*ROUND(1.25,7))</f>
        <v>1.6500000000000001</v>
      </c>
      <c r="AA66">
        <v>0</v>
      </c>
      <c r="AB66">
        <v>1689.72</v>
      </c>
      <c r="AC66">
        <v>465.43</v>
      </c>
      <c r="AD66">
        <v>0</v>
      </c>
      <c r="AE66">
        <v>0</v>
      </c>
      <c r="AF66">
        <v>1689.72</v>
      </c>
      <c r="AG66">
        <v>465.43</v>
      </c>
      <c r="AH66">
        <v>0</v>
      </c>
      <c r="AI66">
        <v>1</v>
      </c>
      <c r="AJ66">
        <v>1</v>
      </c>
      <c r="AK66">
        <v>1</v>
      </c>
      <c r="AL66">
        <v>1</v>
      </c>
      <c r="AM66">
        <v>-2</v>
      </c>
      <c r="AN66">
        <v>0</v>
      </c>
      <c r="AO66">
        <v>0</v>
      </c>
      <c r="AP66">
        <v>1</v>
      </c>
      <c r="AQ66">
        <v>1</v>
      </c>
      <c r="AR66">
        <v>0</v>
      </c>
      <c r="AS66" t="s">
        <v>3</v>
      </c>
      <c r="AT66">
        <v>1.32</v>
      </c>
      <c r="AU66" t="s">
        <v>67</v>
      </c>
      <c r="AV66">
        <v>1</v>
      </c>
      <c r="AW66">
        <v>2</v>
      </c>
      <c r="AX66">
        <v>50844082</v>
      </c>
      <c r="AY66">
        <v>1</v>
      </c>
      <c r="AZ66">
        <v>0</v>
      </c>
      <c r="BA66">
        <v>70</v>
      </c>
      <c r="BB66">
        <v>1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2230.4304000000002</v>
      </c>
      <c r="BL66">
        <v>614.36760000000004</v>
      </c>
      <c r="BM66">
        <v>0</v>
      </c>
      <c r="BN66">
        <v>0</v>
      </c>
      <c r="BO66">
        <v>1.32</v>
      </c>
      <c r="BP66">
        <v>1</v>
      </c>
      <c r="BQ66">
        <v>0</v>
      </c>
      <c r="BR66">
        <v>2788.0380000000005</v>
      </c>
      <c r="BS66">
        <v>767.95950000000005</v>
      </c>
      <c r="BT66">
        <v>0</v>
      </c>
      <c r="BU66">
        <v>0</v>
      </c>
      <c r="BV66">
        <v>1.6500000000000001</v>
      </c>
      <c r="BW66">
        <v>1</v>
      </c>
      <c r="CV66">
        <v>0</v>
      </c>
      <c r="CW66">
        <f>ROUND(Y66*Source!I39*DO66,7)</f>
        <v>0.29204999999999998</v>
      </c>
      <c r="CX66">
        <f>ROUND(Y66*Source!I39,7)</f>
        <v>0.29204999999999998</v>
      </c>
      <c r="CY66">
        <f>AB66</f>
        <v>1689.72</v>
      </c>
      <c r="CZ66">
        <f>AF66</f>
        <v>1689.72</v>
      </c>
      <c r="DA66">
        <f>AJ66</f>
        <v>1</v>
      </c>
      <c r="DB66">
        <f>ROUND((ROUND(AT66*CZ66,2)*ROUND(1.25,7)),6)</f>
        <v>2788.0374999999999</v>
      </c>
      <c r="DC66">
        <f>ROUND((ROUND(AT66*AG66,2)*ROUND(1.25,7)),6)</f>
        <v>767.96249999999998</v>
      </c>
      <c r="DD66" t="s">
        <v>3</v>
      </c>
      <c r="DE66" t="s">
        <v>3</v>
      </c>
      <c r="DF66">
        <f>ROUND(ROUND(AE66,2)*CX66,2)</f>
        <v>0</v>
      </c>
      <c r="DG66">
        <f t="shared" si="21"/>
        <v>493.48</v>
      </c>
      <c r="DH66">
        <f t="shared" si="22"/>
        <v>135.93</v>
      </c>
      <c r="DI66">
        <f t="shared" si="23"/>
        <v>0</v>
      </c>
      <c r="DJ66">
        <f>DG66+DH66</f>
        <v>629.41000000000008</v>
      </c>
      <c r="DK66">
        <v>1</v>
      </c>
      <c r="DL66" t="s">
        <v>259</v>
      </c>
      <c r="DM66">
        <v>5</v>
      </c>
      <c r="DN66" t="s">
        <v>252</v>
      </c>
      <c r="DO66">
        <v>1</v>
      </c>
    </row>
    <row r="67" spans="1:119">
      <c r="A67">
        <f>ROW(Source!A39)</f>
        <v>39</v>
      </c>
      <c r="B67">
        <v>50837261</v>
      </c>
      <c r="C67">
        <v>50837420</v>
      </c>
      <c r="D67">
        <v>49759884</v>
      </c>
      <c r="E67">
        <v>1</v>
      </c>
      <c r="F67">
        <v>1</v>
      </c>
      <c r="G67">
        <v>1</v>
      </c>
      <c r="H67">
        <v>2</v>
      </c>
      <c r="I67" t="s">
        <v>300</v>
      </c>
      <c r="J67" t="s">
        <v>301</v>
      </c>
      <c r="K67" t="s">
        <v>302</v>
      </c>
      <c r="L67">
        <v>1368</v>
      </c>
      <c r="N67">
        <v>1011</v>
      </c>
      <c r="O67" t="s">
        <v>258</v>
      </c>
      <c r="P67" t="s">
        <v>258</v>
      </c>
      <c r="Q67">
        <v>1</v>
      </c>
      <c r="W67">
        <v>0</v>
      </c>
      <c r="X67">
        <v>945201097</v>
      </c>
      <c r="Y67">
        <f>(AT67*ROUND(1.25,7))</f>
        <v>1.45</v>
      </c>
      <c r="AA67">
        <v>0</v>
      </c>
      <c r="AB67">
        <v>60.83</v>
      </c>
      <c r="AC67">
        <v>359.65</v>
      </c>
      <c r="AD67">
        <v>0</v>
      </c>
      <c r="AE67">
        <v>0</v>
      </c>
      <c r="AF67">
        <v>37.32</v>
      </c>
      <c r="AG67">
        <v>359.65</v>
      </c>
      <c r="AH67">
        <v>0</v>
      </c>
      <c r="AI67">
        <v>1</v>
      </c>
      <c r="AJ67">
        <v>1.63</v>
      </c>
      <c r="AK67">
        <v>1</v>
      </c>
      <c r="AL67">
        <v>1</v>
      </c>
      <c r="AM67">
        <v>2</v>
      </c>
      <c r="AN67">
        <v>0</v>
      </c>
      <c r="AO67">
        <v>0</v>
      </c>
      <c r="AP67">
        <v>1</v>
      </c>
      <c r="AQ67">
        <v>1</v>
      </c>
      <c r="AR67">
        <v>0</v>
      </c>
      <c r="AS67" t="s">
        <v>3</v>
      </c>
      <c r="AT67">
        <v>1.1599999999999999</v>
      </c>
      <c r="AU67" t="s">
        <v>67</v>
      </c>
      <c r="AV67">
        <v>1</v>
      </c>
      <c r="AW67">
        <v>2</v>
      </c>
      <c r="AX67">
        <v>50844083</v>
      </c>
      <c r="AY67">
        <v>1</v>
      </c>
      <c r="AZ67">
        <v>0</v>
      </c>
      <c r="BA67">
        <v>71</v>
      </c>
      <c r="BB67">
        <v>1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43.291199999999996</v>
      </c>
      <c r="BL67">
        <v>417.19399999999996</v>
      </c>
      <c r="BM67">
        <v>0</v>
      </c>
      <c r="BN67">
        <v>0</v>
      </c>
      <c r="BO67">
        <v>1.1599999999999999</v>
      </c>
      <c r="BP67">
        <v>1</v>
      </c>
      <c r="BQ67">
        <v>0</v>
      </c>
      <c r="BR67">
        <v>54.113999999999997</v>
      </c>
      <c r="BS67">
        <v>521.49249999999995</v>
      </c>
      <c r="BT67">
        <v>0</v>
      </c>
      <c r="BU67">
        <v>0</v>
      </c>
      <c r="BV67">
        <v>1.45</v>
      </c>
      <c r="BW67">
        <v>1</v>
      </c>
      <c r="CV67">
        <v>0</v>
      </c>
      <c r="CW67">
        <f>ROUND(Y67*Source!I39*DO67,7)</f>
        <v>0.25664999999999999</v>
      </c>
      <c r="CX67">
        <f>ROUND(Y67*Source!I39,7)</f>
        <v>0.25664999999999999</v>
      </c>
      <c r="CY67">
        <f>AB67</f>
        <v>60.83</v>
      </c>
      <c r="CZ67">
        <f>AF67</f>
        <v>37.32</v>
      </c>
      <c r="DA67">
        <f>AJ67</f>
        <v>1.63</v>
      </c>
      <c r="DB67">
        <f>ROUND((ROUND(AT67*CZ67,2)*ROUND(1.25,7)),6)</f>
        <v>54.112499999999997</v>
      </c>
      <c r="DC67">
        <f>ROUND((ROUND(AT67*AG67,2)*ROUND(1.25,7)),6)</f>
        <v>521.48749999999995</v>
      </c>
      <c r="DD67" t="s">
        <v>3</v>
      </c>
      <c r="DE67" t="s">
        <v>3</v>
      </c>
      <c r="DF67">
        <f>ROUND(ROUND(AE67,2)*CX67,2)</f>
        <v>0</v>
      </c>
      <c r="DG67">
        <f>ROUND(ROUND(AF67*AJ67,2)*CX67,2)</f>
        <v>15.61</v>
      </c>
      <c r="DH67">
        <f t="shared" si="22"/>
        <v>92.3</v>
      </c>
      <c r="DI67">
        <f t="shared" si="23"/>
        <v>0</v>
      </c>
      <c r="DJ67">
        <f>DG67+DH67</f>
        <v>107.91</v>
      </c>
      <c r="DK67">
        <v>0</v>
      </c>
      <c r="DL67" t="s">
        <v>303</v>
      </c>
      <c r="DM67">
        <v>3</v>
      </c>
      <c r="DN67" t="s">
        <v>252</v>
      </c>
      <c r="DO67">
        <v>1</v>
      </c>
    </row>
    <row r="68" spans="1:119">
      <c r="A68">
        <f>ROW(Source!A39)</f>
        <v>39</v>
      </c>
      <c r="B68">
        <v>50837261</v>
      </c>
      <c r="C68">
        <v>50837420</v>
      </c>
      <c r="D68">
        <v>49760608</v>
      </c>
      <c r="E68">
        <v>1</v>
      </c>
      <c r="F68">
        <v>1</v>
      </c>
      <c r="G68">
        <v>1</v>
      </c>
      <c r="H68">
        <v>2</v>
      </c>
      <c r="I68" t="s">
        <v>322</v>
      </c>
      <c r="J68" t="s">
        <v>323</v>
      </c>
      <c r="K68" t="s">
        <v>324</v>
      </c>
      <c r="L68">
        <v>1368</v>
      </c>
      <c r="N68">
        <v>1011</v>
      </c>
      <c r="O68" t="s">
        <v>258</v>
      </c>
      <c r="P68" t="s">
        <v>258</v>
      </c>
      <c r="Q68">
        <v>1</v>
      </c>
      <c r="W68">
        <v>0</v>
      </c>
      <c r="X68">
        <v>-849950259</v>
      </c>
      <c r="Y68">
        <f>(AT68*ROUND(1.25,7))</f>
        <v>0.44999999999999996</v>
      </c>
      <c r="AA68">
        <v>0</v>
      </c>
      <c r="AB68">
        <v>680.75</v>
      </c>
      <c r="AC68">
        <v>404.99</v>
      </c>
      <c r="AD68">
        <v>0</v>
      </c>
      <c r="AE68">
        <v>0</v>
      </c>
      <c r="AF68">
        <v>680.75</v>
      </c>
      <c r="AG68">
        <v>404.99</v>
      </c>
      <c r="AH68">
        <v>0</v>
      </c>
      <c r="AI68">
        <v>1</v>
      </c>
      <c r="AJ68">
        <v>1</v>
      </c>
      <c r="AK68">
        <v>1</v>
      </c>
      <c r="AL68">
        <v>1</v>
      </c>
      <c r="AM68">
        <v>-2</v>
      </c>
      <c r="AN68">
        <v>0</v>
      </c>
      <c r="AO68">
        <v>0</v>
      </c>
      <c r="AP68">
        <v>1</v>
      </c>
      <c r="AQ68">
        <v>1</v>
      </c>
      <c r="AR68">
        <v>0</v>
      </c>
      <c r="AS68" t="s">
        <v>3</v>
      </c>
      <c r="AT68">
        <v>0.36</v>
      </c>
      <c r="AU68" t="s">
        <v>67</v>
      </c>
      <c r="AV68">
        <v>1</v>
      </c>
      <c r="AW68">
        <v>2</v>
      </c>
      <c r="AX68">
        <v>50844084</v>
      </c>
      <c r="AY68">
        <v>1</v>
      </c>
      <c r="AZ68">
        <v>0</v>
      </c>
      <c r="BA68">
        <v>72</v>
      </c>
      <c r="BB68">
        <v>1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245.07</v>
      </c>
      <c r="BL68">
        <v>145.79640000000001</v>
      </c>
      <c r="BM68">
        <v>0</v>
      </c>
      <c r="BN68">
        <v>0</v>
      </c>
      <c r="BO68">
        <v>0.36</v>
      </c>
      <c r="BP68">
        <v>1</v>
      </c>
      <c r="BQ68">
        <v>0</v>
      </c>
      <c r="BR68">
        <v>306.33749999999998</v>
      </c>
      <c r="BS68">
        <v>182.24549999999999</v>
      </c>
      <c r="BT68">
        <v>0</v>
      </c>
      <c r="BU68">
        <v>0</v>
      </c>
      <c r="BV68">
        <v>0.44999999999999996</v>
      </c>
      <c r="BW68">
        <v>1</v>
      </c>
      <c r="CV68">
        <v>0</v>
      </c>
      <c r="CW68">
        <f>ROUND(Y68*Source!I39*DO68,7)</f>
        <v>7.9649999999999999E-2</v>
      </c>
      <c r="CX68">
        <f>ROUND(Y68*Source!I39,7)</f>
        <v>7.9649999999999999E-2</v>
      </c>
      <c r="CY68">
        <f>AB68</f>
        <v>680.75</v>
      </c>
      <c r="CZ68">
        <f>AF68</f>
        <v>680.75</v>
      </c>
      <c r="DA68">
        <f>AJ68</f>
        <v>1</v>
      </c>
      <c r="DB68">
        <f>ROUND((ROUND(AT68*CZ68,2)*ROUND(1.25,7)),6)</f>
        <v>306.33749999999998</v>
      </c>
      <c r="DC68">
        <f>ROUND((ROUND(AT68*AG68,2)*ROUND(1.25,7)),6)</f>
        <v>182.25</v>
      </c>
      <c r="DD68" t="s">
        <v>3</v>
      </c>
      <c r="DE68" t="s">
        <v>3</v>
      </c>
      <c r="DF68">
        <f>ROUND(ROUND(AE68,2)*CX68,2)</f>
        <v>0</v>
      </c>
      <c r="DG68">
        <f t="shared" ref="DG68:DG75" si="24">ROUND(ROUND(AF68,2)*CX68,2)</f>
        <v>54.22</v>
      </c>
      <c r="DH68">
        <f t="shared" si="22"/>
        <v>32.26</v>
      </c>
      <c r="DI68">
        <f t="shared" si="23"/>
        <v>0</v>
      </c>
      <c r="DJ68">
        <f>DG68+DH68</f>
        <v>86.47999999999999</v>
      </c>
      <c r="DK68">
        <v>1</v>
      </c>
      <c r="DL68" t="s">
        <v>266</v>
      </c>
      <c r="DM68">
        <v>4</v>
      </c>
      <c r="DN68" t="s">
        <v>252</v>
      </c>
      <c r="DO68">
        <v>1</v>
      </c>
    </row>
    <row r="69" spans="1:119">
      <c r="A69">
        <f>ROW(Source!A39)</f>
        <v>39</v>
      </c>
      <c r="B69">
        <v>50837261</v>
      </c>
      <c r="C69">
        <v>50837420</v>
      </c>
      <c r="D69">
        <v>49830028</v>
      </c>
      <c r="E69">
        <v>1</v>
      </c>
      <c r="F69">
        <v>1</v>
      </c>
      <c r="G69">
        <v>1</v>
      </c>
      <c r="H69">
        <v>3</v>
      </c>
      <c r="I69" t="s">
        <v>277</v>
      </c>
      <c r="J69" t="s">
        <v>278</v>
      </c>
      <c r="K69" t="s">
        <v>279</v>
      </c>
      <c r="L69">
        <v>1339</v>
      </c>
      <c r="N69">
        <v>1007</v>
      </c>
      <c r="O69" t="s">
        <v>65</v>
      </c>
      <c r="P69" t="s">
        <v>65</v>
      </c>
      <c r="Q69">
        <v>1</v>
      </c>
      <c r="W69">
        <v>0</v>
      </c>
      <c r="X69">
        <v>1964556667</v>
      </c>
      <c r="Y69">
        <f>AT69</f>
        <v>3.85</v>
      </c>
      <c r="AA69">
        <v>29.64</v>
      </c>
      <c r="AB69">
        <v>0</v>
      </c>
      <c r="AC69">
        <v>0</v>
      </c>
      <c r="AD69">
        <v>0</v>
      </c>
      <c r="AE69">
        <v>35.71</v>
      </c>
      <c r="AF69">
        <v>0</v>
      </c>
      <c r="AG69">
        <v>0</v>
      </c>
      <c r="AH69">
        <v>0</v>
      </c>
      <c r="AI69">
        <v>0.83</v>
      </c>
      <c r="AJ69">
        <v>1</v>
      </c>
      <c r="AK69">
        <v>1</v>
      </c>
      <c r="AL69">
        <v>1</v>
      </c>
      <c r="AM69">
        <v>2</v>
      </c>
      <c r="AN69">
        <v>0</v>
      </c>
      <c r="AO69">
        <v>0</v>
      </c>
      <c r="AP69">
        <v>1</v>
      </c>
      <c r="AQ69">
        <v>1</v>
      </c>
      <c r="AR69">
        <v>0</v>
      </c>
      <c r="AS69" t="s">
        <v>3</v>
      </c>
      <c r="AT69">
        <v>3.85</v>
      </c>
      <c r="AU69" t="s">
        <v>3</v>
      </c>
      <c r="AV69">
        <v>0</v>
      </c>
      <c r="AW69">
        <v>2</v>
      </c>
      <c r="AX69">
        <v>50844085</v>
      </c>
      <c r="AY69">
        <v>1</v>
      </c>
      <c r="AZ69">
        <v>0</v>
      </c>
      <c r="BA69">
        <v>73</v>
      </c>
      <c r="BB69">
        <v>1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137.48349999999999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1</v>
      </c>
      <c r="BQ69">
        <v>137.48349999999999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1</v>
      </c>
      <c r="CV69">
        <v>0</v>
      </c>
      <c r="CW69">
        <v>0</v>
      </c>
      <c r="CX69">
        <f>ROUND(Y69*Source!I39,7)</f>
        <v>0.68145</v>
      </c>
      <c r="CY69">
        <f>AA69</f>
        <v>29.64</v>
      </c>
      <c r="CZ69">
        <f>AE69</f>
        <v>35.71</v>
      </c>
      <c r="DA69">
        <f>AI69</f>
        <v>0.83</v>
      </c>
      <c r="DB69">
        <f>ROUND(ROUND(AT69*CZ69,2),6)</f>
        <v>137.47999999999999</v>
      </c>
      <c r="DC69">
        <f>ROUND(ROUND(AT69*AG69,2),6)</f>
        <v>0</v>
      </c>
      <c r="DD69" t="s">
        <v>3</v>
      </c>
      <c r="DE69" t="s">
        <v>3</v>
      </c>
      <c r="DF69">
        <f>ROUND(ROUND(AE69*AI69,2)*CX69,2)</f>
        <v>20.2</v>
      </c>
      <c r="DG69">
        <f t="shared" si="24"/>
        <v>0</v>
      </c>
      <c r="DH69">
        <f t="shared" si="22"/>
        <v>0</v>
      </c>
      <c r="DI69">
        <f t="shared" si="23"/>
        <v>0</v>
      </c>
      <c r="DJ69">
        <f>DF69</f>
        <v>20.2</v>
      </c>
      <c r="DK69">
        <v>0</v>
      </c>
      <c r="DL69" t="s">
        <v>3</v>
      </c>
      <c r="DM69">
        <v>0</v>
      </c>
      <c r="DN69" t="s">
        <v>3</v>
      </c>
      <c r="DO69">
        <v>0</v>
      </c>
    </row>
    <row r="70" spans="1:119">
      <c r="A70">
        <f>ROW(Source!A39)</f>
        <v>39</v>
      </c>
      <c r="B70">
        <v>50837261</v>
      </c>
      <c r="C70">
        <v>50837420</v>
      </c>
      <c r="D70">
        <v>49833335</v>
      </c>
      <c r="E70">
        <v>1</v>
      </c>
      <c r="F70">
        <v>1</v>
      </c>
      <c r="G70">
        <v>1</v>
      </c>
      <c r="H70">
        <v>3</v>
      </c>
      <c r="I70" t="s">
        <v>356</v>
      </c>
      <c r="J70" t="s">
        <v>357</v>
      </c>
      <c r="K70" t="s">
        <v>358</v>
      </c>
      <c r="L70">
        <v>1339</v>
      </c>
      <c r="N70">
        <v>1007</v>
      </c>
      <c r="O70" t="s">
        <v>65</v>
      </c>
      <c r="P70" t="s">
        <v>65</v>
      </c>
      <c r="Q70">
        <v>1</v>
      </c>
      <c r="W70">
        <v>0</v>
      </c>
      <c r="X70">
        <v>85499050</v>
      </c>
      <c r="Y70">
        <f>AT70</f>
        <v>3.06</v>
      </c>
      <c r="AA70">
        <v>565.20000000000005</v>
      </c>
      <c r="AB70">
        <v>0</v>
      </c>
      <c r="AC70">
        <v>0</v>
      </c>
      <c r="AD70">
        <v>0</v>
      </c>
      <c r="AE70">
        <v>565.20000000000005</v>
      </c>
      <c r="AF70">
        <v>0</v>
      </c>
      <c r="AG70">
        <v>0</v>
      </c>
      <c r="AH70">
        <v>0</v>
      </c>
      <c r="AI70">
        <v>1</v>
      </c>
      <c r="AJ70">
        <v>1</v>
      </c>
      <c r="AK70">
        <v>1</v>
      </c>
      <c r="AL70">
        <v>1</v>
      </c>
      <c r="AM70">
        <v>-2</v>
      </c>
      <c r="AN70">
        <v>0</v>
      </c>
      <c r="AO70">
        <v>0</v>
      </c>
      <c r="AP70">
        <v>1</v>
      </c>
      <c r="AQ70">
        <v>1</v>
      </c>
      <c r="AR70">
        <v>0</v>
      </c>
      <c r="AS70" t="s">
        <v>3</v>
      </c>
      <c r="AT70">
        <v>3.06</v>
      </c>
      <c r="AU70" t="s">
        <v>3</v>
      </c>
      <c r="AV70">
        <v>0</v>
      </c>
      <c r="AW70">
        <v>2</v>
      </c>
      <c r="AX70">
        <v>50844086</v>
      </c>
      <c r="AY70">
        <v>1</v>
      </c>
      <c r="AZ70">
        <v>0</v>
      </c>
      <c r="BA70">
        <v>74</v>
      </c>
      <c r="BB70">
        <v>1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1729.5120000000002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1</v>
      </c>
      <c r="BQ70">
        <v>1729.5120000000002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1</v>
      </c>
      <c r="CV70">
        <v>0</v>
      </c>
      <c r="CW70">
        <v>0</v>
      </c>
      <c r="CX70">
        <f>ROUND(Y70*Source!I39,7)</f>
        <v>0.54161999999999999</v>
      </c>
      <c r="CY70">
        <f>AA70</f>
        <v>565.20000000000005</v>
      </c>
      <c r="CZ70">
        <f>AE70</f>
        <v>565.20000000000005</v>
      </c>
      <c r="DA70">
        <f>AI70</f>
        <v>1</v>
      </c>
      <c r="DB70">
        <f>ROUND(ROUND(AT70*CZ70,2),6)</f>
        <v>1729.51</v>
      </c>
      <c r="DC70">
        <f>ROUND(ROUND(AT70*AG70,2),6)</f>
        <v>0</v>
      </c>
      <c r="DD70" t="s">
        <v>3</v>
      </c>
      <c r="DE70" t="s">
        <v>3</v>
      </c>
      <c r="DF70">
        <f>ROUND(ROUND(AE70,2)*CX70,2)</f>
        <v>306.12</v>
      </c>
      <c r="DG70">
        <f t="shared" si="24"/>
        <v>0</v>
      </c>
      <c r="DH70">
        <f t="shared" si="22"/>
        <v>0</v>
      </c>
      <c r="DI70">
        <f t="shared" si="23"/>
        <v>0</v>
      </c>
      <c r="DJ70">
        <f>DF70</f>
        <v>306.12</v>
      </c>
      <c r="DK70">
        <v>0</v>
      </c>
      <c r="DL70" t="s">
        <v>3</v>
      </c>
      <c r="DM70">
        <v>0</v>
      </c>
      <c r="DN70" t="s">
        <v>3</v>
      </c>
      <c r="DO70">
        <v>0</v>
      </c>
    </row>
    <row r="71" spans="1:119">
      <c r="A71">
        <f>ROW(Source!A39)</f>
        <v>39</v>
      </c>
      <c r="B71">
        <v>50837261</v>
      </c>
      <c r="C71">
        <v>50837420</v>
      </c>
      <c r="D71">
        <v>49834616</v>
      </c>
      <c r="E71">
        <v>1</v>
      </c>
      <c r="F71">
        <v>1</v>
      </c>
      <c r="G71">
        <v>1</v>
      </c>
      <c r="H71">
        <v>3</v>
      </c>
      <c r="I71" t="s">
        <v>359</v>
      </c>
      <c r="J71" t="s">
        <v>360</v>
      </c>
      <c r="K71" t="s">
        <v>361</v>
      </c>
      <c r="L71">
        <v>1339</v>
      </c>
      <c r="N71">
        <v>1007</v>
      </c>
      <c r="O71" t="s">
        <v>65</v>
      </c>
      <c r="P71" t="s">
        <v>65</v>
      </c>
      <c r="Q71">
        <v>1</v>
      </c>
      <c r="W71">
        <v>0</v>
      </c>
      <c r="X71">
        <v>1488999124</v>
      </c>
      <c r="Y71">
        <f>AT71</f>
        <v>3</v>
      </c>
      <c r="AA71">
        <v>6885.13</v>
      </c>
      <c r="AB71">
        <v>0</v>
      </c>
      <c r="AC71">
        <v>0</v>
      </c>
      <c r="AD71">
        <v>0</v>
      </c>
      <c r="AE71">
        <v>6885.13</v>
      </c>
      <c r="AF71">
        <v>0</v>
      </c>
      <c r="AG71">
        <v>0</v>
      </c>
      <c r="AH71">
        <v>0</v>
      </c>
      <c r="AI71">
        <v>1</v>
      </c>
      <c r="AJ71">
        <v>1</v>
      </c>
      <c r="AK71">
        <v>1</v>
      </c>
      <c r="AL71">
        <v>1</v>
      </c>
      <c r="AM71">
        <v>-2</v>
      </c>
      <c r="AN71">
        <v>0</v>
      </c>
      <c r="AO71">
        <v>0</v>
      </c>
      <c r="AP71">
        <v>1</v>
      </c>
      <c r="AQ71">
        <v>1</v>
      </c>
      <c r="AR71">
        <v>0</v>
      </c>
      <c r="AS71" t="s">
        <v>3</v>
      </c>
      <c r="AT71">
        <v>3</v>
      </c>
      <c r="AU71" t="s">
        <v>3</v>
      </c>
      <c r="AV71">
        <v>0</v>
      </c>
      <c r="AW71">
        <v>2</v>
      </c>
      <c r="AX71">
        <v>50844087</v>
      </c>
      <c r="AY71">
        <v>1</v>
      </c>
      <c r="AZ71">
        <v>0</v>
      </c>
      <c r="BA71">
        <v>75</v>
      </c>
      <c r="BB71">
        <v>1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20655.39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1</v>
      </c>
      <c r="BQ71">
        <v>20655.39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1</v>
      </c>
      <c r="CV71">
        <v>0</v>
      </c>
      <c r="CW71">
        <v>0</v>
      </c>
      <c r="CX71">
        <f>ROUND(Y71*Source!I39,7)</f>
        <v>0.53100000000000003</v>
      </c>
      <c r="CY71">
        <f>AA71</f>
        <v>6885.13</v>
      </c>
      <c r="CZ71">
        <f>AE71</f>
        <v>6885.13</v>
      </c>
      <c r="DA71">
        <f>AI71</f>
        <v>1</v>
      </c>
      <c r="DB71">
        <f>ROUND(ROUND(AT71*CZ71,2),6)</f>
        <v>20655.39</v>
      </c>
      <c r="DC71">
        <f>ROUND(ROUND(AT71*AG71,2),6)</f>
        <v>0</v>
      </c>
      <c r="DD71" t="s">
        <v>3</v>
      </c>
      <c r="DE71" t="s">
        <v>3</v>
      </c>
      <c r="DF71">
        <f>ROUND(ROUND(AE71,2)*CX71,2)</f>
        <v>3656</v>
      </c>
      <c r="DG71">
        <f t="shared" si="24"/>
        <v>0</v>
      </c>
      <c r="DH71">
        <f t="shared" si="22"/>
        <v>0</v>
      </c>
      <c r="DI71">
        <f t="shared" si="23"/>
        <v>0</v>
      </c>
      <c r="DJ71">
        <f>DF71</f>
        <v>3656</v>
      </c>
      <c r="DK71">
        <v>1</v>
      </c>
      <c r="DL71" t="s">
        <v>3</v>
      </c>
      <c r="DM71">
        <v>0</v>
      </c>
      <c r="DN71" t="s">
        <v>3</v>
      </c>
      <c r="DO71">
        <v>0</v>
      </c>
    </row>
    <row r="72" spans="1:119">
      <c r="A72">
        <f>ROW(Source!A39)</f>
        <v>39</v>
      </c>
      <c r="B72">
        <v>50837261</v>
      </c>
      <c r="C72">
        <v>50837420</v>
      </c>
      <c r="D72">
        <v>49842080</v>
      </c>
      <c r="E72">
        <v>1</v>
      </c>
      <c r="F72">
        <v>1</v>
      </c>
      <c r="G72">
        <v>1</v>
      </c>
      <c r="H72">
        <v>3</v>
      </c>
      <c r="I72" t="s">
        <v>328</v>
      </c>
      <c r="J72" t="s">
        <v>329</v>
      </c>
      <c r="K72" t="s">
        <v>330</v>
      </c>
      <c r="L72">
        <v>1339</v>
      </c>
      <c r="N72">
        <v>1007</v>
      </c>
      <c r="O72" t="s">
        <v>65</v>
      </c>
      <c r="P72" t="s">
        <v>65</v>
      </c>
      <c r="Q72">
        <v>1</v>
      </c>
      <c r="W72">
        <v>0</v>
      </c>
      <c r="X72">
        <v>1562942180</v>
      </c>
      <c r="Y72">
        <f>AT72</f>
        <v>0.01</v>
      </c>
      <c r="AA72">
        <v>17320.830000000002</v>
      </c>
      <c r="AB72">
        <v>0</v>
      </c>
      <c r="AC72">
        <v>0</v>
      </c>
      <c r="AD72">
        <v>0</v>
      </c>
      <c r="AE72">
        <v>16496.03</v>
      </c>
      <c r="AF72">
        <v>0</v>
      </c>
      <c r="AG72">
        <v>0</v>
      </c>
      <c r="AH72">
        <v>0</v>
      </c>
      <c r="AI72">
        <v>1.05</v>
      </c>
      <c r="AJ72">
        <v>1</v>
      </c>
      <c r="AK72">
        <v>1</v>
      </c>
      <c r="AL72">
        <v>1</v>
      </c>
      <c r="AM72">
        <v>2</v>
      </c>
      <c r="AN72">
        <v>0</v>
      </c>
      <c r="AO72">
        <v>0</v>
      </c>
      <c r="AP72">
        <v>1</v>
      </c>
      <c r="AQ72">
        <v>1</v>
      </c>
      <c r="AR72">
        <v>0</v>
      </c>
      <c r="AS72" t="s">
        <v>3</v>
      </c>
      <c r="AT72">
        <v>0.01</v>
      </c>
      <c r="AU72" t="s">
        <v>3</v>
      </c>
      <c r="AV72">
        <v>0</v>
      </c>
      <c r="AW72">
        <v>2</v>
      </c>
      <c r="AX72">
        <v>50844088</v>
      </c>
      <c r="AY72">
        <v>1</v>
      </c>
      <c r="AZ72">
        <v>0</v>
      </c>
      <c r="BA72">
        <v>76</v>
      </c>
      <c r="BB72">
        <v>1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164.96029999999999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1</v>
      </c>
      <c r="BQ72">
        <v>164.96029999999999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1</v>
      </c>
      <c r="CV72">
        <v>0</v>
      </c>
      <c r="CW72">
        <v>0</v>
      </c>
      <c r="CX72">
        <f>ROUND(Y72*Source!I39,7)</f>
        <v>1.7700000000000001E-3</v>
      </c>
      <c r="CY72">
        <f>AA72</f>
        <v>17320.830000000002</v>
      </c>
      <c r="CZ72">
        <f>AE72</f>
        <v>16496.03</v>
      </c>
      <c r="DA72">
        <f>AI72</f>
        <v>1.05</v>
      </c>
      <c r="DB72">
        <f>ROUND(ROUND(AT72*CZ72,2),6)</f>
        <v>164.96</v>
      </c>
      <c r="DC72">
        <f>ROUND(ROUND(AT72*AG72,2),6)</f>
        <v>0</v>
      </c>
      <c r="DD72" t="s">
        <v>3</v>
      </c>
      <c r="DE72" t="s">
        <v>3</v>
      </c>
      <c r="DF72">
        <f>ROUND(ROUND(AE72*AI72,2)*CX72,2)</f>
        <v>30.66</v>
      </c>
      <c r="DG72">
        <f t="shared" si="24"/>
        <v>0</v>
      </c>
      <c r="DH72">
        <f t="shared" si="22"/>
        <v>0</v>
      </c>
      <c r="DI72">
        <f t="shared" si="23"/>
        <v>0</v>
      </c>
      <c r="DJ72">
        <f>DF72</f>
        <v>30.66</v>
      </c>
      <c r="DK72">
        <v>0</v>
      </c>
      <c r="DL72" t="s">
        <v>3</v>
      </c>
      <c r="DM72">
        <v>0</v>
      </c>
      <c r="DN72" t="s">
        <v>3</v>
      </c>
      <c r="DO72">
        <v>0</v>
      </c>
    </row>
    <row r="73" spans="1:119">
      <c r="A73">
        <f>ROW(Source!A39)</f>
        <v>39</v>
      </c>
      <c r="B73">
        <v>50837261</v>
      </c>
      <c r="C73">
        <v>50837420</v>
      </c>
      <c r="D73">
        <v>49848964</v>
      </c>
      <c r="E73">
        <v>1</v>
      </c>
      <c r="F73">
        <v>1</v>
      </c>
      <c r="G73">
        <v>1</v>
      </c>
      <c r="H73">
        <v>3</v>
      </c>
      <c r="I73" t="s">
        <v>95</v>
      </c>
      <c r="J73" t="s">
        <v>98</v>
      </c>
      <c r="K73" t="s">
        <v>96</v>
      </c>
      <c r="L73">
        <v>1327</v>
      </c>
      <c r="N73">
        <v>1005</v>
      </c>
      <c r="O73" t="s">
        <v>97</v>
      </c>
      <c r="P73" t="s">
        <v>97</v>
      </c>
      <c r="Q73">
        <v>1</v>
      </c>
      <c r="W73">
        <v>0</v>
      </c>
      <c r="X73">
        <v>-2039507341</v>
      </c>
      <c r="Y73">
        <f>AT73</f>
        <v>10.169491499999999</v>
      </c>
      <c r="AA73">
        <v>4457.45</v>
      </c>
      <c r="AB73">
        <v>0</v>
      </c>
      <c r="AC73">
        <v>0</v>
      </c>
      <c r="AD73">
        <v>0</v>
      </c>
      <c r="AE73">
        <v>2857.34</v>
      </c>
      <c r="AF73">
        <v>0</v>
      </c>
      <c r="AG73">
        <v>0</v>
      </c>
      <c r="AH73">
        <v>0</v>
      </c>
      <c r="AI73">
        <v>1.56</v>
      </c>
      <c r="AJ73">
        <v>1</v>
      </c>
      <c r="AK73">
        <v>1</v>
      </c>
      <c r="AL73">
        <v>1</v>
      </c>
      <c r="AM73">
        <v>0</v>
      </c>
      <c r="AN73">
        <v>0</v>
      </c>
      <c r="AO73">
        <v>0</v>
      </c>
      <c r="AP73">
        <v>1</v>
      </c>
      <c r="AQ73">
        <v>0</v>
      </c>
      <c r="AR73">
        <v>0</v>
      </c>
      <c r="AS73" t="s">
        <v>3</v>
      </c>
      <c r="AT73">
        <v>10.169491499999999</v>
      </c>
      <c r="AU73" t="s">
        <v>3</v>
      </c>
      <c r="AV73">
        <v>0</v>
      </c>
      <c r="AW73">
        <v>1</v>
      </c>
      <c r="AX73">
        <v>-1</v>
      </c>
      <c r="AY73">
        <v>0</v>
      </c>
      <c r="AZ73">
        <v>0</v>
      </c>
      <c r="BA73" t="s">
        <v>3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V73">
        <v>0</v>
      </c>
      <c r="CW73">
        <v>0</v>
      </c>
      <c r="CX73">
        <f>ROUND(Y73*Source!I39,7)</f>
        <v>1.8</v>
      </c>
      <c r="CY73">
        <f>AA73</f>
        <v>4457.45</v>
      </c>
      <c r="CZ73">
        <f>AE73</f>
        <v>2857.34</v>
      </c>
      <c r="DA73">
        <f>AI73</f>
        <v>1.56</v>
      </c>
      <c r="DB73">
        <f>ROUND(ROUND(AT73*CZ73,2),6)</f>
        <v>29057.69</v>
      </c>
      <c r="DC73">
        <f>ROUND(ROUND(AT73*AG73,2),6)</f>
        <v>0</v>
      </c>
      <c r="DD73" t="s">
        <v>3</v>
      </c>
      <c r="DE73" t="s">
        <v>3</v>
      </c>
      <c r="DF73">
        <f>ROUND(ROUND(AE73*AI73,2)*CX73,2)</f>
        <v>8023.41</v>
      </c>
      <c r="DG73">
        <f t="shared" si="24"/>
        <v>0</v>
      </c>
      <c r="DH73">
        <f t="shared" si="22"/>
        <v>0</v>
      </c>
      <c r="DI73">
        <f t="shared" si="23"/>
        <v>0</v>
      </c>
      <c r="DJ73">
        <f>DF73</f>
        <v>8023.41</v>
      </c>
      <c r="DK73">
        <v>0</v>
      </c>
      <c r="DL73" t="s">
        <v>3</v>
      </c>
      <c r="DM73">
        <v>0</v>
      </c>
      <c r="DN73" t="s">
        <v>3</v>
      </c>
      <c r="DO73">
        <v>0</v>
      </c>
    </row>
    <row r="74" spans="1:119">
      <c r="A74">
        <f>ROW(Source!A41)</f>
        <v>41</v>
      </c>
      <c r="B74">
        <v>50837261</v>
      </c>
      <c r="C74">
        <v>50837432</v>
      </c>
      <c r="D74">
        <v>49752866</v>
      </c>
      <c r="E74">
        <v>117</v>
      </c>
      <c r="F74">
        <v>1</v>
      </c>
      <c r="G74">
        <v>1</v>
      </c>
      <c r="H74">
        <v>1</v>
      </c>
      <c r="I74" t="s">
        <v>362</v>
      </c>
      <c r="J74" t="s">
        <v>3</v>
      </c>
      <c r="K74" t="s">
        <v>363</v>
      </c>
      <c r="L74">
        <v>1191</v>
      </c>
      <c r="N74">
        <v>1013</v>
      </c>
      <c r="O74" t="s">
        <v>252</v>
      </c>
      <c r="P74" t="s">
        <v>252</v>
      </c>
      <c r="Q74">
        <v>1</v>
      </c>
      <c r="W74">
        <v>0</v>
      </c>
      <c r="X74">
        <v>1733635447</v>
      </c>
      <c r="Y74">
        <f>(AT74*ROUND(1.15,7))</f>
        <v>434.89549999999997</v>
      </c>
      <c r="AA74">
        <v>0</v>
      </c>
      <c r="AB74">
        <v>0</v>
      </c>
      <c r="AC74">
        <v>0</v>
      </c>
      <c r="AD74">
        <v>386.85</v>
      </c>
      <c r="AE74">
        <v>0</v>
      </c>
      <c r="AF74">
        <v>0</v>
      </c>
      <c r="AG74">
        <v>0</v>
      </c>
      <c r="AH74">
        <v>386.85</v>
      </c>
      <c r="AI74">
        <v>1</v>
      </c>
      <c r="AJ74">
        <v>1</v>
      </c>
      <c r="AK74">
        <v>1</v>
      </c>
      <c r="AL74">
        <v>1</v>
      </c>
      <c r="AM74">
        <v>-2</v>
      </c>
      <c r="AN74">
        <v>0</v>
      </c>
      <c r="AO74">
        <v>0</v>
      </c>
      <c r="AP74">
        <v>1</v>
      </c>
      <c r="AQ74">
        <v>1</v>
      </c>
      <c r="AR74">
        <v>0</v>
      </c>
      <c r="AS74" t="s">
        <v>3</v>
      </c>
      <c r="AT74">
        <v>378.17</v>
      </c>
      <c r="AU74" t="s">
        <v>68</v>
      </c>
      <c r="AV74">
        <v>1</v>
      </c>
      <c r="AW74">
        <v>2</v>
      </c>
      <c r="AX74">
        <v>50844091</v>
      </c>
      <c r="AY74">
        <v>1</v>
      </c>
      <c r="AZ74">
        <v>0</v>
      </c>
      <c r="BA74">
        <v>78</v>
      </c>
      <c r="BB74">
        <v>1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146295.06450000001</v>
      </c>
      <c r="BN74">
        <v>378.17</v>
      </c>
      <c r="BO74">
        <v>0</v>
      </c>
      <c r="BP74">
        <v>1</v>
      </c>
      <c r="BQ74">
        <v>0</v>
      </c>
      <c r="BR74">
        <v>0</v>
      </c>
      <c r="BS74">
        <v>0</v>
      </c>
      <c r="BT74">
        <v>168239.32417499999</v>
      </c>
      <c r="BU74">
        <v>434.89549999999997</v>
      </c>
      <c r="BV74">
        <v>0</v>
      </c>
      <c r="BW74">
        <v>1</v>
      </c>
      <c r="CU74">
        <f>ROUND(AT74*Source!I41*AH74*AL74,2)</f>
        <v>15220.54</v>
      </c>
      <c r="CV74">
        <f>ROUND(Y74*Source!I41,7)</f>
        <v>45.246527800000003</v>
      </c>
      <c r="CW74">
        <v>0</v>
      </c>
      <c r="CX74">
        <f>ROUND(Y74*Source!I41,7)</f>
        <v>45.246527800000003</v>
      </c>
      <c r="CY74">
        <f>AD74</f>
        <v>386.85</v>
      </c>
      <c r="CZ74">
        <f>AH74</f>
        <v>386.85</v>
      </c>
      <c r="DA74">
        <f>AL74</f>
        <v>1</v>
      </c>
      <c r="DB74">
        <f>ROUND((ROUND(AT74*CZ74,2)*ROUND(1.15,7)),6)</f>
        <v>168239.31899999999</v>
      </c>
      <c r="DC74">
        <f>ROUND((ROUND(AT74*AG74,2)*ROUND(1.15,7)),6)</f>
        <v>0</v>
      </c>
      <c r="DD74" t="s">
        <v>3</v>
      </c>
      <c r="DE74" t="s">
        <v>3</v>
      </c>
      <c r="DF74">
        <f t="shared" ref="DF74:DF79" si="25">ROUND(ROUND(AE74,2)*CX74,2)</f>
        <v>0</v>
      </c>
      <c r="DG74">
        <f t="shared" si="24"/>
        <v>0</v>
      </c>
      <c r="DH74">
        <f t="shared" si="22"/>
        <v>0</v>
      </c>
      <c r="DI74">
        <f t="shared" si="23"/>
        <v>17503.62</v>
      </c>
      <c r="DJ74">
        <f>DI74</f>
        <v>17503.62</v>
      </c>
      <c r="DK74">
        <v>1</v>
      </c>
      <c r="DL74" t="s">
        <v>3</v>
      </c>
      <c r="DM74">
        <v>0</v>
      </c>
      <c r="DN74" t="s">
        <v>3</v>
      </c>
      <c r="DO74">
        <v>0</v>
      </c>
    </row>
    <row r="75" spans="1:119">
      <c r="A75">
        <f>ROW(Source!A41)</f>
        <v>41</v>
      </c>
      <c r="B75">
        <v>50837261</v>
      </c>
      <c r="C75">
        <v>50837432</v>
      </c>
      <c r="D75">
        <v>49753052</v>
      </c>
      <c r="E75">
        <v>117</v>
      </c>
      <c r="F75">
        <v>1</v>
      </c>
      <c r="G75">
        <v>1</v>
      </c>
      <c r="H75">
        <v>1</v>
      </c>
      <c r="I75" t="s">
        <v>253</v>
      </c>
      <c r="J75" t="s">
        <v>3</v>
      </c>
      <c r="K75" t="s">
        <v>254</v>
      </c>
      <c r="L75">
        <v>1191</v>
      </c>
      <c r="N75">
        <v>1013</v>
      </c>
      <c r="O75" t="s">
        <v>252</v>
      </c>
      <c r="P75" t="s">
        <v>252</v>
      </c>
      <c r="Q75">
        <v>1</v>
      </c>
      <c r="W75">
        <v>0</v>
      </c>
      <c r="X75">
        <v>-1417349443</v>
      </c>
      <c r="Y75">
        <f>(AT75*ROUND(1.25,7))</f>
        <v>2.8624999999999998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1</v>
      </c>
      <c r="AJ75">
        <v>1</v>
      </c>
      <c r="AK75">
        <v>1</v>
      </c>
      <c r="AL75">
        <v>1</v>
      </c>
      <c r="AM75">
        <v>-2</v>
      </c>
      <c r="AN75">
        <v>0</v>
      </c>
      <c r="AO75">
        <v>0</v>
      </c>
      <c r="AP75">
        <v>1</v>
      </c>
      <c r="AQ75">
        <v>1</v>
      </c>
      <c r="AR75">
        <v>0</v>
      </c>
      <c r="AS75" t="s">
        <v>3</v>
      </c>
      <c r="AT75">
        <v>2.29</v>
      </c>
      <c r="AU75" t="s">
        <v>67</v>
      </c>
      <c r="AV75">
        <v>2</v>
      </c>
      <c r="AW75">
        <v>2</v>
      </c>
      <c r="AX75">
        <v>50844092</v>
      </c>
      <c r="AY75">
        <v>1</v>
      </c>
      <c r="AZ75">
        <v>0</v>
      </c>
      <c r="BA75">
        <v>79</v>
      </c>
      <c r="BB75">
        <v>1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V75">
        <v>0</v>
      </c>
      <c r="CW75">
        <v>0</v>
      </c>
      <c r="CX75">
        <f>ROUND(Y75*Source!I41,7)</f>
        <v>0.29781449999999998</v>
      </c>
      <c r="CY75">
        <f>AD75</f>
        <v>0</v>
      </c>
      <c r="CZ75">
        <f>AH75</f>
        <v>0</v>
      </c>
      <c r="DA75">
        <f>AL75</f>
        <v>1</v>
      </c>
      <c r="DB75">
        <f>ROUND((ROUND(AT75*CZ75,2)*ROUND(1.25,7)),6)</f>
        <v>0</v>
      </c>
      <c r="DC75">
        <f>ROUND((ROUND(AT75*AG75,2)*ROUND(1.25,7)),6)</f>
        <v>0</v>
      </c>
      <c r="DD75" t="s">
        <v>3</v>
      </c>
      <c r="DE75" t="s">
        <v>3</v>
      </c>
      <c r="DF75">
        <f t="shared" si="25"/>
        <v>0</v>
      </c>
      <c r="DG75">
        <f t="shared" si="24"/>
        <v>0</v>
      </c>
      <c r="DH75">
        <f t="shared" si="22"/>
        <v>0</v>
      </c>
      <c r="DI75">
        <f t="shared" si="23"/>
        <v>0</v>
      </c>
      <c r="DJ75">
        <f>DI75</f>
        <v>0</v>
      </c>
      <c r="DK75">
        <v>0</v>
      </c>
      <c r="DL75" t="s">
        <v>3</v>
      </c>
      <c r="DM75">
        <v>0</v>
      </c>
      <c r="DN75" t="s">
        <v>3</v>
      </c>
      <c r="DO75">
        <v>0</v>
      </c>
    </row>
    <row r="76" spans="1:119">
      <c r="A76">
        <f>ROW(Source!A41)</f>
        <v>41</v>
      </c>
      <c r="B76">
        <v>50837261</v>
      </c>
      <c r="C76">
        <v>50837432</v>
      </c>
      <c r="D76">
        <v>49759643</v>
      </c>
      <c r="E76">
        <v>1</v>
      </c>
      <c r="F76">
        <v>1</v>
      </c>
      <c r="G76">
        <v>1</v>
      </c>
      <c r="H76">
        <v>2</v>
      </c>
      <c r="I76" t="s">
        <v>364</v>
      </c>
      <c r="J76" t="s">
        <v>365</v>
      </c>
      <c r="K76" t="s">
        <v>366</v>
      </c>
      <c r="L76">
        <v>1368</v>
      </c>
      <c r="N76">
        <v>1011</v>
      </c>
      <c r="O76" t="s">
        <v>258</v>
      </c>
      <c r="P76" t="s">
        <v>258</v>
      </c>
      <c r="Q76">
        <v>1</v>
      </c>
      <c r="W76">
        <v>0</v>
      </c>
      <c r="X76">
        <v>1158292232</v>
      </c>
      <c r="Y76">
        <f>(AT76*ROUND(1.25,7))</f>
        <v>0.42500000000000004</v>
      </c>
      <c r="AA76">
        <v>0</v>
      </c>
      <c r="AB76">
        <v>387.73</v>
      </c>
      <c r="AC76">
        <v>544.01</v>
      </c>
      <c r="AD76">
        <v>0</v>
      </c>
      <c r="AE76">
        <v>0</v>
      </c>
      <c r="AF76">
        <v>251.77</v>
      </c>
      <c r="AG76">
        <v>544.01</v>
      </c>
      <c r="AH76">
        <v>0</v>
      </c>
      <c r="AI76">
        <v>1</v>
      </c>
      <c r="AJ76">
        <v>1.54</v>
      </c>
      <c r="AK76">
        <v>1</v>
      </c>
      <c r="AL76">
        <v>1</v>
      </c>
      <c r="AM76">
        <v>2</v>
      </c>
      <c r="AN76">
        <v>0</v>
      </c>
      <c r="AO76">
        <v>0</v>
      </c>
      <c r="AP76">
        <v>1</v>
      </c>
      <c r="AQ76">
        <v>1</v>
      </c>
      <c r="AR76">
        <v>0</v>
      </c>
      <c r="AS76" t="s">
        <v>3</v>
      </c>
      <c r="AT76">
        <v>0.34</v>
      </c>
      <c r="AU76" t="s">
        <v>67</v>
      </c>
      <c r="AV76">
        <v>1</v>
      </c>
      <c r="AW76">
        <v>2</v>
      </c>
      <c r="AX76">
        <v>50844093</v>
      </c>
      <c r="AY76">
        <v>1</v>
      </c>
      <c r="AZ76">
        <v>0</v>
      </c>
      <c r="BA76">
        <v>80</v>
      </c>
      <c r="BB76">
        <v>1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85.601800000000011</v>
      </c>
      <c r="BL76">
        <v>184.96340000000001</v>
      </c>
      <c r="BM76">
        <v>0</v>
      </c>
      <c r="BN76">
        <v>0</v>
      </c>
      <c r="BO76">
        <v>0.34</v>
      </c>
      <c r="BP76">
        <v>1</v>
      </c>
      <c r="BQ76">
        <v>0</v>
      </c>
      <c r="BR76">
        <v>107.00225000000002</v>
      </c>
      <c r="BS76">
        <v>231.20425000000003</v>
      </c>
      <c r="BT76">
        <v>0</v>
      </c>
      <c r="BU76">
        <v>0</v>
      </c>
      <c r="BV76">
        <v>0.42500000000000004</v>
      </c>
      <c r="BW76">
        <v>1</v>
      </c>
      <c r="CV76">
        <v>0</v>
      </c>
      <c r="CW76">
        <f>ROUND(Y76*Source!I41*DO76,7)</f>
        <v>4.4216999999999999E-2</v>
      </c>
      <c r="CX76">
        <f>ROUND(Y76*Source!I41,7)</f>
        <v>4.4216999999999999E-2</v>
      </c>
      <c r="CY76">
        <f>AB76</f>
        <v>387.73</v>
      </c>
      <c r="CZ76">
        <f>AF76</f>
        <v>251.77</v>
      </c>
      <c r="DA76">
        <f>AJ76</f>
        <v>1.54</v>
      </c>
      <c r="DB76">
        <f>ROUND((ROUND(AT76*CZ76,2)*ROUND(1.25,7)),6)</f>
        <v>107</v>
      </c>
      <c r="DC76">
        <f>ROUND((ROUND(AT76*AG76,2)*ROUND(1.25,7)),6)</f>
        <v>231.2</v>
      </c>
      <c r="DD76" t="s">
        <v>3</v>
      </c>
      <c r="DE76" t="s">
        <v>3</v>
      </c>
      <c r="DF76">
        <f t="shared" si="25"/>
        <v>0</v>
      </c>
      <c r="DG76">
        <f>ROUND(ROUND(AF76*AJ76,2)*CX76,2)</f>
        <v>17.14</v>
      </c>
      <c r="DH76">
        <f t="shared" si="22"/>
        <v>24.05</v>
      </c>
      <c r="DI76">
        <f t="shared" si="23"/>
        <v>0</v>
      </c>
      <c r="DJ76">
        <f>DG76+DH76</f>
        <v>41.19</v>
      </c>
      <c r="DK76">
        <v>0</v>
      </c>
      <c r="DL76" t="s">
        <v>315</v>
      </c>
      <c r="DM76">
        <v>6</v>
      </c>
      <c r="DN76" t="s">
        <v>252</v>
      </c>
      <c r="DO76">
        <v>1</v>
      </c>
    </row>
    <row r="77" spans="1:119">
      <c r="A77">
        <f>ROW(Source!A41)</f>
        <v>41</v>
      </c>
      <c r="B77">
        <v>50837261</v>
      </c>
      <c r="C77">
        <v>50837432</v>
      </c>
      <c r="D77">
        <v>49759696</v>
      </c>
      <c r="E77">
        <v>1</v>
      </c>
      <c r="F77">
        <v>1</v>
      </c>
      <c r="G77">
        <v>1</v>
      </c>
      <c r="H77">
        <v>2</v>
      </c>
      <c r="I77" t="s">
        <v>312</v>
      </c>
      <c r="J77" t="s">
        <v>313</v>
      </c>
      <c r="K77" t="s">
        <v>314</v>
      </c>
      <c r="L77">
        <v>1368</v>
      </c>
      <c r="N77">
        <v>1011</v>
      </c>
      <c r="O77" t="s">
        <v>258</v>
      </c>
      <c r="P77" t="s">
        <v>258</v>
      </c>
      <c r="Q77">
        <v>1</v>
      </c>
      <c r="W77">
        <v>0</v>
      </c>
      <c r="X77">
        <v>639918019</v>
      </c>
      <c r="Y77">
        <f>(AT77*ROUND(1.25,7))</f>
        <v>0.16250000000000001</v>
      </c>
      <c r="AA77">
        <v>0</v>
      </c>
      <c r="AB77">
        <v>1719.93</v>
      </c>
      <c r="AC77">
        <v>544.01</v>
      </c>
      <c r="AD77">
        <v>0</v>
      </c>
      <c r="AE77">
        <v>0</v>
      </c>
      <c r="AF77">
        <v>1719.93</v>
      </c>
      <c r="AG77">
        <v>544.01</v>
      </c>
      <c r="AH77">
        <v>0</v>
      </c>
      <c r="AI77">
        <v>1</v>
      </c>
      <c r="AJ77">
        <v>1</v>
      </c>
      <c r="AK77">
        <v>1</v>
      </c>
      <c r="AL77">
        <v>1</v>
      </c>
      <c r="AM77">
        <v>-2</v>
      </c>
      <c r="AN77">
        <v>0</v>
      </c>
      <c r="AO77">
        <v>0</v>
      </c>
      <c r="AP77">
        <v>1</v>
      </c>
      <c r="AQ77">
        <v>1</v>
      </c>
      <c r="AR77">
        <v>0</v>
      </c>
      <c r="AS77" t="s">
        <v>3</v>
      </c>
      <c r="AT77">
        <v>0.13</v>
      </c>
      <c r="AU77" t="s">
        <v>67</v>
      </c>
      <c r="AV77">
        <v>1</v>
      </c>
      <c r="AW77">
        <v>2</v>
      </c>
      <c r="AX77">
        <v>50844094</v>
      </c>
      <c r="AY77">
        <v>1</v>
      </c>
      <c r="AZ77">
        <v>0</v>
      </c>
      <c r="BA77">
        <v>81</v>
      </c>
      <c r="BB77">
        <v>1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223.5909</v>
      </c>
      <c r="BL77">
        <v>70.721299999999999</v>
      </c>
      <c r="BM77">
        <v>0</v>
      </c>
      <c r="BN77">
        <v>0</v>
      </c>
      <c r="BO77">
        <v>0.13</v>
      </c>
      <c r="BP77">
        <v>1</v>
      </c>
      <c r="BQ77">
        <v>0</v>
      </c>
      <c r="BR77">
        <v>279.48862500000001</v>
      </c>
      <c r="BS77">
        <v>88.401624999999996</v>
      </c>
      <c r="BT77">
        <v>0</v>
      </c>
      <c r="BU77">
        <v>0</v>
      </c>
      <c r="BV77">
        <v>0.16250000000000001</v>
      </c>
      <c r="BW77">
        <v>1</v>
      </c>
      <c r="CV77">
        <v>0</v>
      </c>
      <c r="CW77">
        <f>ROUND(Y77*Source!I41*DO77,7)</f>
        <v>1.6906500000000001E-2</v>
      </c>
      <c r="CX77">
        <f>ROUND(Y77*Source!I41,7)</f>
        <v>1.6906500000000001E-2</v>
      </c>
      <c r="CY77">
        <f>AB77</f>
        <v>1719.93</v>
      </c>
      <c r="CZ77">
        <f>AF77</f>
        <v>1719.93</v>
      </c>
      <c r="DA77">
        <f>AJ77</f>
        <v>1</v>
      </c>
      <c r="DB77">
        <f>ROUND((ROUND(AT77*CZ77,2)*ROUND(1.25,7)),6)</f>
        <v>279.48750000000001</v>
      </c>
      <c r="DC77">
        <f>ROUND((ROUND(AT77*AG77,2)*ROUND(1.25,7)),6)</f>
        <v>88.4</v>
      </c>
      <c r="DD77" t="s">
        <v>3</v>
      </c>
      <c r="DE77" t="s">
        <v>3</v>
      </c>
      <c r="DF77">
        <f t="shared" si="25"/>
        <v>0</v>
      </c>
      <c r="DG77">
        <f>ROUND(ROUND(AF77,2)*CX77,2)</f>
        <v>29.08</v>
      </c>
      <c r="DH77">
        <f t="shared" si="22"/>
        <v>9.1999999999999993</v>
      </c>
      <c r="DI77">
        <f t="shared" si="23"/>
        <v>0</v>
      </c>
      <c r="DJ77">
        <f>DG77+DH77</f>
        <v>38.28</v>
      </c>
      <c r="DK77">
        <v>1</v>
      </c>
      <c r="DL77" t="s">
        <v>315</v>
      </c>
      <c r="DM77">
        <v>6</v>
      </c>
      <c r="DN77" t="s">
        <v>252</v>
      </c>
      <c r="DO77">
        <v>1</v>
      </c>
    </row>
    <row r="78" spans="1:119">
      <c r="A78">
        <f>ROW(Source!A41)</f>
        <v>41</v>
      </c>
      <c r="B78">
        <v>50837261</v>
      </c>
      <c r="C78">
        <v>50837432</v>
      </c>
      <c r="D78">
        <v>49759990</v>
      </c>
      <c r="E78">
        <v>1</v>
      </c>
      <c r="F78">
        <v>1</v>
      </c>
      <c r="G78">
        <v>1</v>
      </c>
      <c r="H78">
        <v>2</v>
      </c>
      <c r="I78" t="s">
        <v>367</v>
      </c>
      <c r="J78" t="s">
        <v>368</v>
      </c>
      <c r="K78" t="s">
        <v>369</v>
      </c>
      <c r="L78">
        <v>1368</v>
      </c>
      <c r="N78">
        <v>1011</v>
      </c>
      <c r="O78" t="s">
        <v>258</v>
      </c>
      <c r="P78" t="s">
        <v>258</v>
      </c>
      <c r="Q78">
        <v>1</v>
      </c>
      <c r="W78">
        <v>0</v>
      </c>
      <c r="X78">
        <v>-903812129</v>
      </c>
      <c r="Y78">
        <f>(AT78*ROUND(1.25,7))</f>
        <v>2.1124999999999998</v>
      </c>
      <c r="AA78">
        <v>0</v>
      </c>
      <c r="AB78">
        <v>3.97</v>
      </c>
      <c r="AC78">
        <v>359.65</v>
      </c>
      <c r="AD78">
        <v>0</v>
      </c>
      <c r="AE78">
        <v>0</v>
      </c>
      <c r="AF78">
        <v>2.31</v>
      </c>
      <c r="AG78">
        <v>359.65</v>
      </c>
      <c r="AH78">
        <v>0</v>
      </c>
      <c r="AI78">
        <v>1</v>
      </c>
      <c r="AJ78">
        <v>1.72</v>
      </c>
      <c r="AK78">
        <v>1</v>
      </c>
      <c r="AL78">
        <v>1</v>
      </c>
      <c r="AM78">
        <v>2</v>
      </c>
      <c r="AN78">
        <v>0</v>
      </c>
      <c r="AO78">
        <v>0</v>
      </c>
      <c r="AP78">
        <v>1</v>
      </c>
      <c r="AQ78">
        <v>1</v>
      </c>
      <c r="AR78">
        <v>0</v>
      </c>
      <c r="AS78" t="s">
        <v>3</v>
      </c>
      <c r="AT78">
        <v>1.69</v>
      </c>
      <c r="AU78" t="s">
        <v>67</v>
      </c>
      <c r="AV78">
        <v>1</v>
      </c>
      <c r="AW78">
        <v>2</v>
      </c>
      <c r="AX78">
        <v>50844095</v>
      </c>
      <c r="AY78">
        <v>1</v>
      </c>
      <c r="AZ78">
        <v>0</v>
      </c>
      <c r="BA78">
        <v>82</v>
      </c>
      <c r="BB78">
        <v>1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3.9039000000000001</v>
      </c>
      <c r="BL78">
        <v>607.80849999999998</v>
      </c>
      <c r="BM78">
        <v>0</v>
      </c>
      <c r="BN78">
        <v>0</v>
      </c>
      <c r="BO78">
        <v>1.69</v>
      </c>
      <c r="BP78">
        <v>1</v>
      </c>
      <c r="BQ78">
        <v>0</v>
      </c>
      <c r="BR78">
        <v>4.8798749999999993</v>
      </c>
      <c r="BS78">
        <v>759.76062499999989</v>
      </c>
      <c r="BT78">
        <v>0</v>
      </c>
      <c r="BU78">
        <v>0</v>
      </c>
      <c r="BV78">
        <v>2.1124999999999998</v>
      </c>
      <c r="BW78">
        <v>1</v>
      </c>
      <c r="CV78">
        <v>0</v>
      </c>
      <c r="CW78">
        <f>ROUND(Y78*Source!I41*DO78,7)</f>
        <v>0.21978449999999999</v>
      </c>
      <c r="CX78">
        <f>ROUND(Y78*Source!I41,7)</f>
        <v>0.21978449999999999</v>
      </c>
      <c r="CY78">
        <f>AB78</f>
        <v>3.97</v>
      </c>
      <c r="CZ78">
        <f>AF78</f>
        <v>2.31</v>
      </c>
      <c r="DA78">
        <f>AJ78</f>
        <v>1.72</v>
      </c>
      <c r="DB78">
        <f>ROUND((ROUND(AT78*CZ78,2)*ROUND(1.25,7)),6)</f>
        <v>4.875</v>
      </c>
      <c r="DC78">
        <f>ROUND((ROUND(AT78*AG78,2)*ROUND(1.25,7)),6)</f>
        <v>759.76250000000005</v>
      </c>
      <c r="DD78" t="s">
        <v>3</v>
      </c>
      <c r="DE78" t="s">
        <v>3</v>
      </c>
      <c r="DF78">
        <f t="shared" si="25"/>
        <v>0</v>
      </c>
      <c r="DG78">
        <f>ROUND(ROUND(AF78*AJ78,2)*CX78,2)</f>
        <v>0.87</v>
      </c>
      <c r="DH78">
        <f t="shared" si="22"/>
        <v>79.05</v>
      </c>
      <c r="DI78">
        <f t="shared" si="23"/>
        <v>0</v>
      </c>
      <c r="DJ78">
        <f>DG78+DH78</f>
        <v>79.92</v>
      </c>
      <c r="DK78">
        <v>0</v>
      </c>
      <c r="DL78" t="s">
        <v>303</v>
      </c>
      <c r="DM78">
        <v>3</v>
      </c>
      <c r="DN78" t="s">
        <v>252</v>
      </c>
      <c r="DO78">
        <v>1</v>
      </c>
    </row>
    <row r="79" spans="1:119">
      <c r="A79">
        <f>ROW(Source!A41)</f>
        <v>41</v>
      </c>
      <c r="B79">
        <v>50837261</v>
      </c>
      <c r="C79">
        <v>50837432</v>
      </c>
      <c r="D79">
        <v>49760608</v>
      </c>
      <c r="E79">
        <v>1</v>
      </c>
      <c r="F79">
        <v>1</v>
      </c>
      <c r="G79">
        <v>1</v>
      </c>
      <c r="H79">
        <v>2</v>
      </c>
      <c r="I79" t="s">
        <v>322</v>
      </c>
      <c r="J79" t="s">
        <v>323</v>
      </c>
      <c r="K79" t="s">
        <v>324</v>
      </c>
      <c r="L79">
        <v>1368</v>
      </c>
      <c r="N79">
        <v>1011</v>
      </c>
      <c r="O79" t="s">
        <v>258</v>
      </c>
      <c r="P79" t="s">
        <v>258</v>
      </c>
      <c r="Q79">
        <v>1</v>
      </c>
      <c r="W79">
        <v>0</v>
      </c>
      <c r="X79">
        <v>-849950259</v>
      </c>
      <c r="Y79">
        <f>(AT79*ROUND(1.25,7))</f>
        <v>0.16250000000000001</v>
      </c>
      <c r="AA79">
        <v>0</v>
      </c>
      <c r="AB79">
        <v>680.75</v>
      </c>
      <c r="AC79">
        <v>404.99</v>
      </c>
      <c r="AD79">
        <v>0</v>
      </c>
      <c r="AE79">
        <v>0</v>
      </c>
      <c r="AF79">
        <v>680.75</v>
      </c>
      <c r="AG79">
        <v>404.99</v>
      </c>
      <c r="AH79">
        <v>0</v>
      </c>
      <c r="AI79">
        <v>1</v>
      </c>
      <c r="AJ79">
        <v>1</v>
      </c>
      <c r="AK79">
        <v>1</v>
      </c>
      <c r="AL79">
        <v>1</v>
      </c>
      <c r="AM79">
        <v>-2</v>
      </c>
      <c r="AN79">
        <v>0</v>
      </c>
      <c r="AO79">
        <v>0</v>
      </c>
      <c r="AP79">
        <v>1</v>
      </c>
      <c r="AQ79">
        <v>1</v>
      </c>
      <c r="AR79">
        <v>0</v>
      </c>
      <c r="AS79" t="s">
        <v>3</v>
      </c>
      <c r="AT79">
        <v>0.13</v>
      </c>
      <c r="AU79" t="s">
        <v>67</v>
      </c>
      <c r="AV79">
        <v>1</v>
      </c>
      <c r="AW79">
        <v>2</v>
      </c>
      <c r="AX79">
        <v>50844096</v>
      </c>
      <c r="AY79">
        <v>1</v>
      </c>
      <c r="AZ79">
        <v>0</v>
      </c>
      <c r="BA79">
        <v>83</v>
      </c>
      <c r="BB79">
        <v>1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88.497500000000002</v>
      </c>
      <c r="BL79">
        <v>52.648700000000005</v>
      </c>
      <c r="BM79">
        <v>0</v>
      </c>
      <c r="BN79">
        <v>0</v>
      </c>
      <c r="BO79">
        <v>0.13</v>
      </c>
      <c r="BP79">
        <v>1</v>
      </c>
      <c r="BQ79">
        <v>0</v>
      </c>
      <c r="BR79">
        <v>110.621875</v>
      </c>
      <c r="BS79">
        <v>65.81087500000001</v>
      </c>
      <c r="BT79">
        <v>0</v>
      </c>
      <c r="BU79">
        <v>0</v>
      </c>
      <c r="BV79">
        <v>0.16250000000000001</v>
      </c>
      <c r="BW79">
        <v>1</v>
      </c>
      <c r="CV79">
        <v>0</v>
      </c>
      <c r="CW79">
        <f>ROUND(Y79*Source!I41*DO79,7)</f>
        <v>1.6906500000000001E-2</v>
      </c>
      <c r="CX79">
        <f>ROUND(Y79*Source!I41,7)</f>
        <v>1.6906500000000001E-2</v>
      </c>
      <c r="CY79">
        <f>AB79</f>
        <v>680.75</v>
      </c>
      <c r="CZ79">
        <f>AF79</f>
        <v>680.75</v>
      </c>
      <c r="DA79">
        <f>AJ79</f>
        <v>1</v>
      </c>
      <c r="DB79">
        <f>ROUND((ROUND(AT79*CZ79,2)*ROUND(1.25,7)),6)</f>
        <v>110.625</v>
      </c>
      <c r="DC79">
        <f>ROUND((ROUND(AT79*AG79,2)*ROUND(1.25,7)),6)</f>
        <v>65.8125</v>
      </c>
      <c r="DD79" t="s">
        <v>3</v>
      </c>
      <c r="DE79" t="s">
        <v>3</v>
      </c>
      <c r="DF79">
        <f t="shared" si="25"/>
        <v>0</v>
      </c>
      <c r="DG79">
        <f>ROUND(ROUND(AF79,2)*CX79,2)</f>
        <v>11.51</v>
      </c>
      <c r="DH79">
        <f t="shared" si="22"/>
        <v>6.85</v>
      </c>
      <c r="DI79">
        <f t="shared" si="23"/>
        <v>0</v>
      </c>
      <c r="DJ79">
        <f>DG79+DH79</f>
        <v>18.36</v>
      </c>
      <c r="DK79">
        <v>1</v>
      </c>
      <c r="DL79" t="s">
        <v>266</v>
      </c>
      <c r="DM79">
        <v>4</v>
      </c>
      <c r="DN79" t="s">
        <v>252</v>
      </c>
      <c r="DO79">
        <v>1</v>
      </c>
    </row>
    <row r="80" spans="1:119">
      <c r="A80">
        <f>ROW(Source!A41)</f>
        <v>41</v>
      </c>
      <c r="B80">
        <v>50837261</v>
      </c>
      <c r="C80">
        <v>50837432</v>
      </c>
      <c r="D80">
        <v>49830028</v>
      </c>
      <c r="E80">
        <v>1</v>
      </c>
      <c r="F80">
        <v>1</v>
      </c>
      <c r="G80">
        <v>1</v>
      </c>
      <c r="H80">
        <v>3</v>
      </c>
      <c r="I80" t="s">
        <v>277</v>
      </c>
      <c r="J80" t="s">
        <v>278</v>
      </c>
      <c r="K80" t="s">
        <v>279</v>
      </c>
      <c r="L80">
        <v>1339</v>
      </c>
      <c r="N80">
        <v>1007</v>
      </c>
      <c r="O80" t="s">
        <v>65</v>
      </c>
      <c r="P80" t="s">
        <v>65</v>
      </c>
      <c r="Q80">
        <v>1</v>
      </c>
      <c r="W80">
        <v>0</v>
      </c>
      <c r="X80">
        <v>1964556667</v>
      </c>
      <c r="Y80">
        <f>AT80</f>
        <v>0.45</v>
      </c>
      <c r="AA80">
        <v>29.64</v>
      </c>
      <c r="AB80">
        <v>0</v>
      </c>
      <c r="AC80">
        <v>0</v>
      </c>
      <c r="AD80">
        <v>0</v>
      </c>
      <c r="AE80">
        <v>35.71</v>
      </c>
      <c r="AF80">
        <v>0</v>
      </c>
      <c r="AG80">
        <v>0</v>
      </c>
      <c r="AH80">
        <v>0</v>
      </c>
      <c r="AI80">
        <v>0.83</v>
      </c>
      <c r="AJ80">
        <v>1</v>
      </c>
      <c r="AK80">
        <v>1</v>
      </c>
      <c r="AL80">
        <v>1</v>
      </c>
      <c r="AM80">
        <v>2</v>
      </c>
      <c r="AN80">
        <v>0</v>
      </c>
      <c r="AO80">
        <v>0</v>
      </c>
      <c r="AP80">
        <v>1</v>
      </c>
      <c r="AQ80">
        <v>1</v>
      </c>
      <c r="AR80">
        <v>0</v>
      </c>
      <c r="AS80" t="s">
        <v>3</v>
      </c>
      <c r="AT80">
        <v>0.45</v>
      </c>
      <c r="AU80" t="s">
        <v>3</v>
      </c>
      <c r="AV80">
        <v>0</v>
      </c>
      <c r="AW80">
        <v>2</v>
      </c>
      <c r="AX80">
        <v>50844097</v>
      </c>
      <c r="AY80">
        <v>1</v>
      </c>
      <c r="AZ80">
        <v>0</v>
      </c>
      <c r="BA80">
        <v>84</v>
      </c>
      <c r="BB80">
        <v>1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16.069500000000001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1</v>
      </c>
      <c r="BQ80">
        <v>16.069500000000001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1</v>
      </c>
      <c r="CV80">
        <v>0</v>
      </c>
      <c r="CW80">
        <v>0</v>
      </c>
      <c r="CX80">
        <f>ROUND(Y80*Source!I41,7)</f>
        <v>4.6817999999999999E-2</v>
      </c>
      <c r="CY80">
        <f>AA80</f>
        <v>29.64</v>
      </c>
      <c r="CZ80">
        <f>AE80</f>
        <v>35.71</v>
      </c>
      <c r="DA80">
        <f>AI80</f>
        <v>0.83</v>
      </c>
      <c r="DB80">
        <f>ROUND(ROUND(AT80*CZ80,2),6)</f>
        <v>16.07</v>
      </c>
      <c r="DC80">
        <f>ROUND(ROUND(AT80*AG80,2),6)</f>
        <v>0</v>
      </c>
      <c r="DD80" t="s">
        <v>3</v>
      </c>
      <c r="DE80" t="s">
        <v>3</v>
      </c>
      <c r="DF80">
        <f>ROUND(ROUND(AE80*AI80,2)*CX80,2)</f>
        <v>1.39</v>
      </c>
      <c r="DG80">
        <f>ROUND(ROUND(AF80,2)*CX80,2)</f>
        <v>0</v>
      </c>
      <c r="DH80">
        <f t="shared" si="22"/>
        <v>0</v>
      </c>
      <c r="DI80">
        <f t="shared" si="23"/>
        <v>0</v>
      </c>
      <c r="DJ80">
        <f>DF80</f>
        <v>1.39</v>
      </c>
      <c r="DK80">
        <v>0</v>
      </c>
      <c r="DL80" t="s">
        <v>3</v>
      </c>
      <c r="DM80">
        <v>0</v>
      </c>
      <c r="DN80" t="s">
        <v>3</v>
      </c>
      <c r="DO80">
        <v>0</v>
      </c>
    </row>
    <row r="81" spans="1:119">
      <c r="A81">
        <f>ROW(Source!A41)</f>
        <v>41</v>
      </c>
      <c r="B81">
        <v>50837261</v>
      </c>
      <c r="C81">
        <v>50837432</v>
      </c>
      <c r="D81">
        <v>49830040</v>
      </c>
      <c r="E81">
        <v>1</v>
      </c>
      <c r="F81">
        <v>1</v>
      </c>
      <c r="G81">
        <v>1</v>
      </c>
      <c r="H81">
        <v>3</v>
      </c>
      <c r="I81" t="s">
        <v>339</v>
      </c>
      <c r="J81" t="s">
        <v>340</v>
      </c>
      <c r="K81" t="s">
        <v>341</v>
      </c>
      <c r="L81">
        <v>1383</v>
      </c>
      <c r="N81">
        <v>1013</v>
      </c>
      <c r="O81" t="s">
        <v>342</v>
      </c>
      <c r="P81" t="s">
        <v>342</v>
      </c>
      <c r="Q81">
        <v>1</v>
      </c>
      <c r="W81">
        <v>0</v>
      </c>
      <c r="X81">
        <v>1840299850</v>
      </c>
      <c r="Y81">
        <f>AT81</f>
        <v>5.8500000000000003E-2</v>
      </c>
      <c r="AA81">
        <v>7.71</v>
      </c>
      <c r="AB81">
        <v>0</v>
      </c>
      <c r="AC81">
        <v>0</v>
      </c>
      <c r="AD81">
        <v>0</v>
      </c>
      <c r="AE81">
        <v>7.71</v>
      </c>
      <c r="AF81">
        <v>0</v>
      </c>
      <c r="AG81">
        <v>0</v>
      </c>
      <c r="AH81">
        <v>0</v>
      </c>
      <c r="AI81">
        <v>1</v>
      </c>
      <c r="AJ81">
        <v>1</v>
      </c>
      <c r="AK81">
        <v>1</v>
      </c>
      <c r="AL81">
        <v>1</v>
      </c>
      <c r="AM81">
        <v>-2</v>
      </c>
      <c r="AN81">
        <v>0</v>
      </c>
      <c r="AO81">
        <v>0</v>
      </c>
      <c r="AP81">
        <v>1</v>
      </c>
      <c r="AQ81">
        <v>1</v>
      </c>
      <c r="AR81">
        <v>0</v>
      </c>
      <c r="AS81" t="s">
        <v>3</v>
      </c>
      <c r="AT81">
        <v>5.8500000000000003E-2</v>
      </c>
      <c r="AU81" t="s">
        <v>3</v>
      </c>
      <c r="AV81">
        <v>0</v>
      </c>
      <c r="AW81">
        <v>2</v>
      </c>
      <c r="AX81">
        <v>50844098</v>
      </c>
      <c r="AY81">
        <v>1</v>
      </c>
      <c r="AZ81">
        <v>0</v>
      </c>
      <c r="BA81">
        <v>85</v>
      </c>
      <c r="BB81">
        <v>1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0.45103500000000002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1</v>
      </c>
      <c r="BQ81">
        <v>0.45103500000000002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1</v>
      </c>
      <c r="CV81">
        <v>0</v>
      </c>
      <c r="CW81">
        <v>0</v>
      </c>
      <c r="CX81">
        <f>ROUND(Y81*Source!I41,7)</f>
        <v>6.0863000000000002E-3</v>
      </c>
      <c r="CY81">
        <f>AA81</f>
        <v>7.71</v>
      </c>
      <c r="CZ81">
        <f>AE81</f>
        <v>7.71</v>
      </c>
      <c r="DA81">
        <f>AI81</f>
        <v>1</v>
      </c>
      <c r="DB81">
        <f>ROUND(ROUND(AT81*CZ81,2),6)</f>
        <v>0.45</v>
      </c>
      <c r="DC81">
        <f>ROUND(ROUND(AT81*AG81,2),6)</f>
        <v>0</v>
      </c>
      <c r="DD81" t="s">
        <v>3</v>
      </c>
      <c r="DE81" t="s">
        <v>3</v>
      </c>
      <c r="DF81">
        <f>ROUND(ROUND(AE81,2)*CX81,2)</f>
        <v>0.05</v>
      </c>
      <c r="DG81">
        <f>ROUND(ROUND(AF81,2)*CX81,2)</f>
        <v>0</v>
      </c>
      <c r="DH81">
        <f t="shared" si="22"/>
        <v>0</v>
      </c>
      <c r="DI81">
        <f t="shared" si="23"/>
        <v>0</v>
      </c>
      <c r="DJ81">
        <f>DF81</f>
        <v>0.05</v>
      </c>
      <c r="DK81">
        <v>1</v>
      </c>
      <c r="DL81" t="s">
        <v>3</v>
      </c>
      <c r="DM81">
        <v>0</v>
      </c>
      <c r="DN81" t="s">
        <v>3</v>
      </c>
      <c r="DO81">
        <v>0</v>
      </c>
    </row>
    <row r="82" spans="1:119">
      <c r="A82">
        <f>ROW(Source!A41)</f>
        <v>41</v>
      </c>
      <c r="B82">
        <v>50837261</v>
      </c>
      <c r="C82">
        <v>50837432</v>
      </c>
      <c r="D82">
        <v>49834679</v>
      </c>
      <c r="E82">
        <v>1</v>
      </c>
      <c r="F82">
        <v>1</v>
      </c>
      <c r="G82">
        <v>1</v>
      </c>
      <c r="H82">
        <v>3</v>
      </c>
      <c r="I82" t="s">
        <v>370</v>
      </c>
      <c r="J82" t="s">
        <v>371</v>
      </c>
      <c r="K82" t="s">
        <v>372</v>
      </c>
      <c r="L82">
        <v>1348</v>
      </c>
      <c r="N82">
        <v>1009</v>
      </c>
      <c r="O82" t="s">
        <v>46</v>
      </c>
      <c r="P82" t="s">
        <v>46</v>
      </c>
      <c r="Q82">
        <v>1000</v>
      </c>
      <c r="W82">
        <v>0</v>
      </c>
      <c r="X82">
        <v>70029355</v>
      </c>
      <c r="Y82">
        <f>AT82</f>
        <v>2.1000000000000001E-2</v>
      </c>
      <c r="AA82">
        <v>75978.600000000006</v>
      </c>
      <c r="AB82">
        <v>0</v>
      </c>
      <c r="AC82">
        <v>0</v>
      </c>
      <c r="AD82">
        <v>0</v>
      </c>
      <c r="AE82">
        <v>37800.300000000003</v>
      </c>
      <c r="AF82">
        <v>0</v>
      </c>
      <c r="AG82">
        <v>0</v>
      </c>
      <c r="AH82">
        <v>0</v>
      </c>
      <c r="AI82">
        <v>2.0099999999999998</v>
      </c>
      <c r="AJ82">
        <v>1</v>
      </c>
      <c r="AK82">
        <v>1</v>
      </c>
      <c r="AL82">
        <v>1</v>
      </c>
      <c r="AM82">
        <v>2</v>
      </c>
      <c r="AN82">
        <v>0</v>
      </c>
      <c r="AO82">
        <v>0</v>
      </c>
      <c r="AP82">
        <v>1</v>
      </c>
      <c r="AQ82">
        <v>1</v>
      </c>
      <c r="AR82">
        <v>0</v>
      </c>
      <c r="AS82" t="s">
        <v>3</v>
      </c>
      <c r="AT82">
        <v>2.1000000000000001E-2</v>
      </c>
      <c r="AU82" t="s">
        <v>3</v>
      </c>
      <c r="AV82">
        <v>0</v>
      </c>
      <c r="AW82">
        <v>2</v>
      </c>
      <c r="AX82">
        <v>50844099</v>
      </c>
      <c r="AY82">
        <v>1</v>
      </c>
      <c r="AZ82">
        <v>0</v>
      </c>
      <c r="BA82">
        <v>86</v>
      </c>
      <c r="BB82">
        <v>1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793.80630000000008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1</v>
      </c>
      <c r="BQ82">
        <v>793.80630000000008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1</v>
      </c>
      <c r="CV82">
        <v>0</v>
      </c>
      <c r="CW82">
        <v>0</v>
      </c>
      <c r="CX82">
        <f>ROUND(Y82*Source!I41,7)</f>
        <v>2.1848000000000002E-3</v>
      </c>
      <c r="CY82">
        <f>AA82</f>
        <v>75978.600000000006</v>
      </c>
      <c r="CZ82">
        <f>AE82</f>
        <v>37800.300000000003</v>
      </c>
      <c r="DA82">
        <f>AI82</f>
        <v>2.0099999999999998</v>
      </c>
      <c r="DB82">
        <f>ROUND(ROUND(AT82*CZ82,2),6)</f>
        <v>793.81</v>
      </c>
      <c r="DC82">
        <f>ROUND(ROUND(AT82*AG82,2),6)</f>
        <v>0</v>
      </c>
      <c r="DD82" t="s">
        <v>3</v>
      </c>
      <c r="DE82" t="s">
        <v>3</v>
      </c>
      <c r="DF82">
        <f>ROUND(ROUND(AE82*AI82,2)*CX82,2)</f>
        <v>166</v>
      </c>
      <c r="DG82">
        <f>ROUND(ROUND(AF82,2)*CX82,2)</f>
        <v>0</v>
      </c>
      <c r="DH82">
        <f t="shared" si="22"/>
        <v>0</v>
      </c>
      <c r="DI82">
        <f t="shared" si="23"/>
        <v>0</v>
      </c>
      <c r="DJ82">
        <f>DF82</f>
        <v>166</v>
      </c>
      <c r="DK82">
        <v>0</v>
      </c>
      <c r="DL82" t="s">
        <v>3</v>
      </c>
      <c r="DM82">
        <v>0</v>
      </c>
      <c r="DN82" t="s">
        <v>3</v>
      </c>
      <c r="DO8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R89"/>
  <sheetViews>
    <sheetView workbookViewId="0"/>
  </sheetViews>
  <sheetFormatPr defaultColWidth="9.140625" defaultRowHeight="12.75"/>
  <cols>
    <col min="1" max="256" width="9.140625" customWidth="1"/>
  </cols>
  <sheetData>
    <row r="1" spans="1:44">
      <c r="A1">
        <f>ROW(Source!A24)</f>
        <v>24</v>
      </c>
      <c r="B1">
        <v>50844001</v>
      </c>
      <c r="C1">
        <v>50844000</v>
      </c>
      <c r="D1">
        <v>49752835</v>
      </c>
      <c r="E1">
        <v>117</v>
      </c>
      <c r="F1">
        <v>1</v>
      </c>
      <c r="G1">
        <v>1</v>
      </c>
      <c r="H1">
        <v>1</v>
      </c>
      <c r="I1" t="s">
        <v>250</v>
      </c>
      <c r="J1" t="s">
        <v>3</v>
      </c>
      <c r="K1" t="s">
        <v>251</v>
      </c>
      <c r="L1">
        <v>1191</v>
      </c>
      <c r="N1">
        <v>1013</v>
      </c>
      <c r="O1" t="s">
        <v>252</v>
      </c>
      <c r="P1" t="s">
        <v>252</v>
      </c>
      <c r="Q1">
        <v>1</v>
      </c>
      <c r="X1">
        <v>223</v>
      </c>
      <c r="Y1">
        <v>0</v>
      </c>
      <c r="Z1">
        <v>0</v>
      </c>
      <c r="AA1">
        <v>0</v>
      </c>
      <c r="AB1">
        <v>344.54</v>
      </c>
      <c r="AC1">
        <v>0</v>
      </c>
      <c r="AD1">
        <v>1</v>
      </c>
      <c r="AE1">
        <v>1</v>
      </c>
      <c r="AF1" t="s">
        <v>3</v>
      </c>
      <c r="AG1">
        <v>223</v>
      </c>
      <c r="AH1">
        <v>2</v>
      </c>
      <c r="AI1">
        <v>50844001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ROW(Source!A24)</f>
        <v>24</v>
      </c>
      <c r="B2">
        <v>50844002</v>
      </c>
      <c r="C2">
        <v>50844000</v>
      </c>
      <c r="D2">
        <v>49753052</v>
      </c>
      <c r="E2">
        <v>117</v>
      </c>
      <c r="F2">
        <v>1</v>
      </c>
      <c r="G2">
        <v>1</v>
      </c>
      <c r="H2">
        <v>1</v>
      </c>
      <c r="I2" t="s">
        <v>253</v>
      </c>
      <c r="J2" t="s">
        <v>3</v>
      </c>
      <c r="K2" t="s">
        <v>254</v>
      </c>
      <c r="L2">
        <v>1191</v>
      </c>
      <c r="N2">
        <v>1013</v>
      </c>
      <c r="O2" t="s">
        <v>252</v>
      </c>
      <c r="P2" t="s">
        <v>252</v>
      </c>
      <c r="Q2">
        <v>1</v>
      </c>
      <c r="X2">
        <v>24.83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3</v>
      </c>
      <c r="AG2">
        <v>24.83</v>
      </c>
      <c r="AH2">
        <v>2</v>
      </c>
      <c r="AI2">
        <v>50844002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ROW(Source!A24)</f>
        <v>24</v>
      </c>
      <c r="B3">
        <v>50844003</v>
      </c>
      <c r="C3">
        <v>50844000</v>
      </c>
      <c r="D3">
        <v>49759866</v>
      </c>
      <c r="E3">
        <v>1</v>
      </c>
      <c r="F3">
        <v>1</v>
      </c>
      <c r="G3">
        <v>1</v>
      </c>
      <c r="H3">
        <v>2</v>
      </c>
      <c r="I3" t="s">
        <v>255</v>
      </c>
      <c r="J3" t="s">
        <v>256</v>
      </c>
      <c r="K3" t="s">
        <v>257</v>
      </c>
      <c r="L3">
        <v>1368</v>
      </c>
      <c r="N3">
        <v>1011</v>
      </c>
      <c r="O3" t="s">
        <v>258</v>
      </c>
      <c r="P3" t="s">
        <v>258</v>
      </c>
      <c r="Q3">
        <v>1</v>
      </c>
      <c r="X3">
        <v>2.52</v>
      </c>
      <c r="Y3">
        <v>0</v>
      </c>
      <c r="Z3">
        <v>1680.01</v>
      </c>
      <c r="AA3">
        <v>465.43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2.52</v>
      </c>
      <c r="AH3">
        <v>2</v>
      </c>
      <c r="AI3">
        <v>50844003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ROW(Source!A24)</f>
        <v>24</v>
      </c>
      <c r="B4">
        <v>50844004</v>
      </c>
      <c r="C4">
        <v>50844000</v>
      </c>
      <c r="D4">
        <v>49760098</v>
      </c>
      <c r="E4">
        <v>1</v>
      </c>
      <c r="F4">
        <v>1</v>
      </c>
      <c r="G4">
        <v>1</v>
      </c>
      <c r="H4">
        <v>2</v>
      </c>
      <c r="I4" t="s">
        <v>260</v>
      </c>
      <c r="J4" t="s">
        <v>261</v>
      </c>
      <c r="K4" t="s">
        <v>262</v>
      </c>
      <c r="L4">
        <v>1368</v>
      </c>
      <c r="N4">
        <v>1011</v>
      </c>
      <c r="O4" t="s">
        <v>258</v>
      </c>
      <c r="P4" t="s">
        <v>258</v>
      </c>
      <c r="Q4">
        <v>1</v>
      </c>
      <c r="X4">
        <v>5.65</v>
      </c>
      <c r="Y4">
        <v>0</v>
      </c>
      <c r="Z4">
        <v>100.65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5.65</v>
      </c>
      <c r="AH4">
        <v>2</v>
      </c>
      <c r="AI4">
        <v>50844004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ROW(Source!A24)</f>
        <v>24</v>
      </c>
      <c r="B5">
        <v>50844005</v>
      </c>
      <c r="C5">
        <v>50844000</v>
      </c>
      <c r="D5">
        <v>49760548</v>
      </c>
      <c r="E5">
        <v>1</v>
      </c>
      <c r="F5">
        <v>1</v>
      </c>
      <c r="G5">
        <v>1</v>
      </c>
      <c r="H5">
        <v>2</v>
      </c>
      <c r="I5" t="s">
        <v>263</v>
      </c>
      <c r="J5" t="s">
        <v>264</v>
      </c>
      <c r="K5" t="s">
        <v>265</v>
      </c>
      <c r="L5">
        <v>1368</v>
      </c>
      <c r="N5">
        <v>1011</v>
      </c>
      <c r="O5" t="s">
        <v>258</v>
      </c>
      <c r="P5" t="s">
        <v>258</v>
      </c>
      <c r="Q5">
        <v>1</v>
      </c>
      <c r="X5">
        <v>0.01</v>
      </c>
      <c r="Y5">
        <v>0</v>
      </c>
      <c r="Z5">
        <v>1495.59</v>
      </c>
      <c r="AA5">
        <v>404.99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0.01</v>
      </c>
      <c r="AH5">
        <v>2</v>
      </c>
      <c r="AI5">
        <v>50844005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ROW(Source!A24)</f>
        <v>24</v>
      </c>
      <c r="B6">
        <v>50844006</v>
      </c>
      <c r="C6">
        <v>50844000</v>
      </c>
      <c r="D6">
        <v>49760822</v>
      </c>
      <c r="E6">
        <v>1</v>
      </c>
      <c r="F6">
        <v>1</v>
      </c>
      <c r="G6">
        <v>1</v>
      </c>
      <c r="H6">
        <v>2</v>
      </c>
      <c r="I6" t="s">
        <v>267</v>
      </c>
      <c r="J6" t="s">
        <v>268</v>
      </c>
      <c r="K6" t="s">
        <v>269</v>
      </c>
      <c r="L6">
        <v>1368</v>
      </c>
      <c r="N6">
        <v>1011</v>
      </c>
      <c r="O6" t="s">
        <v>258</v>
      </c>
      <c r="P6" t="s">
        <v>258</v>
      </c>
      <c r="Q6">
        <v>1</v>
      </c>
      <c r="X6">
        <v>22.3</v>
      </c>
      <c r="Y6">
        <v>0</v>
      </c>
      <c r="Z6">
        <v>426.11</v>
      </c>
      <c r="AA6">
        <v>404.99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22.3</v>
      </c>
      <c r="AH6">
        <v>2</v>
      </c>
      <c r="AI6">
        <v>50844006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ROW(Source!A24)</f>
        <v>24</v>
      </c>
      <c r="B7">
        <v>50844007</v>
      </c>
      <c r="C7">
        <v>50844000</v>
      </c>
      <c r="D7">
        <v>49761222</v>
      </c>
      <c r="E7">
        <v>1</v>
      </c>
      <c r="F7">
        <v>1</v>
      </c>
      <c r="G7">
        <v>1</v>
      </c>
      <c r="H7">
        <v>2</v>
      </c>
      <c r="I7" t="s">
        <v>270</v>
      </c>
      <c r="J7" t="s">
        <v>271</v>
      </c>
      <c r="K7" t="s">
        <v>272</v>
      </c>
      <c r="L7">
        <v>1368</v>
      </c>
      <c r="N7">
        <v>1011</v>
      </c>
      <c r="O7" t="s">
        <v>258</v>
      </c>
      <c r="P7" t="s">
        <v>258</v>
      </c>
      <c r="Q7">
        <v>1</v>
      </c>
      <c r="X7">
        <v>36.799999999999997</v>
      </c>
      <c r="Y7">
        <v>0</v>
      </c>
      <c r="Z7">
        <v>2.93</v>
      </c>
      <c r="AA7">
        <v>0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36.799999999999997</v>
      </c>
      <c r="AH7">
        <v>2</v>
      </c>
      <c r="AI7">
        <v>50844007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ROW(Source!A24)</f>
        <v>24</v>
      </c>
      <c r="B8">
        <v>50844008</v>
      </c>
      <c r="C8">
        <v>50844000</v>
      </c>
      <c r="D8">
        <v>49830009</v>
      </c>
      <c r="E8">
        <v>1</v>
      </c>
      <c r="F8">
        <v>1</v>
      </c>
      <c r="G8">
        <v>1</v>
      </c>
      <c r="H8">
        <v>3</v>
      </c>
      <c r="I8" t="s">
        <v>273</v>
      </c>
      <c r="J8" t="s">
        <v>274</v>
      </c>
      <c r="K8" t="s">
        <v>275</v>
      </c>
      <c r="L8">
        <v>1301</v>
      </c>
      <c r="N8">
        <v>1003</v>
      </c>
      <c r="O8" t="s">
        <v>276</v>
      </c>
      <c r="P8" t="s">
        <v>276</v>
      </c>
      <c r="Q8">
        <v>1</v>
      </c>
      <c r="X8">
        <v>77.680000000000007</v>
      </c>
      <c r="Y8">
        <v>10.16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77.680000000000007</v>
      </c>
      <c r="AH8">
        <v>2</v>
      </c>
      <c r="AI8">
        <v>50844008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ROW(Source!A24)</f>
        <v>24</v>
      </c>
      <c r="B9">
        <v>50844009</v>
      </c>
      <c r="C9">
        <v>50844000</v>
      </c>
      <c r="D9">
        <v>49830028</v>
      </c>
      <c r="E9">
        <v>1</v>
      </c>
      <c r="F9">
        <v>1</v>
      </c>
      <c r="G9">
        <v>1</v>
      </c>
      <c r="H9">
        <v>3</v>
      </c>
      <c r="I9" t="s">
        <v>277</v>
      </c>
      <c r="J9" t="s">
        <v>278</v>
      </c>
      <c r="K9" t="s">
        <v>279</v>
      </c>
      <c r="L9">
        <v>1339</v>
      </c>
      <c r="N9">
        <v>1007</v>
      </c>
      <c r="O9" t="s">
        <v>65</v>
      </c>
      <c r="P9" t="s">
        <v>65</v>
      </c>
      <c r="Q9">
        <v>1</v>
      </c>
      <c r="X9">
        <v>7.4999999999999997E-3</v>
      </c>
      <c r="Y9">
        <v>35.71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7.4999999999999997E-3</v>
      </c>
      <c r="AH9">
        <v>2</v>
      </c>
      <c r="AI9">
        <v>50844009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ROW(Source!A24)</f>
        <v>24</v>
      </c>
      <c r="B10">
        <v>50844010</v>
      </c>
      <c r="C10">
        <v>50844000</v>
      </c>
      <c r="D10">
        <v>49830344</v>
      </c>
      <c r="E10">
        <v>1</v>
      </c>
      <c r="F10">
        <v>1</v>
      </c>
      <c r="G10">
        <v>1</v>
      </c>
      <c r="H10">
        <v>3</v>
      </c>
      <c r="I10" t="s">
        <v>280</v>
      </c>
      <c r="J10" t="s">
        <v>281</v>
      </c>
      <c r="K10" t="s">
        <v>282</v>
      </c>
      <c r="L10">
        <v>1327</v>
      </c>
      <c r="N10">
        <v>1005</v>
      </c>
      <c r="O10" t="s">
        <v>97</v>
      </c>
      <c r="P10" t="s">
        <v>97</v>
      </c>
      <c r="Q10">
        <v>1</v>
      </c>
      <c r="X10">
        <v>28.41</v>
      </c>
      <c r="Y10">
        <v>12.83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28.41</v>
      </c>
      <c r="AH10">
        <v>2</v>
      </c>
      <c r="AI10">
        <v>50844010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ROW(Source!A24)</f>
        <v>24</v>
      </c>
      <c r="B11">
        <v>50844011</v>
      </c>
      <c r="C11">
        <v>50844000</v>
      </c>
      <c r="D11">
        <v>49753838</v>
      </c>
      <c r="E11">
        <v>117</v>
      </c>
      <c r="F11">
        <v>1</v>
      </c>
      <c r="G11">
        <v>1</v>
      </c>
      <c r="H11">
        <v>3</v>
      </c>
      <c r="I11" t="s">
        <v>26</v>
      </c>
      <c r="J11" t="s">
        <v>3</v>
      </c>
      <c r="K11" t="s">
        <v>27</v>
      </c>
      <c r="L11">
        <v>1371</v>
      </c>
      <c r="N11">
        <v>1013</v>
      </c>
      <c r="O11" t="s">
        <v>28</v>
      </c>
      <c r="P11" t="s">
        <v>28</v>
      </c>
      <c r="Q11">
        <v>1</v>
      </c>
      <c r="X11">
        <v>0.71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 t="s">
        <v>3</v>
      </c>
      <c r="AG11">
        <v>0.71</v>
      </c>
      <c r="AH11">
        <v>2</v>
      </c>
      <c r="AI11">
        <v>50844011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ROW(Source!A24)</f>
        <v>24</v>
      </c>
      <c r="B12">
        <v>50844012</v>
      </c>
      <c r="C12">
        <v>50844000</v>
      </c>
      <c r="D12">
        <v>49839781</v>
      </c>
      <c r="E12">
        <v>1</v>
      </c>
      <c r="F12">
        <v>1</v>
      </c>
      <c r="G12">
        <v>1</v>
      </c>
      <c r="H12">
        <v>3</v>
      </c>
      <c r="I12" t="s">
        <v>283</v>
      </c>
      <c r="J12" t="s">
        <v>284</v>
      </c>
      <c r="K12" t="s">
        <v>285</v>
      </c>
      <c r="L12">
        <v>1348</v>
      </c>
      <c r="N12">
        <v>1009</v>
      </c>
      <c r="O12" t="s">
        <v>46</v>
      </c>
      <c r="P12" t="s">
        <v>46</v>
      </c>
      <c r="Q12">
        <v>1000</v>
      </c>
      <c r="X12">
        <v>2.0500000000000001E-2</v>
      </c>
      <c r="Y12">
        <v>89073.2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2.0500000000000001E-2</v>
      </c>
      <c r="AH12">
        <v>2</v>
      </c>
      <c r="AI12">
        <v>50844012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ROW(Source!A24)</f>
        <v>24</v>
      </c>
      <c r="B13">
        <v>50844013</v>
      </c>
      <c r="C13">
        <v>50844000</v>
      </c>
      <c r="D13">
        <v>49842103</v>
      </c>
      <c r="E13">
        <v>1</v>
      </c>
      <c r="F13">
        <v>1</v>
      </c>
      <c r="G13">
        <v>1</v>
      </c>
      <c r="H13">
        <v>3</v>
      </c>
      <c r="I13" t="s">
        <v>286</v>
      </c>
      <c r="J13" t="s">
        <v>287</v>
      </c>
      <c r="K13" t="s">
        <v>288</v>
      </c>
      <c r="L13">
        <v>1339</v>
      </c>
      <c r="N13">
        <v>1007</v>
      </c>
      <c r="O13" t="s">
        <v>65</v>
      </c>
      <c r="P13" t="s">
        <v>65</v>
      </c>
      <c r="Q13">
        <v>1</v>
      </c>
      <c r="X13">
        <v>2.1999999999999999E-2</v>
      </c>
      <c r="Y13">
        <v>7555</v>
      </c>
      <c r="Z13">
        <v>0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2.1999999999999999E-2</v>
      </c>
      <c r="AH13">
        <v>2</v>
      </c>
      <c r="AI13">
        <v>50844013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ROW(Source!A24)</f>
        <v>24</v>
      </c>
      <c r="B14">
        <v>50844014</v>
      </c>
      <c r="C14">
        <v>50844000</v>
      </c>
      <c r="D14">
        <v>49842337</v>
      </c>
      <c r="E14">
        <v>1</v>
      </c>
      <c r="F14">
        <v>1</v>
      </c>
      <c r="G14">
        <v>1</v>
      </c>
      <c r="H14">
        <v>3</v>
      </c>
      <c r="I14" t="s">
        <v>289</v>
      </c>
      <c r="J14" t="s">
        <v>290</v>
      </c>
      <c r="K14" t="s">
        <v>291</v>
      </c>
      <c r="L14">
        <v>1371</v>
      </c>
      <c r="N14">
        <v>1013</v>
      </c>
      <c r="O14" t="s">
        <v>28</v>
      </c>
      <c r="P14" t="s">
        <v>28</v>
      </c>
      <c r="Q14">
        <v>1</v>
      </c>
      <c r="X14">
        <v>0.17</v>
      </c>
      <c r="Y14">
        <v>432.32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0.17</v>
      </c>
      <c r="AH14">
        <v>2</v>
      </c>
      <c r="AI14">
        <v>50844014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ROW(Source!A24)</f>
        <v>24</v>
      </c>
      <c r="B15">
        <v>50844015</v>
      </c>
      <c r="C15">
        <v>50844000</v>
      </c>
      <c r="D15">
        <v>49843831</v>
      </c>
      <c r="E15">
        <v>1</v>
      </c>
      <c r="F15">
        <v>1</v>
      </c>
      <c r="G15">
        <v>1</v>
      </c>
      <c r="H15">
        <v>3</v>
      </c>
      <c r="I15" t="s">
        <v>292</v>
      </c>
      <c r="J15" t="s">
        <v>293</v>
      </c>
      <c r="K15" t="s">
        <v>294</v>
      </c>
      <c r="L15">
        <v>1425</v>
      </c>
      <c r="N15">
        <v>1013</v>
      </c>
      <c r="O15" t="s">
        <v>295</v>
      </c>
      <c r="P15" t="s">
        <v>295</v>
      </c>
      <c r="Q15">
        <v>1</v>
      </c>
      <c r="X15">
        <v>0.57999999999999996</v>
      </c>
      <c r="Y15">
        <v>237.35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3</v>
      </c>
      <c r="AG15">
        <v>0.57999999999999996</v>
      </c>
      <c r="AH15">
        <v>2</v>
      </c>
      <c r="AI15">
        <v>50844015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ROW(Source!A26)</f>
        <v>26</v>
      </c>
      <c r="B16">
        <v>50844017</v>
      </c>
      <c r="C16">
        <v>50837397</v>
      </c>
      <c r="D16">
        <v>49752831</v>
      </c>
      <c r="E16">
        <v>117</v>
      </c>
      <c r="F16">
        <v>1</v>
      </c>
      <c r="G16">
        <v>1</v>
      </c>
      <c r="H16">
        <v>1</v>
      </c>
      <c r="I16" t="s">
        <v>296</v>
      </c>
      <c r="J16" t="s">
        <v>3</v>
      </c>
      <c r="K16" t="s">
        <v>297</v>
      </c>
      <c r="L16">
        <v>1191</v>
      </c>
      <c r="N16">
        <v>1013</v>
      </c>
      <c r="O16" t="s">
        <v>252</v>
      </c>
      <c r="P16" t="s">
        <v>252</v>
      </c>
      <c r="Q16">
        <v>1</v>
      </c>
      <c r="X16">
        <v>285.42</v>
      </c>
      <c r="Y16">
        <v>0</v>
      </c>
      <c r="Z16">
        <v>0</v>
      </c>
      <c r="AA16">
        <v>0</v>
      </c>
      <c r="AB16">
        <v>341.52</v>
      </c>
      <c r="AC16">
        <v>0</v>
      </c>
      <c r="AD16">
        <v>1</v>
      </c>
      <c r="AE16">
        <v>1</v>
      </c>
      <c r="AF16" t="s">
        <v>3</v>
      </c>
      <c r="AG16">
        <v>285.42</v>
      </c>
      <c r="AH16">
        <v>2</v>
      </c>
      <c r="AI16">
        <v>50844017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ROW(Source!A26)</f>
        <v>26</v>
      </c>
      <c r="B17">
        <v>50844018</v>
      </c>
      <c r="C17">
        <v>50837397</v>
      </c>
      <c r="D17">
        <v>49753052</v>
      </c>
      <c r="E17">
        <v>117</v>
      </c>
      <c r="F17">
        <v>1</v>
      </c>
      <c r="G17">
        <v>1</v>
      </c>
      <c r="H17">
        <v>1</v>
      </c>
      <c r="I17" t="s">
        <v>253</v>
      </c>
      <c r="J17" t="s">
        <v>3</v>
      </c>
      <c r="K17" t="s">
        <v>254</v>
      </c>
      <c r="L17">
        <v>1191</v>
      </c>
      <c r="N17">
        <v>1013</v>
      </c>
      <c r="O17" t="s">
        <v>252</v>
      </c>
      <c r="P17" t="s">
        <v>252</v>
      </c>
      <c r="Q17">
        <v>1</v>
      </c>
      <c r="X17">
        <v>25.76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2</v>
      </c>
      <c r="AF17" t="s">
        <v>3</v>
      </c>
      <c r="AG17">
        <v>25.76</v>
      </c>
      <c r="AH17">
        <v>2</v>
      </c>
      <c r="AI17">
        <v>50844018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ROW(Source!A26)</f>
        <v>26</v>
      </c>
      <c r="B18">
        <v>50844019</v>
      </c>
      <c r="C18">
        <v>50837397</v>
      </c>
      <c r="D18">
        <v>49759866</v>
      </c>
      <c r="E18">
        <v>1</v>
      </c>
      <c r="F18">
        <v>1</v>
      </c>
      <c r="G18">
        <v>1</v>
      </c>
      <c r="H18">
        <v>2</v>
      </c>
      <c r="I18" t="s">
        <v>255</v>
      </c>
      <c r="J18" t="s">
        <v>256</v>
      </c>
      <c r="K18" t="s">
        <v>257</v>
      </c>
      <c r="L18">
        <v>1368</v>
      </c>
      <c r="N18">
        <v>1011</v>
      </c>
      <c r="O18" t="s">
        <v>258</v>
      </c>
      <c r="P18" t="s">
        <v>258</v>
      </c>
      <c r="Q18">
        <v>1</v>
      </c>
      <c r="X18">
        <v>1.85</v>
      </c>
      <c r="Y18">
        <v>0</v>
      </c>
      <c r="Z18">
        <v>1680.01</v>
      </c>
      <c r="AA18">
        <v>465.43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1.85</v>
      </c>
      <c r="AH18">
        <v>2</v>
      </c>
      <c r="AI18">
        <v>50844019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ROW(Source!A26)</f>
        <v>26</v>
      </c>
      <c r="B19">
        <v>50844020</v>
      </c>
      <c r="C19">
        <v>50837397</v>
      </c>
      <c r="D19">
        <v>49760098</v>
      </c>
      <c r="E19">
        <v>1</v>
      </c>
      <c r="F19">
        <v>1</v>
      </c>
      <c r="G19">
        <v>1</v>
      </c>
      <c r="H19">
        <v>2</v>
      </c>
      <c r="I19" t="s">
        <v>260</v>
      </c>
      <c r="J19" t="s">
        <v>261</v>
      </c>
      <c r="K19" t="s">
        <v>262</v>
      </c>
      <c r="L19">
        <v>1368</v>
      </c>
      <c r="N19">
        <v>1011</v>
      </c>
      <c r="O19" t="s">
        <v>258</v>
      </c>
      <c r="P19" t="s">
        <v>258</v>
      </c>
      <c r="Q19">
        <v>1</v>
      </c>
      <c r="X19">
        <v>0.24</v>
      </c>
      <c r="Y19">
        <v>0</v>
      </c>
      <c r="Z19">
        <v>100.65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0.24</v>
      </c>
      <c r="AH19">
        <v>2</v>
      </c>
      <c r="AI19">
        <v>50844020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ROW(Source!A26)</f>
        <v>26</v>
      </c>
      <c r="B20">
        <v>50844021</v>
      </c>
      <c r="C20">
        <v>50837397</v>
      </c>
      <c r="D20">
        <v>49760548</v>
      </c>
      <c r="E20">
        <v>1</v>
      </c>
      <c r="F20">
        <v>1</v>
      </c>
      <c r="G20">
        <v>1</v>
      </c>
      <c r="H20">
        <v>2</v>
      </c>
      <c r="I20" t="s">
        <v>263</v>
      </c>
      <c r="J20" t="s">
        <v>264</v>
      </c>
      <c r="K20" t="s">
        <v>265</v>
      </c>
      <c r="L20">
        <v>1368</v>
      </c>
      <c r="N20">
        <v>1011</v>
      </c>
      <c r="O20" t="s">
        <v>258</v>
      </c>
      <c r="P20" t="s">
        <v>258</v>
      </c>
      <c r="Q20">
        <v>1</v>
      </c>
      <c r="X20">
        <v>0.01</v>
      </c>
      <c r="Y20">
        <v>0</v>
      </c>
      <c r="Z20">
        <v>1495.59</v>
      </c>
      <c r="AA20">
        <v>404.99</v>
      </c>
      <c r="AB20">
        <v>0</v>
      </c>
      <c r="AC20">
        <v>0</v>
      </c>
      <c r="AD20">
        <v>1</v>
      </c>
      <c r="AE20">
        <v>0</v>
      </c>
      <c r="AF20" t="s">
        <v>3</v>
      </c>
      <c r="AG20">
        <v>0.01</v>
      </c>
      <c r="AH20">
        <v>2</v>
      </c>
      <c r="AI20">
        <v>50844021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ROW(Source!A26)</f>
        <v>26</v>
      </c>
      <c r="B21">
        <v>50844022</v>
      </c>
      <c r="C21">
        <v>50837397</v>
      </c>
      <c r="D21">
        <v>49760822</v>
      </c>
      <c r="E21">
        <v>1</v>
      </c>
      <c r="F21">
        <v>1</v>
      </c>
      <c r="G21">
        <v>1</v>
      </c>
      <c r="H21">
        <v>2</v>
      </c>
      <c r="I21" t="s">
        <v>267</v>
      </c>
      <c r="J21" t="s">
        <v>268</v>
      </c>
      <c r="K21" t="s">
        <v>269</v>
      </c>
      <c r="L21">
        <v>1368</v>
      </c>
      <c r="N21">
        <v>1011</v>
      </c>
      <c r="O21" t="s">
        <v>258</v>
      </c>
      <c r="P21" t="s">
        <v>258</v>
      </c>
      <c r="Q21">
        <v>1</v>
      </c>
      <c r="X21">
        <v>23.9</v>
      </c>
      <c r="Y21">
        <v>0</v>
      </c>
      <c r="Z21">
        <v>426.11</v>
      </c>
      <c r="AA21">
        <v>404.99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23.9</v>
      </c>
      <c r="AH21">
        <v>2</v>
      </c>
      <c r="AI21">
        <v>50844022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ROW(Source!A26)</f>
        <v>26</v>
      </c>
      <c r="B22">
        <v>50844023</v>
      </c>
      <c r="C22">
        <v>50837397</v>
      </c>
      <c r="D22">
        <v>49761222</v>
      </c>
      <c r="E22">
        <v>1</v>
      </c>
      <c r="F22">
        <v>1</v>
      </c>
      <c r="G22">
        <v>1</v>
      </c>
      <c r="H22">
        <v>2</v>
      </c>
      <c r="I22" t="s">
        <v>270</v>
      </c>
      <c r="J22" t="s">
        <v>271</v>
      </c>
      <c r="K22" t="s">
        <v>272</v>
      </c>
      <c r="L22">
        <v>1368</v>
      </c>
      <c r="N22">
        <v>1011</v>
      </c>
      <c r="O22" t="s">
        <v>258</v>
      </c>
      <c r="P22" t="s">
        <v>258</v>
      </c>
      <c r="Q22">
        <v>1</v>
      </c>
      <c r="X22">
        <v>37.4</v>
      </c>
      <c r="Y22">
        <v>0</v>
      </c>
      <c r="Z22">
        <v>2.93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37.4</v>
      </c>
      <c r="AH22">
        <v>2</v>
      </c>
      <c r="AI22">
        <v>50844023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ROW(Source!A26)</f>
        <v>26</v>
      </c>
      <c r="B23">
        <v>50844024</v>
      </c>
      <c r="C23">
        <v>50837397</v>
      </c>
      <c r="D23">
        <v>49830009</v>
      </c>
      <c r="E23">
        <v>1</v>
      </c>
      <c r="F23">
        <v>1</v>
      </c>
      <c r="G23">
        <v>1</v>
      </c>
      <c r="H23">
        <v>3</v>
      </c>
      <c r="I23" t="s">
        <v>273</v>
      </c>
      <c r="J23" t="s">
        <v>274</v>
      </c>
      <c r="K23" t="s">
        <v>275</v>
      </c>
      <c r="L23">
        <v>1301</v>
      </c>
      <c r="N23">
        <v>1003</v>
      </c>
      <c r="O23" t="s">
        <v>276</v>
      </c>
      <c r="P23" t="s">
        <v>276</v>
      </c>
      <c r="Q23">
        <v>1</v>
      </c>
      <c r="X23">
        <v>68.3</v>
      </c>
      <c r="Y23">
        <v>10.16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68.3</v>
      </c>
      <c r="AH23">
        <v>2</v>
      </c>
      <c r="AI23">
        <v>50844024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ROW(Source!A26)</f>
        <v>26</v>
      </c>
      <c r="B24">
        <v>50844025</v>
      </c>
      <c r="C24">
        <v>50837397</v>
      </c>
      <c r="D24">
        <v>49830028</v>
      </c>
      <c r="E24">
        <v>1</v>
      </c>
      <c r="F24">
        <v>1</v>
      </c>
      <c r="G24">
        <v>1</v>
      </c>
      <c r="H24">
        <v>3</v>
      </c>
      <c r="I24" t="s">
        <v>277</v>
      </c>
      <c r="J24" t="s">
        <v>278</v>
      </c>
      <c r="K24" t="s">
        <v>279</v>
      </c>
      <c r="L24">
        <v>1339</v>
      </c>
      <c r="N24">
        <v>1007</v>
      </c>
      <c r="O24" t="s">
        <v>65</v>
      </c>
      <c r="P24" t="s">
        <v>65</v>
      </c>
      <c r="Q24">
        <v>1</v>
      </c>
      <c r="X24">
        <v>7.4999999999999997E-3</v>
      </c>
      <c r="Y24">
        <v>35.71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7.4999999999999997E-3</v>
      </c>
      <c r="AH24">
        <v>2</v>
      </c>
      <c r="AI24">
        <v>50844025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ROW(Source!A26)</f>
        <v>26</v>
      </c>
      <c r="B25">
        <v>50844026</v>
      </c>
      <c r="C25">
        <v>50837397</v>
      </c>
      <c r="D25">
        <v>49830344</v>
      </c>
      <c r="E25">
        <v>1</v>
      </c>
      <c r="F25">
        <v>1</v>
      </c>
      <c r="G25">
        <v>1</v>
      </c>
      <c r="H25">
        <v>3</v>
      </c>
      <c r="I25" t="s">
        <v>280</v>
      </c>
      <c r="J25" t="s">
        <v>281</v>
      </c>
      <c r="K25" t="s">
        <v>282</v>
      </c>
      <c r="L25">
        <v>1327</v>
      </c>
      <c r="N25">
        <v>1005</v>
      </c>
      <c r="O25" t="s">
        <v>97</v>
      </c>
      <c r="P25" t="s">
        <v>97</v>
      </c>
      <c r="Q25">
        <v>1</v>
      </c>
      <c r="X25">
        <v>24.5</v>
      </c>
      <c r="Y25">
        <v>12.83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24.5</v>
      </c>
      <c r="AH25">
        <v>2</v>
      </c>
      <c r="AI25">
        <v>50844026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ROW(Source!A26)</f>
        <v>26</v>
      </c>
      <c r="B26">
        <v>50844027</v>
      </c>
      <c r="C26">
        <v>50837397</v>
      </c>
      <c r="D26">
        <v>49753838</v>
      </c>
      <c r="E26">
        <v>117</v>
      </c>
      <c r="F26">
        <v>1</v>
      </c>
      <c r="G26">
        <v>1</v>
      </c>
      <c r="H26">
        <v>3</v>
      </c>
      <c r="I26" t="s">
        <v>26</v>
      </c>
      <c r="J26" t="s">
        <v>3</v>
      </c>
      <c r="K26" t="s">
        <v>27</v>
      </c>
      <c r="L26">
        <v>1371</v>
      </c>
      <c r="N26">
        <v>1013</v>
      </c>
      <c r="O26" t="s">
        <v>28</v>
      </c>
      <c r="P26" t="s">
        <v>28</v>
      </c>
      <c r="Q26">
        <v>1</v>
      </c>
      <c r="X26">
        <v>3.0000000000000001E-3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 t="s">
        <v>3</v>
      </c>
      <c r="AG26">
        <v>3.0000000000000001E-3</v>
      </c>
      <c r="AH26">
        <v>2</v>
      </c>
      <c r="AI26">
        <v>50844027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ROW(Source!A26)</f>
        <v>26</v>
      </c>
      <c r="B27">
        <v>50844028</v>
      </c>
      <c r="C27">
        <v>50837397</v>
      </c>
      <c r="D27">
        <v>49839781</v>
      </c>
      <c r="E27">
        <v>1</v>
      </c>
      <c r="F27">
        <v>1</v>
      </c>
      <c r="G27">
        <v>1</v>
      </c>
      <c r="H27">
        <v>3</v>
      </c>
      <c r="I27" t="s">
        <v>283</v>
      </c>
      <c r="J27" t="s">
        <v>284</v>
      </c>
      <c r="K27" t="s">
        <v>285</v>
      </c>
      <c r="L27">
        <v>1348</v>
      </c>
      <c r="N27">
        <v>1009</v>
      </c>
      <c r="O27" t="s">
        <v>46</v>
      </c>
      <c r="P27" t="s">
        <v>46</v>
      </c>
      <c r="Q27">
        <v>1000</v>
      </c>
      <c r="X27">
        <v>1.7999999999999999E-2</v>
      </c>
      <c r="Y27">
        <v>89073.2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1.7999999999999999E-2</v>
      </c>
      <c r="AH27">
        <v>2</v>
      </c>
      <c r="AI27">
        <v>50844028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ROW(Source!A26)</f>
        <v>26</v>
      </c>
      <c r="B28">
        <v>50844029</v>
      </c>
      <c r="C28">
        <v>50837397</v>
      </c>
      <c r="D28">
        <v>49842337</v>
      </c>
      <c r="E28">
        <v>1</v>
      </c>
      <c r="F28">
        <v>1</v>
      </c>
      <c r="G28">
        <v>1</v>
      </c>
      <c r="H28">
        <v>3</v>
      </c>
      <c r="I28" t="s">
        <v>289</v>
      </c>
      <c r="J28" t="s">
        <v>290</v>
      </c>
      <c r="K28" t="s">
        <v>291</v>
      </c>
      <c r="L28">
        <v>1371</v>
      </c>
      <c r="N28">
        <v>1013</v>
      </c>
      <c r="O28" t="s">
        <v>28</v>
      </c>
      <c r="P28" t="s">
        <v>28</v>
      </c>
      <c r="Q28">
        <v>1</v>
      </c>
      <c r="X28">
        <v>0.13</v>
      </c>
      <c r="Y28">
        <v>432.32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0.13</v>
      </c>
      <c r="AH28">
        <v>2</v>
      </c>
      <c r="AI28">
        <v>50844029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ROW(Source!A26)</f>
        <v>26</v>
      </c>
      <c r="B29">
        <v>50844030</v>
      </c>
      <c r="C29">
        <v>50837397</v>
      </c>
      <c r="D29">
        <v>49843831</v>
      </c>
      <c r="E29">
        <v>1</v>
      </c>
      <c r="F29">
        <v>1</v>
      </c>
      <c r="G29">
        <v>1</v>
      </c>
      <c r="H29">
        <v>3</v>
      </c>
      <c r="I29" t="s">
        <v>292</v>
      </c>
      <c r="J29" t="s">
        <v>293</v>
      </c>
      <c r="K29" t="s">
        <v>294</v>
      </c>
      <c r="L29">
        <v>1425</v>
      </c>
      <c r="N29">
        <v>1013</v>
      </c>
      <c r="O29" t="s">
        <v>295</v>
      </c>
      <c r="P29" t="s">
        <v>295</v>
      </c>
      <c r="Q29">
        <v>1</v>
      </c>
      <c r="X29">
        <v>0.51</v>
      </c>
      <c r="Y29">
        <v>237.35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0.51</v>
      </c>
      <c r="AH29">
        <v>2</v>
      </c>
      <c r="AI29">
        <v>50844030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ROW(Source!A28)</f>
        <v>28</v>
      </c>
      <c r="B30">
        <v>50844033</v>
      </c>
      <c r="C30">
        <v>50844032</v>
      </c>
      <c r="D30">
        <v>49752819</v>
      </c>
      <c r="E30">
        <v>117</v>
      </c>
      <c r="F30">
        <v>1</v>
      </c>
      <c r="G30">
        <v>1</v>
      </c>
      <c r="H30">
        <v>1</v>
      </c>
      <c r="I30" t="s">
        <v>298</v>
      </c>
      <c r="J30" t="s">
        <v>3</v>
      </c>
      <c r="K30" t="s">
        <v>299</v>
      </c>
      <c r="L30">
        <v>1191</v>
      </c>
      <c r="N30">
        <v>1013</v>
      </c>
      <c r="O30" t="s">
        <v>252</v>
      </c>
      <c r="P30" t="s">
        <v>252</v>
      </c>
      <c r="Q30">
        <v>1</v>
      </c>
      <c r="X30">
        <v>532.29999999999995</v>
      </c>
      <c r="Y30">
        <v>0</v>
      </c>
      <c r="Z30">
        <v>0</v>
      </c>
      <c r="AA30">
        <v>0</v>
      </c>
      <c r="AB30">
        <v>332.45</v>
      </c>
      <c r="AC30">
        <v>0</v>
      </c>
      <c r="AD30">
        <v>1</v>
      </c>
      <c r="AE30">
        <v>1</v>
      </c>
      <c r="AF30" t="s">
        <v>3</v>
      </c>
      <c r="AG30">
        <v>532.29999999999995</v>
      </c>
      <c r="AH30">
        <v>2</v>
      </c>
      <c r="AI30">
        <v>50844033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ROW(Source!A28)</f>
        <v>28</v>
      </c>
      <c r="B31">
        <v>50844034</v>
      </c>
      <c r="C31">
        <v>50844032</v>
      </c>
      <c r="D31">
        <v>49753052</v>
      </c>
      <c r="E31">
        <v>117</v>
      </c>
      <c r="F31">
        <v>1</v>
      </c>
      <c r="G31">
        <v>1</v>
      </c>
      <c r="H31">
        <v>1</v>
      </c>
      <c r="I31" t="s">
        <v>253</v>
      </c>
      <c r="J31" t="s">
        <v>3</v>
      </c>
      <c r="K31" t="s">
        <v>254</v>
      </c>
      <c r="L31">
        <v>1191</v>
      </c>
      <c r="N31">
        <v>1013</v>
      </c>
      <c r="O31" t="s">
        <v>252</v>
      </c>
      <c r="P31" t="s">
        <v>252</v>
      </c>
      <c r="Q31">
        <v>1</v>
      </c>
      <c r="X31">
        <v>1.53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2</v>
      </c>
      <c r="AF31" t="s">
        <v>3</v>
      </c>
      <c r="AG31">
        <v>1.53</v>
      </c>
      <c r="AH31">
        <v>2</v>
      </c>
      <c r="AI31">
        <v>50844034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ROW(Source!A28)</f>
        <v>28</v>
      </c>
      <c r="B32">
        <v>50844035</v>
      </c>
      <c r="C32">
        <v>50844032</v>
      </c>
      <c r="D32">
        <v>49759884</v>
      </c>
      <c r="E32">
        <v>1</v>
      </c>
      <c r="F32">
        <v>1</v>
      </c>
      <c r="G32">
        <v>1</v>
      </c>
      <c r="H32">
        <v>2</v>
      </c>
      <c r="I32" t="s">
        <v>300</v>
      </c>
      <c r="J32" t="s">
        <v>301</v>
      </c>
      <c r="K32" t="s">
        <v>302</v>
      </c>
      <c r="L32">
        <v>1368</v>
      </c>
      <c r="N32">
        <v>1011</v>
      </c>
      <c r="O32" t="s">
        <v>258</v>
      </c>
      <c r="P32" t="s">
        <v>258</v>
      </c>
      <c r="Q32">
        <v>1</v>
      </c>
      <c r="X32">
        <v>1.53</v>
      </c>
      <c r="Y32">
        <v>0</v>
      </c>
      <c r="Z32">
        <v>37.32</v>
      </c>
      <c r="AA32">
        <v>359.65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1.53</v>
      </c>
      <c r="AH32">
        <v>2</v>
      </c>
      <c r="AI32">
        <v>50844035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ROW(Source!A28)</f>
        <v>28</v>
      </c>
      <c r="B33">
        <v>50844036</v>
      </c>
      <c r="C33">
        <v>50844032</v>
      </c>
      <c r="D33">
        <v>49760830</v>
      </c>
      <c r="E33">
        <v>1</v>
      </c>
      <c r="F33">
        <v>1</v>
      </c>
      <c r="G33">
        <v>1</v>
      </c>
      <c r="H33">
        <v>2</v>
      </c>
      <c r="I33" t="s">
        <v>304</v>
      </c>
      <c r="J33" t="s">
        <v>305</v>
      </c>
      <c r="K33" t="s">
        <v>306</v>
      </c>
      <c r="L33">
        <v>1368</v>
      </c>
      <c r="N33">
        <v>1011</v>
      </c>
      <c r="O33" t="s">
        <v>258</v>
      </c>
      <c r="P33" t="s">
        <v>258</v>
      </c>
      <c r="Q33">
        <v>1</v>
      </c>
      <c r="X33">
        <v>7.14</v>
      </c>
      <c r="Y33">
        <v>0</v>
      </c>
      <c r="Z33">
        <v>115.43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7.14</v>
      </c>
      <c r="AH33">
        <v>2</v>
      </c>
      <c r="AI33">
        <v>50844036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ROW(Source!A28)</f>
        <v>28</v>
      </c>
      <c r="B34">
        <v>50844037</v>
      </c>
      <c r="C34">
        <v>50844032</v>
      </c>
      <c r="D34">
        <v>49761221</v>
      </c>
      <c r="E34">
        <v>1</v>
      </c>
      <c r="F34">
        <v>1</v>
      </c>
      <c r="G34">
        <v>1</v>
      </c>
      <c r="H34">
        <v>2</v>
      </c>
      <c r="I34" t="s">
        <v>307</v>
      </c>
      <c r="J34" t="s">
        <v>308</v>
      </c>
      <c r="K34" t="s">
        <v>309</v>
      </c>
      <c r="L34">
        <v>1368</v>
      </c>
      <c r="N34">
        <v>1011</v>
      </c>
      <c r="O34" t="s">
        <v>258</v>
      </c>
      <c r="P34" t="s">
        <v>258</v>
      </c>
      <c r="Q34">
        <v>1</v>
      </c>
      <c r="X34">
        <v>14.28</v>
      </c>
      <c r="Y34">
        <v>0</v>
      </c>
      <c r="Z34">
        <v>2.11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14.28</v>
      </c>
      <c r="AH34">
        <v>2</v>
      </c>
      <c r="AI34">
        <v>50844037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ROW(Source!A28)</f>
        <v>28</v>
      </c>
      <c r="B35">
        <v>50844038</v>
      </c>
      <c r="C35">
        <v>50844032</v>
      </c>
      <c r="D35">
        <v>49759032</v>
      </c>
      <c r="E35">
        <v>117</v>
      </c>
      <c r="F35">
        <v>1</v>
      </c>
      <c r="G35">
        <v>1</v>
      </c>
      <c r="H35">
        <v>3</v>
      </c>
      <c r="I35" t="s">
        <v>44</v>
      </c>
      <c r="J35" t="s">
        <v>3</v>
      </c>
      <c r="K35" t="s">
        <v>45</v>
      </c>
      <c r="L35">
        <v>1348</v>
      </c>
      <c r="N35">
        <v>1009</v>
      </c>
      <c r="O35" t="s">
        <v>46</v>
      </c>
      <c r="P35" t="s">
        <v>46</v>
      </c>
      <c r="Q35">
        <v>1000</v>
      </c>
      <c r="X35">
        <v>19.3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 t="s">
        <v>3</v>
      </c>
      <c r="AG35">
        <v>19.3</v>
      </c>
      <c r="AH35">
        <v>2</v>
      </c>
      <c r="AI35">
        <v>50844038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ROW(Source!A30)</f>
        <v>30</v>
      </c>
      <c r="B36">
        <v>50844041</v>
      </c>
      <c r="C36">
        <v>50844040</v>
      </c>
      <c r="D36">
        <v>49752853</v>
      </c>
      <c r="E36">
        <v>117</v>
      </c>
      <c r="F36">
        <v>1</v>
      </c>
      <c r="G36">
        <v>1</v>
      </c>
      <c r="H36">
        <v>1</v>
      </c>
      <c r="I36" t="s">
        <v>310</v>
      </c>
      <c r="J36" t="s">
        <v>3</v>
      </c>
      <c r="K36" t="s">
        <v>311</v>
      </c>
      <c r="L36">
        <v>1191</v>
      </c>
      <c r="N36">
        <v>1013</v>
      </c>
      <c r="O36" t="s">
        <v>252</v>
      </c>
      <c r="P36" t="s">
        <v>252</v>
      </c>
      <c r="Q36">
        <v>1</v>
      </c>
      <c r="X36">
        <v>111.2</v>
      </c>
      <c r="Y36">
        <v>0</v>
      </c>
      <c r="Z36">
        <v>0</v>
      </c>
      <c r="AA36">
        <v>0</v>
      </c>
      <c r="AB36">
        <v>359.65</v>
      </c>
      <c r="AC36">
        <v>0</v>
      </c>
      <c r="AD36">
        <v>1</v>
      </c>
      <c r="AE36">
        <v>1</v>
      </c>
      <c r="AF36" t="s">
        <v>3</v>
      </c>
      <c r="AG36">
        <v>111.2</v>
      </c>
      <c r="AH36">
        <v>2</v>
      </c>
      <c r="AI36">
        <v>50844041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ROW(Source!A30)</f>
        <v>30</v>
      </c>
      <c r="B37">
        <v>50844042</v>
      </c>
      <c r="C37">
        <v>50844040</v>
      </c>
      <c r="D37">
        <v>49753052</v>
      </c>
      <c r="E37">
        <v>117</v>
      </c>
      <c r="F37">
        <v>1</v>
      </c>
      <c r="G37">
        <v>1</v>
      </c>
      <c r="H37">
        <v>1</v>
      </c>
      <c r="I37" t="s">
        <v>253</v>
      </c>
      <c r="J37" t="s">
        <v>3</v>
      </c>
      <c r="K37" t="s">
        <v>254</v>
      </c>
      <c r="L37">
        <v>1191</v>
      </c>
      <c r="N37">
        <v>1013</v>
      </c>
      <c r="O37" t="s">
        <v>252</v>
      </c>
      <c r="P37" t="s">
        <v>252</v>
      </c>
      <c r="Q37">
        <v>1</v>
      </c>
      <c r="X37">
        <v>1.8</v>
      </c>
      <c r="Y37">
        <v>0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2</v>
      </c>
      <c r="AF37" t="s">
        <v>3</v>
      </c>
      <c r="AG37">
        <v>1.8</v>
      </c>
      <c r="AH37">
        <v>2</v>
      </c>
      <c r="AI37">
        <v>50844042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ROW(Source!A30)</f>
        <v>30</v>
      </c>
      <c r="B38">
        <v>50844043</v>
      </c>
      <c r="C38">
        <v>50844040</v>
      </c>
      <c r="D38">
        <v>49759884</v>
      </c>
      <c r="E38">
        <v>1</v>
      </c>
      <c r="F38">
        <v>1</v>
      </c>
      <c r="G38">
        <v>1</v>
      </c>
      <c r="H38">
        <v>2</v>
      </c>
      <c r="I38" t="s">
        <v>300</v>
      </c>
      <c r="J38" t="s">
        <v>301</v>
      </c>
      <c r="K38" t="s">
        <v>302</v>
      </c>
      <c r="L38">
        <v>1368</v>
      </c>
      <c r="N38">
        <v>1011</v>
      </c>
      <c r="O38" t="s">
        <v>258</v>
      </c>
      <c r="P38" t="s">
        <v>258</v>
      </c>
      <c r="Q38">
        <v>1</v>
      </c>
      <c r="X38">
        <v>1.8</v>
      </c>
      <c r="Y38">
        <v>0</v>
      </c>
      <c r="Z38">
        <v>37.32</v>
      </c>
      <c r="AA38">
        <v>359.65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1.8</v>
      </c>
      <c r="AH38">
        <v>2</v>
      </c>
      <c r="AI38">
        <v>50844043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ROW(Source!A30)</f>
        <v>30</v>
      </c>
      <c r="B39">
        <v>50844044</v>
      </c>
      <c r="C39">
        <v>50844040</v>
      </c>
      <c r="D39">
        <v>49760830</v>
      </c>
      <c r="E39">
        <v>1</v>
      </c>
      <c r="F39">
        <v>1</v>
      </c>
      <c r="G39">
        <v>1</v>
      </c>
      <c r="H39">
        <v>2</v>
      </c>
      <c r="I39" t="s">
        <v>304</v>
      </c>
      <c r="J39" t="s">
        <v>305</v>
      </c>
      <c r="K39" t="s">
        <v>306</v>
      </c>
      <c r="L39">
        <v>1368</v>
      </c>
      <c r="N39">
        <v>1011</v>
      </c>
      <c r="O39" t="s">
        <v>258</v>
      </c>
      <c r="P39" t="s">
        <v>258</v>
      </c>
      <c r="Q39">
        <v>1</v>
      </c>
      <c r="X39">
        <v>19.2</v>
      </c>
      <c r="Y39">
        <v>0</v>
      </c>
      <c r="Z39">
        <v>115.43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19.2</v>
      </c>
      <c r="AH39">
        <v>2</v>
      </c>
      <c r="AI39">
        <v>50844044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ROW(Source!A30)</f>
        <v>30</v>
      </c>
      <c r="B40">
        <v>50844045</v>
      </c>
      <c r="C40">
        <v>50844040</v>
      </c>
      <c r="D40">
        <v>49761221</v>
      </c>
      <c r="E40">
        <v>1</v>
      </c>
      <c r="F40">
        <v>1</v>
      </c>
      <c r="G40">
        <v>1</v>
      </c>
      <c r="H40">
        <v>2</v>
      </c>
      <c r="I40" t="s">
        <v>307</v>
      </c>
      <c r="J40" t="s">
        <v>308</v>
      </c>
      <c r="K40" t="s">
        <v>309</v>
      </c>
      <c r="L40">
        <v>1368</v>
      </c>
      <c r="N40">
        <v>1011</v>
      </c>
      <c r="O40" t="s">
        <v>258</v>
      </c>
      <c r="P40" t="s">
        <v>258</v>
      </c>
      <c r="Q40">
        <v>1</v>
      </c>
      <c r="X40">
        <v>38.4</v>
      </c>
      <c r="Y40">
        <v>0</v>
      </c>
      <c r="Z40">
        <v>2.11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38.4</v>
      </c>
      <c r="AH40">
        <v>2</v>
      </c>
      <c r="AI40">
        <v>50844045</v>
      </c>
      <c r="AJ40">
        <v>40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ROW(Source!A30)</f>
        <v>30</v>
      </c>
      <c r="B41">
        <v>50844046</v>
      </c>
      <c r="C41">
        <v>50844040</v>
      </c>
      <c r="D41">
        <v>49759032</v>
      </c>
      <c r="E41">
        <v>117</v>
      </c>
      <c r="F41">
        <v>1</v>
      </c>
      <c r="G41">
        <v>1</v>
      </c>
      <c r="H41">
        <v>3</v>
      </c>
      <c r="I41" t="s">
        <v>44</v>
      </c>
      <c r="J41" t="s">
        <v>3</v>
      </c>
      <c r="K41" t="s">
        <v>45</v>
      </c>
      <c r="L41">
        <v>1348</v>
      </c>
      <c r="N41">
        <v>1009</v>
      </c>
      <c r="O41" t="s">
        <v>46</v>
      </c>
      <c r="P41" t="s">
        <v>46</v>
      </c>
      <c r="Q41">
        <v>1000</v>
      </c>
      <c r="X41">
        <v>33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 t="s">
        <v>3</v>
      </c>
      <c r="AG41">
        <v>33</v>
      </c>
      <c r="AH41">
        <v>2</v>
      </c>
      <c r="AI41">
        <v>50844046</v>
      </c>
      <c r="AJ41">
        <v>41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ROW(Source!A32)</f>
        <v>32</v>
      </c>
      <c r="B42">
        <v>50844050</v>
      </c>
      <c r="C42">
        <v>50844048</v>
      </c>
      <c r="D42">
        <v>49752853</v>
      </c>
      <c r="E42">
        <v>117</v>
      </c>
      <c r="F42">
        <v>1</v>
      </c>
      <c r="G42">
        <v>1</v>
      </c>
      <c r="H42">
        <v>1</v>
      </c>
      <c r="I42" t="s">
        <v>310</v>
      </c>
      <c r="J42" t="s">
        <v>3</v>
      </c>
      <c r="K42" t="s">
        <v>311</v>
      </c>
      <c r="L42">
        <v>1191</v>
      </c>
      <c r="N42">
        <v>1013</v>
      </c>
      <c r="O42" t="s">
        <v>252</v>
      </c>
      <c r="P42" t="s">
        <v>252</v>
      </c>
      <c r="Q42">
        <v>1</v>
      </c>
      <c r="X42">
        <v>2.72</v>
      </c>
      <c r="Y42">
        <v>0</v>
      </c>
      <c r="Z42">
        <v>0</v>
      </c>
      <c r="AA42">
        <v>0</v>
      </c>
      <c r="AB42">
        <v>359.65</v>
      </c>
      <c r="AC42">
        <v>0</v>
      </c>
      <c r="AD42">
        <v>1</v>
      </c>
      <c r="AE42">
        <v>1</v>
      </c>
      <c r="AF42" t="s">
        <v>60</v>
      </c>
      <c r="AG42">
        <v>27.200000000000003</v>
      </c>
      <c r="AH42">
        <v>2</v>
      </c>
      <c r="AI42">
        <v>50844050</v>
      </c>
      <c r="AJ42">
        <v>42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ROW(Source!A32)</f>
        <v>32</v>
      </c>
      <c r="B43">
        <v>50844051</v>
      </c>
      <c r="C43">
        <v>50844048</v>
      </c>
      <c r="D43">
        <v>49759032</v>
      </c>
      <c r="E43">
        <v>117</v>
      </c>
      <c r="F43">
        <v>1</v>
      </c>
      <c r="G43">
        <v>1</v>
      </c>
      <c r="H43">
        <v>3</v>
      </c>
      <c r="I43" t="s">
        <v>44</v>
      </c>
      <c r="J43" t="s">
        <v>3</v>
      </c>
      <c r="K43" t="s">
        <v>45</v>
      </c>
      <c r="L43">
        <v>1348</v>
      </c>
      <c r="N43">
        <v>1009</v>
      </c>
      <c r="O43" t="s">
        <v>46</v>
      </c>
      <c r="P43" t="s">
        <v>46</v>
      </c>
      <c r="Q43">
        <v>1000</v>
      </c>
      <c r="X43">
        <v>1.1000000000000001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 t="s">
        <v>60</v>
      </c>
      <c r="AG43">
        <v>11</v>
      </c>
      <c r="AH43">
        <v>2</v>
      </c>
      <c r="AI43">
        <v>50844051</v>
      </c>
      <c r="AJ43">
        <v>43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ROW(Source!A34)</f>
        <v>34</v>
      </c>
      <c r="B44">
        <v>50844054</v>
      </c>
      <c r="C44">
        <v>50844053</v>
      </c>
      <c r="D44">
        <v>49752853</v>
      </c>
      <c r="E44">
        <v>117</v>
      </c>
      <c r="F44">
        <v>1</v>
      </c>
      <c r="G44">
        <v>1</v>
      </c>
      <c r="H44">
        <v>1</v>
      </c>
      <c r="I44" t="s">
        <v>310</v>
      </c>
      <c r="J44" t="s">
        <v>3</v>
      </c>
      <c r="K44" t="s">
        <v>311</v>
      </c>
      <c r="L44">
        <v>1191</v>
      </c>
      <c r="N44">
        <v>1013</v>
      </c>
      <c r="O44" t="s">
        <v>252</v>
      </c>
      <c r="P44" t="s">
        <v>252</v>
      </c>
      <c r="Q44">
        <v>1</v>
      </c>
      <c r="X44">
        <v>11.68</v>
      </c>
      <c r="Y44">
        <v>0</v>
      </c>
      <c r="Z44">
        <v>0</v>
      </c>
      <c r="AA44">
        <v>0</v>
      </c>
      <c r="AB44">
        <v>359.65</v>
      </c>
      <c r="AC44">
        <v>0</v>
      </c>
      <c r="AD44">
        <v>1</v>
      </c>
      <c r="AE44">
        <v>1</v>
      </c>
      <c r="AF44" t="s">
        <v>68</v>
      </c>
      <c r="AG44">
        <v>13.431999999999999</v>
      </c>
      <c r="AH44">
        <v>2</v>
      </c>
      <c r="AI44">
        <v>50844054</v>
      </c>
      <c r="AJ44">
        <v>44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ROW(Source!A34)</f>
        <v>34</v>
      </c>
      <c r="B45">
        <v>50844055</v>
      </c>
      <c r="C45">
        <v>50844053</v>
      </c>
      <c r="D45">
        <v>49753052</v>
      </c>
      <c r="E45">
        <v>117</v>
      </c>
      <c r="F45">
        <v>1</v>
      </c>
      <c r="G45">
        <v>1</v>
      </c>
      <c r="H45">
        <v>1</v>
      </c>
      <c r="I45" t="s">
        <v>253</v>
      </c>
      <c r="J45" t="s">
        <v>3</v>
      </c>
      <c r="K45" t="s">
        <v>254</v>
      </c>
      <c r="L45">
        <v>1191</v>
      </c>
      <c r="N45">
        <v>1013</v>
      </c>
      <c r="O45" t="s">
        <v>252</v>
      </c>
      <c r="P45" t="s">
        <v>252</v>
      </c>
      <c r="Q45">
        <v>1</v>
      </c>
      <c r="X45">
        <v>0.19</v>
      </c>
      <c r="Y45">
        <v>0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2</v>
      </c>
      <c r="AF45" t="s">
        <v>67</v>
      </c>
      <c r="AG45">
        <v>0.23749999999999999</v>
      </c>
      <c r="AH45">
        <v>2</v>
      </c>
      <c r="AI45">
        <v>50844055</v>
      </c>
      <c r="AJ45">
        <v>45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ROW(Source!A34)</f>
        <v>34</v>
      </c>
      <c r="B46">
        <v>50844056</v>
      </c>
      <c r="C46">
        <v>50844053</v>
      </c>
      <c r="D46">
        <v>49759696</v>
      </c>
      <c r="E46">
        <v>1</v>
      </c>
      <c r="F46">
        <v>1</v>
      </c>
      <c r="G46">
        <v>1</v>
      </c>
      <c r="H46">
        <v>2</v>
      </c>
      <c r="I46" t="s">
        <v>312</v>
      </c>
      <c r="J46" t="s">
        <v>313</v>
      </c>
      <c r="K46" t="s">
        <v>314</v>
      </c>
      <c r="L46">
        <v>1368</v>
      </c>
      <c r="N46">
        <v>1011</v>
      </c>
      <c r="O46" t="s">
        <v>258</v>
      </c>
      <c r="P46" t="s">
        <v>258</v>
      </c>
      <c r="Q46">
        <v>1</v>
      </c>
      <c r="X46">
        <v>0.01</v>
      </c>
      <c r="Y46">
        <v>0</v>
      </c>
      <c r="Z46">
        <v>1719.93</v>
      </c>
      <c r="AA46">
        <v>544.01</v>
      </c>
      <c r="AB46">
        <v>0</v>
      </c>
      <c r="AC46">
        <v>0</v>
      </c>
      <c r="AD46">
        <v>1</v>
      </c>
      <c r="AE46">
        <v>0</v>
      </c>
      <c r="AF46" t="s">
        <v>67</v>
      </c>
      <c r="AG46">
        <v>1.2500000000000001E-2</v>
      </c>
      <c r="AH46">
        <v>2</v>
      </c>
      <c r="AI46">
        <v>50844056</v>
      </c>
      <c r="AJ46">
        <v>46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ROW(Source!A34)</f>
        <v>34</v>
      </c>
      <c r="B47">
        <v>50844057</v>
      </c>
      <c r="C47">
        <v>50844053</v>
      </c>
      <c r="D47">
        <v>49759954</v>
      </c>
      <c r="E47">
        <v>1</v>
      </c>
      <c r="F47">
        <v>1</v>
      </c>
      <c r="G47">
        <v>1</v>
      </c>
      <c r="H47">
        <v>2</v>
      </c>
      <c r="I47" t="s">
        <v>316</v>
      </c>
      <c r="J47" t="s">
        <v>317</v>
      </c>
      <c r="K47" t="s">
        <v>318</v>
      </c>
      <c r="L47">
        <v>1368</v>
      </c>
      <c r="N47">
        <v>1011</v>
      </c>
      <c r="O47" t="s">
        <v>258</v>
      </c>
      <c r="P47" t="s">
        <v>258</v>
      </c>
      <c r="Q47">
        <v>1</v>
      </c>
      <c r="X47">
        <v>2.2999999999999998</v>
      </c>
      <c r="Y47">
        <v>0</v>
      </c>
      <c r="Z47">
        <v>10.37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67</v>
      </c>
      <c r="AG47">
        <v>2.875</v>
      </c>
      <c r="AH47">
        <v>2</v>
      </c>
      <c r="AI47">
        <v>50844057</v>
      </c>
      <c r="AJ47">
        <v>47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ROW(Source!A34)</f>
        <v>34</v>
      </c>
      <c r="B48">
        <v>50844058</v>
      </c>
      <c r="C48">
        <v>50844053</v>
      </c>
      <c r="D48">
        <v>49759955</v>
      </c>
      <c r="E48">
        <v>1</v>
      </c>
      <c r="F48">
        <v>1</v>
      </c>
      <c r="G48">
        <v>1</v>
      </c>
      <c r="H48">
        <v>2</v>
      </c>
      <c r="I48" t="s">
        <v>319</v>
      </c>
      <c r="J48" t="s">
        <v>320</v>
      </c>
      <c r="K48" t="s">
        <v>321</v>
      </c>
      <c r="L48">
        <v>1368</v>
      </c>
      <c r="N48">
        <v>1011</v>
      </c>
      <c r="O48" t="s">
        <v>258</v>
      </c>
      <c r="P48" t="s">
        <v>258</v>
      </c>
      <c r="Q48">
        <v>1</v>
      </c>
      <c r="X48">
        <v>2.2999999999999998</v>
      </c>
      <c r="Y48">
        <v>0</v>
      </c>
      <c r="Z48">
        <v>8.5399999999999991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67</v>
      </c>
      <c r="AG48">
        <v>2.875</v>
      </c>
      <c r="AH48">
        <v>2</v>
      </c>
      <c r="AI48">
        <v>50844058</v>
      </c>
      <c r="AJ48">
        <v>48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ROW(Source!A34)</f>
        <v>34</v>
      </c>
      <c r="B49">
        <v>50844059</v>
      </c>
      <c r="C49">
        <v>50844053</v>
      </c>
      <c r="D49">
        <v>49760608</v>
      </c>
      <c r="E49">
        <v>1</v>
      </c>
      <c r="F49">
        <v>1</v>
      </c>
      <c r="G49">
        <v>1</v>
      </c>
      <c r="H49">
        <v>2</v>
      </c>
      <c r="I49" t="s">
        <v>322</v>
      </c>
      <c r="J49" t="s">
        <v>323</v>
      </c>
      <c r="K49" t="s">
        <v>324</v>
      </c>
      <c r="L49">
        <v>1368</v>
      </c>
      <c r="N49">
        <v>1011</v>
      </c>
      <c r="O49" t="s">
        <v>258</v>
      </c>
      <c r="P49" t="s">
        <v>258</v>
      </c>
      <c r="Q49">
        <v>1</v>
      </c>
      <c r="X49">
        <v>0.18</v>
      </c>
      <c r="Y49">
        <v>0</v>
      </c>
      <c r="Z49">
        <v>680.75</v>
      </c>
      <c r="AA49">
        <v>404.99</v>
      </c>
      <c r="AB49">
        <v>0</v>
      </c>
      <c r="AC49">
        <v>0</v>
      </c>
      <c r="AD49">
        <v>1</v>
      </c>
      <c r="AE49">
        <v>0</v>
      </c>
      <c r="AF49" t="s">
        <v>67</v>
      </c>
      <c r="AG49">
        <v>0.22499999999999998</v>
      </c>
      <c r="AH49">
        <v>2</v>
      </c>
      <c r="AI49">
        <v>50844059</v>
      </c>
      <c r="AJ49">
        <v>49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ROW(Source!A34)</f>
        <v>34</v>
      </c>
      <c r="B50">
        <v>50844060</v>
      </c>
      <c r="C50">
        <v>50844053</v>
      </c>
      <c r="D50">
        <v>49830028</v>
      </c>
      <c r="E50">
        <v>1</v>
      </c>
      <c r="F50">
        <v>1</v>
      </c>
      <c r="G50">
        <v>1</v>
      </c>
      <c r="H50">
        <v>3</v>
      </c>
      <c r="I50" t="s">
        <v>277</v>
      </c>
      <c r="J50" t="s">
        <v>278</v>
      </c>
      <c r="K50" t="s">
        <v>279</v>
      </c>
      <c r="L50">
        <v>1339</v>
      </c>
      <c r="N50">
        <v>1007</v>
      </c>
      <c r="O50" t="s">
        <v>65</v>
      </c>
      <c r="P50" t="s">
        <v>65</v>
      </c>
      <c r="Q50">
        <v>1</v>
      </c>
      <c r="X50">
        <v>5.4999999999999997E-3</v>
      </c>
      <c r="Y50">
        <v>35.71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3</v>
      </c>
      <c r="AG50">
        <v>5.4999999999999997E-3</v>
      </c>
      <c r="AH50">
        <v>2</v>
      </c>
      <c r="AI50">
        <v>50844060</v>
      </c>
      <c r="AJ50">
        <v>50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>
      <c r="A51">
        <f>ROW(Source!A34)</f>
        <v>34</v>
      </c>
      <c r="B51">
        <v>50844061</v>
      </c>
      <c r="C51">
        <v>50844053</v>
      </c>
      <c r="D51">
        <v>49830853</v>
      </c>
      <c r="E51">
        <v>1</v>
      </c>
      <c r="F51">
        <v>1</v>
      </c>
      <c r="G51">
        <v>1</v>
      </c>
      <c r="H51">
        <v>3</v>
      </c>
      <c r="I51" t="s">
        <v>325</v>
      </c>
      <c r="J51" t="s">
        <v>326</v>
      </c>
      <c r="K51" t="s">
        <v>327</v>
      </c>
      <c r="L51">
        <v>1327</v>
      </c>
      <c r="N51">
        <v>1005</v>
      </c>
      <c r="O51" t="s">
        <v>97</v>
      </c>
      <c r="P51" t="s">
        <v>97</v>
      </c>
      <c r="Q51">
        <v>1</v>
      </c>
      <c r="X51">
        <v>0.151</v>
      </c>
      <c r="Y51">
        <v>28.13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0</v>
      </c>
      <c r="AF51" t="s">
        <v>3</v>
      </c>
      <c r="AG51">
        <v>0.151</v>
      </c>
      <c r="AH51">
        <v>2</v>
      </c>
      <c r="AI51">
        <v>50844061</v>
      </c>
      <c r="AJ51">
        <v>51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>
      <c r="A52">
        <f>ROW(Source!A34)</f>
        <v>34</v>
      </c>
      <c r="B52">
        <v>50844062</v>
      </c>
      <c r="C52">
        <v>50844053</v>
      </c>
      <c r="D52">
        <v>49753779</v>
      </c>
      <c r="E52">
        <v>117</v>
      </c>
      <c r="F52">
        <v>1</v>
      </c>
      <c r="G52">
        <v>1</v>
      </c>
      <c r="H52">
        <v>3</v>
      </c>
      <c r="I52" t="s">
        <v>373</v>
      </c>
      <c r="J52" t="s">
        <v>3</v>
      </c>
      <c r="K52" t="s">
        <v>374</v>
      </c>
      <c r="L52">
        <v>1377</v>
      </c>
      <c r="N52">
        <v>1013</v>
      </c>
      <c r="O52" t="s">
        <v>375</v>
      </c>
      <c r="P52" t="s">
        <v>375</v>
      </c>
      <c r="Q52">
        <v>1</v>
      </c>
      <c r="X52">
        <v>0</v>
      </c>
      <c r="Y52">
        <v>0</v>
      </c>
      <c r="Z52">
        <v>0</v>
      </c>
      <c r="AA52">
        <v>0</v>
      </c>
      <c r="AB52">
        <v>0</v>
      </c>
      <c r="AC52">
        <v>1</v>
      </c>
      <c r="AD52">
        <v>0</v>
      </c>
      <c r="AE52">
        <v>0</v>
      </c>
      <c r="AF52" t="s">
        <v>3</v>
      </c>
      <c r="AG52">
        <v>0</v>
      </c>
      <c r="AH52">
        <v>3</v>
      </c>
      <c r="AI52">
        <v>-1</v>
      </c>
      <c r="AJ52" t="s">
        <v>3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>
      <c r="A53">
        <f>ROW(Source!A34)</f>
        <v>34</v>
      </c>
      <c r="B53">
        <v>50844063</v>
      </c>
      <c r="C53">
        <v>50844053</v>
      </c>
      <c r="D53">
        <v>49754236</v>
      </c>
      <c r="E53">
        <v>117</v>
      </c>
      <c r="F53">
        <v>1</v>
      </c>
      <c r="G53">
        <v>1</v>
      </c>
      <c r="H53">
        <v>3</v>
      </c>
      <c r="I53" t="s">
        <v>376</v>
      </c>
      <c r="J53" t="s">
        <v>3</v>
      </c>
      <c r="K53" t="s">
        <v>377</v>
      </c>
      <c r="L53">
        <v>1339</v>
      </c>
      <c r="N53">
        <v>1007</v>
      </c>
      <c r="O53" t="s">
        <v>65</v>
      </c>
      <c r="P53" t="s">
        <v>65</v>
      </c>
      <c r="Q53">
        <v>1</v>
      </c>
      <c r="X53">
        <v>1.02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 t="s">
        <v>3</v>
      </c>
      <c r="AG53">
        <v>1.02</v>
      </c>
      <c r="AH53">
        <v>3</v>
      </c>
      <c r="AI53">
        <v>-1</v>
      </c>
      <c r="AJ53" t="s">
        <v>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>
      <c r="A54">
        <f>ROW(Source!A34)</f>
        <v>34</v>
      </c>
      <c r="B54">
        <v>50844064</v>
      </c>
      <c r="C54">
        <v>50844053</v>
      </c>
      <c r="D54">
        <v>49842080</v>
      </c>
      <c r="E54">
        <v>1</v>
      </c>
      <c r="F54">
        <v>1</v>
      </c>
      <c r="G54">
        <v>1</v>
      </c>
      <c r="H54">
        <v>3</v>
      </c>
      <c r="I54" t="s">
        <v>328</v>
      </c>
      <c r="J54" t="s">
        <v>329</v>
      </c>
      <c r="K54" t="s">
        <v>330</v>
      </c>
      <c r="L54">
        <v>1339</v>
      </c>
      <c r="N54">
        <v>1007</v>
      </c>
      <c r="O54" t="s">
        <v>65</v>
      </c>
      <c r="P54" t="s">
        <v>65</v>
      </c>
      <c r="Q54">
        <v>1</v>
      </c>
      <c r="X54">
        <v>0.02</v>
      </c>
      <c r="Y54">
        <v>16496.03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0</v>
      </c>
      <c r="AF54" t="s">
        <v>3</v>
      </c>
      <c r="AG54">
        <v>0.02</v>
      </c>
      <c r="AH54">
        <v>2</v>
      </c>
      <c r="AI54">
        <v>50844064</v>
      </c>
      <c r="AJ54">
        <v>53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>
      <c r="A55">
        <f>ROW(Source!A34)</f>
        <v>34</v>
      </c>
      <c r="B55">
        <v>50844065</v>
      </c>
      <c r="C55">
        <v>50844053</v>
      </c>
      <c r="D55">
        <v>49842134</v>
      </c>
      <c r="E55">
        <v>1</v>
      </c>
      <c r="F55">
        <v>1</v>
      </c>
      <c r="G55">
        <v>1</v>
      </c>
      <c r="H55">
        <v>3</v>
      </c>
      <c r="I55" t="s">
        <v>331</v>
      </c>
      <c r="J55" t="s">
        <v>332</v>
      </c>
      <c r="K55" t="s">
        <v>333</v>
      </c>
      <c r="L55">
        <v>1339</v>
      </c>
      <c r="N55">
        <v>1007</v>
      </c>
      <c r="O55" t="s">
        <v>65</v>
      </c>
      <c r="P55" t="s">
        <v>65</v>
      </c>
      <c r="Q55">
        <v>1</v>
      </c>
      <c r="X55">
        <v>0.38</v>
      </c>
      <c r="Y55">
        <v>5764.42</v>
      </c>
      <c r="Z55">
        <v>0</v>
      </c>
      <c r="AA55">
        <v>0</v>
      </c>
      <c r="AB55">
        <v>0</v>
      </c>
      <c r="AC55">
        <v>0</v>
      </c>
      <c r="AD55">
        <v>1</v>
      </c>
      <c r="AE55">
        <v>0</v>
      </c>
      <c r="AF55" t="s">
        <v>3</v>
      </c>
      <c r="AG55">
        <v>0.38</v>
      </c>
      <c r="AH55">
        <v>2</v>
      </c>
      <c r="AI55">
        <v>50844065</v>
      </c>
      <c r="AJ55">
        <v>54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>
      <c r="A56">
        <f>ROW(Source!A36)</f>
        <v>36</v>
      </c>
      <c r="B56">
        <v>50837404</v>
      </c>
      <c r="C56">
        <v>50837403</v>
      </c>
      <c r="D56">
        <v>49752860</v>
      </c>
      <c r="E56">
        <v>117</v>
      </c>
      <c r="F56">
        <v>1</v>
      </c>
      <c r="G56">
        <v>1</v>
      </c>
      <c r="H56">
        <v>1</v>
      </c>
      <c r="I56" t="s">
        <v>334</v>
      </c>
      <c r="J56" t="s">
        <v>3</v>
      </c>
      <c r="K56" t="s">
        <v>335</v>
      </c>
      <c r="L56">
        <v>1191</v>
      </c>
      <c r="N56">
        <v>1013</v>
      </c>
      <c r="O56" t="s">
        <v>252</v>
      </c>
      <c r="P56" t="s">
        <v>252</v>
      </c>
      <c r="Q56">
        <v>1</v>
      </c>
      <c r="X56">
        <v>204.3</v>
      </c>
      <c r="Y56">
        <v>0</v>
      </c>
      <c r="Z56">
        <v>0</v>
      </c>
      <c r="AA56">
        <v>0</v>
      </c>
      <c r="AB56">
        <v>373.25</v>
      </c>
      <c r="AC56">
        <v>0</v>
      </c>
      <c r="AD56">
        <v>1</v>
      </c>
      <c r="AE56">
        <v>1</v>
      </c>
      <c r="AF56" t="s">
        <v>68</v>
      </c>
      <c r="AG56">
        <v>234.94499999999999</v>
      </c>
      <c r="AH56">
        <v>2</v>
      </c>
      <c r="AI56">
        <v>50837404</v>
      </c>
      <c r="AJ56">
        <v>55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>
      <c r="A57">
        <f>ROW(Source!A36)</f>
        <v>36</v>
      </c>
      <c r="B57">
        <v>50837405</v>
      </c>
      <c r="C57">
        <v>50837403</v>
      </c>
      <c r="D57">
        <v>49753052</v>
      </c>
      <c r="E57">
        <v>117</v>
      </c>
      <c r="F57">
        <v>1</v>
      </c>
      <c r="G57">
        <v>1</v>
      </c>
      <c r="H57">
        <v>1</v>
      </c>
      <c r="I57" t="s">
        <v>253</v>
      </c>
      <c r="J57" t="s">
        <v>3</v>
      </c>
      <c r="K57" t="s">
        <v>254</v>
      </c>
      <c r="L57">
        <v>1191</v>
      </c>
      <c r="N57">
        <v>1013</v>
      </c>
      <c r="O57" t="s">
        <v>252</v>
      </c>
      <c r="P57" t="s">
        <v>252</v>
      </c>
      <c r="Q57">
        <v>1</v>
      </c>
      <c r="X57">
        <v>0.22</v>
      </c>
      <c r="Y57">
        <v>0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2</v>
      </c>
      <c r="AF57" t="s">
        <v>67</v>
      </c>
      <c r="AG57">
        <v>0.27500000000000002</v>
      </c>
      <c r="AH57">
        <v>2</v>
      </c>
      <c r="AI57">
        <v>50837405</v>
      </c>
      <c r="AJ57">
        <v>56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>
      <c r="A58">
        <f>ROW(Source!A36)</f>
        <v>36</v>
      </c>
      <c r="B58">
        <v>50837406</v>
      </c>
      <c r="C58">
        <v>50837403</v>
      </c>
      <c r="D58">
        <v>49759859</v>
      </c>
      <c r="E58">
        <v>1</v>
      </c>
      <c r="F58">
        <v>1</v>
      </c>
      <c r="G58">
        <v>1</v>
      </c>
      <c r="H58">
        <v>2</v>
      </c>
      <c r="I58" t="s">
        <v>336</v>
      </c>
      <c r="J58" t="s">
        <v>337</v>
      </c>
      <c r="K58" t="s">
        <v>338</v>
      </c>
      <c r="L58">
        <v>1368</v>
      </c>
      <c r="N58">
        <v>1011</v>
      </c>
      <c r="O58" t="s">
        <v>258</v>
      </c>
      <c r="P58" t="s">
        <v>258</v>
      </c>
      <c r="Q58">
        <v>1</v>
      </c>
      <c r="X58">
        <v>0.09</v>
      </c>
      <c r="Y58">
        <v>0</v>
      </c>
      <c r="Z58">
        <v>1050.8900000000001</v>
      </c>
      <c r="AA58">
        <v>465.43</v>
      </c>
      <c r="AB58">
        <v>0</v>
      </c>
      <c r="AC58">
        <v>0</v>
      </c>
      <c r="AD58">
        <v>1</v>
      </c>
      <c r="AE58">
        <v>0</v>
      </c>
      <c r="AF58" t="s">
        <v>67</v>
      </c>
      <c r="AG58">
        <v>0.11249999999999999</v>
      </c>
      <c r="AH58">
        <v>2</v>
      </c>
      <c r="AI58">
        <v>50837406</v>
      </c>
      <c r="AJ58">
        <v>57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>
      <c r="A59">
        <f>ROW(Source!A36)</f>
        <v>36</v>
      </c>
      <c r="B59">
        <v>50837407</v>
      </c>
      <c r="C59">
        <v>50837403</v>
      </c>
      <c r="D59">
        <v>49760608</v>
      </c>
      <c r="E59">
        <v>1</v>
      </c>
      <c r="F59">
        <v>1</v>
      </c>
      <c r="G59">
        <v>1</v>
      </c>
      <c r="H59">
        <v>2</v>
      </c>
      <c r="I59" t="s">
        <v>322</v>
      </c>
      <c r="J59" t="s">
        <v>323</v>
      </c>
      <c r="K59" t="s">
        <v>324</v>
      </c>
      <c r="L59">
        <v>1368</v>
      </c>
      <c r="N59">
        <v>1011</v>
      </c>
      <c r="O59" t="s">
        <v>258</v>
      </c>
      <c r="P59" t="s">
        <v>258</v>
      </c>
      <c r="Q59">
        <v>1</v>
      </c>
      <c r="X59">
        <v>0.13</v>
      </c>
      <c r="Y59">
        <v>0</v>
      </c>
      <c r="Z59">
        <v>680.75</v>
      </c>
      <c r="AA59">
        <v>404.99</v>
      </c>
      <c r="AB59">
        <v>0</v>
      </c>
      <c r="AC59">
        <v>0</v>
      </c>
      <c r="AD59">
        <v>1</v>
      </c>
      <c r="AE59">
        <v>0</v>
      </c>
      <c r="AF59" t="s">
        <v>67</v>
      </c>
      <c r="AG59">
        <v>0.16250000000000001</v>
      </c>
      <c r="AH59">
        <v>2</v>
      </c>
      <c r="AI59">
        <v>50837407</v>
      </c>
      <c r="AJ59">
        <v>58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>
      <c r="A60">
        <f>ROW(Source!A36)</f>
        <v>36</v>
      </c>
      <c r="B60">
        <v>50837408</v>
      </c>
      <c r="C60">
        <v>50837403</v>
      </c>
      <c r="D60">
        <v>49830028</v>
      </c>
      <c r="E60">
        <v>1</v>
      </c>
      <c r="F60">
        <v>1</v>
      </c>
      <c r="G60">
        <v>1</v>
      </c>
      <c r="H60">
        <v>3</v>
      </c>
      <c r="I60" t="s">
        <v>277</v>
      </c>
      <c r="J60" t="s">
        <v>278</v>
      </c>
      <c r="K60" t="s">
        <v>279</v>
      </c>
      <c r="L60">
        <v>1339</v>
      </c>
      <c r="N60">
        <v>1007</v>
      </c>
      <c r="O60" t="s">
        <v>65</v>
      </c>
      <c r="P60" t="s">
        <v>65</v>
      </c>
      <c r="Q60">
        <v>1</v>
      </c>
      <c r="X60">
        <v>0.14000000000000001</v>
      </c>
      <c r="Y60">
        <v>35.71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3</v>
      </c>
      <c r="AG60">
        <v>0.14000000000000001</v>
      </c>
      <c r="AH60">
        <v>2</v>
      </c>
      <c r="AI60">
        <v>50837408</v>
      </c>
      <c r="AJ60">
        <v>59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>
      <c r="A61">
        <f>ROW(Source!A36)</f>
        <v>36</v>
      </c>
      <c r="B61">
        <v>50837409</v>
      </c>
      <c r="C61">
        <v>50837403</v>
      </c>
      <c r="D61">
        <v>49830040</v>
      </c>
      <c r="E61">
        <v>1</v>
      </c>
      <c r="F61">
        <v>1</v>
      </c>
      <c r="G61">
        <v>1</v>
      </c>
      <c r="H61">
        <v>3</v>
      </c>
      <c r="I61" t="s">
        <v>339</v>
      </c>
      <c r="J61" t="s">
        <v>340</v>
      </c>
      <c r="K61" t="s">
        <v>341</v>
      </c>
      <c r="L61">
        <v>1383</v>
      </c>
      <c r="N61">
        <v>1013</v>
      </c>
      <c r="O61" t="s">
        <v>342</v>
      </c>
      <c r="P61" t="s">
        <v>342</v>
      </c>
      <c r="Q61">
        <v>1</v>
      </c>
      <c r="X61">
        <v>0.57999999999999996</v>
      </c>
      <c r="Y61">
        <v>7.71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3</v>
      </c>
      <c r="AG61">
        <v>0.57999999999999996</v>
      </c>
      <c r="AH61">
        <v>2</v>
      </c>
      <c r="AI61">
        <v>50837409</v>
      </c>
      <c r="AJ61">
        <v>60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>
      <c r="A62">
        <f>ROW(Source!A36)</f>
        <v>36</v>
      </c>
      <c r="B62">
        <v>50837410</v>
      </c>
      <c r="C62">
        <v>50837403</v>
      </c>
      <c r="D62">
        <v>49831748</v>
      </c>
      <c r="E62">
        <v>1</v>
      </c>
      <c r="F62">
        <v>1</v>
      </c>
      <c r="G62">
        <v>1</v>
      </c>
      <c r="H62">
        <v>3</v>
      </c>
      <c r="I62" t="s">
        <v>343</v>
      </c>
      <c r="J62" t="s">
        <v>344</v>
      </c>
      <c r="K62" t="s">
        <v>345</v>
      </c>
      <c r="L62">
        <v>1348</v>
      </c>
      <c r="N62">
        <v>1009</v>
      </c>
      <c r="O62" t="s">
        <v>46</v>
      </c>
      <c r="P62" t="s">
        <v>46</v>
      </c>
      <c r="Q62">
        <v>1000</v>
      </c>
      <c r="X62">
        <v>1.1999999999999999E-3</v>
      </c>
      <c r="Y62">
        <v>76729.919999999998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3</v>
      </c>
      <c r="AG62">
        <v>1.1999999999999999E-3</v>
      </c>
      <c r="AH62">
        <v>2</v>
      </c>
      <c r="AI62">
        <v>50837410</v>
      </c>
      <c r="AJ62">
        <v>61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>
      <c r="A63">
        <f>ROW(Source!A36)</f>
        <v>36</v>
      </c>
      <c r="B63">
        <v>50837411</v>
      </c>
      <c r="C63">
        <v>50837403</v>
      </c>
      <c r="D63">
        <v>49832186</v>
      </c>
      <c r="E63">
        <v>1</v>
      </c>
      <c r="F63">
        <v>1</v>
      </c>
      <c r="G63">
        <v>1</v>
      </c>
      <c r="H63">
        <v>3</v>
      </c>
      <c r="I63" t="s">
        <v>378</v>
      </c>
      <c r="J63" t="s">
        <v>379</v>
      </c>
      <c r="K63" t="s">
        <v>380</v>
      </c>
      <c r="L63">
        <v>1371</v>
      </c>
      <c r="N63">
        <v>1013</v>
      </c>
      <c r="O63" t="s">
        <v>28</v>
      </c>
      <c r="P63" t="s">
        <v>28</v>
      </c>
      <c r="Q63">
        <v>1</v>
      </c>
      <c r="X63">
        <v>0</v>
      </c>
      <c r="Y63">
        <v>21.47</v>
      </c>
      <c r="Z63">
        <v>0</v>
      </c>
      <c r="AA63">
        <v>0</v>
      </c>
      <c r="AB63">
        <v>0</v>
      </c>
      <c r="AC63">
        <v>1</v>
      </c>
      <c r="AD63">
        <v>0</v>
      </c>
      <c r="AE63">
        <v>0</v>
      </c>
      <c r="AF63" t="s">
        <v>3</v>
      </c>
      <c r="AG63">
        <v>0</v>
      </c>
      <c r="AH63">
        <v>3</v>
      </c>
      <c r="AI63">
        <v>-1</v>
      </c>
      <c r="AJ63" t="s">
        <v>3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>
      <c r="A64">
        <f>ROW(Source!A36)</f>
        <v>36</v>
      </c>
      <c r="B64">
        <v>50837412</v>
      </c>
      <c r="C64">
        <v>50837403</v>
      </c>
      <c r="D64">
        <v>49832898</v>
      </c>
      <c r="E64">
        <v>1</v>
      </c>
      <c r="F64">
        <v>1</v>
      </c>
      <c r="G64">
        <v>1</v>
      </c>
      <c r="H64">
        <v>3</v>
      </c>
      <c r="I64" t="s">
        <v>346</v>
      </c>
      <c r="J64" t="s">
        <v>347</v>
      </c>
      <c r="K64" t="s">
        <v>348</v>
      </c>
      <c r="L64">
        <v>1346</v>
      </c>
      <c r="N64">
        <v>1009</v>
      </c>
      <c r="O64" t="s">
        <v>349</v>
      </c>
      <c r="P64" t="s">
        <v>349</v>
      </c>
      <c r="Q64">
        <v>1</v>
      </c>
      <c r="X64">
        <v>0.5</v>
      </c>
      <c r="Y64">
        <v>56.11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0</v>
      </c>
      <c r="AF64" t="s">
        <v>3</v>
      </c>
      <c r="AG64">
        <v>0.5</v>
      </c>
      <c r="AH64">
        <v>2</v>
      </c>
      <c r="AI64">
        <v>50837412</v>
      </c>
      <c r="AJ64">
        <v>62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>
      <c r="A65">
        <f>ROW(Source!A36)</f>
        <v>36</v>
      </c>
      <c r="B65">
        <v>50837413</v>
      </c>
      <c r="C65">
        <v>50837403</v>
      </c>
      <c r="D65">
        <v>49754287</v>
      </c>
      <c r="E65">
        <v>117</v>
      </c>
      <c r="F65">
        <v>1</v>
      </c>
      <c r="G65">
        <v>1</v>
      </c>
      <c r="H65">
        <v>3</v>
      </c>
      <c r="I65" t="s">
        <v>381</v>
      </c>
      <c r="J65" t="s">
        <v>3</v>
      </c>
      <c r="K65" t="s">
        <v>382</v>
      </c>
      <c r="L65">
        <v>1339</v>
      </c>
      <c r="N65">
        <v>1007</v>
      </c>
      <c r="O65" t="s">
        <v>65</v>
      </c>
      <c r="P65" t="s">
        <v>65</v>
      </c>
      <c r="Q65">
        <v>1</v>
      </c>
      <c r="X65">
        <v>2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 t="s">
        <v>3</v>
      </c>
      <c r="AG65">
        <v>2</v>
      </c>
      <c r="AH65">
        <v>3</v>
      </c>
      <c r="AI65">
        <v>-1</v>
      </c>
      <c r="AJ65" t="s">
        <v>3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>
      <c r="A66">
        <f>ROW(Source!A36)</f>
        <v>36</v>
      </c>
      <c r="B66">
        <v>50837414</v>
      </c>
      <c r="C66">
        <v>50837403</v>
      </c>
      <c r="D66">
        <v>49755072</v>
      </c>
      <c r="E66">
        <v>117</v>
      </c>
      <c r="F66">
        <v>1</v>
      </c>
      <c r="G66">
        <v>1</v>
      </c>
      <c r="H66">
        <v>3</v>
      </c>
      <c r="I66" t="s">
        <v>383</v>
      </c>
      <c r="J66" t="s">
        <v>3</v>
      </c>
      <c r="K66" t="s">
        <v>384</v>
      </c>
      <c r="L66">
        <v>1327</v>
      </c>
      <c r="N66">
        <v>1005</v>
      </c>
      <c r="O66" t="s">
        <v>97</v>
      </c>
      <c r="P66" t="s">
        <v>97</v>
      </c>
      <c r="Q66">
        <v>1</v>
      </c>
      <c r="X66">
        <v>102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 t="s">
        <v>3</v>
      </c>
      <c r="AG66">
        <v>102</v>
      </c>
      <c r="AH66">
        <v>3</v>
      </c>
      <c r="AI66">
        <v>-1</v>
      </c>
      <c r="AJ66" t="s">
        <v>3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>
      <c r="A67">
        <f>ROW(Source!A36)</f>
        <v>36</v>
      </c>
      <c r="B67">
        <v>50837415</v>
      </c>
      <c r="C67">
        <v>50837403</v>
      </c>
      <c r="D67">
        <v>49851852</v>
      </c>
      <c r="E67">
        <v>1</v>
      </c>
      <c r="F67">
        <v>1</v>
      </c>
      <c r="G67">
        <v>1</v>
      </c>
      <c r="H67">
        <v>3</v>
      </c>
      <c r="I67" t="s">
        <v>350</v>
      </c>
      <c r="J67" t="s">
        <v>351</v>
      </c>
      <c r="K67" t="s">
        <v>352</v>
      </c>
      <c r="L67">
        <v>1346</v>
      </c>
      <c r="N67">
        <v>1009</v>
      </c>
      <c r="O67" t="s">
        <v>349</v>
      </c>
      <c r="P67" t="s">
        <v>349</v>
      </c>
      <c r="Q67">
        <v>1</v>
      </c>
      <c r="X67">
        <v>40</v>
      </c>
      <c r="Y67">
        <v>118.78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  <c r="AF67" t="s">
        <v>3</v>
      </c>
      <c r="AG67">
        <v>40</v>
      </c>
      <c r="AH67">
        <v>2</v>
      </c>
      <c r="AI67">
        <v>50837415</v>
      </c>
      <c r="AJ67">
        <v>63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>
      <c r="A68">
        <f>ROW(Source!A39)</f>
        <v>39</v>
      </c>
      <c r="B68">
        <v>50844080</v>
      </c>
      <c r="C68">
        <v>50837420</v>
      </c>
      <c r="D68">
        <v>49752853</v>
      </c>
      <c r="E68">
        <v>117</v>
      </c>
      <c r="F68">
        <v>1</v>
      </c>
      <c r="G68">
        <v>1</v>
      </c>
      <c r="H68">
        <v>1</v>
      </c>
      <c r="I68" t="s">
        <v>310</v>
      </c>
      <c r="J68" t="s">
        <v>3</v>
      </c>
      <c r="K68" t="s">
        <v>311</v>
      </c>
      <c r="L68">
        <v>1191</v>
      </c>
      <c r="N68">
        <v>1013</v>
      </c>
      <c r="O68" t="s">
        <v>252</v>
      </c>
      <c r="P68" t="s">
        <v>252</v>
      </c>
      <c r="Q68">
        <v>1</v>
      </c>
      <c r="X68">
        <v>432</v>
      </c>
      <c r="Y68">
        <v>0</v>
      </c>
      <c r="Z68">
        <v>0</v>
      </c>
      <c r="AA68">
        <v>0</v>
      </c>
      <c r="AB68">
        <v>359.65</v>
      </c>
      <c r="AC68">
        <v>0</v>
      </c>
      <c r="AD68">
        <v>1</v>
      </c>
      <c r="AE68">
        <v>1</v>
      </c>
      <c r="AF68" t="s">
        <v>68</v>
      </c>
      <c r="AG68">
        <v>496.79999999999995</v>
      </c>
      <c r="AH68">
        <v>2</v>
      </c>
      <c r="AI68">
        <v>50844080</v>
      </c>
      <c r="AJ68">
        <v>64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>
      <c r="A69">
        <f>ROW(Source!A39)</f>
        <v>39</v>
      </c>
      <c r="B69">
        <v>50844081</v>
      </c>
      <c r="C69">
        <v>50837420</v>
      </c>
      <c r="D69">
        <v>49753052</v>
      </c>
      <c r="E69">
        <v>117</v>
      </c>
      <c r="F69">
        <v>1</v>
      </c>
      <c r="G69">
        <v>1</v>
      </c>
      <c r="H69">
        <v>1</v>
      </c>
      <c r="I69" t="s">
        <v>253</v>
      </c>
      <c r="J69" t="s">
        <v>3</v>
      </c>
      <c r="K69" t="s">
        <v>254</v>
      </c>
      <c r="L69">
        <v>1191</v>
      </c>
      <c r="N69">
        <v>1013</v>
      </c>
      <c r="O69" t="s">
        <v>252</v>
      </c>
      <c r="P69" t="s">
        <v>252</v>
      </c>
      <c r="Q69">
        <v>1</v>
      </c>
      <c r="X69">
        <v>2.84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2</v>
      </c>
      <c r="AF69" t="s">
        <v>67</v>
      </c>
      <c r="AG69">
        <v>3.55</v>
      </c>
      <c r="AH69">
        <v>2</v>
      </c>
      <c r="AI69">
        <v>50844081</v>
      </c>
      <c r="AJ69">
        <v>65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>
      <c r="A70">
        <f>ROW(Source!A39)</f>
        <v>39</v>
      </c>
      <c r="B70">
        <v>50844082</v>
      </c>
      <c r="C70">
        <v>50837420</v>
      </c>
      <c r="D70">
        <v>49759854</v>
      </c>
      <c r="E70">
        <v>1</v>
      </c>
      <c r="F70">
        <v>1</v>
      </c>
      <c r="G70">
        <v>1</v>
      </c>
      <c r="H70">
        <v>2</v>
      </c>
      <c r="I70" t="s">
        <v>353</v>
      </c>
      <c r="J70" t="s">
        <v>354</v>
      </c>
      <c r="K70" t="s">
        <v>355</v>
      </c>
      <c r="L70">
        <v>1368</v>
      </c>
      <c r="N70">
        <v>1011</v>
      </c>
      <c r="O70" t="s">
        <v>258</v>
      </c>
      <c r="P70" t="s">
        <v>258</v>
      </c>
      <c r="Q70">
        <v>1</v>
      </c>
      <c r="X70">
        <v>1.32</v>
      </c>
      <c r="Y70">
        <v>0</v>
      </c>
      <c r="Z70">
        <v>1689.72</v>
      </c>
      <c r="AA70">
        <v>465.43</v>
      </c>
      <c r="AB70">
        <v>0</v>
      </c>
      <c r="AC70">
        <v>0</v>
      </c>
      <c r="AD70">
        <v>1</v>
      </c>
      <c r="AE70">
        <v>0</v>
      </c>
      <c r="AF70" t="s">
        <v>67</v>
      </c>
      <c r="AG70">
        <v>1.6500000000000001</v>
      </c>
      <c r="AH70">
        <v>2</v>
      </c>
      <c r="AI70">
        <v>50844082</v>
      </c>
      <c r="AJ70">
        <v>66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>
      <c r="A71">
        <f>ROW(Source!A39)</f>
        <v>39</v>
      </c>
      <c r="B71">
        <v>50844083</v>
      </c>
      <c r="C71">
        <v>50837420</v>
      </c>
      <c r="D71">
        <v>49759884</v>
      </c>
      <c r="E71">
        <v>1</v>
      </c>
      <c r="F71">
        <v>1</v>
      </c>
      <c r="G71">
        <v>1</v>
      </c>
      <c r="H71">
        <v>2</v>
      </c>
      <c r="I71" t="s">
        <v>300</v>
      </c>
      <c r="J71" t="s">
        <v>301</v>
      </c>
      <c r="K71" t="s">
        <v>302</v>
      </c>
      <c r="L71">
        <v>1368</v>
      </c>
      <c r="N71">
        <v>1011</v>
      </c>
      <c r="O71" t="s">
        <v>258</v>
      </c>
      <c r="P71" t="s">
        <v>258</v>
      </c>
      <c r="Q71">
        <v>1</v>
      </c>
      <c r="X71">
        <v>1.1599999999999999</v>
      </c>
      <c r="Y71">
        <v>0</v>
      </c>
      <c r="Z71">
        <v>37.32</v>
      </c>
      <c r="AA71">
        <v>359.65</v>
      </c>
      <c r="AB71">
        <v>0</v>
      </c>
      <c r="AC71">
        <v>0</v>
      </c>
      <c r="AD71">
        <v>1</v>
      </c>
      <c r="AE71">
        <v>0</v>
      </c>
      <c r="AF71" t="s">
        <v>67</v>
      </c>
      <c r="AG71">
        <v>1.45</v>
      </c>
      <c r="AH71">
        <v>2</v>
      </c>
      <c r="AI71">
        <v>50844083</v>
      </c>
      <c r="AJ71">
        <v>67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>
      <c r="A72">
        <f>ROW(Source!A39)</f>
        <v>39</v>
      </c>
      <c r="B72">
        <v>50844084</v>
      </c>
      <c r="C72">
        <v>50837420</v>
      </c>
      <c r="D72">
        <v>49760608</v>
      </c>
      <c r="E72">
        <v>1</v>
      </c>
      <c r="F72">
        <v>1</v>
      </c>
      <c r="G72">
        <v>1</v>
      </c>
      <c r="H72">
        <v>2</v>
      </c>
      <c r="I72" t="s">
        <v>322</v>
      </c>
      <c r="J72" t="s">
        <v>323</v>
      </c>
      <c r="K72" t="s">
        <v>324</v>
      </c>
      <c r="L72">
        <v>1368</v>
      </c>
      <c r="N72">
        <v>1011</v>
      </c>
      <c r="O72" t="s">
        <v>258</v>
      </c>
      <c r="P72" t="s">
        <v>258</v>
      </c>
      <c r="Q72">
        <v>1</v>
      </c>
      <c r="X72">
        <v>0.36</v>
      </c>
      <c r="Y72">
        <v>0</v>
      </c>
      <c r="Z72">
        <v>680.75</v>
      </c>
      <c r="AA72">
        <v>404.99</v>
      </c>
      <c r="AB72">
        <v>0</v>
      </c>
      <c r="AC72">
        <v>0</v>
      </c>
      <c r="AD72">
        <v>1</v>
      </c>
      <c r="AE72">
        <v>0</v>
      </c>
      <c r="AF72" t="s">
        <v>67</v>
      </c>
      <c r="AG72">
        <v>0.44999999999999996</v>
      </c>
      <c r="AH72">
        <v>2</v>
      </c>
      <c r="AI72">
        <v>50844084</v>
      </c>
      <c r="AJ72">
        <v>68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>
      <c r="A73">
        <f>ROW(Source!A39)</f>
        <v>39</v>
      </c>
      <c r="B73">
        <v>50844085</v>
      </c>
      <c r="C73">
        <v>50837420</v>
      </c>
      <c r="D73">
        <v>49830028</v>
      </c>
      <c r="E73">
        <v>1</v>
      </c>
      <c r="F73">
        <v>1</v>
      </c>
      <c r="G73">
        <v>1</v>
      </c>
      <c r="H73">
        <v>3</v>
      </c>
      <c r="I73" t="s">
        <v>277</v>
      </c>
      <c r="J73" t="s">
        <v>278</v>
      </c>
      <c r="K73" t="s">
        <v>279</v>
      </c>
      <c r="L73">
        <v>1339</v>
      </c>
      <c r="N73">
        <v>1007</v>
      </c>
      <c r="O73" t="s">
        <v>65</v>
      </c>
      <c r="P73" t="s">
        <v>65</v>
      </c>
      <c r="Q73">
        <v>1</v>
      </c>
      <c r="X73">
        <v>3.85</v>
      </c>
      <c r="Y73">
        <v>35.71</v>
      </c>
      <c r="Z73">
        <v>0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3</v>
      </c>
      <c r="AG73">
        <v>3.85</v>
      </c>
      <c r="AH73">
        <v>2</v>
      </c>
      <c r="AI73">
        <v>50844085</v>
      </c>
      <c r="AJ73">
        <v>69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>
      <c r="A74">
        <f>ROW(Source!A39)</f>
        <v>39</v>
      </c>
      <c r="B74">
        <v>50844086</v>
      </c>
      <c r="C74">
        <v>50837420</v>
      </c>
      <c r="D74">
        <v>49833335</v>
      </c>
      <c r="E74">
        <v>1</v>
      </c>
      <c r="F74">
        <v>1</v>
      </c>
      <c r="G74">
        <v>1</v>
      </c>
      <c r="H74">
        <v>3</v>
      </c>
      <c r="I74" t="s">
        <v>356</v>
      </c>
      <c r="J74" t="s">
        <v>357</v>
      </c>
      <c r="K74" t="s">
        <v>358</v>
      </c>
      <c r="L74">
        <v>1339</v>
      </c>
      <c r="N74">
        <v>1007</v>
      </c>
      <c r="O74" t="s">
        <v>65</v>
      </c>
      <c r="P74" t="s">
        <v>65</v>
      </c>
      <c r="Q74">
        <v>1</v>
      </c>
      <c r="X74">
        <v>3.06</v>
      </c>
      <c r="Y74">
        <v>565.20000000000005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3</v>
      </c>
      <c r="AG74">
        <v>3.06</v>
      </c>
      <c r="AH74">
        <v>2</v>
      </c>
      <c r="AI74">
        <v>50844086</v>
      </c>
      <c r="AJ74">
        <v>70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>
      <c r="A75">
        <f>ROW(Source!A39)</f>
        <v>39</v>
      </c>
      <c r="B75">
        <v>50844087</v>
      </c>
      <c r="C75">
        <v>50837420</v>
      </c>
      <c r="D75">
        <v>49834616</v>
      </c>
      <c r="E75">
        <v>1</v>
      </c>
      <c r="F75">
        <v>1</v>
      </c>
      <c r="G75">
        <v>1</v>
      </c>
      <c r="H75">
        <v>3</v>
      </c>
      <c r="I75" t="s">
        <v>359</v>
      </c>
      <c r="J75" t="s">
        <v>360</v>
      </c>
      <c r="K75" t="s">
        <v>361</v>
      </c>
      <c r="L75">
        <v>1339</v>
      </c>
      <c r="N75">
        <v>1007</v>
      </c>
      <c r="O75" t="s">
        <v>65</v>
      </c>
      <c r="P75" t="s">
        <v>65</v>
      </c>
      <c r="Q75">
        <v>1</v>
      </c>
      <c r="X75">
        <v>3</v>
      </c>
      <c r="Y75">
        <v>6885.13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3</v>
      </c>
      <c r="AG75">
        <v>3</v>
      </c>
      <c r="AH75">
        <v>2</v>
      </c>
      <c r="AI75">
        <v>50844087</v>
      </c>
      <c r="AJ75">
        <v>71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>
      <c r="A76">
        <f>ROW(Source!A39)</f>
        <v>39</v>
      </c>
      <c r="B76">
        <v>50844088</v>
      </c>
      <c r="C76">
        <v>50837420</v>
      </c>
      <c r="D76">
        <v>49842080</v>
      </c>
      <c r="E76">
        <v>1</v>
      </c>
      <c r="F76">
        <v>1</v>
      </c>
      <c r="G76">
        <v>1</v>
      </c>
      <c r="H76">
        <v>3</v>
      </c>
      <c r="I76" t="s">
        <v>328</v>
      </c>
      <c r="J76" t="s">
        <v>329</v>
      </c>
      <c r="K76" t="s">
        <v>330</v>
      </c>
      <c r="L76">
        <v>1339</v>
      </c>
      <c r="N76">
        <v>1007</v>
      </c>
      <c r="O76" t="s">
        <v>65</v>
      </c>
      <c r="P76" t="s">
        <v>65</v>
      </c>
      <c r="Q76">
        <v>1</v>
      </c>
      <c r="X76">
        <v>0.01</v>
      </c>
      <c r="Y76">
        <v>16496.03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3</v>
      </c>
      <c r="AG76">
        <v>0.01</v>
      </c>
      <c r="AH76">
        <v>2</v>
      </c>
      <c r="AI76">
        <v>50844088</v>
      </c>
      <c r="AJ76">
        <v>72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>
      <c r="A77">
        <f>ROW(Source!A39)</f>
        <v>39</v>
      </c>
      <c r="B77">
        <v>50844089</v>
      </c>
      <c r="C77">
        <v>50837420</v>
      </c>
      <c r="D77">
        <v>49756653</v>
      </c>
      <c r="E77">
        <v>117</v>
      </c>
      <c r="F77">
        <v>1</v>
      </c>
      <c r="G77">
        <v>1</v>
      </c>
      <c r="H77">
        <v>3</v>
      </c>
      <c r="I77" t="s">
        <v>385</v>
      </c>
      <c r="J77" t="s">
        <v>3</v>
      </c>
      <c r="K77" t="s">
        <v>386</v>
      </c>
      <c r="L77">
        <v>1327</v>
      </c>
      <c r="N77">
        <v>1005</v>
      </c>
      <c r="O77" t="s">
        <v>97</v>
      </c>
      <c r="P77" t="s">
        <v>97</v>
      </c>
      <c r="Q77">
        <v>1</v>
      </c>
      <c r="X77">
        <v>100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 t="s">
        <v>3</v>
      </c>
      <c r="AG77">
        <v>100</v>
      </c>
      <c r="AH77">
        <v>3</v>
      </c>
      <c r="AI77">
        <v>-1</v>
      </c>
      <c r="AJ77" t="s">
        <v>3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>
      <c r="A78">
        <f>ROW(Source!A41)</f>
        <v>41</v>
      </c>
      <c r="B78">
        <v>50844091</v>
      </c>
      <c r="C78">
        <v>50837432</v>
      </c>
      <c r="D78">
        <v>49752866</v>
      </c>
      <c r="E78">
        <v>117</v>
      </c>
      <c r="F78">
        <v>1</v>
      </c>
      <c r="G78">
        <v>1</v>
      </c>
      <c r="H78">
        <v>1</v>
      </c>
      <c r="I78" t="s">
        <v>362</v>
      </c>
      <c r="J78" t="s">
        <v>3</v>
      </c>
      <c r="K78" t="s">
        <v>363</v>
      </c>
      <c r="L78">
        <v>1191</v>
      </c>
      <c r="N78">
        <v>1013</v>
      </c>
      <c r="O78" t="s">
        <v>252</v>
      </c>
      <c r="P78" t="s">
        <v>252</v>
      </c>
      <c r="Q78">
        <v>1</v>
      </c>
      <c r="X78">
        <v>378.17</v>
      </c>
      <c r="Y78">
        <v>0</v>
      </c>
      <c r="Z78">
        <v>0</v>
      </c>
      <c r="AA78">
        <v>0</v>
      </c>
      <c r="AB78">
        <v>386.85</v>
      </c>
      <c r="AC78">
        <v>0</v>
      </c>
      <c r="AD78">
        <v>1</v>
      </c>
      <c r="AE78">
        <v>1</v>
      </c>
      <c r="AF78" t="s">
        <v>68</v>
      </c>
      <c r="AG78">
        <v>434.89549999999997</v>
      </c>
      <c r="AH78">
        <v>2</v>
      </c>
      <c r="AI78">
        <v>50844091</v>
      </c>
      <c r="AJ78">
        <v>74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>
      <c r="A79">
        <f>ROW(Source!A41)</f>
        <v>41</v>
      </c>
      <c r="B79">
        <v>50844092</v>
      </c>
      <c r="C79">
        <v>50837432</v>
      </c>
      <c r="D79">
        <v>49753052</v>
      </c>
      <c r="E79">
        <v>117</v>
      </c>
      <c r="F79">
        <v>1</v>
      </c>
      <c r="G79">
        <v>1</v>
      </c>
      <c r="H79">
        <v>1</v>
      </c>
      <c r="I79" t="s">
        <v>253</v>
      </c>
      <c r="J79" t="s">
        <v>3</v>
      </c>
      <c r="K79" t="s">
        <v>254</v>
      </c>
      <c r="L79">
        <v>1191</v>
      </c>
      <c r="N79">
        <v>1013</v>
      </c>
      <c r="O79" t="s">
        <v>252</v>
      </c>
      <c r="P79" t="s">
        <v>252</v>
      </c>
      <c r="Q79">
        <v>1</v>
      </c>
      <c r="X79">
        <v>2.29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2</v>
      </c>
      <c r="AF79" t="s">
        <v>67</v>
      </c>
      <c r="AG79">
        <v>2.8624999999999998</v>
      </c>
      <c r="AH79">
        <v>2</v>
      </c>
      <c r="AI79">
        <v>50844092</v>
      </c>
      <c r="AJ79">
        <v>75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>
      <c r="A80">
        <f>ROW(Source!A41)</f>
        <v>41</v>
      </c>
      <c r="B80">
        <v>50844093</v>
      </c>
      <c r="C80">
        <v>50837432</v>
      </c>
      <c r="D80">
        <v>49759643</v>
      </c>
      <c r="E80">
        <v>1</v>
      </c>
      <c r="F80">
        <v>1</v>
      </c>
      <c r="G80">
        <v>1</v>
      </c>
      <c r="H80">
        <v>2</v>
      </c>
      <c r="I80" t="s">
        <v>364</v>
      </c>
      <c r="J80" t="s">
        <v>365</v>
      </c>
      <c r="K80" t="s">
        <v>366</v>
      </c>
      <c r="L80">
        <v>1368</v>
      </c>
      <c r="N80">
        <v>1011</v>
      </c>
      <c r="O80" t="s">
        <v>258</v>
      </c>
      <c r="P80" t="s">
        <v>258</v>
      </c>
      <c r="Q80">
        <v>1</v>
      </c>
      <c r="X80">
        <v>0.34</v>
      </c>
      <c r="Y80">
        <v>0</v>
      </c>
      <c r="Z80">
        <v>251.77</v>
      </c>
      <c r="AA80">
        <v>544.01</v>
      </c>
      <c r="AB80">
        <v>0</v>
      </c>
      <c r="AC80">
        <v>0</v>
      </c>
      <c r="AD80">
        <v>1</v>
      </c>
      <c r="AE80">
        <v>0</v>
      </c>
      <c r="AF80" t="s">
        <v>67</v>
      </c>
      <c r="AG80">
        <v>0.42500000000000004</v>
      </c>
      <c r="AH80">
        <v>2</v>
      </c>
      <c r="AI80">
        <v>50844093</v>
      </c>
      <c r="AJ80">
        <v>76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>
      <c r="A81">
        <f>ROW(Source!A41)</f>
        <v>41</v>
      </c>
      <c r="B81">
        <v>50844094</v>
      </c>
      <c r="C81">
        <v>50837432</v>
      </c>
      <c r="D81">
        <v>49759696</v>
      </c>
      <c r="E81">
        <v>1</v>
      </c>
      <c r="F81">
        <v>1</v>
      </c>
      <c r="G81">
        <v>1</v>
      </c>
      <c r="H81">
        <v>2</v>
      </c>
      <c r="I81" t="s">
        <v>312</v>
      </c>
      <c r="J81" t="s">
        <v>313</v>
      </c>
      <c r="K81" t="s">
        <v>314</v>
      </c>
      <c r="L81">
        <v>1368</v>
      </c>
      <c r="N81">
        <v>1011</v>
      </c>
      <c r="O81" t="s">
        <v>258</v>
      </c>
      <c r="P81" t="s">
        <v>258</v>
      </c>
      <c r="Q81">
        <v>1</v>
      </c>
      <c r="X81">
        <v>0.13</v>
      </c>
      <c r="Y81">
        <v>0</v>
      </c>
      <c r="Z81">
        <v>1719.93</v>
      </c>
      <c r="AA81">
        <v>544.01</v>
      </c>
      <c r="AB81">
        <v>0</v>
      </c>
      <c r="AC81">
        <v>0</v>
      </c>
      <c r="AD81">
        <v>1</v>
      </c>
      <c r="AE81">
        <v>0</v>
      </c>
      <c r="AF81" t="s">
        <v>67</v>
      </c>
      <c r="AG81">
        <v>0.16250000000000001</v>
      </c>
      <c r="AH81">
        <v>2</v>
      </c>
      <c r="AI81">
        <v>50844094</v>
      </c>
      <c r="AJ81">
        <v>77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>
      <c r="A82">
        <f>ROW(Source!A41)</f>
        <v>41</v>
      </c>
      <c r="B82">
        <v>50844095</v>
      </c>
      <c r="C82">
        <v>50837432</v>
      </c>
      <c r="D82">
        <v>49759990</v>
      </c>
      <c r="E82">
        <v>1</v>
      </c>
      <c r="F82">
        <v>1</v>
      </c>
      <c r="G82">
        <v>1</v>
      </c>
      <c r="H82">
        <v>2</v>
      </c>
      <c r="I82" t="s">
        <v>367</v>
      </c>
      <c r="J82" t="s">
        <v>368</v>
      </c>
      <c r="K82" t="s">
        <v>369</v>
      </c>
      <c r="L82">
        <v>1368</v>
      </c>
      <c r="N82">
        <v>1011</v>
      </c>
      <c r="O82" t="s">
        <v>258</v>
      </c>
      <c r="P82" t="s">
        <v>258</v>
      </c>
      <c r="Q82">
        <v>1</v>
      </c>
      <c r="X82">
        <v>1.69</v>
      </c>
      <c r="Y82">
        <v>0</v>
      </c>
      <c r="Z82">
        <v>2.31</v>
      </c>
      <c r="AA82">
        <v>359.65</v>
      </c>
      <c r="AB82">
        <v>0</v>
      </c>
      <c r="AC82">
        <v>0</v>
      </c>
      <c r="AD82">
        <v>1</v>
      </c>
      <c r="AE82">
        <v>0</v>
      </c>
      <c r="AF82" t="s">
        <v>67</v>
      </c>
      <c r="AG82">
        <v>2.1124999999999998</v>
      </c>
      <c r="AH82">
        <v>2</v>
      </c>
      <c r="AI82">
        <v>50844095</v>
      </c>
      <c r="AJ82">
        <v>78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>
      <c r="A83">
        <f>ROW(Source!A41)</f>
        <v>41</v>
      </c>
      <c r="B83">
        <v>50844096</v>
      </c>
      <c r="C83">
        <v>50837432</v>
      </c>
      <c r="D83">
        <v>49760608</v>
      </c>
      <c r="E83">
        <v>1</v>
      </c>
      <c r="F83">
        <v>1</v>
      </c>
      <c r="G83">
        <v>1</v>
      </c>
      <c r="H83">
        <v>2</v>
      </c>
      <c r="I83" t="s">
        <v>322</v>
      </c>
      <c r="J83" t="s">
        <v>323</v>
      </c>
      <c r="K83" t="s">
        <v>324</v>
      </c>
      <c r="L83">
        <v>1368</v>
      </c>
      <c r="N83">
        <v>1011</v>
      </c>
      <c r="O83" t="s">
        <v>258</v>
      </c>
      <c r="P83" t="s">
        <v>258</v>
      </c>
      <c r="Q83">
        <v>1</v>
      </c>
      <c r="X83">
        <v>0.13</v>
      </c>
      <c r="Y83">
        <v>0</v>
      </c>
      <c r="Z83">
        <v>680.75</v>
      </c>
      <c r="AA83">
        <v>404.99</v>
      </c>
      <c r="AB83">
        <v>0</v>
      </c>
      <c r="AC83">
        <v>0</v>
      </c>
      <c r="AD83">
        <v>1</v>
      </c>
      <c r="AE83">
        <v>0</v>
      </c>
      <c r="AF83" t="s">
        <v>67</v>
      </c>
      <c r="AG83">
        <v>0.16250000000000001</v>
      </c>
      <c r="AH83">
        <v>2</v>
      </c>
      <c r="AI83">
        <v>50844096</v>
      </c>
      <c r="AJ83">
        <v>79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>
      <c r="A84">
        <f>ROW(Source!A41)</f>
        <v>41</v>
      </c>
      <c r="B84">
        <v>50844097</v>
      </c>
      <c r="C84">
        <v>50837432</v>
      </c>
      <c r="D84">
        <v>49830028</v>
      </c>
      <c r="E84">
        <v>1</v>
      </c>
      <c r="F84">
        <v>1</v>
      </c>
      <c r="G84">
        <v>1</v>
      </c>
      <c r="H84">
        <v>3</v>
      </c>
      <c r="I84" t="s">
        <v>277</v>
      </c>
      <c r="J84" t="s">
        <v>278</v>
      </c>
      <c r="K84" t="s">
        <v>279</v>
      </c>
      <c r="L84">
        <v>1339</v>
      </c>
      <c r="N84">
        <v>1007</v>
      </c>
      <c r="O84" t="s">
        <v>65</v>
      </c>
      <c r="P84" t="s">
        <v>65</v>
      </c>
      <c r="Q84">
        <v>1</v>
      </c>
      <c r="X84">
        <v>0.45</v>
      </c>
      <c r="Y84">
        <v>35.71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3</v>
      </c>
      <c r="AG84">
        <v>0.45</v>
      </c>
      <c r="AH84">
        <v>2</v>
      </c>
      <c r="AI84">
        <v>50844097</v>
      </c>
      <c r="AJ84">
        <v>80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>
      <c r="A85">
        <f>ROW(Source!A41)</f>
        <v>41</v>
      </c>
      <c r="B85">
        <v>50844098</v>
      </c>
      <c r="C85">
        <v>50837432</v>
      </c>
      <c r="D85">
        <v>49830040</v>
      </c>
      <c r="E85">
        <v>1</v>
      </c>
      <c r="F85">
        <v>1</v>
      </c>
      <c r="G85">
        <v>1</v>
      </c>
      <c r="H85">
        <v>3</v>
      </c>
      <c r="I85" t="s">
        <v>339</v>
      </c>
      <c r="J85" t="s">
        <v>340</v>
      </c>
      <c r="K85" t="s">
        <v>341</v>
      </c>
      <c r="L85">
        <v>1383</v>
      </c>
      <c r="N85">
        <v>1013</v>
      </c>
      <c r="O85" t="s">
        <v>342</v>
      </c>
      <c r="P85" t="s">
        <v>342</v>
      </c>
      <c r="Q85">
        <v>1</v>
      </c>
      <c r="X85">
        <v>5.8500000000000003E-2</v>
      </c>
      <c r="Y85">
        <v>7.71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3</v>
      </c>
      <c r="AG85">
        <v>5.8500000000000003E-2</v>
      </c>
      <c r="AH85">
        <v>2</v>
      </c>
      <c r="AI85">
        <v>50844098</v>
      </c>
      <c r="AJ85">
        <v>81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>
      <c r="A86">
        <f>ROW(Source!A41)</f>
        <v>41</v>
      </c>
      <c r="B86">
        <v>50844099</v>
      </c>
      <c r="C86">
        <v>50837432</v>
      </c>
      <c r="D86">
        <v>49834679</v>
      </c>
      <c r="E86">
        <v>1</v>
      </c>
      <c r="F86">
        <v>1</v>
      </c>
      <c r="G86">
        <v>1</v>
      </c>
      <c r="H86">
        <v>3</v>
      </c>
      <c r="I86" t="s">
        <v>370</v>
      </c>
      <c r="J86" t="s">
        <v>371</v>
      </c>
      <c r="K86" t="s">
        <v>372</v>
      </c>
      <c r="L86">
        <v>1348</v>
      </c>
      <c r="N86">
        <v>1009</v>
      </c>
      <c r="O86" t="s">
        <v>46</v>
      </c>
      <c r="P86" t="s">
        <v>46</v>
      </c>
      <c r="Q86">
        <v>1000</v>
      </c>
      <c r="X86">
        <v>2.1000000000000001E-2</v>
      </c>
      <c r="Y86">
        <v>37800.300000000003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3</v>
      </c>
      <c r="AG86">
        <v>2.1000000000000001E-2</v>
      </c>
      <c r="AH86">
        <v>2</v>
      </c>
      <c r="AI86">
        <v>50844099</v>
      </c>
      <c r="AJ86">
        <v>82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>
      <c r="A87">
        <f>ROW(Source!A41)</f>
        <v>41</v>
      </c>
      <c r="B87">
        <v>50844100</v>
      </c>
      <c r="C87">
        <v>50837432</v>
      </c>
      <c r="D87">
        <v>49755069</v>
      </c>
      <c r="E87">
        <v>117</v>
      </c>
      <c r="F87">
        <v>1</v>
      </c>
      <c r="G87">
        <v>1</v>
      </c>
      <c r="H87">
        <v>3</v>
      </c>
      <c r="I87" t="s">
        <v>383</v>
      </c>
      <c r="J87" t="s">
        <v>3</v>
      </c>
      <c r="K87" t="s">
        <v>387</v>
      </c>
      <c r="L87">
        <v>1327</v>
      </c>
      <c r="N87">
        <v>1005</v>
      </c>
      <c r="O87" t="s">
        <v>97</v>
      </c>
      <c r="P87" t="s">
        <v>97</v>
      </c>
      <c r="Q87">
        <v>1</v>
      </c>
      <c r="X87">
        <v>102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 t="s">
        <v>3</v>
      </c>
      <c r="AG87">
        <v>102</v>
      </c>
      <c r="AH87">
        <v>3</v>
      </c>
      <c r="AI87">
        <v>-1</v>
      </c>
      <c r="AJ87" t="s">
        <v>3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>
      <c r="A88">
        <f>ROW(Source!A41)</f>
        <v>41</v>
      </c>
      <c r="B88">
        <v>50844101</v>
      </c>
      <c r="C88">
        <v>50837432</v>
      </c>
      <c r="D88">
        <v>49756100</v>
      </c>
      <c r="E88">
        <v>117</v>
      </c>
      <c r="F88">
        <v>1</v>
      </c>
      <c r="G88">
        <v>1</v>
      </c>
      <c r="H88">
        <v>3</v>
      </c>
      <c r="I88" t="s">
        <v>388</v>
      </c>
      <c r="J88" t="s">
        <v>3</v>
      </c>
      <c r="K88" t="s">
        <v>389</v>
      </c>
      <c r="L88">
        <v>1339</v>
      </c>
      <c r="N88">
        <v>1007</v>
      </c>
      <c r="O88" t="s">
        <v>65</v>
      </c>
      <c r="P88" t="s">
        <v>65</v>
      </c>
      <c r="Q88">
        <v>1</v>
      </c>
      <c r="X88">
        <v>0.01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 t="s">
        <v>3</v>
      </c>
      <c r="AG88">
        <v>0.01</v>
      </c>
      <c r="AH88">
        <v>3</v>
      </c>
      <c r="AI88">
        <v>-1</v>
      </c>
      <c r="AJ88" t="s">
        <v>3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>
      <c r="A89">
        <f>ROW(Source!A41)</f>
        <v>41</v>
      </c>
      <c r="B89">
        <v>50844102</v>
      </c>
      <c r="C89">
        <v>50837432</v>
      </c>
      <c r="D89">
        <v>49756720</v>
      </c>
      <c r="E89">
        <v>117</v>
      </c>
      <c r="F89">
        <v>1</v>
      </c>
      <c r="G89">
        <v>1</v>
      </c>
      <c r="H89">
        <v>3</v>
      </c>
      <c r="I89" t="s">
        <v>390</v>
      </c>
      <c r="J89" t="s">
        <v>3</v>
      </c>
      <c r="K89" t="s">
        <v>391</v>
      </c>
      <c r="L89">
        <v>1348</v>
      </c>
      <c r="N89">
        <v>1009</v>
      </c>
      <c r="O89" t="s">
        <v>46</v>
      </c>
      <c r="P89" t="s">
        <v>46</v>
      </c>
      <c r="Q89">
        <v>1000</v>
      </c>
      <c r="X89">
        <v>1.2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 t="s">
        <v>3</v>
      </c>
      <c r="AG89">
        <v>1.2</v>
      </c>
      <c r="AH89">
        <v>3</v>
      </c>
      <c r="AI89">
        <v>-1</v>
      </c>
      <c r="AJ89" t="s">
        <v>3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U4"/>
  <sheetViews>
    <sheetView workbookViewId="0"/>
  </sheetViews>
  <sheetFormatPr defaultColWidth="9.140625" defaultRowHeight="12.75"/>
  <cols>
    <col min="1" max="256" width="9.140625" customWidth="1"/>
  </cols>
  <sheetData>
    <row r="1" spans="1:21">
      <c r="A1">
        <v>34</v>
      </c>
      <c r="B1">
        <v>1</v>
      </c>
      <c r="C1" t="s">
        <v>3</v>
      </c>
      <c r="D1" t="s">
        <v>3</v>
      </c>
      <c r="E1" t="s">
        <v>67</v>
      </c>
      <c r="F1" t="s">
        <v>67</v>
      </c>
      <c r="G1" t="s">
        <v>68</v>
      </c>
      <c r="H1" t="s">
        <v>3</v>
      </c>
      <c r="I1" t="s">
        <v>68</v>
      </c>
      <c r="J1" t="s">
        <v>67</v>
      </c>
      <c r="K1" t="s">
        <v>3</v>
      </c>
      <c r="L1" t="s">
        <v>3</v>
      </c>
      <c r="M1" t="s">
        <v>3</v>
      </c>
      <c r="N1" t="s">
        <v>3</v>
      </c>
      <c r="O1" t="s">
        <v>67</v>
      </c>
      <c r="P1" t="s">
        <v>3</v>
      </c>
      <c r="Q1" t="s">
        <v>3</v>
      </c>
      <c r="R1" t="s">
        <v>3</v>
      </c>
      <c r="S1" t="s">
        <v>392</v>
      </c>
      <c r="T1" t="s">
        <v>393</v>
      </c>
      <c r="U1" t="s">
        <v>394</v>
      </c>
    </row>
    <row r="2" spans="1:21">
      <c r="A2">
        <v>36</v>
      </c>
      <c r="B2">
        <v>1</v>
      </c>
      <c r="C2" t="s">
        <v>3</v>
      </c>
      <c r="D2" t="s">
        <v>3</v>
      </c>
      <c r="E2" t="s">
        <v>67</v>
      </c>
      <c r="F2" t="s">
        <v>67</v>
      </c>
      <c r="G2" t="s">
        <v>68</v>
      </c>
      <c r="H2" t="s">
        <v>3</v>
      </c>
      <c r="I2" t="s">
        <v>68</v>
      </c>
      <c r="J2" t="s">
        <v>67</v>
      </c>
      <c r="K2" t="s">
        <v>3</v>
      </c>
      <c r="L2" t="s">
        <v>3</v>
      </c>
      <c r="M2" t="s">
        <v>3</v>
      </c>
      <c r="N2" t="s">
        <v>3</v>
      </c>
      <c r="O2" t="s">
        <v>67</v>
      </c>
      <c r="P2" t="s">
        <v>3</v>
      </c>
      <c r="Q2" t="s">
        <v>3</v>
      </c>
      <c r="R2" t="s">
        <v>3</v>
      </c>
      <c r="S2" t="s">
        <v>392</v>
      </c>
      <c r="T2" t="s">
        <v>393</v>
      </c>
      <c r="U2" t="s">
        <v>394</v>
      </c>
    </row>
    <row r="3" spans="1:21">
      <c r="A3">
        <v>39</v>
      </c>
      <c r="B3">
        <v>1</v>
      </c>
      <c r="C3" t="s">
        <v>3</v>
      </c>
      <c r="D3" t="s">
        <v>3</v>
      </c>
      <c r="E3" t="s">
        <v>67</v>
      </c>
      <c r="F3" t="s">
        <v>67</v>
      </c>
      <c r="G3" t="s">
        <v>68</v>
      </c>
      <c r="H3" t="s">
        <v>3</v>
      </c>
      <c r="I3" t="s">
        <v>68</v>
      </c>
      <c r="J3" t="s">
        <v>67</v>
      </c>
      <c r="K3" t="s">
        <v>3</v>
      </c>
      <c r="L3" t="s">
        <v>3</v>
      </c>
      <c r="M3" t="s">
        <v>3</v>
      </c>
      <c r="N3" t="s">
        <v>3</v>
      </c>
      <c r="O3" t="s">
        <v>67</v>
      </c>
      <c r="P3" t="s">
        <v>3</v>
      </c>
      <c r="Q3" t="s">
        <v>3</v>
      </c>
      <c r="R3" t="s">
        <v>3</v>
      </c>
      <c r="S3" t="s">
        <v>392</v>
      </c>
      <c r="T3" t="s">
        <v>393</v>
      </c>
      <c r="U3" t="s">
        <v>394</v>
      </c>
    </row>
    <row r="4" spans="1:21">
      <c r="A4">
        <v>41</v>
      </c>
      <c r="B4">
        <v>1</v>
      </c>
      <c r="C4" t="s">
        <v>3</v>
      </c>
      <c r="D4" t="s">
        <v>3</v>
      </c>
      <c r="E4" t="s">
        <v>67</v>
      </c>
      <c r="F4" t="s">
        <v>67</v>
      </c>
      <c r="G4" t="s">
        <v>68</v>
      </c>
      <c r="H4" t="s">
        <v>3</v>
      </c>
      <c r="I4" t="s">
        <v>68</v>
      </c>
      <c r="J4" t="s">
        <v>67</v>
      </c>
      <c r="K4" t="s">
        <v>3</v>
      </c>
      <c r="L4" t="s">
        <v>3</v>
      </c>
      <c r="M4" t="s">
        <v>3</v>
      </c>
      <c r="N4" t="s">
        <v>3</v>
      </c>
      <c r="O4" t="s">
        <v>67</v>
      </c>
      <c r="P4" t="s">
        <v>3</v>
      </c>
      <c r="Q4" t="s">
        <v>3</v>
      </c>
      <c r="R4" t="s">
        <v>3</v>
      </c>
      <c r="S4" t="s">
        <v>392</v>
      </c>
      <c r="T4" t="s">
        <v>393</v>
      </c>
      <c r="U4" t="s">
        <v>394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CY12"/>
  <sheetViews>
    <sheetView workbookViewId="0"/>
  </sheetViews>
  <sheetFormatPr defaultColWidth="9.140625" defaultRowHeight="12.75"/>
  <cols>
    <col min="1" max="256" width="9.140625" customWidth="1"/>
  </cols>
  <sheetData>
    <row r="1" spans="1:10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36884</v>
      </c>
      <c r="M1">
        <v>10</v>
      </c>
      <c r="N1">
        <v>12</v>
      </c>
      <c r="O1">
        <v>0</v>
      </c>
      <c r="P1">
        <v>0</v>
      </c>
      <c r="Q1">
        <v>3</v>
      </c>
    </row>
    <row r="12" spans="1:103">
      <c r="F12" t="str">
        <f>Source!F12</f>
        <v>Новый объект</v>
      </c>
      <c r="G12" t="str">
        <f>Source!G12</f>
        <v>Ремонт крыльца</v>
      </c>
      <c r="AB12" t="s">
        <v>3</v>
      </c>
      <c r="AC12" t="s">
        <v>3</v>
      </c>
      <c r="AD12" t="s">
        <v>3</v>
      </c>
      <c r="AE12" t="s">
        <v>3</v>
      </c>
      <c r="AF12" t="s">
        <v>3</v>
      </c>
      <c r="AG12" t="s">
        <v>3</v>
      </c>
      <c r="AH12" t="s">
        <v>3</v>
      </c>
      <c r="AI12" t="s">
        <v>3</v>
      </c>
      <c r="AJ12">
        <v>0</v>
      </c>
      <c r="AK12" t="s">
        <v>3</v>
      </c>
      <c r="AL12" t="s">
        <v>3</v>
      </c>
      <c r="AM12" t="s">
        <v>3</v>
      </c>
      <c r="CY1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Смета по ФСНБ 421+557прРИМ</vt:lpstr>
      <vt:lpstr>Акт КС-2 по ФСНБ 421+557пр</vt:lpstr>
      <vt:lpstr>Source</vt:lpstr>
      <vt:lpstr>SourceObSm</vt:lpstr>
      <vt:lpstr>SmtRes</vt:lpstr>
      <vt:lpstr>EtalonRes</vt:lpstr>
      <vt:lpstr>SrcPoprs</vt:lpstr>
      <vt:lpstr>SrcKA</vt:lpstr>
      <vt:lpstr>'Акт КС-2 по ФСНБ 421+557пр'!Заголовки_для_печати</vt:lpstr>
      <vt:lpstr>'Смета по ФСНБ 421+557прРИМ'!Заголовки_для_печати</vt:lpstr>
      <vt:lpstr>'Акт КС-2 по ФСНБ 421+557пр'!Область_печати</vt:lpstr>
      <vt:lpstr>'Смета по ФСНБ 421+557прРИМ'!Область_печати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 Григорьева</dc:creator>
  <cp:lastModifiedBy>yurnovaag</cp:lastModifiedBy>
  <cp:lastPrinted>2026-05-18T11:26:37Z</cp:lastPrinted>
  <dcterms:created xsi:type="dcterms:W3CDTF">2026-05-06T12:23:33Z</dcterms:created>
  <dcterms:modified xsi:type="dcterms:W3CDTF">2026-05-20T07:04:58Z</dcterms:modified>
</cp:coreProperties>
</file>