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D:\_Закупки\_ЕП\44-ФЗ\зз-0287_расходка для каф.микробиологии_КС_ПЗ_п5\"/>
    </mc:Choice>
  </mc:AlternateContent>
  <bookViews>
    <workbookView xWindow="0" yWindow="600" windowWidth="14130" windowHeight="11100"/>
  </bookViews>
  <sheets>
    <sheet name="Обоснование НМЦК" sheetId="3" r:id="rId1"/>
  </sheets>
  <definedNames>
    <definedName name="_xlnm._FilterDatabase" localSheetId="0" hidden="1">'Обоснование НМЦК'!$A$6:$N$49</definedName>
    <definedName name="_xlnm.Print_Area" localSheetId="0">'Обоснование НМЦК'!$A$2:$P$55</definedName>
  </definedNames>
  <calcPr calcId="162913"/>
</workbook>
</file>

<file path=xl/calcChain.xml><?xml version="1.0" encoding="utf-8"?>
<calcChain xmlns="http://schemas.openxmlformats.org/spreadsheetml/2006/main">
  <c r="E48" i="3" l="1"/>
  <c r="E47" i="3"/>
  <c r="E46" i="3"/>
  <c r="E45" i="3"/>
  <c r="E44" i="3"/>
  <c r="E43" i="3"/>
  <c r="G43" i="3" s="1"/>
  <c r="E39" i="3"/>
  <c r="E38" i="3"/>
  <c r="E37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O10" i="3"/>
  <c r="O46" i="3"/>
  <c r="P46" i="3" s="1"/>
  <c r="O13" i="3"/>
  <c r="P13" i="3" s="1"/>
  <c r="O16" i="3"/>
  <c r="P16" i="3" s="1"/>
  <c r="O19" i="3"/>
  <c r="P19" i="3" s="1"/>
  <c r="O22" i="3"/>
  <c r="P22" i="3" s="1"/>
  <c r="O25" i="3"/>
  <c r="P25" i="3" s="1"/>
  <c r="O28" i="3"/>
  <c r="O31" i="3"/>
  <c r="P31" i="3" s="1"/>
  <c r="O34" i="3"/>
  <c r="P34" i="3" s="1"/>
  <c r="O37" i="3"/>
  <c r="P37" i="3" s="1"/>
  <c r="O40" i="3"/>
  <c r="O43" i="3"/>
  <c r="P43" i="3" s="1"/>
  <c r="O7" i="3"/>
  <c r="E10" i="3"/>
  <c r="H46" i="3"/>
  <c r="G46" i="3"/>
  <c r="F46" i="3"/>
  <c r="I46" i="3" s="1"/>
  <c r="K46" i="3" s="1"/>
  <c r="N46" i="3" s="1"/>
  <c r="H43" i="3"/>
  <c r="F43" i="3"/>
  <c r="I43" i="3" s="1"/>
  <c r="K43" i="3" s="1"/>
  <c r="N43" i="3" s="1"/>
  <c r="P40" i="3"/>
  <c r="H40" i="3"/>
  <c r="G40" i="3"/>
  <c r="F40" i="3"/>
  <c r="I40" i="3" s="1"/>
  <c r="K40" i="3" s="1"/>
  <c r="N40" i="3" s="1"/>
  <c r="H37" i="3"/>
  <c r="G37" i="3"/>
  <c r="F37" i="3"/>
  <c r="I37" i="3" s="1"/>
  <c r="K37" i="3" s="1"/>
  <c r="N37" i="3" s="1"/>
  <c r="H34" i="3"/>
  <c r="G34" i="3"/>
  <c r="F34" i="3"/>
  <c r="I34" i="3" s="1"/>
  <c r="K34" i="3" s="1"/>
  <c r="N34" i="3" s="1"/>
  <c r="H31" i="3"/>
  <c r="G31" i="3"/>
  <c r="F31" i="3"/>
  <c r="I31" i="3" s="1"/>
  <c r="K31" i="3" s="1"/>
  <c r="N31" i="3" s="1"/>
  <c r="P28" i="3"/>
  <c r="H28" i="3"/>
  <c r="G28" i="3"/>
  <c r="F28" i="3"/>
  <c r="I28" i="3" s="1"/>
  <c r="K28" i="3" s="1"/>
  <c r="N28" i="3" s="1"/>
  <c r="H25" i="3"/>
  <c r="G25" i="3"/>
  <c r="F25" i="3"/>
  <c r="I25" i="3" s="1"/>
  <c r="K25" i="3" s="1"/>
  <c r="N25" i="3" s="1"/>
  <c r="H22" i="3"/>
  <c r="G22" i="3"/>
  <c r="F22" i="3"/>
  <c r="I22" i="3" s="1"/>
  <c r="K22" i="3" s="1"/>
  <c r="N22" i="3" s="1"/>
  <c r="H19" i="3"/>
  <c r="G19" i="3"/>
  <c r="F19" i="3"/>
  <c r="I19" i="3" s="1"/>
  <c r="K19" i="3" s="1"/>
  <c r="N19" i="3" s="1"/>
  <c r="H16" i="3"/>
  <c r="G16" i="3"/>
  <c r="F16" i="3"/>
  <c r="I16" i="3" s="1"/>
  <c r="K16" i="3" s="1"/>
  <c r="N16" i="3" s="1"/>
  <c r="H13" i="3"/>
  <c r="G13" i="3"/>
  <c r="F13" i="3"/>
  <c r="I13" i="3" s="1"/>
  <c r="K13" i="3" s="1"/>
  <c r="N13" i="3" s="1"/>
  <c r="P10" i="3"/>
  <c r="H10" i="3"/>
  <c r="G10" i="3"/>
  <c r="F10" i="3"/>
  <c r="I10" i="3" s="1"/>
  <c r="K10" i="3" s="1"/>
  <c r="N10" i="3" s="1"/>
  <c r="P49" i="3" l="1"/>
  <c r="P7" i="3" l="1"/>
  <c r="G7" i="3" l="1"/>
  <c r="F7" i="3"/>
  <c r="I7" i="3" s="1"/>
  <c r="H7" i="3" l="1"/>
  <c r="K7" i="3" l="1"/>
  <c r="N7" i="3" l="1"/>
  <c r="N49" i="3" s="1"/>
</calcChain>
</file>

<file path=xl/sharedStrings.xml><?xml version="1.0" encoding="utf-8"?>
<sst xmlns="http://schemas.openxmlformats.org/spreadsheetml/2006/main" count="113" uniqueCount="49">
  <si>
    <t>Кол-во</t>
  </si>
  <si>
    <t>Сумма, руб</t>
  </si>
  <si>
    <t>№ пп</t>
  </si>
  <si>
    <t>Наименование товара</t>
  </si>
  <si>
    <t>Методы определения и обоснования цены</t>
  </si>
  <si>
    <t>Источник информации о цене товара</t>
  </si>
  <si>
    <t>Цена за товар в соответствии с источником информации,
руб.</t>
  </si>
  <si>
    <t>Метод сопоставимых рыночных цен
(анализ рынка)</t>
  </si>
  <si>
    <t>Ед. измер.</t>
  </si>
  <si>
    <t>Ценовое предложение №1</t>
  </si>
  <si>
    <t>Ценовое предложение №2</t>
  </si>
  <si>
    <t>Ценовое предложение №3</t>
  </si>
  <si>
    <t>Однородность цен, руб.</t>
  </si>
  <si>
    <t>Коэффициент вариации, %</t>
  </si>
  <si>
    <t>Работник контрактной службы (контрактный управляющий):</t>
  </si>
  <si>
    <t>Специалист по закупкам</t>
  </si>
  <si>
    <t>(должность)</t>
  </si>
  <si>
    <t>(подпись)</t>
  </si>
  <si>
    <t>(расшифровка подписи)</t>
  </si>
  <si>
    <t>Средняя цена за ед. товара, руб.</t>
  </si>
  <si>
    <t>НДС, %</t>
  </si>
  <si>
    <t>Расчетная цена заказчика единицы МИ, 
без НДС, руб.</t>
  </si>
  <si>
    <t>Расчетная цена заказчика единицы МИ, 
с НДС, руб.</t>
  </si>
  <si>
    <t>Обоснование начальной (максимальной) цены контракта</t>
  </si>
  <si>
    <t>НМЦК</t>
  </si>
  <si>
    <t>Расчётная цена</t>
  </si>
  <si>
    <t>Используемый метод определения Н(М)ЦК: в соответствии с приказом Минздрава России от 15.05.2020 N 450н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</t>
  </si>
  <si>
    <t>Обоснование определения Н(М)ЦК: Средневзвешенное значение единицы выявлено методом сопоставимых рыночных цен (анализа рынка) в соответствии с ч. 2-6 статьи 22 Федерального закона от 05 апреля 2013 № 44-ФЗ "О контрактной системе в сфере закупок товаров, работ, услуг для обеспечения государственных и муниципальных нужд"</t>
  </si>
  <si>
    <t>Начальная цена единицы МИ, 
с НДС в соответствии с выделенными лимитами, руб.*</t>
  </si>
  <si>
    <t>НМЦК в соответствии с выделенными лимитами, руб.*</t>
  </si>
  <si>
    <t>Огородников Ю.В.</t>
  </si>
  <si>
    <t>штука</t>
  </si>
  <si>
    <t>* расчет НМЦК произведен согласно п.18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изделий, предусмотренного Приказом Минздрава России от 15.05.2020 N 450н и на основании минимальной стоимости из предложенных поставщиками цен, что соответствует принципу эффективности использования бюджетных средств</t>
  </si>
  <si>
    <t>Поставка лабораторных принадлежностей</t>
  </si>
  <si>
    <t>Тампон-зонд МиниМед стерильный с пробиркой с транспортной средой Эймса</t>
  </si>
  <si>
    <t>Петля м/б нихромовая диам. 3 мм,уп.5шт</t>
  </si>
  <si>
    <t>Наконечник для дозаторов 10-200 мкл, универс.,стерильный, с фильтром,безДНК-аз,РНК-аз,Jet Bio-Filtration, уп.96 шт</t>
  </si>
  <si>
    <t>Наконечник для дозаторов 100-1000мкл, универс.,стерильный, с фильтром, безДНК-аз,РНК-аз,Jet Bio-Filtration, уп.96шт</t>
  </si>
  <si>
    <t>Шпатель (микробиологический ) Дригальского L-форма, 149х39 мм, стер.,п/с,инд.уп, уп.100 шт, Гритмед</t>
  </si>
  <si>
    <t>Петли микробиологические 1 мкл,стер.,п/с,жесткая, ,уп.20 шт., FL medical</t>
  </si>
  <si>
    <t>Чашка Петри одноразовая трехсекционная ЧБН3-В-14*90 ПС ГУ СТЕРИЛЬНО, Перинт, уп.20шт</t>
  </si>
  <si>
    <t>Чашка Петри одноразовая двухсекционная ЧБН2-В-14*90 ПС ГУ СТЕРИЛЬНО, Перинт, уп.20шт</t>
  </si>
  <si>
    <t>Чашка Петри одноразовая ЧБН1-В-14×90 ПС ИУ СТЕРИЛЬНО,  Перинт, инд.уп.</t>
  </si>
  <si>
    <t>Стекло для микропрепаратов по ТУ 9464-012-52876859-2014, покровное 22*22 мм, уп.1000 шт, МиниЛаб</t>
  </si>
  <si>
    <t>Пипетка для переноса жидкости (Пастера) 3 мл. н/стер, уп.100 шт,МиниМед</t>
  </si>
  <si>
    <t>Пипетка для переноса жидкости (Пастера) 1 мл. н/стер, уп. 100 шт, МиниМед</t>
  </si>
  <si>
    <t>Пипетка для переноса жидкости (Пастера) 3 мл.стер, п/эт, уп.100 шт, FL medical</t>
  </si>
  <si>
    <t>набор</t>
  </si>
  <si>
    <t>Пипетка для переноса жидкостей (Пастера) 1 мл, стер, п/эт, уп.100 шт, МиниМед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</si>
</sst>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[$$-409]* #,##0.00_ ;_-[$$-409]* \-#,##0.00\ ;_-[$$-409]* &quot;-&quot;??_ ;_-@_ "/>
    <numFmt numFmtId="165" formatCode="#,##0.00\ _₽"/>
  </numFmts>
  <fonts count="9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4" fillId="0" borderId="0" xfId="0" applyFont="1" applyAlignment="1"/>
    <xf numFmtId="0" fontId="0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" fontId="0" fillId="0" borderId="0" xfId="0" applyNumberFormat="1"/>
    <xf numFmtId="0" fontId="5" fillId="2" borderId="1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65" fontId="7" fillId="3" borderId="1" xfId="0" applyNumberFormat="1" applyFont="1" applyFill="1" applyBorder="1" applyAlignment="1">
      <alignment horizontal="center" vertical="center"/>
    </xf>
    <xf numFmtId="165" fontId="8" fillId="0" borderId="1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2" borderId="1" xfId="0" applyFont="1" applyFill="1" applyBorder="1" applyAlignment="1">
      <alignment horizontal="right" wrapText="1"/>
    </xf>
    <xf numFmtId="0" fontId="4" fillId="0" borderId="6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165" fontId="6" fillId="2" borderId="2" xfId="0" applyNumberFormat="1" applyFont="1" applyFill="1" applyBorder="1" applyAlignment="1">
      <alignment horizontal="center" vertical="center" wrapText="1"/>
    </xf>
    <xf numFmtId="165" fontId="6" fillId="2" borderId="3" xfId="0" applyNumberFormat="1" applyFont="1" applyFill="1" applyBorder="1" applyAlignment="1">
      <alignment horizontal="center" vertical="center" wrapText="1"/>
    </xf>
    <xf numFmtId="165" fontId="6" fillId="2" borderId="4" xfId="0" applyNumberFormat="1" applyFont="1" applyFill="1" applyBorder="1" applyAlignment="1">
      <alignment horizontal="center" vertical="center" wrapText="1"/>
    </xf>
    <xf numFmtId="1" fontId="6" fillId="2" borderId="2" xfId="0" applyNumberFormat="1" applyFont="1" applyFill="1" applyBorder="1" applyAlignment="1">
      <alignment horizontal="center" vertical="center" wrapText="1"/>
    </xf>
    <xf numFmtId="1" fontId="6" fillId="2" borderId="3" xfId="0" applyNumberFormat="1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165" fontId="6" fillId="2" borderId="1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17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55"/>
  <sheetViews>
    <sheetView tabSelected="1" zoomScaleNormal="100" zoomScaleSheetLayoutView="85" workbookViewId="0">
      <selection activeCell="A6" sqref="A6"/>
    </sheetView>
  </sheetViews>
  <sheetFormatPr defaultColWidth="8.85546875" defaultRowHeight="15" x14ac:dyDescent="0.25"/>
  <cols>
    <col min="1" max="1" width="4.140625" customWidth="1"/>
    <col min="2" max="2" width="25" customWidth="1"/>
    <col min="3" max="4" width="17.7109375" customWidth="1"/>
    <col min="5" max="9" width="15.7109375" customWidth="1"/>
    <col min="10" max="10" width="10.7109375" style="6" customWidth="1"/>
    <col min="11" max="11" width="15.7109375" customWidth="1"/>
    <col min="12" max="13" width="10.7109375" customWidth="1"/>
    <col min="14" max="16" width="17.7109375" customWidth="1"/>
  </cols>
  <sheetData>
    <row r="2" spans="1:16" ht="20.100000000000001" customHeight="1" x14ac:dyDescent="0.25">
      <c r="A2" s="28" t="s">
        <v>23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</row>
    <row r="3" spans="1:16" ht="20.100000000000001" customHeight="1" x14ac:dyDescent="0.25">
      <c r="A3" s="28" t="s">
        <v>33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</row>
    <row r="4" spans="1:16" ht="30" customHeight="1" x14ac:dyDescent="0.25">
      <c r="A4" s="29" t="s">
        <v>26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6" ht="30" customHeight="1" x14ac:dyDescent="0.25">
      <c r="A5" s="30" t="s">
        <v>27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6" ht="85.5" x14ac:dyDescent="0.25">
      <c r="A6" s="7" t="s">
        <v>2</v>
      </c>
      <c r="B6" s="7" t="s">
        <v>3</v>
      </c>
      <c r="C6" s="7" t="s">
        <v>4</v>
      </c>
      <c r="D6" s="7" t="s">
        <v>5</v>
      </c>
      <c r="E6" s="8" t="s">
        <v>6</v>
      </c>
      <c r="F6" s="8" t="s">
        <v>19</v>
      </c>
      <c r="G6" s="8" t="s">
        <v>12</v>
      </c>
      <c r="H6" s="8" t="s">
        <v>13</v>
      </c>
      <c r="I6" s="8" t="s">
        <v>21</v>
      </c>
      <c r="J6" s="9" t="s">
        <v>20</v>
      </c>
      <c r="K6" s="8" t="s">
        <v>22</v>
      </c>
      <c r="L6" s="8" t="s">
        <v>8</v>
      </c>
      <c r="M6" s="7" t="s">
        <v>0</v>
      </c>
      <c r="N6" s="8" t="s">
        <v>1</v>
      </c>
      <c r="O6" s="8" t="s">
        <v>28</v>
      </c>
      <c r="P6" s="8" t="s">
        <v>29</v>
      </c>
    </row>
    <row r="7" spans="1:16" ht="30" customHeight="1" x14ac:dyDescent="0.25">
      <c r="A7" s="25">
        <v>1</v>
      </c>
      <c r="B7" s="25" t="s">
        <v>34</v>
      </c>
      <c r="C7" s="32" t="s">
        <v>7</v>
      </c>
      <c r="D7" s="10" t="s">
        <v>9</v>
      </c>
      <c r="E7" s="11">
        <v>25.08</v>
      </c>
      <c r="F7" s="18">
        <f>AVERAGE(E7:E9)</f>
        <v>30.7</v>
      </c>
      <c r="G7" s="18">
        <f>AVERAGE(E7:E9)</f>
        <v>30.7</v>
      </c>
      <c r="H7" s="18">
        <f>ROUND(((STDEV(E7:E9))/(AVERAGE(E7:E9)))*100,2)</f>
        <v>16.690000000000001</v>
      </c>
      <c r="I7" s="18">
        <f>F7/(1+0.01*J7)</f>
        <v>27.909090909090907</v>
      </c>
      <c r="J7" s="21">
        <v>10</v>
      </c>
      <c r="K7" s="18">
        <f>ROUND((I7*(1+0.01*J7)),2)</f>
        <v>30.7</v>
      </c>
      <c r="L7" s="18" t="s">
        <v>47</v>
      </c>
      <c r="M7" s="21">
        <v>300</v>
      </c>
      <c r="N7" s="18">
        <f>K7*M7</f>
        <v>9210</v>
      </c>
      <c r="O7" s="31">
        <f>ROUND(MIN(E7:E9),2)</f>
        <v>25.08</v>
      </c>
      <c r="P7" s="31">
        <f>O7*M7</f>
        <v>7523.9999999999991</v>
      </c>
    </row>
    <row r="8" spans="1:16" ht="30" customHeight="1" x14ac:dyDescent="0.25">
      <c r="A8" s="26"/>
      <c r="B8" s="26"/>
      <c r="C8" s="33"/>
      <c r="D8" s="10" t="s">
        <v>10</v>
      </c>
      <c r="E8" s="11">
        <v>31.91</v>
      </c>
      <c r="F8" s="19"/>
      <c r="G8" s="19"/>
      <c r="H8" s="19"/>
      <c r="I8" s="19"/>
      <c r="J8" s="22"/>
      <c r="K8" s="19"/>
      <c r="L8" s="19"/>
      <c r="M8" s="22"/>
      <c r="N8" s="19"/>
      <c r="O8" s="31"/>
      <c r="P8" s="31"/>
    </row>
    <row r="9" spans="1:16" ht="30" customHeight="1" x14ac:dyDescent="0.25">
      <c r="A9" s="27"/>
      <c r="B9" s="27"/>
      <c r="C9" s="34"/>
      <c r="D9" s="10" t="s">
        <v>11</v>
      </c>
      <c r="E9" s="11">
        <v>35.11</v>
      </c>
      <c r="F9" s="20"/>
      <c r="G9" s="20"/>
      <c r="H9" s="20"/>
      <c r="I9" s="20"/>
      <c r="J9" s="23"/>
      <c r="K9" s="20"/>
      <c r="L9" s="20"/>
      <c r="M9" s="23"/>
      <c r="N9" s="20"/>
      <c r="O9" s="31"/>
      <c r="P9" s="31"/>
    </row>
    <row r="10" spans="1:16" ht="30" customHeight="1" x14ac:dyDescent="0.25">
      <c r="A10" s="25">
        <v>2</v>
      </c>
      <c r="B10" s="25" t="s">
        <v>48</v>
      </c>
      <c r="C10" s="32" t="s">
        <v>7</v>
      </c>
      <c r="D10" s="10" t="s">
        <v>9</v>
      </c>
      <c r="E10" s="11">
        <f>609.84/100</f>
        <v>6.0984000000000007</v>
      </c>
      <c r="F10" s="18">
        <f>AVERAGE(E10:E12)</f>
        <v>7.2718333333333334</v>
      </c>
      <c r="G10" s="18">
        <f>AVERAGE(E10:E12)</f>
        <v>7.2718333333333334</v>
      </c>
      <c r="H10" s="18">
        <f>ROUND(((STDEV(E10:E12))/(AVERAGE(E10:E12)))*100,2)</f>
        <v>14.89</v>
      </c>
      <c r="I10" s="18">
        <f>F10/(1+0.01*J10)</f>
        <v>6.6107575757575754</v>
      </c>
      <c r="J10" s="21">
        <v>10</v>
      </c>
      <c r="K10" s="18">
        <f>ROUND((I10*(1+0.01*J10)),2)</f>
        <v>7.27</v>
      </c>
      <c r="L10" s="18" t="s">
        <v>31</v>
      </c>
      <c r="M10" s="21">
        <v>500</v>
      </c>
      <c r="N10" s="18">
        <f>K10*M10</f>
        <v>3635</v>
      </c>
      <c r="O10" s="31">
        <f>ROUND(MIN(E10:E12),2)</f>
        <v>6.1</v>
      </c>
      <c r="P10" s="31">
        <f>O10*M10</f>
        <v>3050</v>
      </c>
    </row>
    <row r="11" spans="1:16" ht="30" customHeight="1" x14ac:dyDescent="0.25">
      <c r="A11" s="26"/>
      <c r="B11" s="26"/>
      <c r="C11" s="33"/>
      <c r="D11" s="10" t="s">
        <v>10</v>
      </c>
      <c r="E11" s="11">
        <f>748.43/100</f>
        <v>7.4842999999999993</v>
      </c>
      <c r="F11" s="19"/>
      <c r="G11" s="19"/>
      <c r="H11" s="19"/>
      <c r="I11" s="19"/>
      <c r="J11" s="22"/>
      <c r="K11" s="19"/>
      <c r="L11" s="19"/>
      <c r="M11" s="22"/>
      <c r="N11" s="19"/>
      <c r="O11" s="31"/>
      <c r="P11" s="31"/>
    </row>
    <row r="12" spans="1:16" ht="30" customHeight="1" x14ac:dyDescent="0.25">
      <c r="A12" s="27"/>
      <c r="B12" s="27"/>
      <c r="C12" s="34"/>
      <c r="D12" s="10" t="s">
        <v>11</v>
      </c>
      <c r="E12" s="11">
        <f>823.28/100</f>
        <v>8.2327999999999992</v>
      </c>
      <c r="F12" s="20"/>
      <c r="G12" s="20"/>
      <c r="H12" s="20"/>
      <c r="I12" s="20"/>
      <c r="J12" s="23"/>
      <c r="K12" s="20"/>
      <c r="L12" s="20"/>
      <c r="M12" s="23"/>
      <c r="N12" s="20"/>
      <c r="O12" s="31"/>
      <c r="P12" s="31"/>
    </row>
    <row r="13" spans="1:16" ht="30" customHeight="1" x14ac:dyDescent="0.25">
      <c r="A13" s="25">
        <v>3</v>
      </c>
      <c r="B13" s="25" t="s">
        <v>46</v>
      </c>
      <c r="C13" s="32" t="s">
        <v>7</v>
      </c>
      <c r="D13" s="10" t="s">
        <v>9</v>
      </c>
      <c r="E13" s="11">
        <f>2853.18/100</f>
        <v>28.531799999999997</v>
      </c>
      <c r="F13" s="18">
        <f>AVERAGE(E13:E15)</f>
        <v>33.114133333333335</v>
      </c>
      <c r="G13" s="18">
        <f>AVERAGE(E13:E15)</f>
        <v>33.114133333333335</v>
      </c>
      <c r="H13" s="18">
        <f>ROUND(((STDEV(E13:E15))/(AVERAGE(E13:E15)))*100,2)</f>
        <v>13.02</v>
      </c>
      <c r="I13" s="18">
        <f>F13/(1+0.01*J13)</f>
        <v>30.103757575757573</v>
      </c>
      <c r="J13" s="21">
        <v>10</v>
      </c>
      <c r="K13" s="18">
        <f>ROUND((I13*(1+0.01*J13)),2)</f>
        <v>33.11</v>
      </c>
      <c r="L13" s="18" t="s">
        <v>31</v>
      </c>
      <c r="M13" s="21">
        <v>500</v>
      </c>
      <c r="N13" s="18">
        <f>K13*M13</f>
        <v>16555</v>
      </c>
      <c r="O13" s="31">
        <f t="shared" ref="O13" si="0">ROUND(MIN(E13:E15),2)</f>
        <v>28.53</v>
      </c>
      <c r="P13" s="31">
        <f>O13*M13</f>
        <v>14265</v>
      </c>
    </row>
    <row r="14" spans="1:16" ht="30" customHeight="1" x14ac:dyDescent="0.25">
      <c r="A14" s="26"/>
      <c r="B14" s="26"/>
      <c r="C14" s="33"/>
      <c r="D14" s="10" t="s">
        <v>10</v>
      </c>
      <c r="E14" s="11">
        <f>3371.93/100</f>
        <v>33.719299999999997</v>
      </c>
      <c r="F14" s="19"/>
      <c r="G14" s="19"/>
      <c r="H14" s="19"/>
      <c r="I14" s="19"/>
      <c r="J14" s="22"/>
      <c r="K14" s="19"/>
      <c r="L14" s="19"/>
      <c r="M14" s="22"/>
      <c r="N14" s="19"/>
      <c r="O14" s="31"/>
      <c r="P14" s="31"/>
    </row>
    <row r="15" spans="1:16" ht="30" customHeight="1" x14ac:dyDescent="0.25">
      <c r="A15" s="27"/>
      <c r="B15" s="27"/>
      <c r="C15" s="34"/>
      <c r="D15" s="10" t="s">
        <v>11</v>
      </c>
      <c r="E15" s="11">
        <f>3709.13/100</f>
        <v>37.091300000000004</v>
      </c>
      <c r="F15" s="20"/>
      <c r="G15" s="20"/>
      <c r="H15" s="20"/>
      <c r="I15" s="20"/>
      <c r="J15" s="23"/>
      <c r="K15" s="20"/>
      <c r="L15" s="20"/>
      <c r="M15" s="23"/>
      <c r="N15" s="20"/>
      <c r="O15" s="31"/>
      <c r="P15" s="31"/>
    </row>
    <row r="16" spans="1:16" ht="30" customHeight="1" x14ac:dyDescent="0.25">
      <c r="A16" s="25">
        <v>4</v>
      </c>
      <c r="B16" s="25" t="s">
        <v>45</v>
      </c>
      <c r="C16" s="32" t="s">
        <v>7</v>
      </c>
      <c r="D16" s="10" t="s">
        <v>9</v>
      </c>
      <c r="E16" s="11">
        <f>248.1/100</f>
        <v>2.4809999999999999</v>
      </c>
      <c r="F16" s="18">
        <f>AVERAGE(E16:E18)</f>
        <v>2.8794333333333335</v>
      </c>
      <c r="G16" s="18">
        <f>AVERAGE(E16:E18)</f>
        <v>2.8794333333333335</v>
      </c>
      <c r="H16" s="18">
        <f>ROUND(((STDEV(E16:E18))/(AVERAGE(E16:E18)))*100,2)</f>
        <v>13.02</v>
      </c>
      <c r="I16" s="18">
        <f>F16/(1+0.01*J16)</f>
        <v>2.6176666666666666</v>
      </c>
      <c r="J16" s="21">
        <v>10</v>
      </c>
      <c r="K16" s="18">
        <f>ROUND((I16*(1+0.01*J16)),2)</f>
        <v>2.88</v>
      </c>
      <c r="L16" s="18" t="s">
        <v>31</v>
      </c>
      <c r="M16" s="21">
        <v>100</v>
      </c>
      <c r="N16" s="18">
        <f>K16*M16</f>
        <v>288</v>
      </c>
      <c r="O16" s="31">
        <f t="shared" ref="O16" si="1">ROUND(MIN(E16:E18),2)</f>
        <v>2.48</v>
      </c>
      <c r="P16" s="31">
        <f>O16*M16</f>
        <v>248</v>
      </c>
    </row>
    <row r="17" spans="1:16" ht="30" customHeight="1" x14ac:dyDescent="0.25">
      <c r="A17" s="26"/>
      <c r="B17" s="26"/>
      <c r="C17" s="33"/>
      <c r="D17" s="10" t="s">
        <v>10</v>
      </c>
      <c r="E17" s="11">
        <f>293.2/100</f>
        <v>2.9319999999999999</v>
      </c>
      <c r="F17" s="19"/>
      <c r="G17" s="19"/>
      <c r="H17" s="19"/>
      <c r="I17" s="19"/>
      <c r="J17" s="22"/>
      <c r="K17" s="19"/>
      <c r="L17" s="19"/>
      <c r="M17" s="22"/>
      <c r="N17" s="19"/>
      <c r="O17" s="31"/>
      <c r="P17" s="31"/>
    </row>
    <row r="18" spans="1:16" ht="30" customHeight="1" x14ac:dyDescent="0.25">
      <c r="A18" s="27"/>
      <c r="B18" s="27"/>
      <c r="C18" s="34"/>
      <c r="D18" s="10" t="s">
        <v>11</v>
      </c>
      <c r="E18" s="11">
        <f>322.53/100</f>
        <v>3.2252999999999998</v>
      </c>
      <c r="F18" s="20"/>
      <c r="G18" s="20"/>
      <c r="H18" s="20"/>
      <c r="I18" s="20"/>
      <c r="J18" s="23"/>
      <c r="K18" s="20"/>
      <c r="L18" s="20"/>
      <c r="M18" s="23"/>
      <c r="N18" s="20"/>
      <c r="O18" s="31"/>
      <c r="P18" s="31"/>
    </row>
    <row r="19" spans="1:16" ht="30" customHeight="1" x14ac:dyDescent="0.25">
      <c r="A19" s="25">
        <v>5</v>
      </c>
      <c r="B19" s="25" t="s">
        <v>44</v>
      </c>
      <c r="C19" s="32" t="s">
        <v>7</v>
      </c>
      <c r="D19" s="10" t="s">
        <v>9</v>
      </c>
      <c r="E19" s="11">
        <f>260.2/100</f>
        <v>2.6019999999999999</v>
      </c>
      <c r="F19" s="18">
        <f>AVERAGE(E19:E21)</f>
        <v>3.1027</v>
      </c>
      <c r="G19" s="18">
        <f>AVERAGE(E19:E21)</f>
        <v>3.1027</v>
      </c>
      <c r="H19" s="18">
        <f>ROUND(((STDEV(E19:E21))/(AVERAGE(E19:E21)))*100,2)</f>
        <v>14.89</v>
      </c>
      <c r="I19" s="18">
        <f>F19/(1+0.01*J19)</f>
        <v>2.8206363636363636</v>
      </c>
      <c r="J19" s="21">
        <v>10</v>
      </c>
      <c r="K19" s="18">
        <f>ROUND((I19*(1+0.01*J19)),2)</f>
        <v>3.1</v>
      </c>
      <c r="L19" s="18" t="s">
        <v>31</v>
      </c>
      <c r="M19" s="21">
        <v>100</v>
      </c>
      <c r="N19" s="18">
        <f>K19*M19</f>
        <v>310</v>
      </c>
      <c r="O19" s="31">
        <f t="shared" ref="O19" si="2">ROUND(MIN(E19:E21),2)</f>
        <v>2.6</v>
      </c>
      <c r="P19" s="31">
        <f>O19*M19</f>
        <v>260</v>
      </c>
    </row>
    <row r="20" spans="1:16" ht="30" customHeight="1" x14ac:dyDescent="0.25">
      <c r="A20" s="26"/>
      <c r="B20" s="26"/>
      <c r="C20" s="33"/>
      <c r="D20" s="10" t="s">
        <v>10</v>
      </c>
      <c r="E20" s="11">
        <f>319.34/100</f>
        <v>3.1933999999999996</v>
      </c>
      <c r="F20" s="19"/>
      <c r="G20" s="19"/>
      <c r="H20" s="19"/>
      <c r="I20" s="19"/>
      <c r="J20" s="22"/>
      <c r="K20" s="19"/>
      <c r="L20" s="19"/>
      <c r="M20" s="22"/>
      <c r="N20" s="19"/>
      <c r="O20" s="31"/>
      <c r="P20" s="31"/>
    </row>
    <row r="21" spans="1:16" ht="30" customHeight="1" x14ac:dyDescent="0.25">
      <c r="A21" s="27"/>
      <c r="B21" s="27"/>
      <c r="C21" s="34"/>
      <c r="D21" s="10" t="s">
        <v>11</v>
      </c>
      <c r="E21" s="11">
        <f>351.27/100</f>
        <v>3.5126999999999997</v>
      </c>
      <c r="F21" s="20"/>
      <c r="G21" s="20"/>
      <c r="H21" s="20"/>
      <c r="I21" s="20"/>
      <c r="J21" s="23"/>
      <c r="K21" s="20"/>
      <c r="L21" s="20"/>
      <c r="M21" s="23"/>
      <c r="N21" s="20"/>
      <c r="O21" s="31"/>
      <c r="P21" s="31"/>
    </row>
    <row r="22" spans="1:16" ht="30" customHeight="1" x14ac:dyDescent="0.25">
      <c r="A22" s="25">
        <v>6</v>
      </c>
      <c r="B22" s="25" t="s">
        <v>43</v>
      </c>
      <c r="C22" s="32" t="s">
        <v>7</v>
      </c>
      <c r="D22" s="10" t="s">
        <v>9</v>
      </c>
      <c r="E22" s="11">
        <f>566.28/1000</f>
        <v>0.56628000000000001</v>
      </c>
      <c r="F22" s="18">
        <f>AVERAGE(E22:E24)</f>
        <v>0.65722333333333338</v>
      </c>
      <c r="G22" s="18">
        <f>AVERAGE(E22:E24)</f>
        <v>0.65722333333333338</v>
      </c>
      <c r="H22" s="18">
        <f>ROUND(((STDEV(E22:E24))/(AVERAGE(E22:E24)))*100,2)</f>
        <v>13.02</v>
      </c>
      <c r="I22" s="18">
        <f>F22/(1+0.01*J22)</f>
        <v>0.59747575757575755</v>
      </c>
      <c r="J22" s="21">
        <v>10</v>
      </c>
      <c r="K22" s="18">
        <f>ROUND((I22*(1+0.01*J22)),2)</f>
        <v>0.66</v>
      </c>
      <c r="L22" s="18" t="s">
        <v>31</v>
      </c>
      <c r="M22" s="21">
        <v>1000</v>
      </c>
      <c r="N22" s="18">
        <f>K22*M22</f>
        <v>660</v>
      </c>
      <c r="O22" s="31">
        <f t="shared" ref="O22" si="3">ROUND(MIN(E22:E24),2)</f>
        <v>0.56999999999999995</v>
      </c>
      <c r="P22" s="31">
        <f>O22*M22</f>
        <v>570</v>
      </c>
    </row>
    <row r="23" spans="1:16" ht="30" customHeight="1" x14ac:dyDescent="0.25">
      <c r="A23" s="26"/>
      <c r="B23" s="26"/>
      <c r="C23" s="33"/>
      <c r="D23" s="10" t="s">
        <v>10</v>
      </c>
      <c r="E23" s="11">
        <f>669.23/1000</f>
        <v>0.66922999999999999</v>
      </c>
      <c r="F23" s="19"/>
      <c r="G23" s="19"/>
      <c r="H23" s="19"/>
      <c r="I23" s="19"/>
      <c r="J23" s="22"/>
      <c r="K23" s="19"/>
      <c r="L23" s="19"/>
      <c r="M23" s="22"/>
      <c r="N23" s="19"/>
      <c r="O23" s="31"/>
      <c r="P23" s="31"/>
    </row>
    <row r="24" spans="1:16" ht="30" customHeight="1" x14ac:dyDescent="0.25">
      <c r="A24" s="27"/>
      <c r="B24" s="27"/>
      <c r="C24" s="34"/>
      <c r="D24" s="10" t="s">
        <v>11</v>
      </c>
      <c r="E24" s="11">
        <f>736.16/1000</f>
        <v>0.73615999999999993</v>
      </c>
      <c r="F24" s="20"/>
      <c r="G24" s="20"/>
      <c r="H24" s="20"/>
      <c r="I24" s="20"/>
      <c r="J24" s="23"/>
      <c r="K24" s="20"/>
      <c r="L24" s="20"/>
      <c r="M24" s="23"/>
      <c r="N24" s="20"/>
      <c r="O24" s="31"/>
      <c r="P24" s="31"/>
    </row>
    <row r="25" spans="1:16" ht="30" customHeight="1" x14ac:dyDescent="0.25">
      <c r="A25" s="25">
        <v>7</v>
      </c>
      <c r="B25" s="25" t="s">
        <v>42</v>
      </c>
      <c r="C25" s="32" t="s">
        <v>7</v>
      </c>
      <c r="D25" s="10" t="s">
        <v>9</v>
      </c>
      <c r="E25" s="11">
        <v>17.82</v>
      </c>
      <c r="F25" s="18">
        <f>AVERAGE(E25:E27)</f>
        <v>20.66333333333333</v>
      </c>
      <c r="G25" s="18">
        <f>AVERAGE(E25:E27)</f>
        <v>20.66333333333333</v>
      </c>
      <c r="H25" s="18">
        <f>ROUND(((STDEV(E25:E27))/(AVERAGE(E25:E27)))*100,2)</f>
        <v>11.92</v>
      </c>
      <c r="I25" s="18">
        <f>F25/(1+0.01*J25)</f>
        <v>18.784848484848482</v>
      </c>
      <c r="J25" s="21">
        <v>10</v>
      </c>
      <c r="K25" s="18">
        <f>ROUND((I25*(1+0.01*J25)),2)</f>
        <v>20.66</v>
      </c>
      <c r="L25" s="18" t="s">
        <v>31</v>
      </c>
      <c r="M25" s="21">
        <v>700</v>
      </c>
      <c r="N25" s="18">
        <f>K25*M25</f>
        <v>14462</v>
      </c>
      <c r="O25" s="31">
        <f t="shared" ref="O25" si="4">ROUND(MIN(E25:E27),2)</f>
        <v>17.82</v>
      </c>
      <c r="P25" s="31">
        <f>O25*M25</f>
        <v>12474</v>
      </c>
    </row>
    <row r="26" spans="1:16" ht="30" customHeight="1" x14ac:dyDescent="0.25">
      <c r="A26" s="26"/>
      <c r="B26" s="26"/>
      <c r="C26" s="33"/>
      <c r="D26" s="10" t="s">
        <v>10</v>
      </c>
      <c r="E26" s="11">
        <v>22.15</v>
      </c>
      <c r="F26" s="19"/>
      <c r="G26" s="19"/>
      <c r="H26" s="19"/>
      <c r="I26" s="19"/>
      <c r="J26" s="22"/>
      <c r="K26" s="19"/>
      <c r="L26" s="19"/>
      <c r="M26" s="22"/>
      <c r="N26" s="19"/>
      <c r="O26" s="31"/>
      <c r="P26" s="31"/>
    </row>
    <row r="27" spans="1:16" ht="30" customHeight="1" x14ac:dyDescent="0.25">
      <c r="A27" s="27"/>
      <c r="B27" s="27"/>
      <c r="C27" s="34"/>
      <c r="D27" s="10" t="s">
        <v>11</v>
      </c>
      <c r="E27" s="11">
        <v>22.02</v>
      </c>
      <c r="F27" s="20"/>
      <c r="G27" s="20"/>
      <c r="H27" s="20"/>
      <c r="I27" s="20"/>
      <c r="J27" s="23"/>
      <c r="K27" s="20"/>
      <c r="L27" s="20"/>
      <c r="M27" s="23"/>
      <c r="N27" s="20"/>
      <c r="O27" s="31"/>
      <c r="P27" s="31"/>
    </row>
    <row r="28" spans="1:16" ht="30" customHeight="1" x14ac:dyDescent="0.25">
      <c r="A28" s="25">
        <v>8</v>
      </c>
      <c r="B28" s="25" t="s">
        <v>41</v>
      </c>
      <c r="C28" s="32" t="s">
        <v>7</v>
      </c>
      <c r="D28" s="10" t="s">
        <v>9</v>
      </c>
      <c r="E28" s="11">
        <v>18.7</v>
      </c>
      <c r="F28" s="18">
        <f>AVERAGE(E28:E30)</f>
        <v>21.333333333333332</v>
      </c>
      <c r="G28" s="18">
        <f>AVERAGE(E28:E30)</f>
        <v>21.333333333333332</v>
      </c>
      <c r="H28" s="18">
        <f>ROUND(((STDEV(E28:E30))/(AVERAGE(E28:E30)))*100,2)</f>
        <v>10.73</v>
      </c>
      <c r="I28" s="18">
        <f>F28/(1+0.01*J28)</f>
        <v>19.393939393939391</v>
      </c>
      <c r="J28" s="21">
        <v>10</v>
      </c>
      <c r="K28" s="18">
        <f>ROUND((I28*(1+0.01*J28)),2)</f>
        <v>21.33</v>
      </c>
      <c r="L28" s="18" t="s">
        <v>31</v>
      </c>
      <c r="M28" s="21">
        <v>500</v>
      </c>
      <c r="N28" s="18">
        <f>K28*M28</f>
        <v>10665</v>
      </c>
      <c r="O28" s="31">
        <f t="shared" ref="O28" si="5">ROUND(MIN(E28:E30),2)</f>
        <v>18.7</v>
      </c>
      <c r="P28" s="31">
        <f>O28*M28</f>
        <v>9350</v>
      </c>
    </row>
    <row r="29" spans="1:16" ht="30" customHeight="1" x14ac:dyDescent="0.25">
      <c r="A29" s="26"/>
      <c r="B29" s="26"/>
      <c r="C29" s="33"/>
      <c r="D29" s="10" t="s">
        <v>10</v>
      </c>
      <c r="E29" s="11">
        <v>22.85</v>
      </c>
      <c r="F29" s="19"/>
      <c r="G29" s="19"/>
      <c r="H29" s="19"/>
      <c r="I29" s="19"/>
      <c r="J29" s="22"/>
      <c r="K29" s="19"/>
      <c r="L29" s="19"/>
      <c r="M29" s="22"/>
      <c r="N29" s="19"/>
      <c r="O29" s="31"/>
      <c r="P29" s="31"/>
    </row>
    <row r="30" spans="1:16" ht="30" customHeight="1" x14ac:dyDescent="0.25">
      <c r="A30" s="27"/>
      <c r="B30" s="27"/>
      <c r="C30" s="34"/>
      <c r="D30" s="10" t="s">
        <v>11</v>
      </c>
      <c r="E30" s="11">
        <v>22.45</v>
      </c>
      <c r="F30" s="20"/>
      <c r="G30" s="20"/>
      <c r="H30" s="20"/>
      <c r="I30" s="20"/>
      <c r="J30" s="23"/>
      <c r="K30" s="20"/>
      <c r="L30" s="20"/>
      <c r="M30" s="23"/>
      <c r="N30" s="20"/>
      <c r="O30" s="31"/>
      <c r="P30" s="31"/>
    </row>
    <row r="31" spans="1:16" ht="30" customHeight="1" x14ac:dyDescent="0.25">
      <c r="A31" s="25">
        <v>9</v>
      </c>
      <c r="B31" s="25" t="s">
        <v>40</v>
      </c>
      <c r="C31" s="32" t="s">
        <v>7</v>
      </c>
      <c r="D31" s="10" t="s">
        <v>9</v>
      </c>
      <c r="E31" s="11">
        <v>18.7</v>
      </c>
      <c r="F31" s="18">
        <f>AVERAGE(E31:E33)</f>
        <v>21.5</v>
      </c>
      <c r="G31" s="18">
        <f>AVERAGE(E31:E33)</f>
        <v>21.5</v>
      </c>
      <c r="H31" s="18">
        <f>ROUND(((STDEV(E31:E33))/(AVERAGE(E31:E33)))*100,2)</f>
        <v>11.29</v>
      </c>
      <c r="I31" s="18">
        <f>F31/(1+0.01*J31)</f>
        <v>19.545454545454543</v>
      </c>
      <c r="J31" s="21">
        <v>10</v>
      </c>
      <c r="K31" s="18">
        <f>ROUND((I31*(1+0.01*J31)),2)</f>
        <v>21.5</v>
      </c>
      <c r="L31" s="18" t="s">
        <v>31</v>
      </c>
      <c r="M31" s="21">
        <v>500</v>
      </c>
      <c r="N31" s="18">
        <f>K31*M31</f>
        <v>10750</v>
      </c>
      <c r="O31" s="31">
        <f t="shared" ref="O31" si="6">ROUND(MIN(E31:E33),2)</f>
        <v>18.7</v>
      </c>
      <c r="P31" s="31">
        <f>O31*M31</f>
        <v>9350</v>
      </c>
    </row>
    <row r="32" spans="1:16" ht="30" customHeight="1" x14ac:dyDescent="0.25">
      <c r="A32" s="26"/>
      <c r="B32" s="26"/>
      <c r="C32" s="33"/>
      <c r="D32" s="10" t="s">
        <v>10</v>
      </c>
      <c r="E32" s="11">
        <v>23.02</v>
      </c>
      <c r="F32" s="19"/>
      <c r="G32" s="19"/>
      <c r="H32" s="19"/>
      <c r="I32" s="19"/>
      <c r="J32" s="22"/>
      <c r="K32" s="19"/>
      <c r="L32" s="19"/>
      <c r="M32" s="22"/>
      <c r="N32" s="19"/>
      <c r="O32" s="31"/>
      <c r="P32" s="31"/>
    </row>
    <row r="33" spans="1:16" ht="30" customHeight="1" x14ac:dyDescent="0.25">
      <c r="A33" s="27"/>
      <c r="B33" s="27"/>
      <c r="C33" s="34"/>
      <c r="D33" s="10" t="s">
        <v>11</v>
      </c>
      <c r="E33" s="11">
        <v>22.78</v>
      </c>
      <c r="F33" s="20"/>
      <c r="G33" s="20"/>
      <c r="H33" s="20"/>
      <c r="I33" s="20"/>
      <c r="J33" s="23"/>
      <c r="K33" s="20"/>
      <c r="L33" s="20"/>
      <c r="M33" s="23"/>
      <c r="N33" s="20"/>
      <c r="O33" s="31"/>
      <c r="P33" s="31"/>
    </row>
    <row r="34" spans="1:16" ht="30" customHeight="1" x14ac:dyDescent="0.25">
      <c r="A34" s="25">
        <v>10</v>
      </c>
      <c r="B34" s="25" t="s">
        <v>35</v>
      </c>
      <c r="C34" s="32" t="s">
        <v>7</v>
      </c>
      <c r="D34" s="10" t="s">
        <v>9</v>
      </c>
      <c r="E34" s="11">
        <v>47.9</v>
      </c>
      <c r="F34" s="18">
        <f>AVERAGE(E34:E36)</f>
        <v>55.59</v>
      </c>
      <c r="G34" s="18">
        <f>AVERAGE(E34:E36)</f>
        <v>55.59</v>
      </c>
      <c r="H34" s="18">
        <f>ROUND(((STDEV(E34:E36))/(AVERAGE(E34:E36)))*100,2)</f>
        <v>13.02</v>
      </c>
      <c r="I34" s="18">
        <f>F34/(1+0.01*J34)</f>
        <v>55.59</v>
      </c>
      <c r="J34" s="21">
        <v>0</v>
      </c>
      <c r="K34" s="18">
        <f>ROUND((I34*(1+0.01*J34)),2)</f>
        <v>55.59</v>
      </c>
      <c r="L34" s="18" t="s">
        <v>31</v>
      </c>
      <c r="M34" s="21">
        <v>250</v>
      </c>
      <c r="N34" s="18">
        <f>K34*M34</f>
        <v>13897.5</v>
      </c>
      <c r="O34" s="31">
        <f t="shared" ref="O34" si="7">ROUND(MIN(E34:E36),2)</f>
        <v>47.9</v>
      </c>
      <c r="P34" s="31">
        <f>O34*M34</f>
        <v>11975</v>
      </c>
    </row>
    <row r="35" spans="1:16" ht="30" customHeight="1" x14ac:dyDescent="0.25">
      <c r="A35" s="26"/>
      <c r="B35" s="26"/>
      <c r="C35" s="33"/>
      <c r="D35" s="10" t="s">
        <v>10</v>
      </c>
      <c r="E35" s="11">
        <v>56.6</v>
      </c>
      <c r="F35" s="19"/>
      <c r="G35" s="19"/>
      <c r="H35" s="19"/>
      <c r="I35" s="19"/>
      <c r="J35" s="22"/>
      <c r="K35" s="19"/>
      <c r="L35" s="19"/>
      <c r="M35" s="22"/>
      <c r="N35" s="19"/>
      <c r="O35" s="31"/>
      <c r="P35" s="31"/>
    </row>
    <row r="36" spans="1:16" ht="30" customHeight="1" x14ac:dyDescent="0.25">
      <c r="A36" s="27"/>
      <c r="B36" s="27"/>
      <c r="C36" s="34"/>
      <c r="D36" s="10" t="s">
        <v>11</v>
      </c>
      <c r="E36" s="11">
        <v>62.27</v>
      </c>
      <c r="F36" s="20"/>
      <c r="G36" s="20"/>
      <c r="H36" s="20"/>
      <c r="I36" s="20"/>
      <c r="J36" s="23"/>
      <c r="K36" s="20"/>
      <c r="L36" s="20"/>
      <c r="M36" s="23"/>
      <c r="N36" s="20"/>
      <c r="O36" s="31"/>
      <c r="P36" s="31"/>
    </row>
    <row r="37" spans="1:16" ht="30" customHeight="1" x14ac:dyDescent="0.25">
      <c r="A37" s="25">
        <v>11</v>
      </c>
      <c r="B37" s="25" t="s">
        <v>39</v>
      </c>
      <c r="C37" s="32" t="s">
        <v>7</v>
      </c>
      <c r="D37" s="10" t="s">
        <v>9</v>
      </c>
      <c r="E37" s="11">
        <f>113.3/20</f>
        <v>5.665</v>
      </c>
      <c r="F37" s="18">
        <f>AVERAGE(E37:E39)</f>
        <v>6.5756666666666668</v>
      </c>
      <c r="G37" s="18">
        <f>AVERAGE(E37:E39)</f>
        <v>6.5756666666666668</v>
      </c>
      <c r="H37" s="18">
        <f>ROUND(((STDEV(E37:E39))/(AVERAGE(E37:E39)))*100,2)</f>
        <v>13.02</v>
      </c>
      <c r="I37" s="18">
        <f>F37/(1+0.01*J37)</f>
        <v>5.9778787878787876</v>
      </c>
      <c r="J37" s="21">
        <v>10</v>
      </c>
      <c r="K37" s="18">
        <f>ROUND((I37*(1+0.01*J37)),2)</f>
        <v>6.58</v>
      </c>
      <c r="L37" s="18" t="s">
        <v>31</v>
      </c>
      <c r="M37" s="21">
        <v>100</v>
      </c>
      <c r="N37" s="18">
        <f>K37*M37</f>
        <v>658</v>
      </c>
      <c r="O37" s="31">
        <f t="shared" ref="O37" si="8">ROUND(MIN(E37:E39),2)</f>
        <v>5.67</v>
      </c>
      <c r="P37" s="31">
        <f>O37*M37</f>
        <v>567</v>
      </c>
    </row>
    <row r="38" spans="1:16" ht="30" customHeight="1" x14ac:dyDescent="0.25">
      <c r="A38" s="26"/>
      <c r="B38" s="26"/>
      <c r="C38" s="33"/>
      <c r="D38" s="10" t="s">
        <v>10</v>
      </c>
      <c r="E38" s="11">
        <f>133.95/20</f>
        <v>6.6974999999999998</v>
      </c>
      <c r="F38" s="19"/>
      <c r="G38" s="19"/>
      <c r="H38" s="19"/>
      <c r="I38" s="19"/>
      <c r="J38" s="22"/>
      <c r="K38" s="19"/>
      <c r="L38" s="19"/>
      <c r="M38" s="22"/>
      <c r="N38" s="19"/>
      <c r="O38" s="31"/>
      <c r="P38" s="31"/>
    </row>
    <row r="39" spans="1:16" ht="30" customHeight="1" x14ac:dyDescent="0.25">
      <c r="A39" s="27"/>
      <c r="B39" s="27"/>
      <c r="C39" s="34"/>
      <c r="D39" s="10" t="s">
        <v>11</v>
      </c>
      <c r="E39" s="11">
        <f>147.29/20</f>
        <v>7.3644999999999996</v>
      </c>
      <c r="F39" s="20"/>
      <c r="G39" s="20"/>
      <c r="H39" s="20"/>
      <c r="I39" s="20"/>
      <c r="J39" s="23"/>
      <c r="K39" s="20"/>
      <c r="L39" s="20"/>
      <c r="M39" s="23"/>
      <c r="N39" s="20"/>
      <c r="O39" s="31"/>
      <c r="P39" s="31"/>
    </row>
    <row r="40" spans="1:16" ht="30" customHeight="1" x14ac:dyDescent="0.25">
      <c r="A40" s="25">
        <v>12</v>
      </c>
      <c r="B40" s="25" t="s">
        <v>38</v>
      </c>
      <c r="C40" s="32" t="s">
        <v>7</v>
      </c>
      <c r="D40" s="10" t="s">
        <v>9</v>
      </c>
      <c r="E40" s="11">
        <v>8.25</v>
      </c>
      <c r="F40" s="18">
        <f>AVERAGE(E40:E42)</f>
        <v>9.7366666666666664</v>
      </c>
      <c r="G40" s="18">
        <f>AVERAGE(E40:E42)</f>
        <v>9.7366666666666664</v>
      </c>
      <c r="H40" s="18">
        <f>ROUND(((STDEV(E40:E42))/(AVERAGE(E40:E42)))*100,2)</f>
        <v>13.47</v>
      </c>
      <c r="I40" s="18">
        <f>F40/(1+0.01*J40)</f>
        <v>8.8515151515151498</v>
      </c>
      <c r="J40" s="21">
        <v>10</v>
      </c>
      <c r="K40" s="18">
        <f>ROUND((I40*(1+0.01*J40)),2)</f>
        <v>9.74</v>
      </c>
      <c r="L40" s="18" t="s">
        <v>31</v>
      </c>
      <c r="M40" s="21">
        <v>100</v>
      </c>
      <c r="N40" s="18">
        <f>K40*M40</f>
        <v>974</v>
      </c>
      <c r="O40" s="31">
        <f t="shared" ref="O40" si="9">ROUND(MIN(E40:E42),2)</f>
        <v>8.25</v>
      </c>
      <c r="P40" s="31">
        <f>O40*M40</f>
        <v>825</v>
      </c>
    </row>
    <row r="41" spans="1:16" ht="30" customHeight="1" x14ac:dyDescent="0.25">
      <c r="A41" s="26"/>
      <c r="B41" s="26"/>
      <c r="C41" s="33"/>
      <c r="D41" s="10" t="s">
        <v>10</v>
      </c>
      <c r="E41" s="11">
        <v>10.23</v>
      </c>
      <c r="F41" s="19"/>
      <c r="G41" s="19"/>
      <c r="H41" s="19"/>
      <c r="I41" s="19"/>
      <c r="J41" s="22"/>
      <c r="K41" s="19"/>
      <c r="L41" s="19"/>
      <c r="M41" s="22"/>
      <c r="N41" s="19"/>
      <c r="O41" s="31"/>
      <c r="P41" s="31"/>
    </row>
    <row r="42" spans="1:16" ht="30" customHeight="1" x14ac:dyDescent="0.25">
      <c r="A42" s="27"/>
      <c r="B42" s="27"/>
      <c r="C42" s="34"/>
      <c r="D42" s="10" t="s">
        <v>11</v>
      </c>
      <c r="E42" s="11">
        <v>10.73</v>
      </c>
      <c r="F42" s="20"/>
      <c r="G42" s="20"/>
      <c r="H42" s="20"/>
      <c r="I42" s="20"/>
      <c r="J42" s="23"/>
      <c r="K42" s="20"/>
      <c r="L42" s="20"/>
      <c r="M42" s="23"/>
      <c r="N42" s="20"/>
      <c r="O42" s="31"/>
      <c r="P42" s="31"/>
    </row>
    <row r="43" spans="1:16" ht="30" customHeight="1" x14ac:dyDescent="0.25">
      <c r="A43" s="25">
        <v>13</v>
      </c>
      <c r="B43" s="25" t="s">
        <v>37</v>
      </c>
      <c r="C43" s="32" t="s">
        <v>7</v>
      </c>
      <c r="D43" s="10" t="s">
        <v>9</v>
      </c>
      <c r="E43" s="11">
        <f>969.21/96</f>
        <v>10.0959375</v>
      </c>
      <c r="F43" s="18">
        <f>AVERAGE(E43:E45)</f>
        <v>12.042083333333332</v>
      </c>
      <c r="G43" s="18">
        <f>AVERAGE(E43:E45)</f>
        <v>12.042083333333332</v>
      </c>
      <c r="H43" s="18">
        <f>ROUND(((STDEV(E43:E45))/(AVERAGE(E43:E45)))*100,2)</f>
        <v>14.9</v>
      </c>
      <c r="I43" s="18">
        <f>F43/(1+0.01*J43)</f>
        <v>10.947348484848483</v>
      </c>
      <c r="J43" s="21">
        <v>10</v>
      </c>
      <c r="K43" s="18">
        <f>ROUND((I43*(1+0.01*J43)),2)</f>
        <v>12.04</v>
      </c>
      <c r="L43" s="18" t="s">
        <v>31</v>
      </c>
      <c r="M43" s="21">
        <v>960</v>
      </c>
      <c r="N43" s="18">
        <f>K43*M43</f>
        <v>11558.4</v>
      </c>
      <c r="O43" s="31">
        <f t="shared" ref="O43" si="10">ROUND(MIN(E43:E45),2)</f>
        <v>10.1</v>
      </c>
      <c r="P43" s="31">
        <f>O43*M43</f>
        <v>9696</v>
      </c>
    </row>
    <row r="44" spans="1:16" ht="30" customHeight="1" x14ac:dyDescent="0.25">
      <c r="A44" s="26"/>
      <c r="B44" s="26"/>
      <c r="C44" s="33"/>
      <c r="D44" s="10" t="s">
        <v>10</v>
      </c>
      <c r="E44" s="11">
        <f>1190.48/96</f>
        <v>12.400833333333333</v>
      </c>
      <c r="F44" s="19"/>
      <c r="G44" s="19"/>
      <c r="H44" s="19"/>
      <c r="I44" s="19"/>
      <c r="J44" s="22"/>
      <c r="K44" s="19"/>
      <c r="L44" s="19"/>
      <c r="M44" s="22"/>
      <c r="N44" s="19"/>
      <c r="O44" s="31"/>
      <c r="P44" s="31"/>
    </row>
    <row r="45" spans="1:16" ht="30" customHeight="1" x14ac:dyDescent="0.25">
      <c r="A45" s="27"/>
      <c r="B45" s="27"/>
      <c r="C45" s="34"/>
      <c r="D45" s="10" t="s">
        <v>11</v>
      </c>
      <c r="E45" s="11">
        <f>1308.43/96</f>
        <v>13.629479166666668</v>
      </c>
      <c r="F45" s="20"/>
      <c r="G45" s="20"/>
      <c r="H45" s="20"/>
      <c r="I45" s="20"/>
      <c r="J45" s="23"/>
      <c r="K45" s="20"/>
      <c r="L45" s="20"/>
      <c r="M45" s="23"/>
      <c r="N45" s="20"/>
      <c r="O45" s="31"/>
      <c r="P45" s="31"/>
    </row>
    <row r="46" spans="1:16" ht="30" customHeight="1" x14ac:dyDescent="0.25">
      <c r="A46" s="25">
        <v>14</v>
      </c>
      <c r="B46" s="25" t="s">
        <v>36</v>
      </c>
      <c r="C46" s="32" t="s">
        <v>7</v>
      </c>
      <c r="D46" s="10" t="s">
        <v>9</v>
      </c>
      <c r="E46" s="11">
        <f>687.5/96</f>
        <v>7.161458333333333</v>
      </c>
      <c r="F46" s="18">
        <f>AVERAGE(E46:E48)</f>
        <v>8.5933333333333337</v>
      </c>
      <c r="G46" s="18">
        <f>AVERAGE(E46:E48)</f>
        <v>8.5933333333333337</v>
      </c>
      <c r="H46" s="18">
        <f>ROUND(((STDEV(E46:E48))/(AVERAGE(E46:E48)))*100,2)</f>
        <v>15.02</v>
      </c>
      <c r="I46" s="18">
        <f>F46/(1+0.01*J46)</f>
        <v>7.8121212121212116</v>
      </c>
      <c r="J46" s="21">
        <v>10</v>
      </c>
      <c r="K46" s="18">
        <f>ROUND((I46*(1+0.01*J46)),2)</f>
        <v>8.59</v>
      </c>
      <c r="L46" s="18" t="s">
        <v>31</v>
      </c>
      <c r="M46" s="21">
        <v>960</v>
      </c>
      <c r="N46" s="18">
        <f>K46*M46</f>
        <v>8246.4</v>
      </c>
      <c r="O46" s="31">
        <f>ROUND(MIN(E46:E48),2)</f>
        <v>7.16</v>
      </c>
      <c r="P46" s="31">
        <f>O46*M46</f>
        <v>6873.6</v>
      </c>
    </row>
    <row r="47" spans="1:16" ht="30" customHeight="1" x14ac:dyDescent="0.25">
      <c r="A47" s="26"/>
      <c r="B47" s="26"/>
      <c r="C47" s="33"/>
      <c r="D47" s="10" t="s">
        <v>10</v>
      </c>
      <c r="E47" s="11">
        <f>859.26/96</f>
        <v>8.9506250000000005</v>
      </c>
      <c r="F47" s="19"/>
      <c r="G47" s="19"/>
      <c r="H47" s="19"/>
      <c r="I47" s="19"/>
      <c r="J47" s="22"/>
      <c r="K47" s="19"/>
      <c r="L47" s="19"/>
      <c r="M47" s="22"/>
      <c r="N47" s="19"/>
      <c r="O47" s="31"/>
      <c r="P47" s="31"/>
    </row>
    <row r="48" spans="1:16" ht="30" customHeight="1" x14ac:dyDescent="0.25">
      <c r="A48" s="27"/>
      <c r="B48" s="27"/>
      <c r="C48" s="34"/>
      <c r="D48" s="10" t="s">
        <v>11</v>
      </c>
      <c r="E48" s="11">
        <f>928.12/96</f>
        <v>9.6679166666666667</v>
      </c>
      <c r="F48" s="20"/>
      <c r="G48" s="20"/>
      <c r="H48" s="20"/>
      <c r="I48" s="20"/>
      <c r="J48" s="23"/>
      <c r="K48" s="20"/>
      <c r="L48" s="20"/>
      <c r="M48" s="23"/>
      <c r="N48" s="20"/>
      <c r="O48" s="31"/>
      <c r="P48" s="31"/>
    </row>
    <row r="49" spans="1:16" ht="17.25" customHeight="1" x14ac:dyDescent="0.25">
      <c r="A49" s="15" t="s">
        <v>25</v>
      </c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2">
        <f>SUM(N7:N48)</f>
        <v>101869.29999999999</v>
      </c>
      <c r="O49" s="12" t="s">
        <v>24</v>
      </c>
      <c r="P49" s="12">
        <f>SUM(P7:P48)</f>
        <v>87027.6</v>
      </c>
    </row>
    <row r="51" spans="1:16" ht="45" customHeight="1" x14ac:dyDescent="0.25">
      <c r="A51" s="24" t="s">
        <v>32</v>
      </c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3" spans="1:16" x14ac:dyDescent="0.25">
      <c r="A53" s="1" t="s">
        <v>14</v>
      </c>
      <c r="B53" s="2"/>
      <c r="C53" s="2"/>
      <c r="D53" s="2"/>
      <c r="E53" s="2"/>
    </row>
    <row r="54" spans="1:16" x14ac:dyDescent="0.25">
      <c r="A54" s="3"/>
      <c r="B54" s="4" t="s">
        <v>15</v>
      </c>
      <c r="C54" s="4"/>
      <c r="D54" s="13" t="s">
        <v>30</v>
      </c>
      <c r="E54" s="14"/>
    </row>
    <row r="55" spans="1:16" x14ac:dyDescent="0.25">
      <c r="A55" s="3"/>
      <c r="B55" s="5" t="s">
        <v>16</v>
      </c>
      <c r="C55" s="5" t="s">
        <v>17</v>
      </c>
      <c r="D55" s="16" t="s">
        <v>18</v>
      </c>
      <c r="E55" s="17"/>
    </row>
  </sheetData>
  <mergeCells count="204">
    <mergeCell ref="M46:M48"/>
    <mergeCell ref="N46:N48"/>
    <mergeCell ref="O46:O48"/>
    <mergeCell ref="P46:P48"/>
    <mergeCell ref="H46:H48"/>
    <mergeCell ref="I46:I48"/>
    <mergeCell ref="J46:J48"/>
    <mergeCell ref="K46:K48"/>
    <mergeCell ref="L46:L48"/>
    <mergeCell ref="A46:A48"/>
    <mergeCell ref="B46:B48"/>
    <mergeCell ref="C46:C48"/>
    <mergeCell ref="F46:F48"/>
    <mergeCell ref="G46:G48"/>
    <mergeCell ref="M43:M45"/>
    <mergeCell ref="N43:N45"/>
    <mergeCell ref="O43:O45"/>
    <mergeCell ref="P43:P45"/>
    <mergeCell ref="H43:H45"/>
    <mergeCell ref="I43:I45"/>
    <mergeCell ref="J43:J45"/>
    <mergeCell ref="K43:K45"/>
    <mergeCell ref="L43:L45"/>
    <mergeCell ref="A43:A45"/>
    <mergeCell ref="B43:B45"/>
    <mergeCell ref="C43:C45"/>
    <mergeCell ref="F43:F45"/>
    <mergeCell ref="G43:G45"/>
    <mergeCell ref="O37:O39"/>
    <mergeCell ref="P37:P39"/>
    <mergeCell ref="A40:A42"/>
    <mergeCell ref="B40:B42"/>
    <mergeCell ref="C40:C42"/>
    <mergeCell ref="F40:F42"/>
    <mergeCell ref="G40:G42"/>
    <mergeCell ref="H40:H42"/>
    <mergeCell ref="I40:I42"/>
    <mergeCell ref="J40:J42"/>
    <mergeCell ref="K40:K42"/>
    <mergeCell ref="L40:L42"/>
    <mergeCell ref="M40:M42"/>
    <mergeCell ref="N40:N42"/>
    <mergeCell ref="O40:O42"/>
    <mergeCell ref="P40:P42"/>
    <mergeCell ref="M34:M36"/>
    <mergeCell ref="N34:N36"/>
    <mergeCell ref="O34:O36"/>
    <mergeCell ref="P34:P36"/>
    <mergeCell ref="A37:A39"/>
    <mergeCell ref="B37:B39"/>
    <mergeCell ref="C37:C39"/>
    <mergeCell ref="F37:F39"/>
    <mergeCell ref="G37:G39"/>
    <mergeCell ref="H37:H39"/>
    <mergeCell ref="I37:I39"/>
    <mergeCell ref="J37:J39"/>
    <mergeCell ref="K37:K39"/>
    <mergeCell ref="L37:L39"/>
    <mergeCell ref="M37:M39"/>
    <mergeCell ref="N37:N39"/>
    <mergeCell ref="H34:H36"/>
    <mergeCell ref="I34:I36"/>
    <mergeCell ref="J34:J36"/>
    <mergeCell ref="K34:K36"/>
    <mergeCell ref="L34:L36"/>
    <mergeCell ref="A34:A36"/>
    <mergeCell ref="B34:B36"/>
    <mergeCell ref="C34:C36"/>
    <mergeCell ref="F34:F36"/>
    <mergeCell ref="G34:G36"/>
    <mergeCell ref="O28:O30"/>
    <mergeCell ref="P28:P30"/>
    <mergeCell ref="A31:A33"/>
    <mergeCell ref="B31:B33"/>
    <mergeCell ref="C31:C33"/>
    <mergeCell ref="F31:F33"/>
    <mergeCell ref="G31:G33"/>
    <mergeCell ref="H31:H33"/>
    <mergeCell ref="I31:I33"/>
    <mergeCell ref="J31:J33"/>
    <mergeCell ref="K31:K33"/>
    <mergeCell ref="L31:L33"/>
    <mergeCell ref="M31:M33"/>
    <mergeCell ref="N31:N33"/>
    <mergeCell ref="O31:O33"/>
    <mergeCell ref="P31:P33"/>
    <mergeCell ref="M25:M27"/>
    <mergeCell ref="N25:N27"/>
    <mergeCell ref="O25:O27"/>
    <mergeCell ref="P25:P27"/>
    <mergeCell ref="A28:A30"/>
    <mergeCell ref="B28:B30"/>
    <mergeCell ref="C28:C30"/>
    <mergeCell ref="F28:F30"/>
    <mergeCell ref="G28:G30"/>
    <mergeCell ref="H28:H30"/>
    <mergeCell ref="I28:I30"/>
    <mergeCell ref="J28:J30"/>
    <mergeCell ref="K28:K30"/>
    <mergeCell ref="L28:L30"/>
    <mergeCell ref="M28:M30"/>
    <mergeCell ref="N28:N30"/>
    <mergeCell ref="H25:H27"/>
    <mergeCell ref="I25:I27"/>
    <mergeCell ref="J25:J27"/>
    <mergeCell ref="K25:K27"/>
    <mergeCell ref="L25:L27"/>
    <mergeCell ref="A25:A27"/>
    <mergeCell ref="B25:B27"/>
    <mergeCell ref="C25:C27"/>
    <mergeCell ref="F25:F27"/>
    <mergeCell ref="G25:G27"/>
    <mergeCell ref="O19:O21"/>
    <mergeCell ref="P19:P21"/>
    <mergeCell ref="A22:A24"/>
    <mergeCell ref="B22:B24"/>
    <mergeCell ref="C22:C24"/>
    <mergeCell ref="F22:F24"/>
    <mergeCell ref="G22:G24"/>
    <mergeCell ref="H22:H24"/>
    <mergeCell ref="I22:I24"/>
    <mergeCell ref="J22:J24"/>
    <mergeCell ref="K22:K24"/>
    <mergeCell ref="L22:L24"/>
    <mergeCell ref="M22:M24"/>
    <mergeCell ref="N22:N24"/>
    <mergeCell ref="O22:O24"/>
    <mergeCell ref="P22:P24"/>
    <mergeCell ref="M16:M18"/>
    <mergeCell ref="N16:N18"/>
    <mergeCell ref="O16:O18"/>
    <mergeCell ref="P16:P18"/>
    <mergeCell ref="A19:A21"/>
    <mergeCell ref="B19:B21"/>
    <mergeCell ref="C19:C21"/>
    <mergeCell ref="F19:F21"/>
    <mergeCell ref="G19:G21"/>
    <mergeCell ref="H19:H21"/>
    <mergeCell ref="I19:I21"/>
    <mergeCell ref="J19:J21"/>
    <mergeCell ref="K19:K21"/>
    <mergeCell ref="L19:L21"/>
    <mergeCell ref="M19:M21"/>
    <mergeCell ref="N19:N21"/>
    <mergeCell ref="H16:H18"/>
    <mergeCell ref="I16:I18"/>
    <mergeCell ref="J16:J18"/>
    <mergeCell ref="K16:K18"/>
    <mergeCell ref="L16:L18"/>
    <mergeCell ref="A16:A18"/>
    <mergeCell ref="B16:B18"/>
    <mergeCell ref="C16:C18"/>
    <mergeCell ref="F16:F18"/>
    <mergeCell ref="G16:G18"/>
    <mergeCell ref="P10:P12"/>
    <mergeCell ref="A13:A15"/>
    <mergeCell ref="B13:B15"/>
    <mergeCell ref="C13:C15"/>
    <mergeCell ref="F13:F15"/>
    <mergeCell ref="G13:G15"/>
    <mergeCell ref="H13:H15"/>
    <mergeCell ref="I13:I15"/>
    <mergeCell ref="J13:J15"/>
    <mergeCell ref="K13:K15"/>
    <mergeCell ref="L13:L15"/>
    <mergeCell ref="M13:M15"/>
    <mergeCell ref="N13:N15"/>
    <mergeCell ref="O13:O15"/>
    <mergeCell ref="P13:P15"/>
    <mergeCell ref="K10:K12"/>
    <mergeCell ref="L10:L12"/>
    <mergeCell ref="M10:M12"/>
    <mergeCell ref="N10:N12"/>
    <mergeCell ref="O10:O12"/>
    <mergeCell ref="F10:F12"/>
    <mergeCell ref="G10:G12"/>
    <mergeCell ref="H10:H12"/>
    <mergeCell ref="I10:I12"/>
    <mergeCell ref="J10:J12"/>
    <mergeCell ref="A2:P2"/>
    <mergeCell ref="A3:P3"/>
    <mergeCell ref="A4:P4"/>
    <mergeCell ref="A5:P5"/>
    <mergeCell ref="O7:O9"/>
    <mergeCell ref="P7:P9"/>
    <mergeCell ref="N7:N9"/>
    <mergeCell ref="B7:B9"/>
    <mergeCell ref="C7:C9"/>
    <mergeCell ref="D54:E54"/>
    <mergeCell ref="A49:M49"/>
    <mergeCell ref="D55:E55"/>
    <mergeCell ref="L7:L9"/>
    <mergeCell ref="I7:I9"/>
    <mergeCell ref="H7:H9"/>
    <mergeCell ref="G7:G9"/>
    <mergeCell ref="F7:F9"/>
    <mergeCell ref="J7:J9"/>
    <mergeCell ref="K7:K9"/>
    <mergeCell ref="A51:P51"/>
    <mergeCell ref="A7:A9"/>
    <mergeCell ref="M7:M9"/>
    <mergeCell ref="A10:A12"/>
    <mergeCell ref="B10:B12"/>
    <mergeCell ref="C10:C12"/>
  </mergeCells>
  <phoneticPr fontId="1" type="noConversion"/>
  <conditionalFormatting sqref="H7:H9">
    <cfRule type="cellIs" dxfId="16" priority="58" operator="greaterThan">
      <formula>33</formula>
    </cfRule>
  </conditionalFormatting>
  <conditionalFormatting sqref="P49">
    <cfRule type="expression" dxfId="15" priority="20">
      <formula>$N$49&lt;$P$49</formula>
    </cfRule>
  </conditionalFormatting>
  <conditionalFormatting sqref="H10:H12">
    <cfRule type="cellIs" dxfId="14" priority="15" operator="greaterThan">
      <formula>33</formula>
    </cfRule>
  </conditionalFormatting>
  <conditionalFormatting sqref="H13:H15">
    <cfRule type="cellIs" dxfId="13" priority="14" operator="greaterThan">
      <formula>33</formula>
    </cfRule>
  </conditionalFormatting>
  <conditionalFormatting sqref="H16:H18">
    <cfRule type="cellIs" dxfId="12" priority="13" operator="greaterThan">
      <formula>33</formula>
    </cfRule>
  </conditionalFormatting>
  <conditionalFormatting sqref="H19:H21">
    <cfRule type="cellIs" dxfId="11" priority="12" operator="greaterThan">
      <formula>33</formula>
    </cfRule>
  </conditionalFormatting>
  <conditionalFormatting sqref="H22:H24">
    <cfRule type="cellIs" dxfId="10" priority="11" operator="greaterThan">
      <formula>33</formula>
    </cfRule>
  </conditionalFormatting>
  <conditionalFormatting sqref="H25:H27">
    <cfRule type="cellIs" dxfId="9" priority="10" operator="greaterThan">
      <formula>33</formula>
    </cfRule>
  </conditionalFormatting>
  <conditionalFormatting sqref="H28:H30">
    <cfRule type="cellIs" dxfId="8" priority="9" operator="greaterThan">
      <formula>33</formula>
    </cfRule>
  </conditionalFormatting>
  <conditionalFormatting sqref="H31:H33">
    <cfRule type="cellIs" dxfId="7" priority="8" operator="greaterThan">
      <formula>33</formula>
    </cfRule>
  </conditionalFormatting>
  <conditionalFormatting sqref="H34:H36">
    <cfRule type="cellIs" dxfId="6" priority="7" operator="greaterThan">
      <formula>33</formula>
    </cfRule>
  </conditionalFormatting>
  <conditionalFormatting sqref="H37:H39">
    <cfRule type="cellIs" dxfId="5" priority="6" operator="greaterThan">
      <formula>33</formula>
    </cfRule>
  </conditionalFormatting>
  <conditionalFormatting sqref="H40:H42">
    <cfRule type="cellIs" dxfId="4" priority="5" operator="greaterThan">
      <formula>33</formula>
    </cfRule>
  </conditionalFormatting>
  <conditionalFormatting sqref="H43:H45">
    <cfRule type="cellIs" dxfId="3" priority="4" operator="greaterThan">
      <formula>33</formula>
    </cfRule>
  </conditionalFormatting>
  <conditionalFormatting sqref="H46:H48">
    <cfRule type="cellIs" dxfId="0" priority="1" operator="greaterThan">
      <formula>33</formula>
    </cfRule>
  </conditionalFormatting>
  <pageMargins left="0.39370078740157483" right="0.39370078740157483" top="0.39370078740157483" bottom="0.39370078740157483" header="0.31496062992125984" footer="0.31496062992125984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Обоснование НМЦК</vt:lpstr>
      <vt:lpstr>'Обоснование НМЦК'!Область_печати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Alekseeva_a</dc:creator>
  <cp:lastModifiedBy>User</cp:lastModifiedBy>
  <cp:lastPrinted>2025-05-15T06:39:28Z</cp:lastPrinted>
  <dcterms:created xsi:type="dcterms:W3CDTF">2018-10-01T14:43:23Z</dcterms:created>
  <dcterms:modified xsi:type="dcterms:W3CDTF">2026-08-24T14:30:13Z</dcterms:modified>
</cp:coreProperties>
</file>