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Ремонт помещений\"/>
    </mc:Choice>
  </mc:AlternateContent>
  <bookViews>
    <workbookView xWindow="0" yWindow="0" windowWidth="14280" windowHeight="9750"/>
  </bookViews>
  <sheets>
    <sheet name="Смета по ФСНБ 421+557прРИМ" sheetId="7" r:id="rId1"/>
    <sheet name="Дефектная ведомость" sheetId="8" r:id="rId2"/>
    <sheet name="Конъюнктурный анализ" sheetId="9" r:id="rId3"/>
    <sheet name="Source" sheetId="1" r:id="rId4"/>
    <sheet name="SourceObSm" sheetId="2" r:id="rId5"/>
    <sheet name="SmtRes" sheetId="3" r:id="rId6"/>
    <sheet name="EtalonRes" sheetId="4" r:id="rId7"/>
    <sheet name="SrcPoprs" sheetId="5" r:id="rId8"/>
    <sheet name="SrcKA" sheetId="6" r:id="rId9"/>
  </sheets>
  <definedNames>
    <definedName name="_xlnm.Print_Titles" localSheetId="1">'Дефектная ведомость'!$18:$18</definedName>
    <definedName name="_xlnm.Print_Titles" localSheetId="2">'Конъюнктурный анализ'!$19:$19</definedName>
    <definedName name="_xlnm.Print_Titles" localSheetId="0">'Смета по ФСНБ 421+557прРИМ'!$59:$59</definedName>
    <definedName name="_xlnm.Print_Area" localSheetId="1">'Дефектная ведомость'!$A$1:$E$42</definedName>
    <definedName name="_xlnm.Print_Area" localSheetId="2">'Конъюнктурный анализ'!$A$1:$Z$37</definedName>
    <definedName name="_xlnm.Print_Area" localSheetId="0">'Смета по ФСНБ 421+557прРИМ'!$A$1:$L$504</definedName>
  </definedNames>
  <calcPr calcId="162913"/>
</workbook>
</file>

<file path=xl/calcChain.xml><?xml version="1.0" encoding="utf-8"?>
<calcChain xmlns="http://schemas.openxmlformats.org/spreadsheetml/2006/main">
  <c r="Y26" i="9" l="1"/>
  <c r="X26" i="9"/>
  <c r="W26" i="9"/>
  <c r="V26" i="9"/>
  <c r="U26" i="9"/>
  <c r="T26" i="9"/>
  <c r="Q26" i="9"/>
  <c r="I26" i="9"/>
  <c r="H26" i="9"/>
  <c r="Z26" i="9"/>
  <c r="P26" i="9"/>
  <c r="M26" i="9"/>
  <c r="L26" i="9"/>
  <c r="K26" i="9"/>
  <c r="J26" i="9"/>
  <c r="G26" i="9"/>
  <c r="F26" i="9"/>
  <c r="E26" i="9"/>
  <c r="D26" i="9"/>
  <c r="C26" i="9"/>
  <c r="B26" i="9"/>
  <c r="Y25" i="9"/>
  <c r="X25" i="9"/>
  <c r="W25" i="9"/>
  <c r="V25" i="9"/>
  <c r="U25" i="9"/>
  <c r="T25" i="9"/>
  <c r="Q25" i="9"/>
  <c r="I25" i="9"/>
  <c r="H25" i="9"/>
  <c r="Z25" i="9"/>
  <c r="P25" i="9"/>
  <c r="M25" i="9"/>
  <c r="L25" i="9"/>
  <c r="K25" i="9"/>
  <c r="J25" i="9"/>
  <c r="G25" i="9"/>
  <c r="F25" i="9"/>
  <c r="E25" i="9"/>
  <c r="D25" i="9"/>
  <c r="C25" i="9"/>
  <c r="B25" i="9"/>
  <c r="Y24" i="9"/>
  <c r="X24" i="9"/>
  <c r="W24" i="9"/>
  <c r="V24" i="9"/>
  <c r="U24" i="9"/>
  <c r="T24" i="9"/>
  <c r="Q24" i="9"/>
  <c r="I24" i="9"/>
  <c r="H24" i="9"/>
  <c r="Z24" i="9"/>
  <c r="P24" i="9"/>
  <c r="M24" i="9"/>
  <c r="L24" i="9"/>
  <c r="K24" i="9"/>
  <c r="J24" i="9"/>
  <c r="G24" i="9"/>
  <c r="F24" i="9"/>
  <c r="E24" i="9"/>
  <c r="D24" i="9"/>
  <c r="C24" i="9"/>
  <c r="B24" i="9"/>
  <c r="Y23" i="9"/>
  <c r="X23" i="9"/>
  <c r="W23" i="9"/>
  <c r="V23" i="9"/>
  <c r="U23" i="9"/>
  <c r="T23" i="9"/>
  <c r="Q23" i="9"/>
  <c r="I23" i="9"/>
  <c r="H23" i="9"/>
  <c r="Z23" i="9"/>
  <c r="P23" i="9"/>
  <c r="M23" i="9"/>
  <c r="L23" i="9"/>
  <c r="K23" i="9"/>
  <c r="J23" i="9"/>
  <c r="G23" i="9"/>
  <c r="F23" i="9"/>
  <c r="E23" i="9"/>
  <c r="D23" i="9"/>
  <c r="C23" i="9"/>
  <c r="B23" i="9"/>
  <c r="Y22" i="9"/>
  <c r="X22" i="9"/>
  <c r="W22" i="9"/>
  <c r="V22" i="9"/>
  <c r="U22" i="9"/>
  <c r="T22" i="9"/>
  <c r="Q22" i="9"/>
  <c r="I22" i="9"/>
  <c r="H22" i="9"/>
  <c r="Z22" i="9"/>
  <c r="P22" i="9"/>
  <c r="M22" i="9"/>
  <c r="L22" i="9"/>
  <c r="K22" i="9"/>
  <c r="J22" i="9"/>
  <c r="G22" i="9"/>
  <c r="F22" i="9"/>
  <c r="E22" i="9"/>
  <c r="D22" i="9"/>
  <c r="C22" i="9"/>
  <c r="B22" i="9"/>
  <c r="Y21" i="9"/>
  <c r="X21" i="9"/>
  <c r="W21" i="9"/>
  <c r="V21" i="9"/>
  <c r="U21" i="9"/>
  <c r="T21" i="9"/>
  <c r="Q21" i="9"/>
  <c r="I21" i="9"/>
  <c r="H21" i="9"/>
  <c r="Z21" i="9"/>
  <c r="P21" i="9"/>
  <c r="M21" i="9"/>
  <c r="L21" i="9"/>
  <c r="K21" i="9"/>
  <c r="J21" i="9"/>
  <c r="G21" i="9"/>
  <c r="F21" i="9"/>
  <c r="E21" i="9"/>
  <c r="D21" i="9"/>
  <c r="C21" i="9"/>
  <c r="B21" i="9"/>
  <c r="A20" i="9"/>
  <c r="D37" i="8"/>
  <c r="C37" i="8"/>
  <c r="B37" i="8"/>
  <c r="D36" i="8"/>
  <c r="C36" i="8"/>
  <c r="B36" i="8"/>
  <c r="A35" i="8"/>
  <c r="C34" i="8"/>
  <c r="B34" i="8"/>
  <c r="A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A23" i="8"/>
  <c r="A22" i="8"/>
  <c r="C21" i="8"/>
  <c r="B21" i="8"/>
  <c r="A20" i="8"/>
  <c r="A19" i="8"/>
  <c r="AD12" i="8"/>
  <c r="A12" i="8"/>
  <c r="A11" i="8"/>
  <c r="A1" i="8"/>
  <c r="H502" i="7"/>
  <c r="H499" i="7"/>
  <c r="L496" i="7"/>
  <c r="C496" i="7"/>
  <c r="L495" i="7"/>
  <c r="C495" i="7"/>
  <c r="L494" i="7"/>
  <c r="C494" i="7"/>
  <c r="L490" i="7"/>
  <c r="L486" i="7"/>
  <c r="L485" i="7"/>
  <c r="L483" i="7" s="1"/>
  <c r="L478" i="7"/>
  <c r="L474" i="7"/>
  <c r="L462" i="7"/>
  <c r="L461" i="7"/>
  <c r="L460" i="7"/>
  <c r="L459" i="7"/>
  <c r="L458" i="7"/>
  <c r="L457" i="7"/>
  <c r="L455" i="7" s="1"/>
  <c r="L454" i="7"/>
  <c r="L453" i="7"/>
  <c r="L451" i="7"/>
  <c r="L448" i="7"/>
  <c r="L443" i="7"/>
  <c r="L442" i="7"/>
  <c r="L441" i="7"/>
  <c r="L436" i="7"/>
  <c r="L435" i="7"/>
  <c r="L428" i="7"/>
  <c r="L427" i="7"/>
  <c r="L423" i="7"/>
  <c r="L407" i="7"/>
  <c r="L403" i="7"/>
  <c r="L386" i="7"/>
  <c r="L385" i="7"/>
  <c r="L382" i="7"/>
  <c r="L381" i="7"/>
  <c r="L379" i="7"/>
  <c r="L378" i="7"/>
  <c r="L373" i="7"/>
  <c r="L371" i="7"/>
  <c r="L370" i="7"/>
  <c r="L367" i="7"/>
  <c r="L366" i="7"/>
  <c r="L364" i="7"/>
  <c r="L361" i="7"/>
  <c r="AU357" i="7"/>
  <c r="AS357" i="7"/>
  <c r="AP357" i="7"/>
  <c r="AE357" i="7"/>
  <c r="AD357" i="7"/>
  <c r="J356" i="7"/>
  <c r="E356" i="7"/>
  <c r="G356" i="7"/>
  <c r="D356" i="7"/>
  <c r="C356" i="7"/>
  <c r="AU355" i="7"/>
  <c r="AS355" i="7"/>
  <c r="AP355" i="7"/>
  <c r="AE355" i="7"/>
  <c r="AD355" i="7"/>
  <c r="J354" i="7"/>
  <c r="E354" i="7"/>
  <c r="G354" i="7"/>
  <c r="D354" i="7"/>
  <c r="C354" i="7"/>
  <c r="L348" i="7"/>
  <c r="L347" i="7"/>
  <c r="L344" i="7"/>
  <c r="L343" i="7"/>
  <c r="L341" i="7"/>
  <c r="L340" i="7"/>
  <c r="L334" i="7"/>
  <c r="L333" i="7"/>
  <c r="L329" i="7"/>
  <c r="G318" i="7"/>
  <c r="F318" i="7"/>
  <c r="E318" i="7"/>
  <c r="G317" i="7"/>
  <c r="F317" i="7"/>
  <c r="E317" i="7"/>
  <c r="I315" i="7"/>
  <c r="H315" i="7"/>
  <c r="E315" i="7"/>
  <c r="D315" i="7"/>
  <c r="C315" i="7"/>
  <c r="B315" i="7"/>
  <c r="I314" i="7"/>
  <c r="H314" i="7"/>
  <c r="E314" i="7"/>
  <c r="D314" i="7"/>
  <c r="C314" i="7"/>
  <c r="B314" i="7"/>
  <c r="E312" i="7"/>
  <c r="D312" i="7"/>
  <c r="C312" i="7"/>
  <c r="B312" i="7"/>
  <c r="E311" i="7"/>
  <c r="D311" i="7"/>
  <c r="C311" i="7"/>
  <c r="B311" i="7"/>
  <c r="I310" i="7"/>
  <c r="I309" i="7"/>
  <c r="I308" i="7"/>
  <c r="J306" i="7"/>
  <c r="F306" i="7"/>
  <c r="E306" i="7"/>
  <c r="F305" i="7"/>
  <c r="J304" i="7"/>
  <c r="F304" i="7"/>
  <c r="E304" i="7"/>
  <c r="I303" i="7"/>
  <c r="F303" i="7"/>
  <c r="F300" i="7"/>
  <c r="D296" i="7"/>
  <c r="C296" i="7"/>
  <c r="L290" i="7"/>
  <c r="L286" i="7"/>
  <c r="L285" i="7"/>
  <c r="L283" i="7"/>
  <c r="L282" i="7"/>
  <c r="L276" i="7"/>
  <c r="L275" i="7"/>
  <c r="L271" i="7"/>
  <c r="AW260" i="7"/>
  <c r="G259" i="7"/>
  <c r="E259" i="7"/>
  <c r="G258" i="7"/>
  <c r="E258" i="7"/>
  <c r="I256" i="7"/>
  <c r="H256" i="7"/>
  <c r="J256" i="7" s="1"/>
  <c r="E256" i="7"/>
  <c r="D256" i="7"/>
  <c r="C256" i="7"/>
  <c r="B256" i="7"/>
  <c r="E255" i="7"/>
  <c r="D255" i="7"/>
  <c r="C255" i="7"/>
  <c r="B255" i="7"/>
  <c r="J253" i="7"/>
  <c r="E253" i="7"/>
  <c r="D245" i="7"/>
  <c r="C245" i="7"/>
  <c r="G243" i="7"/>
  <c r="F243" i="7"/>
  <c r="E243" i="7"/>
  <c r="G242" i="7"/>
  <c r="F242" i="7"/>
  <c r="E242" i="7"/>
  <c r="I240" i="7"/>
  <c r="H240" i="7"/>
  <c r="E240" i="7"/>
  <c r="D240" i="7"/>
  <c r="C240" i="7"/>
  <c r="B240" i="7"/>
  <c r="E238" i="7"/>
  <c r="D238" i="7"/>
  <c r="C238" i="7"/>
  <c r="B238" i="7"/>
  <c r="J235" i="7"/>
  <c r="F235" i="7"/>
  <c r="E235" i="7"/>
  <c r="F234" i="7"/>
  <c r="J233" i="7"/>
  <c r="F233" i="7"/>
  <c r="E233" i="7"/>
  <c r="I232" i="7"/>
  <c r="F232" i="7"/>
  <c r="F229" i="7"/>
  <c r="D225" i="7"/>
  <c r="C225" i="7"/>
  <c r="AW224" i="7"/>
  <c r="G223" i="7"/>
  <c r="E223" i="7"/>
  <c r="G222" i="7"/>
  <c r="E222" i="7"/>
  <c r="J219" i="7"/>
  <c r="E219" i="7"/>
  <c r="I218" i="7"/>
  <c r="D212" i="7"/>
  <c r="C212" i="7"/>
  <c r="AW211" i="7"/>
  <c r="AT211" i="7"/>
  <c r="AO211" i="7"/>
  <c r="G210" i="7"/>
  <c r="E210" i="7"/>
  <c r="G209" i="7"/>
  <c r="E209" i="7"/>
  <c r="H207" i="7"/>
  <c r="E207" i="7"/>
  <c r="D207" i="7"/>
  <c r="C207" i="7"/>
  <c r="B207" i="7"/>
  <c r="D202" i="7"/>
  <c r="C202" i="7"/>
  <c r="G200" i="7"/>
  <c r="F200" i="7"/>
  <c r="E200" i="7"/>
  <c r="G199" i="7"/>
  <c r="F199" i="7"/>
  <c r="E199" i="7"/>
  <c r="J197" i="7"/>
  <c r="E197" i="7"/>
  <c r="D197" i="7"/>
  <c r="B197" i="7"/>
  <c r="E195" i="7"/>
  <c r="D195" i="7"/>
  <c r="C195" i="7"/>
  <c r="B195" i="7"/>
  <c r="L194" i="7"/>
  <c r="AW201" i="7" s="1"/>
  <c r="L193" i="7"/>
  <c r="L192" i="7" s="1"/>
  <c r="AO201" i="7" s="1"/>
  <c r="F191" i="7"/>
  <c r="D187" i="7"/>
  <c r="C187" i="7"/>
  <c r="G185" i="7"/>
  <c r="F185" i="7"/>
  <c r="E185" i="7"/>
  <c r="G184" i="7"/>
  <c r="F184" i="7"/>
  <c r="E184" i="7"/>
  <c r="J182" i="7"/>
  <c r="E182" i="7"/>
  <c r="D182" i="7"/>
  <c r="B182" i="7"/>
  <c r="E180" i="7"/>
  <c r="D180" i="7"/>
  <c r="C180" i="7"/>
  <c r="B180" i="7"/>
  <c r="I179" i="7"/>
  <c r="J176" i="7"/>
  <c r="F176" i="7"/>
  <c r="E176" i="7"/>
  <c r="F175" i="7"/>
  <c r="F172" i="7"/>
  <c r="C169" i="7"/>
  <c r="B169" i="7"/>
  <c r="D168" i="7"/>
  <c r="AW167" i="7"/>
  <c r="G166" i="7"/>
  <c r="E166" i="7"/>
  <c r="G165" i="7"/>
  <c r="E165" i="7"/>
  <c r="H163" i="7"/>
  <c r="E163" i="7"/>
  <c r="D163" i="7"/>
  <c r="C163" i="7"/>
  <c r="B163" i="7"/>
  <c r="J161" i="7"/>
  <c r="E161" i="7"/>
  <c r="I160" i="7"/>
  <c r="D154" i="7"/>
  <c r="C154" i="7"/>
  <c r="AW153" i="7"/>
  <c r="AT153" i="7"/>
  <c r="AO153" i="7"/>
  <c r="G152" i="7"/>
  <c r="E152" i="7"/>
  <c r="G151" i="7"/>
  <c r="E151" i="7"/>
  <c r="H149" i="7"/>
  <c r="E149" i="7"/>
  <c r="D149" i="7"/>
  <c r="C149" i="7"/>
  <c r="B149" i="7"/>
  <c r="D144" i="7"/>
  <c r="C144" i="7"/>
  <c r="G142" i="7"/>
  <c r="F142" i="7"/>
  <c r="E142" i="7"/>
  <c r="G141" i="7"/>
  <c r="F141" i="7"/>
  <c r="E141" i="7"/>
  <c r="I139" i="7"/>
  <c r="H139" i="7"/>
  <c r="E139" i="7"/>
  <c r="D139" i="7"/>
  <c r="C139" i="7"/>
  <c r="B139" i="7"/>
  <c r="I138" i="7"/>
  <c r="H138" i="7"/>
  <c r="E138" i="7"/>
  <c r="D138" i="7"/>
  <c r="C138" i="7"/>
  <c r="B138" i="7"/>
  <c r="E136" i="7"/>
  <c r="D136" i="7"/>
  <c r="C136" i="7"/>
  <c r="B136" i="7"/>
  <c r="E135" i="7"/>
  <c r="D135" i="7"/>
  <c r="C135" i="7"/>
  <c r="B135" i="7"/>
  <c r="I134" i="7"/>
  <c r="I133" i="7"/>
  <c r="I132" i="7"/>
  <c r="J130" i="7"/>
  <c r="F130" i="7"/>
  <c r="E130" i="7"/>
  <c r="F129" i="7"/>
  <c r="J128" i="7"/>
  <c r="F128" i="7"/>
  <c r="E128" i="7"/>
  <c r="I127" i="7"/>
  <c r="F127" i="7"/>
  <c r="F124" i="7"/>
  <c r="D120" i="7"/>
  <c r="C120" i="7"/>
  <c r="L114" i="7"/>
  <c r="L113" i="7"/>
  <c r="L110" i="7"/>
  <c r="L109" i="7"/>
  <c r="L107" i="7"/>
  <c r="L106" i="7"/>
  <c r="L104" i="7" s="1"/>
  <c r="L100" i="7"/>
  <c r="L99" i="7"/>
  <c r="L95" i="7"/>
  <c r="G84" i="7"/>
  <c r="F84" i="7"/>
  <c r="E84" i="7"/>
  <c r="G83" i="7"/>
  <c r="F83" i="7"/>
  <c r="E83" i="7"/>
  <c r="I81" i="7"/>
  <c r="J81" i="7" s="1"/>
  <c r="H81" i="7"/>
  <c r="E81" i="7"/>
  <c r="D81" i="7"/>
  <c r="C81" i="7"/>
  <c r="B81" i="7"/>
  <c r="I80" i="7"/>
  <c r="H80" i="7"/>
  <c r="E80" i="7"/>
  <c r="D80" i="7"/>
  <c r="C80" i="7"/>
  <c r="B80" i="7"/>
  <c r="E78" i="7"/>
  <c r="D78" i="7"/>
  <c r="C78" i="7"/>
  <c r="B78" i="7"/>
  <c r="E77" i="7"/>
  <c r="D77" i="7"/>
  <c r="C77" i="7"/>
  <c r="B77" i="7"/>
  <c r="I76" i="7"/>
  <c r="I75" i="7"/>
  <c r="I74" i="7"/>
  <c r="J72" i="7"/>
  <c r="F72" i="7"/>
  <c r="E72" i="7"/>
  <c r="F71" i="7"/>
  <c r="J70" i="7"/>
  <c r="F70" i="7"/>
  <c r="E70" i="7"/>
  <c r="I69" i="7"/>
  <c r="F69" i="7"/>
  <c r="F66" i="7"/>
  <c r="D62" i="7"/>
  <c r="C62" i="7"/>
  <c r="F24" i="7"/>
  <c r="F22" i="7"/>
  <c r="CO14" i="7"/>
  <c r="F14" i="7"/>
  <c r="CO12" i="7"/>
  <c r="F12" i="7"/>
  <c r="H6" i="7"/>
  <c r="B6" i="7"/>
  <c r="A1" i="7"/>
  <c r="L338" i="7" l="1"/>
  <c r="J80" i="7"/>
  <c r="L280" i="7"/>
  <c r="L433" i="7"/>
  <c r="L449" i="7"/>
  <c r="L446" i="7"/>
  <c r="L438" i="7" s="1"/>
  <c r="L487" i="7" s="1"/>
  <c r="J138" i="7"/>
  <c r="J240" i="7"/>
  <c r="J314" i="7"/>
  <c r="J315" i="7"/>
  <c r="L362" i="7"/>
  <c r="J74" i="7"/>
  <c r="L376" i="7"/>
  <c r="J139" i="7"/>
  <c r="L368" i="7"/>
  <c r="AT201" i="7"/>
  <c r="AN357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1" i="3"/>
  <c r="Y1" i="3"/>
  <c r="CY1" i="3"/>
  <c r="CZ1" i="3"/>
  <c r="J66" i="7" s="1"/>
  <c r="DA1" i="3"/>
  <c r="DC1" i="3"/>
  <c r="A2" i="3"/>
  <c r="Y2" i="3"/>
  <c r="CY2" i="3"/>
  <c r="CZ2" i="3"/>
  <c r="DB2" i="3" s="1"/>
  <c r="DA2" i="3"/>
  <c r="DC2" i="3"/>
  <c r="A3" i="3"/>
  <c r="Y3" i="3"/>
  <c r="CY3" i="3"/>
  <c r="CZ3" i="3"/>
  <c r="DA3" i="3"/>
  <c r="DC3" i="3"/>
  <c r="A4" i="3"/>
  <c r="Y4" i="3"/>
  <c r="CY4" i="3"/>
  <c r="CZ4" i="3"/>
  <c r="J71" i="7" s="1"/>
  <c r="DA4" i="3"/>
  <c r="DC4" i="3"/>
  <c r="A5" i="3"/>
  <c r="Y5" i="3"/>
  <c r="CY5" i="3"/>
  <c r="CZ5" i="3"/>
  <c r="H74" i="7" s="1"/>
  <c r="DA5" i="3"/>
  <c r="DB5" i="3"/>
  <c r="DC5" i="3"/>
  <c r="A6" i="3"/>
  <c r="Y6" i="3"/>
  <c r="CY6" i="3"/>
  <c r="CZ6" i="3"/>
  <c r="DA6" i="3"/>
  <c r="DC6" i="3"/>
  <c r="A7" i="3"/>
  <c r="Y7" i="3"/>
  <c r="CY7" i="3"/>
  <c r="CZ7" i="3"/>
  <c r="DB7" i="3" s="1"/>
  <c r="DA7" i="3"/>
  <c r="DC7" i="3"/>
  <c r="A8" i="3"/>
  <c r="Y8" i="3"/>
  <c r="CY8" i="3"/>
  <c r="CZ8" i="3"/>
  <c r="DB8" i="3" s="1"/>
  <c r="DA8" i="3"/>
  <c r="DC8" i="3"/>
  <c r="A9" i="3"/>
  <c r="Y9" i="3"/>
  <c r="CY9" i="3"/>
  <c r="CZ9" i="3"/>
  <c r="DA9" i="3"/>
  <c r="DC9" i="3"/>
  <c r="A10" i="3"/>
  <c r="Y10" i="3"/>
  <c r="CY10" i="3"/>
  <c r="CZ10" i="3"/>
  <c r="DA10" i="3"/>
  <c r="DC10" i="3"/>
  <c r="A11" i="3"/>
  <c r="Y11" i="3"/>
  <c r="CY11" i="3"/>
  <c r="CZ11" i="3"/>
  <c r="DB11" i="3" s="1"/>
  <c r="DA11" i="3"/>
  <c r="DC11" i="3"/>
  <c r="A12" i="3"/>
  <c r="Y12" i="3"/>
  <c r="CY12" i="3"/>
  <c r="CZ12" i="3"/>
  <c r="H127" i="7" s="1"/>
  <c r="J127" i="7" s="1"/>
  <c r="DA12" i="3"/>
  <c r="DB12" i="3"/>
  <c r="DC12" i="3"/>
  <c r="A13" i="3"/>
  <c r="Y13" i="3"/>
  <c r="CY13" i="3"/>
  <c r="CZ13" i="3"/>
  <c r="DA13" i="3"/>
  <c r="DC13" i="3"/>
  <c r="A14" i="3"/>
  <c r="Y14" i="3"/>
  <c r="CY14" i="3"/>
  <c r="CZ14" i="3"/>
  <c r="DA14" i="3"/>
  <c r="DC14" i="3"/>
  <c r="A15" i="3"/>
  <c r="Y15" i="3"/>
  <c r="CY15" i="3"/>
  <c r="CZ15" i="3"/>
  <c r="DA15" i="3"/>
  <c r="DC15" i="3"/>
  <c r="A16" i="3"/>
  <c r="Y16" i="3"/>
  <c r="CY16" i="3"/>
  <c r="CZ16" i="3"/>
  <c r="DB16" i="3" s="1"/>
  <c r="DA16" i="3"/>
  <c r="DC16" i="3"/>
  <c r="A17" i="3"/>
  <c r="Y17" i="3"/>
  <c r="CY17" i="3"/>
  <c r="CZ17" i="3"/>
  <c r="DA17" i="3"/>
  <c r="DB17" i="3"/>
  <c r="DC17" i="3"/>
  <c r="A18" i="3"/>
  <c r="Y18" i="3"/>
  <c r="CY18" i="3"/>
  <c r="CZ18" i="3"/>
  <c r="H134" i="7" s="1"/>
  <c r="J134" i="7" s="1"/>
  <c r="DA18" i="3"/>
  <c r="DC18" i="3"/>
  <c r="A19" i="3"/>
  <c r="Y19" i="3"/>
  <c r="CY19" i="3"/>
  <c r="CZ19" i="3"/>
  <c r="DA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A21" i="3"/>
  <c r="DC21" i="3"/>
  <c r="A22" i="3"/>
  <c r="Y22" i="3"/>
  <c r="CY22" i="3"/>
  <c r="CZ22" i="3"/>
  <c r="DB22" i="3" s="1"/>
  <c r="DA22" i="3"/>
  <c r="DC22" i="3"/>
  <c r="A23" i="3"/>
  <c r="Y23" i="3"/>
  <c r="CY23" i="3"/>
  <c r="CZ23" i="3"/>
  <c r="DA23" i="3"/>
  <c r="DC23" i="3"/>
  <c r="A24" i="3"/>
  <c r="Y24" i="3"/>
  <c r="CY24" i="3"/>
  <c r="CZ24" i="3"/>
  <c r="DB24" i="3" s="1"/>
  <c r="DA24" i="3"/>
  <c r="DC24" i="3"/>
  <c r="A25" i="3"/>
  <c r="Y25" i="3"/>
  <c r="CY25" i="3"/>
  <c r="CZ25" i="3"/>
  <c r="DA25" i="3"/>
  <c r="DC25" i="3"/>
  <c r="A26" i="3"/>
  <c r="Y26" i="3"/>
  <c r="CY26" i="3"/>
  <c r="CZ26" i="3"/>
  <c r="DB26" i="3" s="1"/>
  <c r="DA26" i="3"/>
  <c r="DC26" i="3"/>
  <c r="A27" i="3"/>
  <c r="Y27" i="3"/>
  <c r="CY27" i="3"/>
  <c r="CZ27" i="3"/>
  <c r="J175" i="7" s="1"/>
  <c r="DA27" i="3"/>
  <c r="DC27" i="3"/>
  <c r="A28" i="3"/>
  <c r="Y28" i="3"/>
  <c r="CY28" i="3"/>
  <c r="CZ28" i="3"/>
  <c r="J178" i="7" s="1"/>
  <c r="DA28" i="3"/>
  <c r="DC28" i="3"/>
  <c r="A29" i="3"/>
  <c r="Y29" i="3"/>
  <c r="CY29" i="3"/>
  <c r="CZ29" i="3"/>
  <c r="DA29" i="3"/>
  <c r="DC29" i="3"/>
  <c r="A30" i="3"/>
  <c r="Y30" i="3"/>
  <c r="CY30" i="3"/>
  <c r="CZ30" i="3"/>
  <c r="DB30" i="3" s="1"/>
  <c r="DA30" i="3"/>
  <c r="DC30" i="3"/>
  <c r="A31" i="3"/>
  <c r="Y31" i="3"/>
  <c r="CY31" i="3"/>
  <c r="CZ31" i="3"/>
  <c r="J191" i="7" s="1"/>
  <c r="DA31" i="3"/>
  <c r="DB31" i="3"/>
  <c r="DC31" i="3"/>
  <c r="A32" i="3"/>
  <c r="Y32" i="3"/>
  <c r="CY32" i="3"/>
  <c r="CZ32" i="3"/>
  <c r="DA32" i="3"/>
  <c r="DB32" i="3"/>
  <c r="DC32" i="3"/>
  <c r="A33" i="3"/>
  <c r="Y33" i="3"/>
  <c r="CY33" i="3"/>
  <c r="CZ33" i="3"/>
  <c r="DB33" i="3" s="1"/>
  <c r="DA33" i="3"/>
  <c r="DC33" i="3"/>
  <c r="A34" i="3"/>
  <c r="Y34" i="3"/>
  <c r="CY34" i="3"/>
  <c r="CZ34" i="3"/>
  <c r="DA34" i="3"/>
  <c r="DB34" i="3"/>
  <c r="DC34" i="3"/>
  <c r="A35" i="3"/>
  <c r="Y35" i="3"/>
  <c r="CY35" i="3"/>
  <c r="CZ35" i="3"/>
  <c r="DA35" i="3"/>
  <c r="DB35" i="3"/>
  <c r="DC35" i="3"/>
  <c r="A36" i="3"/>
  <c r="Y36" i="3"/>
  <c r="CY36" i="3"/>
  <c r="CZ36" i="3"/>
  <c r="DB36" i="3" s="1"/>
  <c r="DA36" i="3"/>
  <c r="DC36" i="3"/>
  <c r="A37" i="3"/>
  <c r="Y37" i="3"/>
  <c r="CY37" i="3"/>
  <c r="CZ37" i="3"/>
  <c r="DA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A39" i="3"/>
  <c r="DC39" i="3"/>
  <c r="A40" i="3"/>
  <c r="Y40" i="3"/>
  <c r="CY40" i="3"/>
  <c r="CZ40" i="3"/>
  <c r="DB40" i="3" s="1"/>
  <c r="DA40" i="3"/>
  <c r="DC40" i="3"/>
  <c r="A41" i="3"/>
  <c r="Y41" i="3"/>
  <c r="CY41" i="3"/>
  <c r="CZ41" i="3"/>
  <c r="H218" i="7" s="1"/>
  <c r="J218" i="7" s="1"/>
  <c r="DA41" i="3"/>
  <c r="DC41" i="3"/>
  <c r="A42" i="3"/>
  <c r="Y42" i="3"/>
  <c r="CY42" i="3"/>
  <c r="CZ42" i="3"/>
  <c r="DA42" i="3"/>
  <c r="DC42" i="3"/>
  <c r="A43" i="3"/>
  <c r="Y43" i="3"/>
  <c r="CY43" i="3"/>
  <c r="CZ43" i="3"/>
  <c r="DA43" i="3"/>
  <c r="DB43" i="3"/>
  <c r="DC43" i="3"/>
  <c r="A44" i="3"/>
  <c r="Y44" i="3"/>
  <c r="CY44" i="3"/>
  <c r="CZ44" i="3"/>
  <c r="H232" i="7" s="1"/>
  <c r="J232" i="7" s="1"/>
  <c r="DA44" i="3"/>
  <c r="DC44" i="3"/>
  <c r="A45" i="3"/>
  <c r="Y45" i="3"/>
  <c r="CY45" i="3"/>
  <c r="CZ45" i="3"/>
  <c r="DA45" i="3"/>
  <c r="DC45" i="3"/>
  <c r="A46" i="3"/>
  <c r="Y46" i="3"/>
  <c r="CY46" i="3"/>
  <c r="CZ46" i="3"/>
  <c r="DB46" i="3" s="1"/>
  <c r="DA46" i="3"/>
  <c r="DC46" i="3"/>
  <c r="A47" i="3"/>
  <c r="Y47" i="3"/>
  <c r="CY47" i="3"/>
  <c r="CZ47" i="3"/>
  <c r="J237" i="7" s="1"/>
  <c r="DA47" i="3"/>
  <c r="DB47" i="3"/>
  <c r="DC47" i="3"/>
  <c r="A48" i="3"/>
  <c r="Y48" i="3"/>
  <c r="CY48" i="3"/>
  <c r="CZ48" i="3"/>
  <c r="J248" i="7" s="1"/>
  <c r="DA48" i="3"/>
  <c r="DB48" i="3"/>
  <c r="DC48" i="3"/>
  <c r="A49" i="3"/>
  <c r="Y49" i="3"/>
  <c r="CY49" i="3"/>
  <c r="CZ49" i="3"/>
  <c r="J249" i="7" s="1"/>
  <c r="DA49" i="3"/>
  <c r="DC49" i="3"/>
  <c r="A50" i="3"/>
  <c r="Y50" i="3"/>
  <c r="CY50" i="3"/>
  <c r="CZ50" i="3"/>
  <c r="DB50" i="3" s="1"/>
  <c r="DA50" i="3"/>
  <c r="DC50" i="3"/>
  <c r="A51" i="3"/>
  <c r="Y51" i="3"/>
  <c r="CY51" i="3"/>
  <c r="CZ51" i="3"/>
  <c r="J252" i="7" s="1"/>
  <c r="DA51" i="3"/>
  <c r="DB51" i="3"/>
  <c r="DC51" i="3"/>
  <c r="A52" i="3"/>
  <c r="Y52" i="3"/>
  <c r="CY52" i="3"/>
  <c r="CZ52" i="3"/>
  <c r="DA52" i="3"/>
  <c r="DB52" i="3"/>
  <c r="DC52" i="3"/>
  <c r="A53" i="3"/>
  <c r="Y53" i="3"/>
  <c r="CY53" i="3"/>
  <c r="CZ53" i="3"/>
  <c r="DB53" i="3" s="1"/>
  <c r="DA53" i="3"/>
  <c r="DC53" i="3"/>
  <c r="A54" i="3"/>
  <c r="Y54" i="3"/>
  <c r="CY54" i="3"/>
  <c r="CZ54" i="3"/>
  <c r="DA54" i="3"/>
  <c r="DC54" i="3"/>
  <c r="A55" i="3"/>
  <c r="Y55" i="3"/>
  <c r="CY55" i="3"/>
  <c r="CZ55" i="3"/>
  <c r="DB55" i="3" s="1"/>
  <c r="DA55" i="3"/>
  <c r="DC55" i="3"/>
  <c r="A56" i="3"/>
  <c r="Y56" i="3"/>
  <c r="CY56" i="3"/>
  <c r="CZ56" i="3"/>
  <c r="DA56" i="3"/>
  <c r="DC56" i="3"/>
  <c r="A57" i="3"/>
  <c r="Y57" i="3"/>
  <c r="CY57" i="3"/>
  <c r="CZ57" i="3"/>
  <c r="J305" i="7" s="1"/>
  <c r="DA57" i="3"/>
  <c r="DB57" i="3"/>
  <c r="DC57" i="3"/>
  <c r="A58" i="3"/>
  <c r="Y58" i="3"/>
  <c r="CY58" i="3"/>
  <c r="CZ58" i="3"/>
  <c r="DA58" i="3"/>
  <c r="DC58" i="3"/>
  <c r="A59" i="3"/>
  <c r="Y59" i="3"/>
  <c r="CY59" i="3"/>
  <c r="CZ59" i="3"/>
  <c r="H309" i="7" s="1"/>
  <c r="J309" i="7" s="1"/>
  <c r="DA59" i="3"/>
  <c r="DB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B61" i="3" s="1"/>
  <c r="DA61" i="3"/>
  <c r="DC61" i="3"/>
  <c r="A62" i="3"/>
  <c r="Y62" i="3"/>
  <c r="CY62" i="3"/>
  <c r="CZ62" i="3"/>
  <c r="DA62" i="3"/>
  <c r="DC62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K28" i="1"/>
  <c r="E62" i="7" s="1"/>
  <c r="AC28" i="1"/>
  <c r="AE28" i="1"/>
  <c r="AD28" i="1" s="1"/>
  <c r="AF28" i="1"/>
  <c r="AG28" i="1"/>
  <c r="AH28" i="1"/>
  <c r="AI28" i="1"/>
  <c r="AJ28" i="1"/>
  <c r="CX28" i="1" s="1"/>
  <c r="W28" i="1" s="1"/>
  <c r="CQ28" i="1"/>
  <c r="CR28" i="1"/>
  <c r="CS28" i="1"/>
  <c r="CT28" i="1"/>
  <c r="CU28" i="1"/>
  <c r="T28" i="1" s="1"/>
  <c r="CV28" i="1"/>
  <c r="CW28" i="1"/>
  <c r="GL28" i="1"/>
  <c r="GO28" i="1"/>
  <c r="GP28" i="1"/>
  <c r="GV28" i="1"/>
  <c r="HC28" i="1" s="1"/>
  <c r="GX28" i="1" s="1"/>
  <c r="CJ32" i="1" s="1"/>
  <c r="I29" i="1"/>
  <c r="R29" i="1"/>
  <c r="AC29" i="1"/>
  <c r="AE29" i="1"/>
  <c r="AD29" i="1" s="1"/>
  <c r="AF29" i="1"/>
  <c r="AG29" i="1"/>
  <c r="CU29" i="1" s="1"/>
  <c r="T29" i="1" s="1"/>
  <c r="AH29" i="1"/>
  <c r="CV29" i="1" s="1"/>
  <c r="U29" i="1" s="1"/>
  <c r="AI29" i="1"/>
  <c r="AJ29" i="1"/>
  <c r="CX29" i="1" s="1"/>
  <c r="W29" i="1" s="1"/>
  <c r="CQ29" i="1"/>
  <c r="P29" i="1" s="1"/>
  <c r="CR29" i="1"/>
  <c r="Q29" i="1" s="1"/>
  <c r="CS29" i="1"/>
  <c r="CT29" i="1"/>
  <c r="S29" i="1" s="1"/>
  <c r="CY29" i="1" s="1"/>
  <c r="X29" i="1" s="1"/>
  <c r="AZ80" i="7" s="1"/>
  <c r="CW29" i="1"/>
  <c r="V29" i="1" s="1"/>
  <c r="GL29" i="1"/>
  <c r="GO29" i="1"/>
  <c r="GP29" i="1"/>
  <c r="GV29" i="1"/>
  <c r="HC29" i="1" s="1"/>
  <c r="GX29" i="1" s="1"/>
  <c r="I30" i="1"/>
  <c r="AC30" i="1"/>
  <c r="AB30" i="1" s="1"/>
  <c r="AE30" i="1"/>
  <c r="AD30" i="1" s="1"/>
  <c r="AF30" i="1"/>
  <c r="AG30" i="1"/>
  <c r="AH30" i="1"/>
  <c r="CV30" i="1" s="1"/>
  <c r="U30" i="1" s="1"/>
  <c r="AI30" i="1"/>
  <c r="CW30" i="1" s="1"/>
  <c r="V30" i="1" s="1"/>
  <c r="AJ30" i="1"/>
  <c r="CX30" i="1" s="1"/>
  <c r="W30" i="1" s="1"/>
  <c r="CQ30" i="1"/>
  <c r="CR30" i="1"/>
  <c r="CS30" i="1"/>
  <c r="R30" i="1" s="1"/>
  <c r="CT30" i="1"/>
  <c r="S30" i="1" s="1"/>
  <c r="CU30" i="1"/>
  <c r="T30" i="1" s="1"/>
  <c r="GL30" i="1"/>
  <c r="GO30" i="1"/>
  <c r="GP30" i="1"/>
  <c r="GV30" i="1"/>
  <c r="HC30" i="1" s="1"/>
  <c r="GX30" i="1" s="1"/>
  <c r="B32" i="1"/>
  <c r="B26" i="1" s="1"/>
  <c r="C32" i="1"/>
  <c r="C26" i="1" s="1"/>
  <c r="D32" i="1"/>
  <c r="D26" i="1" s="1"/>
  <c r="F32" i="1"/>
  <c r="F26" i="1" s="1"/>
  <c r="G32" i="1"/>
  <c r="G26" i="1" s="1"/>
  <c r="BB32" i="1"/>
  <c r="BB26" i="1" s="1"/>
  <c r="BX32" i="1"/>
  <c r="BX26" i="1" s="1"/>
  <c r="BY32" i="1"/>
  <c r="BY26" i="1" s="1"/>
  <c r="CK32" i="1"/>
  <c r="CK26" i="1" s="1"/>
  <c r="CL32" i="1"/>
  <c r="BC32" i="1" s="1"/>
  <c r="CM32" i="1"/>
  <c r="CM26" i="1" s="1"/>
  <c r="D62" i="1"/>
  <c r="E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FK64" i="1"/>
  <c r="FL64" i="1"/>
  <c r="FM64" i="1"/>
  <c r="FN64" i="1"/>
  <c r="FO64" i="1"/>
  <c r="FP64" i="1"/>
  <c r="FQ64" i="1"/>
  <c r="FR64" i="1"/>
  <c r="FS64" i="1"/>
  <c r="FT64" i="1"/>
  <c r="FU64" i="1"/>
  <c r="FV64" i="1"/>
  <c r="FW64" i="1"/>
  <c r="FX64" i="1"/>
  <c r="FY64" i="1"/>
  <c r="FZ64" i="1"/>
  <c r="GA64" i="1"/>
  <c r="GB64" i="1"/>
  <c r="GC64" i="1"/>
  <c r="GD64" i="1"/>
  <c r="GE64" i="1"/>
  <c r="GF64" i="1"/>
  <c r="GG64" i="1"/>
  <c r="GH64" i="1"/>
  <c r="GI64" i="1"/>
  <c r="GJ64" i="1"/>
  <c r="GK64" i="1"/>
  <c r="GL64" i="1"/>
  <c r="GM64" i="1"/>
  <c r="GN64" i="1"/>
  <c r="GO64" i="1"/>
  <c r="GP64" i="1"/>
  <c r="GQ64" i="1"/>
  <c r="GR64" i="1"/>
  <c r="GS64" i="1"/>
  <c r="GT64" i="1"/>
  <c r="GU64" i="1"/>
  <c r="GV64" i="1"/>
  <c r="GW64" i="1"/>
  <c r="GX64" i="1"/>
  <c r="D66" i="1"/>
  <c r="E68" i="1"/>
  <c r="Z68" i="1"/>
  <c r="AA68" i="1"/>
  <c r="AM68" i="1"/>
  <c r="AN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GA68" i="1"/>
  <c r="GB68" i="1"/>
  <c r="GC68" i="1"/>
  <c r="GD68" i="1"/>
  <c r="GE68" i="1"/>
  <c r="GF68" i="1"/>
  <c r="GG68" i="1"/>
  <c r="GH68" i="1"/>
  <c r="GI68" i="1"/>
  <c r="GJ68" i="1"/>
  <c r="GK68" i="1"/>
  <c r="GL68" i="1"/>
  <c r="GM68" i="1"/>
  <c r="GN68" i="1"/>
  <c r="GO68" i="1"/>
  <c r="GP68" i="1"/>
  <c r="GQ68" i="1"/>
  <c r="GR68" i="1"/>
  <c r="GS68" i="1"/>
  <c r="GT68" i="1"/>
  <c r="GU68" i="1"/>
  <c r="GV68" i="1"/>
  <c r="GW68" i="1"/>
  <c r="GX68" i="1"/>
  <c r="C70" i="1"/>
  <c r="D70" i="1"/>
  <c r="I70" i="1"/>
  <c r="K70" i="1"/>
  <c r="E120" i="7" s="1"/>
  <c r="AC70" i="1"/>
  <c r="AE70" i="1"/>
  <c r="AD70" i="1" s="1"/>
  <c r="AF70" i="1"/>
  <c r="AG70" i="1"/>
  <c r="AH70" i="1"/>
  <c r="AI70" i="1"/>
  <c r="AJ70" i="1"/>
  <c r="CX70" i="1" s="1"/>
  <c r="W70" i="1" s="1"/>
  <c r="CQ70" i="1"/>
  <c r="CR70" i="1"/>
  <c r="CS70" i="1"/>
  <c r="CT70" i="1"/>
  <c r="CU70" i="1"/>
  <c r="CV70" i="1"/>
  <c r="CW70" i="1"/>
  <c r="GL70" i="1"/>
  <c r="GO70" i="1"/>
  <c r="GP70" i="1"/>
  <c r="GV70" i="1"/>
  <c r="GX70" i="1"/>
  <c r="HC70" i="1"/>
  <c r="AC71" i="1"/>
  <c r="AE71" i="1"/>
  <c r="AD71" i="1" s="1"/>
  <c r="AF71" i="1"/>
  <c r="AG71" i="1"/>
  <c r="CU71" i="1" s="1"/>
  <c r="AH71" i="1"/>
  <c r="CV71" i="1" s="1"/>
  <c r="AI71" i="1"/>
  <c r="AJ71" i="1"/>
  <c r="CQ71" i="1"/>
  <c r="CR71" i="1"/>
  <c r="CS71" i="1"/>
  <c r="CT71" i="1"/>
  <c r="CW71" i="1"/>
  <c r="CX71" i="1"/>
  <c r="GL71" i="1"/>
  <c r="GO71" i="1"/>
  <c r="GP71" i="1"/>
  <c r="GV71" i="1"/>
  <c r="HC71" i="1" s="1"/>
  <c r="AC72" i="1"/>
  <c r="AE72" i="1"/>
  <c r="AD72" i="1" s="1"/>
  <c r="AB72" i="1" s="1"/>
  <c r="AF72" i="1"/>
  <c r="AG72" i="1"/>
  <c r="AH72" i="1"/>
  <c r="CV72" i="1" s="1"/>
  <c r="AI72" i="1"/>
  <c r="CW72" i="1" s="1"/>
  <c r="AJ72" i="1"/>
  <c r="CX72" i="1" s="1"/>
  <c r="CQ72" i="1"/>
  <c r="CR72" i="1"/>
  <c r="CS72" i="1"/>
  <c r="CT72" i="1"/>
  <c r="CU72" i="1"/>
  <c r="GL72" i="1"/>
  <c r="GO72" i="1"/>
  <c r="GP72" i="1"/>
  <c r="GV72" i="1"/>
  <c r="HC72" i="1" s="1"/>
  <c r="C73" i="1"/>
  <c r="D73" i="1"/>
  <c r="I73" i="1"/>
  <c r="K73" i="1"/>
  <c r="E144" i="7" s="1"/>
  <c r="V73" i="1"/>
  <c r="AC73" i="1"/>
  <c r="AE73" i="1"/>
  <c r="AD73" i="1" s="1"/>
  <c r="AF73" i="1"/>
  <c r="AG73" i="1"/>
  <c r="CU73" i="1" s="1"/>
  <c r="T73" i="1" s="1"/>
  <c r="AH73" i="1"/>
  <c r="AI73" i="1"/>
  <c r="AJ73" i="1"/>
  <c r="CQ73" i="1"/>
  <c r="CR73" i="1"/>
  <c r="CS73" i="1"/>
  <c r="CT73" i="1"/>
  <c r="CV73" i="1"/>
  <c r="CW73" i="1"/>
  <c r="CX73" i="1"/>
  <c r="W73" i="1" s="1"/>
  <c r="GL73" i="1"/>
  <c r="GO73" i="1"/>
  <c r="GP73" i="1"/>
  <c r="GV73" i="1"/>
  <c r="HC73" i="1" s="1"/>
  <c r="GX73" i="1" s="1"/>
  <c r="AC74" i="1"/>
  <c r="AE74" i="1"/>
  <c r="AD74" i="1" s="1"/>
  <c r="AB74" i="1" s="1"/>
  <c r="AF74" i="1"/>
  <c r="AG74" i="1"/>
  <c r="AH74" i="1"/>
  <c r="CV74" i="1" s="1"/>
  <c r="AI74" i="1"/>
  <c r="CW74" i="1" s="1"/>
  <c r="AJ74" i="1"/>
  <c r="CX74" i="1" s="1"/>
  <c r="CQ74" i="1"/>
  <c r="CR74" i="1"/>
  <c r="CS74" i="1"/>
  <c r="CT74" i="1"/>
  <c r="CU74" i="1"/>
  <c r="GL74" i="1"/>
  <c r="GO74" i="1"/>
  <c r="GP74" i="1"/>
  <c r="GV74" i="1"/>
  <c r="HC74" i="1" s="1"/>
  <c r="C75" i="1"/>
  <c r="D75" i="1"/>
  <c r="I75" i="1"/>
  <c r="K75" i="1"/>
  <c r="E154" i="7" s="1"/>
  <c r="AC75" i="1"/>
  <c r="AE75" i="1"/>
  <c r="AD75" i="1" s="1"/>
  <c r="AF75" i="1"/>
  <c r="AG75" i="1"/>
  <c r="AH75" i="1"/>
  <c r="AI75" i="1"/>
  <c r="AJ75" i="1"/>
  <c r="CX75" i="1" s="1"/>
  <c r="W75" i="1" s="1"/>
  <c r="CQ75" i="1"/>
  <c r="CR75" i="1"/>
  <c r="CS75" i="1"/>
  <c r="CT75" i="1"/>
  <c r="CU75" i="1"/>
  <c r="T75" i="1" s="1"/>
  <c r="CV75" i="1"/>
  <c r="CW75" i="1"/>
  <c r="GL75" i="1"/>
  <c r="GO75" i="1"/>
  <c r="GP75" i="1"/>
  <c r="GV75" i="1"/>
  <c r="HC75" i="1" s="1"/>
  <c r="GX75" i="1" s="1"/>
  <c r="I76" i="1"/>
  <c r="AC76" i="1"/>
  <c r="AD76" i="1"/>
  <c r="AB76" i="1" s="1"/>
  <c r="AE76" i="1"/>
  <c r="AF76" i="1"/>
  <c r="AG76" i="1"/>
  <c r="AH76" i="1"/>
  <c r="CV76" i="1" s="1"/>
  <c r="U76" i="1" s="1"/>
  <c r="AI76" i="1"/>
  <c r="AJ76" i="1"/>
  <c r="CX76" i="1" s="1"/>
  <c r="CQ76" i="1"/>
  <c r="CR76" i="1"/>
  <c r="Q76" i="1" s="1"/>
  <c r="CS76" i="1"/>
  <c r="CT76" i="1"/>
  <c r="CU76" i="1"/>
  <c r="CW76" i="1"/>
  <c r="GL76" i="1"/>
  <c r="GO76" i="1"/>
  <c r="GP76" i="1"/>
  <c r="GV76" i="1"/>
  <c r="HC76" i="1" s="1"/>
  <c r="GX76" i="1" s="1"/>
  <c r="C77" i="1"/>
  <c r="D77" i="1"/>
  <c r="I77" i="1"/>
  <c r="K77" i="1"/>
  <c r="E168" i="7" s="1"/>
  <c r="AC77" i="1"/>
  <c r="AE77" i="1"/>
  <c r="AD77" i="1" s="1"/>
  <c r="AF77" i="1"/>
  <c r="AG77" i="1"/>
  <c r="CU77" i="1" s="1"/>
  <c r="T77" i="1" s="1"/>
  <c r="AH77" i="1"/>
  <c r="AI77" i="1"/>
  <c r="AJ77" i="1"/>
  <c r="CQ77" i="1"/>
  <c r="CR77" i="1"/>
  <c r="CS77" i="1"/>
  <c r="CT77" i="1"/>
  <c r="CV77" i="1"/>
  <c r="CW77" i="1"/>
  <c r="CX77" i="1"/>
  <c r="W77" i="1" s="1"/>
  <c r="GL77" i="1"/>
  <c r="GO77" i="1"/>
  <c r="GP77" i="1"/>
  <c r="GV77" i="1"/>
  <c r="HC77" i="1" s="1"/>
  <c r="GX77" i="1" s="1"/>
  <c r="AC78" i="1"/>
  <c r="AD78" i="1"/>
  <c r="AE78" i="1"/>
  <c r="AF78" i="1"/>
  <c r="AG78" i="1"/>
  <c r="CU78" i="1" s="1"/>
  <c r="AH78" i="1"/>
  <c r="CV78" i="1" s="1"/>
  <c r="AI78" i="1"/>
  <c r="CW78" i="1" s="1"/>
  <c r="AJ78" i="1"/>
  <c r="CQ78" i="1"/>
  <c r="CR78" i="1"/>
  <c r="CS78" i="1"/>
  <c r="CT78" i="1"/>
  <c r="CX78" i="1"/>
  <c r="CY78" i="1"/>
  <c r="X78" i="1" s="1"/>
  <c r="AZ182" i="7" s="1"/>
  <c r="CZ78" i="1"/>
  <c r="Y78" i="1" s="1"/>
  <c r="BA182" i="7" s="1"/>
  <c r="GL78" i="1"/>
  <c r="GO78" i="1"/>
  <c r="GP78" i="1"/>
  <c r="GV78" i="1"/>
  <c r="HC78" i="1" s="1"/>
  <c r="C79" i="1"/>
  <c r="D79" i="1"/>
  <c r="I79" i="1"/>
  <c r="K79" i="1"/>
  <c r="E187" i="7" s="1"/>
  <c r="AC79" i="1"/>
  <c r="AE79" i="1"/>
  <c r="AD79" i="1" s="1"/>
  <c r="AF79" i="1"/>
  <c r="AG79" i="1"/>
  <c r="CU79" i="1" s="1"/>
  <c r="AH79" i="1"/>
  <c r="AI79" i="1"/>
  <c r="AJ79" i="1"/>
  <c r="CQ79" i="1"/>
  <c r="CR79" i="1"/>
  <c r="CS79" i="1"/>
  <c r="CT79" i="1"/>
  <c r="CV79" i="1"/>
  <c r="CW79" i="1"/>
  <c r="CX79" i="1"/>
  <c r="W79" i="1" s="1"/>
  <c r="GL79" i="1"/>
  <c r="GO79" i="1"/>
  <c r="GP79" i="1"/>
  <c r="GV79" i="1"/>
  <c r="HC79" i="1" s="1"/>
  <c r="GX79" i="1" s="1"/>
  <c r="AC80" i="1"/>
  <c r="AD80" i="1"/>
  <c r="AE80" i="1"/>
  <c r="AF80" i="1"/>
  <c r="AG80" i="1"/>
  <c r="CU80" i="1" s="1"/>
  <c r="AH80" i="1"/>
  <c r="AI80" i="1"/>
  <c r="CW80" i="1" s="1"/>
  <c r="AJ80" i="1"/>
  <c r="CX80" i="1" s="1"/>
  <c r="CQ80" i="1"/>
  <c r="CR80" i="1"/>
  <c r="CS80" i="1"/>
  <c r="CT80" i="1"/>
  <c r="CV80" i="1"/>
  <c r="CY80" i="1"/>
  <c r="X80" i="1" s="1"/>
  <c r="AZ197" i="7" s="1"/>
  <c r="CZ80" i="1"/>
  <c r="Y80" i="1" s="1"/>
  <c r="BA197" i="7" s="1"/>
  <c r="GL80" i="1"/>
  <c r="GO80" i="1"/>
  <c r="GP80" i="1"/>
  <c r="GV80" i="1"/>
  <c r="HC80" i="1" s="1"/>
  <c r="C81" i="1"/>
  <c r="D81" i="1"/>
  <c r="I81" i="1"/>
  <c r="K81" i="1"/>
  <c r="E202" i="7" s="1"/>
  <c r="V81" i="1"/>
  <c r="AC81" i="1"/>
  <c r="AE81" i="1"/>
  <c r="AD81" i="1" s="1"/>
  <c r="AF81" i="1"/>
  <c r="AG81" i="1"/>
  <c r="CU81" i="1" s="1"/>
  <c r="T81" i="1" s="1"/>
  <c r="AH81" i="1"/>
  <c r="AI81" i="1"/>
  <c r="AJ81" i="1"/>
  <c r="CX81" i="1" s="1"/>
  <c r="W81" i="1" s="1"/>
  <c r="CQ81" i="1"/>
  <c r="CR81" i="1"/>
  <c r="CS81" i="1"/>
  <c r="CT81" i="1"/>
  <c r="CV81" i="1"/>
  <c r="CW81" i="1"/>
  <c r="GL81" i="1"/>
  <c r="GO81" i="1"/>
  <c r="GP81" i="1"/>
  <c r="GV81" i="1"/>
  <c r="HC81" i="1" s="1"/>
  <c r="GX81" i="1" s="1"/>
  <c r="AC82" i="1"/>
  <c r="AE82" i="1"/>
  <c r="AD82" i="1" s="1"/>
  <c r="AF82" i="1"/>
  <c r="AG82" i="1"/>
  <c r="CU82" i="1" s="1"/>
  <c r="AH82" i="1"/>
  <c r="CV82" i="1" s="1"/>
  <c r="AI82" i="1"/>
  <c r="CW82" i="1" s="1"/>
  <c r="AJ82" i="1"/>
  <c r="CQ82" i="1"/>
  <c r="CR82" i="1"/>
  <c r="CS82" i="1"/>
  <c r="CT82" i="1"/>
  <c r="CX82" i="1"/>
  <c r="GL82" i="1"/>
  <c r="GO82" i="1"/>
  <c r="GP82" i="1"/>
  <c r="GV82" i="1"/>
  <c r="HC82" i="1" s="1"/>
  <c r="C83" i="1"/>
  <c r="D83" i="1"/>
  <c r="I83" i="1"/>
  <c r="K83" i="1"/>
  <c r="E212" i="7" s="1"/>
  <c r="AC83" i="1"/>
  <c r="AE83" i="1"/>
  <c r="AD83" i="1" s="1"/>
  <c r="AF83" i="1"/>
  <c r="AG83" i="1"/>
  <c r="AH83" i="1"/>
  <c r="AI83" i="1"/>
  <c r="AJ83" i="1"/>
  <c r="CX83" i="1" s="1"/>
  <c r="W83" i="1" s="1"/>
  <c r="CQ83" i="1"/>
  <c r="CR83" i="1"/>
  <c r="CS83" i="1"/>
  <c r="CT83" i="1"/>
  <c r="CU83" i="1"/>
  <c r="T83" i="1" s="1"/>
  <c r="CV83" i="1"/>
  <c r="CW83" i="1"/>
  <c r="GL83" i="1"/>
  <c r="GO83" i="1"/>
  <c r="GP83" i="1"/>
  <c r="GV83" i="1"/>
  <c r="HC83" i="1" s="1"/>
  <c r="GX83" i="1" s="1"/>
  <c r="C84" i="1"/>
  <c r="D84" i="1"/>
  <c r="I84" i="1"/>
  <c r="K84" i="1"/>
  <c r="E225" i="7" s="1"/>
  <c r="AC84" i="1"/>
  <c r="AE84" i="1"/>
  <c r="AD84" i="1" s="1"/>
  <c r="AF84" i="1"/>
  <c r="AG84" i="1"/>
  <c r="CU84" i="1" s="1"/>
  <c r="AH84" i="1"/>
  <c r="AI84" i="1"/>
  <c r="AJ84" i="1"/>
  <c r="CQ84" i="1"/>
  <c r="CR84" i="1"/>
  <c r="CS84" i="1"/>
  <c r="CT84" i="1"/>
  <c r="CV84" i="1"/>
  <c r="CW84" i="1"/>
  <c r="CX84" i="1"/>
  <c r="W84" i="1" s="1"/>
  <c r="GL84" i="1"/>
  <c r="GO84" i="1"/>
  <c r="GP84" i="1"/>
  <c r="GV84" i="1"/>
  <c r="HC84" i="1" s="1"/>
  <c r="GX84" i="1" s="1"/>
  <c r="I85" i="1"/>
  <c r="AC85" i="1"/>
  <c r="AE85" i="1"/>
  <c r="AD85" i="1" s="1"/>
  <c r="AF85" i="1"/>
  <c r="AG85" i="1"/>
  <c r="CU85" i="1" s="1"/>
  <c r="AH85" i="1"/>
  <c r="AI85" i="1"/>
  <c r="CW85" i="1" s="1"/>
  <c r="V85" i="1" s="1"/>
  <c r="AJ85" i="1"/>
  <c r="CQ85" i="1"/>
  <c r="P85" i="1" s="1"/>
  <c r="L240" i="7" s="1"/>
  <c r="AW240" i="7" s="1"/>
  <c r="CR85" i="1"/>
  <c r="Q85" i="1" s="1"/>
  <c r="CS85" i="1"/>
  <c r="CT85" i="1"/>
  <c r="CV85" i="1"/>
  <c r="U85" i="1" s="1"/>
  <c r="CX85" i="1"/>
  <c r="W85" i="1" s="1"/>
  <c r="GL85" i="1"/>
  <c r="GO85" i="1"/>
  <c r="GP85" i="1"/>
  <c r="GV85" i="1"/>
  <c r="HC85" i="1" s="1"/>
  <c r="GX85" i="1" s="1"/>
  <c r="C86" i="1"/>
  <c r="D86" i="1"/>
  <c r="I86" i="1"/>
  <c r="K86" i="1"/>
  <c r="E245" i="7" s="1"/>
  <c r="AC86" i="1"/>
  <c r="AE86" i="1"/>
  <c r="AD86" i="1" s="1"/>
  <c r="AF86" i="1"/>
  <c r="AG86" i="1"/>
  <c r="AH86" i="1"/>
  <c r="AI86" i="1"/>
  <c r="AJ86" i="1"/>
  <c r="CQ86" i="1"/>
  <c r="CR86" i="1"/>
  <c r="CS86" i="1"/>
  <c r="CT86" i="1"/>
  <c r="CU86" i="1"/>
  <c r="CV86" i="1"/>
  <c r="CW86" i="1"/>
  <c r="CX86" i="1"/>
  <c r="W86" i="1" s="1"/>
  <c r="GL86" i="1"/>
  <c r="GN86" i="1"/>
  <c r="GP86" i="1"/>
  <c r="GV86" i="1"/>
  <c r="HC86" i="1" s="1"/>
  <c r="GX86" i="1" s="1"/>
  <c r="I87" i="1"/>
  <c r="R87" i="1"/>
  <c r="V87" i="1"/>
  <c r="AC87" i="1"/>
  <c r="AE87" i="1"/>
  <c r="AD87" i="1" s="1"/>
  <c r="AF87" i="1"/>
  <c r="AG87" i="1"/>
  <c r="AH87" i="1"/>
  <c r="AI87" i="1"/>
  <c r="AJ87" i="1"/>
  <c r="CP87" i="1"/>
  <c r="CQ87" i="1"/>
  <c r="CR87" i="1"/>
  <c r="Q87" i="1" s="1"/>
  <c r="CS87" i="1"/>
  <c r="CT87" i="1"/>
  <c r="S87" i="1" s="1"/>
  <c r="CU87" i="1"/>
  <c r="T87" i="1" s="1"/>
  <c r="CV87" i="1"/>
  <c r="U87" i="1" s="1"/>
  <c r="CW87" i="1"/>
  <c r="CX87" i="1"/>
  <c r="W87" i="1" s="1"/>
  <c r="CY87" i="1"/>
  <c r="X87" i="1" s="1"/>
  <c r="AZ255" i="7" s="1"/>
  <c r="CZ87" i="1"/>
  <c r="Y87" i="1" s="1"/>
  <c r="BA255" i="7" s="1"/>
  <c r="GL87" i="1"/>
  <c r="GN87" i="1"/>
  <c r="GP87" i="1"/>
  <c r="GV87" i="1"/>
  <c r="HC87" i="1"/>
  <c r="GX87" i="1" s="1"/>
  <c r="AC88" i="1"/>
  <c r="AB88" i="1" s="1"/>
  <c r="AE88" i="1"/>
  <c r="AD88" i="1" s="1"/>
  <c r="AF88" i="1"/>
  <c r="AG88" i="1"/>
  <c r="AH88" i="1"/>
  <c r="AI88" i="1"/>
  <c r="AJ88" i="1"/>
  <c r="CX88" i="1" s="1"/>
  <c r="CQ88" i="1"/>
  <c r="CR88" i="1"/>
  <c r="CS88" i="1"/>
  <c r="CT88" i="1"/>
  <c r="CU88" i="1"/>
  <c r="CV88" i="1"/>
  <c r="CW88" i="1"/>
  <c r="GL88" i="1"/>
  <c r="GN88" i="1"/>
  <c r="GP88" i="1"/>
  <c r="GV88" i="1"/>
  <c r="HC88" i="1"/>
  <c r="B90" i="1"/>
  <c r="B68" i="1" s="1"/>
  <c r="C90" i="1"/>
  <c r="C68" i="1" s="1"/>
  <c r="D90" i="1"/>
  <c r="D68" i="1" s="1"/>
  <c r="F90" i="1"/>
  <c r="F68" i="1" s="1"/>
  <c r="G90" i="1"/>
  <c r="G68" i="1" s="1"/>
  <c r="AO90" i="1"/>
  <c r="AO68" i="1" s="1"/>
  <c r="BD90" i="1"/>
  <c r="BX90" i="1"/>
  <c r="BX68" i="1" s="1"/>
  <c r="BY90" i="1"/>
  <c r="CK90" i="1"/>
  <c r="CL90" i="1"/>
  <c r="CL68" i="1" s="1"/>
  <c r="CM90" i="1"/>
  <c r="CM68" i="1" s="1"/>
  <c r="F94" i="1"/>
  <c r="B120" i="1"/>
  <c r="B64" i="1" s="1"/>
  <c r="C120" i="1"/>
  <c r="C64" i="1" s="1"/>
  <c r="D120" i="1"/>
  <c r="D64" i="1" s="1"/>
  <c r="F120" i="1"/>
  <c r="F64" i="1" s="1"/>
  <c r="G120" i="1"/>
  <c r="G64" i="1" s="1"/>
  <c r="D150" i="1"/>
  <c r="E152" i="1"/>
  <c r="Z152" i="1"/>
  <c r="AA152" i="1"/>
  <c r="AM152" i="1"/>
  <c r="AN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CL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DB152" i="1"/>
  <c r="DC152" i="1"/>
  <c r="DD152" i="1"/>
  <c r="DE152" i="1"/>
  <c r="DF152" i="1"/>
  <c r="DG152" i="1"/>
  <c r="DH152" i="1"/>
  <c r="DI152" i="1"/>
  <c r="DJ152" i="1"/>
  <c r="DK152" i="1"/>
  <c r="DL152" i="1"/>
  <c r="DM152" i="1"/>
  <c r="DN152" i="1"/>
  <c r="DO152" i="1"/>
  <c r="DP152" i="1"/>
  <c r="DQ152" i="1"/>
  <c r="DR152" i="1"/>
  <c r="DS152" i="1"/>
  <c r="DT152" i="1"/>
  <c r="DU152" i="1"/>
  <c r="DV152" i="1"/>
  <c r="DW152" i="1"/>
  <c r="DX152" i="1"/>
  <c r="DY152" i="1"/>
  <c r="DZ152" i="1"/>
  <c r="EA152" i="1"/>
  <c r="EB152" i="1"/>
  <c r="EC152" i="1"/>
  <c r="ED152" i="1"/>
  <c r="EE152" i="1"/>
  <c r="EF152" i="1"/>
  <c r="EG152" i="1"/>
  <c r="EH152" i="1"/>
  <c r="EI152" i="1"/>
  <c r="EJ152" i="1"/>
  <c r="EK152" i="1"/>
  <c r="EL152" i="1"/>
  <c r="EM152" i="1"/>
  <c r="EN152" i="1"/>
  <c r="EO152" i="1"/>
  <c r="EP152" i="1"/>
  <c r="EQ152" i="1"/>
  <c r="ER152" i="1"/>
  <c r="ES152" i="1"/>
  <c r="ET152" i="1"/>
  <c r="EU152" i="1"/>
  <c r="EV152" i="1"/>
  <c r="EW152" i="1"/>
  <c r="EX152" i="1"/>
  <c r="EY152" i="1"/>
  <c r="EZ152" i="1"/>
  <c r="FA152" i="1"/>
  <c r="FB152" i="1"/>
  <c r="FC152" i="1"/>
  <c r="FD152" i="1"/>
  <c r="FE152" i="1"/>
  <c r="FF152" i="1"/>
  <c r="FG152" i="1"/>
  <c r="FH152" i="1"/>
  <c r="FI152" i="1"/>
  <c r="FJ152" i="1"/>
  <c r="FK152" i="1"/>
  <c r="FL152" i="1"/>
  <c r="FM152" i="1"/>
  <c r="FN152" i="1"/>
  <c r="FO152" i="1"/>
  <c r="FP152" i="1"/>
  <c r="FQ152" i="1"/>
  <c r="FR152" i="1"/>
  <c r="FS152" i="1"/>
  <c r="FT152" i="1"/>
  <c r="FU152" i="1"/>
  <c r="FV152" i="1"/>
  <c r="FW152" i="1"/>
  <c r="FX152" i="1"/>
  <c r="FY152" i="1"/>
  <c r="FZ152" i="1"/>
  <c r="GA152" i="1"/>
  <c r="GB152" i="1"/>
  <c r="GC152" i="1"/>
  <c r="GD152" i="1"/>
  <c r="GE152" i="1"/>
  <c r="GF152" i="1"/>
  <c r="GG152" i="1"/>
  <c r="GH152" i="1"/>
  <c r="GI152" i="1"/>
  <c r="GJ152" i="1"/>
  <c r="GK152" i="1"/>
  <c r="GL152" i="1"/>
  <c r="GM152" i="1"/>
  <c r="GN152" i="1"/>
  <c r="GO152" i="1"/>
  <c r="GP152" i="1"/>
  <c r="GQ152" i="1"/>
  <c r="GR152" i="1"/>
  <c r="GS152" i="1"/>
  <c r="GT152" i="1"/>
  <c r="GU152" i="1"/>
  <c r="GV152" i="1"/>
  <c r="GW152" i="1"/>
  <c r="GX152" i="1"/>
  <c r="C154" i="1"/>
  <c r="D154" i="1"/>
  <c r="I154" i="1"/>
  <c r="K154" i="1"/>
  <c r="E296" i="7" s="1"/>
  <c r="AC154" i="1"/>
  <c r="AE154" i="1"/>
  <c r="AD154" i="1" s="1"/>
  <c r="AF154" i="1"/>
  <c r="AG154" i="1"/>
  <c r="CU154" i="1" s="1"/>
  <c r="T154" i="1" s="1"/>
  <c r="AH154" i="1"/>
  <c r="AI154" i="1"/>
  <c r="AJ154" i="1"/>
  <c r="CQ154" i="1"/>
  <c r="CR154" i="1"/>
  <c r="CS154" i="1"/>
  <c r="CT154" i="1"/>
  <c r="CV154" i="1"/>
  <c r="CW154" i="1"/>
  <c r="CX154" i="1"/>
  <c r="W154" i="1" s="1"/>
  <c r="GL154" i="1"/>
  <c r="GO154" i="1"/>
  <c r="GP154" i="1"/>
  <c r="GV154" i="1"/>
  <c r="HC154" i="1" s="1"/>
  <c r="GX154" i="1" s="1"/>
  <c r="AC155" i="1"/>
  <c r="AE155" i="1"/>
  <c r="AD155" i="1" s="1"/>
  <c r="AF155" i="1"/>
  <c r="AG155" i="1"/>
  <c r="CU155" i="1" s="1"/>
  <c r="AH155" i="1"/>
  <c r="AI155" i="1"/>
  <c r="CW155" i="1" s="1"/>
  <c r="AJ155" i="1"/>
  <c r="CX155" i="1" s="1"/>
  <c r="CQ155" i="1"/>
  <c r="CR155" i="1"/>
  <c r="CS155" i="1"/>
  <c r="CT155" i="1"/>
  <c r="CV155" i="1"/>
  <c r="GL155" i="1"/>
  <c r="GO155" i="1"/>
  <c r="GP155" i="1"/>
  <c r="GV155" i="1"/>
  <c r="HC155" i="1" s="1"/>
  <c r="AC156" i="1"/>
  <c r="AE156" i="1"/>
  <c r="AD156" i="1" s="1"/>
  <c r="AF156" i="1"/>
  <c r="AG156" i="1"/>
  <c r="CU156" i="1" s="1"/>
  <c r="AH156" i="1"/>
  <c r="CV156" i="1" s="1"/>
  <c r="AI156" i="1"/>
  <c r="CW156" i="1" s="1"/>
  <c r="AJ156" i="1"/>
  <c r="CX156" i="1" s="1"/>
  <c r="CQ156" i="1"/>
  <c r="CR156" i="1"/>
  <c r="CS156" i="1"/>
  <c r="CT156" i="1"/>
  <c r="GL156" i="1"/>
  <c r="GO156" i="1"/>
  <c r="GP156" i="1"/>
  <c r="GV156" i="1"/>
  <c r="HC156" i="1" s="1"/>
  <c r="B158" i="1"/>
  <c r="B152" i="1" s="1"/>
  <c r="C158" i="1"/>
  <c r="C152" i="1" s="1"/>
  <c r="D158" i="1"/>
  <c r="D152" i="1" s="1"/>
  <c r="F158" i="1"/>
  <c r="F152" i="1" s="1"/>
  <c r="G158" i="1"/>
  <c r="G152" i="1" s="1"/>
  <c r="BD158" i="1"/>
  <c r="BX158" i="1"/>
  <c r="BY158" i="1"/>
  <c r="AP158" i="1" s="1"/>
  <c r="CD158" i="1"/>
  <c r="CD152" i="1" s="1"/>
  <c r="CK158" i="1"/>
  <c r="BB158" i="1" s="1"/>
  <c r="CL158" i="1"/>
  <c r="BC158" i="1" s="1"/>
  <c r="BC152" i="1" s="1"/>
  <c r="CM158" i="1"/>
  <c r="CM152" i="1" s="1"/>
  <c r="D188" i="1"/>
  <c r="E190" i="1"/>
  <c r="F190" i="1"/>
  <c r="Z190" i="1"/>
  <c r="AA190" i="1"/>
  <c r="AM190" i="1"/>
  <c r="AN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CN190" i="1"/>
  <c r="CO190" i="1"/>
  <c r="CP190" i="1"/>
  <c r="CQ190" i="1"/>
  <c r="CR190" i="1"/>
  <c r="CS190" i="1"/>
  <c r="CT190" i="1"/>
  <c r="CU190" i="1"/>
  <c r="CV190" i="1"/>
  <c r="CW190" i="1"/>
  <c r="CX190" i="1"/>
  <c r="CY190" i="1"/>
  <c r="CZ190" i="1"/>
  <c r="DA190" i="1"/>
  <c r="DB190" i="1"/>
  <c r="DC190" i="1"/>
  <c r="DD190" i="1"/>
  <c r="DE190" i="1"/>
  <c r="DF190" i="1"/>
  <c r="DG190" i="1"/>
  <c r="DH190" i="1"/>
  <c r="DI190" i="1"/>
  <c r="DJ190" i="1"/>
  <c r="DK190" i="1"/>
  <c r="DL190" i="1"/>
  <c r="DM190" i="1"/>
  <c r="DN190" i="1"/>
  <c r="DO190" i="1"/>
  <c r="DP190" i="1"/>
  <c r="DQ190" i="1"/>
  <c r="DR190" i="1"/>
  <c r="DS190" i="1"/>
  <c r="DT190" i="1"/>
  <c r="DU190" i="1"/>
  <c r="DV190" i="1"/>
  <c r="DW190" i="1"/>
  <c r="DX190" i="1"/>
  <c r="DY190" i="1"/>
  <c r="DZ190" i="1"/>
  <c r="EA190" i="1"/>
  <c r="EB190" i="1"/>
  <c r="EC190" i="1"/>
  <c r="ED190" i="1"/>
  <c r="EE190" i="1"/>
  <c r="EF190" i="1"/>
  <c r="EG190" i="1"/>
  <c r="EH190" i="1"/>
  <c r="EI190" i="1"/>
  <c r="EJ190" i="1"/>
  <c r="EK190" i="1"/>
  <c r="EL190" i="1"/>
  <c r="EM190" i="1"/>
  <c r="EN190" i="1"/>
  <c r="EO190" i="1"/>
  <c r="EP190" i="1"/>
  <c r="EQ190" i="1"/>
  <c r="ER190" i="1"/>
  <c r="ES190" i="1"/>
  <c r="ET190" i="1"/>
  <c r="EU190" i="1"/>
  <c r="EV190" i="1"/>
  <c r="EW190" i="1"/>
  <c r="EX190" i="1"/>
  <c r="EY190" i="1"/>
  <c r="EZ190" i="1"/>
  <c r="FA190" i="1"/>
  <c r="FB190" i="1"/>
  <c r="FC190" i="1"/>
  <c r="FD190" i="1"/>
  <c r="FE190" i="1"/>
  <c r="FF190" i="1"/>
  <c r="FG190" i="1"/>
  <c r="FH190" i="1"/>
  <c r="FI190" i="1"/>
  <c r="FJ190" i="1"/>
  <c r="FK190" i="1"/>
  <c r="FL190" i="1"/>
  <c r="FM190" i="1"/>
  <c r="FN190" i="1"/>
  <c r="FO190" i="1"/>
  <c r="FP190" i="1"/>
  <c r="FQ190" i="1"/>
  <c r="FR190" i="1"/>
  <c r="FS190" i="1"/>
  <c r="FT190" i="1"/>
  <c r="FU190" i="1"/>
  <c r="FV190" i="1"/>
  <c r="FW190" i="1"/>
  <c r="FX190" i="1"/>
  <c r="FY190" i="1"/>
  <c r="FZ190" i="1"/>
  <c r="GA190" i="1"/>
  <c r="GB190" i="1"/>
  <c r="GC190" i="1"/>
  <c r="GD190" i="1"/>
  <c r="GE190" i="1"/>
  <c r="GF190" i="1"/>
  <c r="GG190" i="1"/>
  <c r="GH190" i="1"/>
  <c r="GI190" i="1"/>
  <c r="GJ190" i="1"/>
  <c r="GK190" i="1"/>
  <c r="GL190" i="1"/>
  <c r="GM190" i="1"/>
  <c r="GN190" i="1"/>
  <c r="GO190" i="1"/>
  <c r="GP190" i="1"/>
  <c r="GQ190" i="1"/>
  <c r="GR190" i="1"/>
  <c r="GS190" i="1"/>
  <c r="GT190" i="1"/>
  <c r="GU190" i="1"/>
  <c r="GV190" i="1"/>
  <c r="GW190" i="1"/>
  <c r="GX190" i="1"/>
  <c r="O192" i="1"/>
  <c r="P192" i="1"/>
  <c r="Q192" i="1"/>
  <c r="R192" i="1"/>
  <c r="S192" i="1"/>
  <c r="T192" i="1"/>
  <c r="U192" i="1"/>
  <c r="V192" i="1"/>
  <c r="W192" i="1"/>
  <c r="X192" i="1"/>
  <c r="AZ355" i="7" s="1"/>
  <c r="Y192" i="1"/>
  <c r="AB192" i="1"/>
  <c r="CP192" i="1" s="1"/>
  <c r="GM192" i="1" s="1"/>
  <c r="GN192" i="1" s="1"/>
  <c r="AC192" i="1"/>
  <c r="AD192" i="1"/>
  <c r="AE192" i="1"/>
  <c r="AF192" i="1"/>
  <c r="AG192" i="1"/>
  <c r="AH192" i="1"/>
  <c r="AI192" i="1"/>
  <c r="AJ192" i="1"/>
  <c r="GL192" i="1"/>
  <c r="GO192" i="1"/>
  <c r="CC195" i="1" s="1"/>
  <c r="GP192" i="1"/>
  <c r="GV192" i="1"/>
  <c r="GX192" i="1"/>
  <c r="O193" i="1"/>
  <c r="AB195" i="1" s="1"/>
  <c r="P193" i="1"/>
  <c r="AC195" i="1" s="1"/>
  <c r="Q193" i="1"/>
  <c r="R193" i="1"/>
  <c r="S193" i="1"/>
  <c r="T193" i="1"/>
  <c r="AG195" i="1" s="1"/>
  <c r="AG190" i="1" s="1"/>
  <c r="U193" i="1"/>
  <c r="V193" i="1"/>
  <c r="W193" i="1"/>
  <c r="AJ195" i="1" s="1"/>
  <c r="W195" i="1" s="1"/>
  <c r="X193" i="1"/>
  <c r="AZ357" i="7" s="1"/>
  <c r="Y193" i="1"/>
  <c r="BA357" i="7" s="1"/>
  <c r="AB193" i="1"/>
  <c r="CP193" i="1" s="1"/>
  <c r="AC193" i="1"/>
  <c r="AD193" i="1"/>
  <c r="AE193" i="1"/>
  <c r="AF193" i="1"/>
  <c r="AG193" i="1"/>
  <c r="AH193" i="1"/>
  <c r="AI193" i="1"/>
  <c r="AJ193" i="1"/>
  <c r="GL193" i="1"/>
  <c r="GM193" i="1"/>
  <c r="HD193" i="1" s="1"/>
  <c r="L356" i="7" s="1"/>
  <c r="K357" i="7" s="1"/>
  <c r="I357" i="7" s="1"/>
  <c r="GO193" i="1"/>
  <c r="GP193" i="1"/>
  <c r="CD195" i="1" s="1"/>
  <c r="GV193" i="1"/>
  <c r="GX193" i="1"/>
  <c r="B195" i="1"/>
  <c r="B190" i="1" s="1"/>
  <c r="C195" i="1"/>
  <c r="C190" i="1" s="1"/>
  <c r="D195" i="1"/>
  <c r="D190" i="1" s="1"/>
  <c r="F195" i="1"/>
  <c r="G195" i="1"/>
  <c r="G190" i="1" s="1"/>
  <c r="T195" i="1"/>
  <c r="T190" i="1" s="1"/>
  <c r="AD195" i="1"/>
  <c r="Q195" i="1" s="1"/>
  <c r="F207" i="1" s="1"/>
  <c r="AF195" i="1"/>
  <c r="AH195" i="1"/>
  <c r="AH190" i="1" s="1"/>
  <c r="BX195" i="1"/>
  <c r="BX190" i="1" s="1"/>
  <c r="BY195" i="1"/>
  <c r="BY190" i="1" s="1"/>
  <c r="CK195" i="1"/>
  <c r="BB195" i="1" s="1"/>
  <c r="CL195" i="1"/>
  <c r="CL190" i="1" s="1"/>
  <c r="B225" i="1"/>
  <c r="B22" i="1" s="1"/>
  <c r="C225" i="1"/>
  <c r="C22" i="1" s="1"/>
  <c r="D225" i="1"/>
  <c r="D22" i="1" s="1"/>
  <c r="F225" i="1"/>
  <c r="F22" i="1" s="1"/>
  <c r="G225" i="1"/>
  <c r="G22" i="1" s="1"/>
  <c r="B258" i="1"/>
  <c r="B18" i="1" s="1"/>
  <c r="C258" i="1"/>
  <c r="C18" i="1" s="1"/>
  <c r="D258" i="1"/>
  <c r="D18" i="1" s="1"/>
  <c r="F258" i="1"/>
  <c r="F18" i="1" s="1"/>
  <c r="G258" i="1"/>
  <c r="G18" i="1" s="1"/>
  <c r="F12" i="6"/>
  <c r="G12" i="6"/>
  <c r="BB152" i="1" l="1"/>
  <c r="F171" i="1"/>
  <c r="AP152" i="1"/>
  <c r="F167" i="1"/>
  <c r="GX71" i="1"/>
  <c r="F219" i="1"/>
  <c r="W190" i="1"/>
  <c r="AB190" i="1"/>
  <c r="O195" i="1"/>
  <c r="D32" i="8"/>
  <c r="C246" i="7"/>
  <c r="AE260" i="7"/>
  <c r="AD260" i="7"/>
  <c r="G245" i="7"/>
  <c r="G253" i="7" s="1"/>
  <c r="S76" i="1"/>
  <c r="AE163" i="7"/>
  <c r="AD163" i="7"/>
  <c r="G163" i="7"/>
  <c r="D24" i="8"/>
  <c r="C122" i="7"/>
  <c r="AE143" i="7"/>
  <c r="G136" i="7"/>
  <c r="G120" i="7"/>
  <c r="G135" i="7"/>
  <c r="AD143" i="7"/>
  <c r="DB9" i="3"/>
  <c r="H76" i="7"/>
  <c r="J76" i="7" s="1"/>
  <c r="AO195" i="1"/>
  <c r="AI195" i="1"/>
  <c r="AL195" i="1"/>
  <c r="BA355" i="7"/>
  <c r="L375" i="7" s="1"/>
  <c r="D34" i="8"/>
  <c r="AE319" i="7"/>
  <c r="G312" i="7"/>
  <c r="AD319" i="7"/>
  <c r="G311" i="7"/>
  <c r="G296" i="7"/>
  <c r="C298" i="7"/>
  <c r="CK152" i="1"/>
  <c r="G255" i="7"/>
  <c r="AE255" i="7"/>
  <c r="AD255" i="7"/>
  <c r="S85" i="1"/>
  <c r="CY85" i="1" s="1"/>
  <c r="X85" i="1" s="1"/>
  <c r="AZ240" i="7" s="1"/>
  <c r="T85" i="1"/>
  <c r="AE224" i="7"/>
  <c r="C213" i="7"/>
  <c r="AD224" i="7"/>
  <c r="D30" i="8"/>
  <c r="G212" i="7"/>
  <c r="G219" i="7" s="1"/>
  <c r="AE211" i="7"/>
  <c r="C203" i="7"/>
  <c r="D29" i="8"/>
  <c r="AD211" i="7"/>
  <c r="G202" i="7"/>
  <c r="AB78" i="1"/>
  <c r="AE186" i="7"/>
  <c r="AD186" i="7"/>
  <c r="D27" i="8"/>
  <c r="G168" i="7"/>
  <c r="G176" i="7" s="1"/>
  <c r="C170" i="7"/>
  <c r="G180" i="7"/>
  <c r="Q72" i="1"/>
  <c r="I72" i="1"/>
  <c r="GX72" i="1" s="1"/>
  <c r="AP32" i="1"/>
  <c r="AP26" i="1" s="1"/>
  <c r="P30" i="1"/>
  <c r="L81" i="7" s="1"/>
  <c r="AE81" i="7"/>
  <c r="AD81" i="7"/>
  <c r="G81" i="7"/>
  <c r="AE80" i="7"/>
  <c r="AD80" i="7"/>
  <c r="G80" i="7"/>
  <c r="DB62" i="3"/>
  <c r="H310" i="7"/>
  <c r="J310" i="7" s="1"/>
  <c r="DB54" i="3"/>
  <c r="J300" i="7"/>
  <c r="DB49" i="3"/>
  <c r="DB45" i="3"/>
  <c r="J234" i="7"/>
  <c r="DB42" i="3"/>
  <c r="J229" i="7"/>
  <c r="DB37" i="3"/>
  <c r="J205" i="7"/>
  <c r="DB23" i="3"/>
  <c r="H160" i="7"/>
  <c r="J160" i="7" s="1"/>
  <c r="DB21" i="3"/>
  <c r="J157" i="7"/>
  <c r="DB19" i="3"/>
  <c r="J147" i="7"/>
  <c r="DB14" i="3"/>
  <c r="H132" i="7"/>
  <c r="J132" i="7" s="1"/>
  <c r="DB1" i="3"/>
  <c r="AN240" i="7"/>
  <c r="BB357" i="7"/>
  <c r="DB56" i="3"/>
  <c r="H303" i="7"/>
  <c r="J303" i="7" s="1"/>
  <c r="BZ195" i="1"/>
  <c r="L374" i="7"/>
  <c r="AB156" i="1"/>
  <c r="CC158" i="1"/>
  <c r="AT158" i="1" s="1"/>
  <c r="BY152" i="1"/>
  <c r="AO120" i="1"/>
  <c r="R85" i="1"/>
  <c r="T84" i="1"/>
  <c r="T79" i="1"/>
  <c r="W76" i="1"/>
  <c r="C155" i="7"/>
  <c r="AE167" i="7"/>
  <c r="D26" i="8"/>
  <c r="G154" i="7"/>
  <c r="G161" i="7" s="1"/>
  <c r="AD167" i="7"/>
  <c r="AE153" i="7"/>
  <c r="C145" i="7"/>
  <c r="D25" i="8"/>
  <c r="AD153" i="7"/>
  <c r="G144" i="7"/>
  <c r="I71" i="1"/>
  <c r="F45" i="1"/>
  <c r="AO32" i="1"/>
  <c r="F36" i="1" s="1"/>
  <c r="BZ32" i="1"/>
  <c r="CG32" i="1" s="1"/>
  <c r="CG26" i="1" s="1"/>
  <c r="D21" i="8"/>
  <c r="C64" i="7"/>
  <c r="AE85" i="7"/>
  <c r="G78" i="7"/>
  <c r="AD85" i="7"/>
  <c r="G77" i="7"/>
  <c r="G62" i="7"/>
  <c r="DB44" i="3"/>
  <c r="DB41" i="3"/>
  <c r="DB29" i="3"/>
  <c r="H179" i="7"/>
  <c r="J179" i="7" s="1"/>
  <c r="DB27" i="3"/>
  <c r="DB18" i="3"/>
  <c r="DB10" i="3"/>
  <c r="J124" i="7"/>
  <c r="DB6" i="3"/>
  <c r="H75" i="7"/>
  <c r="J75" i="7" s="1"/>
  <c r="DB4" i="3"/>
  <c r="DB3" i="3"/>
  <c r="H69" i="7"/>
  <c r="J69" i="7" s="1"/>
  <c r="P71" i="1"/>
  <c r="L138" i="7" s="1"/>
  <c r="DB39" i="3"/>
  <c r="J215" i="7"/>
  <c r="DB25" i="3"/>
  <c r="J172" i="7"/>
  <c r="BC195" i="1"/>
  <c r="BC225" i="1" s="1"/>
  <c r="U195" i="1"/>
  <c r="F217" i="1" s="1"/>
  <c r="G387" i="7" s="1"/>
  <c r="BZ158" i="1"/>
  <c r="BZ152" i="1" s="1"/>
  <c r="BC90" i="1"/>
  <c r="BC120" i="1" s="1"/>
  <c r="I88" i="1"/>
  <c r="S88" i="1" s="1"/>
  <c r="T86" i="1"/>
  <c r="AD240" i="7"/>
  <c r="G240" i="7"/>
  <c r="AE240" i="7"/>
  <c r="G225" i="7"/>
  <c r="AE244" i="7"/>
  <c r="G238" i="7"/>
  <c r="AD244" i="7"/>
  <c r="C227" i="7"/>
  <c r="D31" i="8"/>
  <c r="AB80" i="1"/>
  <c r="D28" i="8"/>
  <c r="G195" i="7"/>
  <c r="AE201" i="7"/>
  <c r="G187" i="7"/>
  <c r="AD201" i="7"/>
  <c r="C189" i="7"/>
  <c r="R76" i="1"/>
  <c r="T76" i="1"/>
  <c r="S72" i="1"/>
  <c r="W72" i="1"/>
  <c r="W71" i="1"/>
  <c r="Q71" i="1"/>
  <c r="U71" i="1"/>
  <c r="T70" i="1"/>
  <c r="CP29" i="1"/>
  <c r="O29" i="1" s="1"/>
  <c r="L80" i="7"/>
  <c r="DB58" i="3"/>
  <c r="H308" i="7"/>
  <c r="J308" i="7" s="1"/>
  <c r="DB28" i="3"/>
  <c r="DB15" i="3"/>
  <c r="H133" i="7"/>
  <c r="J133" i="7" s="1"/>
  <c r="DB13" i="3"/>
  <c r="J129" i="7"/>
  <c r="CD32" i="1"/>
  <c r="CD26" i="1" s="1"/>
  <c r="AB79" i="1"/>
  <c r="AB73" i="1"/>
  <c r="CC32" i="1"/>
  <c r="CC26" i="1" s="1"/>
  <c r="CI158" i="1"/>
  <c r="AZ158" i="1" s="1"/>
  <c r="F169" i="1" s="1"/>
  <c r="AB86" i="1"/>
  <c r="AB154" i="1"/>
  <c r="L444" i="7"/>
  <c r="AB77" i="1"/>
  <c r="AB83" i="1"/>
  <c r="AB75" i="1"/>
  <c r="AB70" i="1"/>
  <c r="AU158" i="1"/>
  <c r="AU152" i="1" s="1"/>
  <c r="F208" i="1"/>
  <c r="BB190" i="1"/>
  <c r="AT195" i="1"/>
  <c r="CC190" i="1"/>
  <c r="V195" i="1"/>
  <c r="AI190" i="1"/>
  <c r="CF195" i="1"/>
  <c r="CH195" i="1"/>
  <c r="P195" i="1"/>
  <c r="AC190" i="1"/>
  <c r="CE195" i="1"/>
  <c r="AL190" i="1"/>
  <c r="Y195" i="1"/>
  <c r="CD190" i="1"/>
  <c r="AU195" i="1"/>
  <c r="AQ158" i="1"/>
  <c r="AK195" i="1"/>
  <c r="F174" i="1"/>
  <c r="BX152" i="1"/>
  <c r="CG158" i="1"/>
  <c r="GN193" i="1"/>
  <c r="CB195" i="1" s="1"/>
  <c r="CJ195" i="1"/>
  <c r="CK190" i="1"/>
  <c r="AJ190" i="1"/>
  <c r="BD152" i="1"/>
  <c r="F183" i="1"/>
  <c r="AO158" i="1"/>
  <c r="AB82" i="1"/>
  <c r="AB81" i="1"/>
  <c r="BD68" i="1"/>
  <c r="F115" i="1"/>
  <c r="BD120" i="1"/>
  <c r="AP195" i="1"/>
  <c r="F216" i="1"/>
  <c r="CI195" i="1"/>
  <c r="CA195" i="1"/>
  <c r="Q190" i="1"/>
  <c r="CU54" i="3"/>
  <c r="CV54" i="3"/>
  <c r="U154" i="1" s="1"/>
  <c r="G299" i="7" s="1"/>
  <c r="CX57" i="3"/>
  <c r="G305" i="7" s="1"/>
  <c r="CX54" i="3"/>
  <c r="G300" i="7" s="1"/>
  <c r="CW56" i="3"/>
  <c r="CX60" i="3"/>
  <c r="CX56" i="3"/>
  <c r="G303" i="7" s="1"/>
  <c r="CX61" i="3"/>
  <c r="I156" i="1"/>
  <c r="I155" i="1"/>
  <c r="BC68" i="1"/>
  <c r="F106" i="1"/>
  <c r="AB87" i="1"/>
  <c r="CY76" i="1"/>
  <c r="X76" i="1" s="1"/>
  <c r="AZ163" i="7" s="1"/>
  <c r="CZ76" i="1"/>
  <c r="Y76" i="1" s="1"/>
  <c r="BA163" i="7" s="1"/>
  <c r="AB155" i="1"/>
  <c r="BZ90" i="1"/>
  <c r="CD90" i="1"/>
  <c r="AD190" i="1"/>
  <c r="R155" i="1"/>
  <c r="P88" i="1"/>
  <c r="AB85" i="1"/>
  <c r="AB84" i="1"/>
  <c r="AF190" i="1"/>
  <c r="S195" i="1"/>
  <c r="HD192" i="1"/>
  <c r="AE195" i="1"/>
  <c r="U190" i="1"/>
  <c r="CK68" i="1"/>
  <c r="BB90" i="1"/>
  <c r="BY68" i="1"/>
  <c r="AP90" i="1"/>
  <c r="P72" i="1"/>
  <c r="V76" i="1"/>
  <c r="P76" i="1"/>
  <c r="CW23" i="3"/>
  <c r="V75" i="1" s="1"/>
  <c r="G159" i="7" s="1"/>
  <c r="CX23" i="3"/>
  <c r="G160" i="7" s="1"/>
  <c r="CU21" i="3"/>
  <c r="V72" i="1"/>
  <c r="AT32" i="1"/>
  <c r="BA32" i="1"/>
  <c r="CJ26" i="1"/>
  <c r="AJ32" i="1"/>
  <c r="AB28" i="1"/>
  <c r="CX43" i="3"/>
  <c r="CX47" i="3"/>
  <c r="G237" i="7" s="1"/>
  <c r="CW44" i="3"/>
  <c r="CU42" i="3"/>
  <c r="CX45" i="3"/>
  <c r="G234" i="7" s="1"/>
  <c r="CV37" i="3"/>
  <c r="U81" i="1" s="1"/>
  <c r="G204" i="7" s="1"/>
  <c r="CX37" i="3"/>
  <c r="G205" i="7" s="1"/>
  <c r="CU37" i="3"/>
  <c r="CU31" i="3"/>
  <c r="CW34" i="3"/>
  <c r="CV31" i="3"/>
  <c r="U79" i="1" s="1"/>
  <c r="G190" i="7" s="1"/>
  <c r="CX34" i="3"/>
  <c r="CX26" i="3"/>
  <c r="CU25" i="3"/>
  <c r="AG32" i="1"/>
  <c r="CX49" i="3"/>
  <c r="G249" i="7" s="1"/>
  <c r="CU48" i="3"/>
  <c r="P87" i="1" s="1"/>
  <c r="CX50" i="3"/>
  <c r="CU49" i="3"/>
  <c r="CX52" i="3"/>
  <c r="CX40" i="3"/>
  <c r="CW41" i="3"/>
  <c r="V83" i="1" s="1"/>
  <c r="G217" i="7" s="1"/>
  <c r="CX41" i="3"/>
  <c r="G218" i="7" s="1"/>
  <c r="CU39" i="3"/>
  <c r="I82" i="1"/>
  <c r="I80" i="1"/>
  <c r="I78" i="1"/>
  <c r="CX19" i="3"/>
  <c r="G147" i="7" s="1"/>
  <c r="CU19" i="3"/>
  <c r="AB29" i="1"/>
  <c r="I74" i="1"/>
  <c r="AB71" i="1"/>
  <c r="BC26" i="1"/>
  <c r="F48" i="1"/>
  <c r="CY30" i="1"/>
  <c r="X30" i="1" s="1"/>
  <c r="AZ81" i="7" s="1"/>
  <c r="CZ30" i="1"/>
  <c r="Y30" i="1" s="1"/>
  <c r="BA81" i="7" s="1"/>
  <c r="CX15" i="3"/>
  <c r="G133" i="7" s="1"/>
  <c r="CW12" i="3"/>
  <c r="CX12" i="3"/>
  <c r="G127" i="7" s="1"/>
  <c r="CU10" i="3"/>
  <c r="F41" i="1"/>
  <c r="CI32" i="1"/>
  <c r="BD32" i="1"/>
  <c r="CL26" i="1"/>
  <c r="CV39" i="3"/>
  <c r="U83" i="1" s="1"/>
  <c r="G214" i="7" s="1"/>
  <c r="CX31" i="3"/>
  <c r="G191" i="7" s="1"/>
  <c r="CX30" i="3"/>
  <c r="CX29" i="3"/>
  <c r="G179" i="7" s="1"/>
  <c r="CX11" i="3"/>
  <c r="CX10" i="3"/>
  <c r="G124" i="7" s="1"/>
  <c r="CX6" i="3"/>
  <c r="G75" i="7" s="1"/>
  <c r="Q30" i="1"/>
  <c r="CZ29" i="1"/>
  <c r="Y29" i="1" s="1"/>
  <c r="CX7" i="3"/>
  <c r="CX3" i="3"/>
  <c r="G69" i="7" s="1"/>
  <c r="CX8" i="3"/>
  <c r="CU1" i="3"/>
  <c r="CX9" i="3"/>
  <c r="G76" i="7" s="1"/>
  <c r="CX5" i="3"/>
  <c r="G74" i="7" s="1"/>
  <c r="AO26" i="1"/>
  <c r="CX59" i="3"/>
  <c r="G309" i="7" s="1"/>
  <c r="CX58" i="3"/>
  <c r="G308" i="7" s="1"/>
  <c r="CV49" i="3"/>
  <c r="CX38" i="3"/>
  <c r="CX28" i="3"/>
  <c r="G178" i="7" s="1"/>
  <c r="CW57" i="3"/>
  <c r="CV48" i="3"/>
  <c r="U86" i="1" s="1"/>
  <c r="G247" i="7" s="1"/>
  <c r="CX36" i="3"/>
  <c r="CW27" i="3"/>
  <c r="V77" i="1" s="1"/>
  <c r="G174" i="7" s="1"/>
  <c r="CX25" i="3"/>
  <c r="G172" i="7" s="1"/>
  <c r="CW4" i="3"/>
  <c r="CW3" i="3"/>
  <c r="CX2" i="3"/>
  <c r="CX55" i="3"/>
  <c r="CX53" i="3"/>
  <c r="CX46" i="3"/>
  <c r="CW45" i="3"/>
  <c r="CX35" i="3"/>
  <c r="CX24" i="3"/>
  <c r="CX22" i="3"/>
  <c r="CV21" i="3"/>
  <c r="U75" i="1" s="1"/>
  <c r="G156" i="7" s="1"/>
  <c r="CX20" i="3"/>
  <c r="CV19" i="3"/>
  <c r="U73" i="1" s="1"/>
  <c r="G146" i="7" s="1"/>
  <c r="CV1" i="3"/>
  <c r="U28" i="1" s="1"/>
  <c r="CX44" i="3"/>
  <c r="G232" i="7" s="1"/>
  <c r="CX33" i="3"/>
  <c r="CX18" i="3"/>
  <c r="G134" i="7" s="1"/>
  <c r="CX62" i="3"/>
  <c r="G310" i="7" s="1"/>
  <c r="CW51" i="3"/>
  <c r="V86" i="1" s="1"/>
  <c r="G251" i="7" s="1"/>
  <c r="CV42" i="3"/>
  <c r="U84" i="1" s="1"/>
  <c r="G228" i="7" s="1"/>
  <c r="CX32" i="3"/>
  <c r="CX17" i="3"/>
  <c r="CX16" i="3"/>
  <c r="CX14" i="3"/>
  <c r="G132" i="7" s="1"/>
  <c r="CW13" i="3"/>
  <c r="CX42" i="3"/>
  <c r="G229" i="7" s="1"/>
  <c r="CX39" i="3"/>
  <c r="G215" i="7" s="1"/>
  <c r="CW33" i="3"/>
  <c r="CV25" i="3"/>
  <c r="U77" i="1" s="1"/>
  <c r="G171" i="7" s="1"/>
  <c r="CX21" i="3"/>
  <c r="G157" i="7" s="1"/>
  <c r="CX13" i="3"/>
  <c r="G129" i="7" s="1"/>
  <c r="CV10" i="3"/>
  <c r="U70" i="1" s="1"/>
  <c r="G123" i="7" s="1"/>
  <c r="CX1" i="3"/>
  <c r="G66" i="7" s="1"/>
  <c r="CX4" i="3"/>
  <c r="G71" i="7" s="1"/>
  <c r="CX51" i="3"/>
  <c r="G252" i="7" s="1"/>
  <c r="CX48" i="3"/>
  <c r="G248" i="7" s="1"/>
  <c r="CX27" i="3"/>
  <c r="G175" i="7" s="1"/>
  <c r="AU32" i="1" l="1"/>
  <c r="AQ32" i="1"/>
  <c r="BZ26" i="1"/>
  <c r="AX32" i="1"/>
  <c r="F39" i="1" s="1"/>
  <c r="BC22" i="1"/>
  <c r="F241" i="1"/>
  <c r="BC258" i="1"/>
  <c r="AW81" i="7"/>
  <c r="AN81" i="7"/>
  <c r="G130" i="7"/>
  <c r="G128" i="7"/>
  <c r="O190" i="1"/>
  <c r="F197" i="1"/>
  <c r="GM29" i="1"/>
  <c r="GN29" i="1" s="1"/>
  <c r="BA80" i="7"/>
  <c r="L139" i="7"/>
  <c r="V88" i="1"/>
  <c r="AZ152" i="1"/>
  <c r="CZ85" i="1"/>
  <c r="Y85" i="1" s="1"/>
  <c r="U155" i="1"/>
  <c r="G314" i="7"/>
  <c r="AE314" i="7"/>
  <c r="AD314" i="7"/>
  <c r="AW80" i="7"/>
  <c r="AN80" i="7"/>
  <c r="BC64" i="1"/>
  <c r="F136" i="1"/>
  <c r="AN138" i="7"/>
  <c r="AW138" i="7"/>
  <c r="AD138" i="7"/>
  <c r="G138" i="7"/>
  <c r="AE138" i="7"/>
  <c r="S71" i="1"/>
  <c r="GX88" i="1"/>
  <c r="V71" i="1"/>
  <c r="W88" i="1"/>
  <c r="GX82" i="1"/>
  <c r="AE207" i="7"/>
  <c r="AD207" i="7"/>
  <c r="G207" i="7"/>
  <c r="F211" i="1"/>
  <c r="BC190" i="1"/>
  <c r="CP30" i="1"/>
  <c r="O30" i="1" s="1"/>
  <c r="GM30" i="1" s="1"/>
  <c r="GN30" i="1" s="1"/>
  <c r="AE149" i="7"/>
  <c r="AD149" i="7"/>
  <c r="G149" i="7"/>
  <c r="S78" i="1"/>
  <c r="AD182" i="7"/>
  <c r="G182" i="7"/>
  <c r="AE182" i="7"/>
  <c r="CM195" i="1"/>
  <c r="L354" i="7"/>
  <c r="U156" i="1"/>
  <c r="G315" i="7"/>
  <c r="AE315" i="7"/>
  <c r="AD315" i="7"/>
  <c r="CC152" i="1"/>
  <c r="AO64" i="1"/>
  <c r="F124" i="1"/>
  <c r="T71" i="1"/>
  <c r="AD139" i="7"/>
  <c r="G139" i="7"/>
  <c r="AE139" i="7"/>
  <c r="T72" i="1"/>
  <c r="G306" i="7"/>
  <c r="G304" i="7"/>
  <c r="L256" i="7"/>
  <c r="R88" i="1"/>
  <c r="CY88" i="1" s="1"/>
  <c r="X88" i="1" s="1"/>
  <c r="AZ256" i="7" s="1"/>
  <c r="AE256" i="7"/>
  <c r="AD256" i="7"/>
  <c r="G256" i="7"/>
  <c r="S80" i="1"/>
  <c r="AE197" i="7"/>
  <c r="AD197" i="7"/>
  <c r="G197" i="7"/>
  <c r="CP76" i="1"/>
  <c r="O76" i="1" s="1"/>
  <c r="GM76" i="1" s="1"/>
  <c r="GN76" i="1" s="1"/>
  <c r="L163" i="7"/>
  <c r="U88" i="1"/>
  <c r="T88" i="1"/>
  <c r="T156" i="1"/>
  <c r="CI152" i="1"/>
  <c r="Q88" i="1"/>
  <c r="CP88" i="1" s="1"/>
  <c r="O88" i="1" s="1"/>
  <c r="G233" i="7"/>
  <c r="G235" i="7"/>
  <c r="G72" i="7"/>
  <c r="G70" i="7"/>
  <c r="AQ195" i="1"/>
  <c r="CG195" i="1"/>
  <c r="BZ190" i="1"/>
  <c r="R72" i="1"/>
  <c r="CY72" i="1" s="1"/>
  <c r="X72" i="1" s="1"/>
  <c r="AZ139" i="7" s="1"/>
  <c r="U72" i="1"/>
  <c r="CP85" i="1"/>
  <c r="O85" i="1" s="1"/>
  <c r="F199" i="1"/>
  <c r="AO190" i="1"/>
  <c r="R71" i="1"/>
  <c r="CY71" i="1" s="1"/>
  <c r="X71" i="1" s="1"/>
  <c r="AZ138" i="7" s="1"/>
  <c r="O87" i="1"/>
  <c r="GM87" i="1" s="1"/>
  <c r="GO87" i="1" s="1"/>
  <c r="L255" i="7"/>
  <c r="AH32" i="1"/>
  <c r="U32" i="1" s="1"/>
  <c r="G65" i="7"/>
  <c r="F177" i="1"/>
  <c r="CB190" i="1"/>
  <c r="AS195" i="1"/>
  <c r="DI48" i="3"/>
  <c r="L248" i="7" s="1"/>
  <c r="DF48" i="3"/>
  <c r="DG48" i="3"/>
  <c r="DH48" i="3"/>
  <c r="DF62" i="3"/>
  <c r="DG62" i="3"/>
  <c r="DH62" i="3"/>
  <c r="DI62" i="3"/>
  <c r="DG46" i="3"/>
  <c r="DH46" i="3"/>
  <c r="DI46" i="3"/>
  <c r="DF46" i="3"/>
  <c r="DJ46" i="3" s="1"/>
  <c r="DF38" i="3"/>
  <c r="DJ38" i="3" s="1"/>
  <c r="DG38" i="3"/>
  <c r="DH38" i="3"/>
  <c r="DI38" i="3"/>
  <c r="DI51" i="3"/>
  <c r="DF51" i="3"/>
  <c r="DG51" i="3"/>
  <c r="DH51" i="3"/>
  <c r="L253" i="7" s="1"/>
  <c r="L251" i="7" s="1"/>
  <c r="DF16" i="3"/>
  <c r="DJ16" i="3" s="1"/>
  <c r="DG16" i="3"/>
  <c r="DH16" i="3"/>
  <c r="DI16" i="3"/>
  <c r="DH18" i="3"/>
  <c r="DI18" i="3"/>
  <c r="DF18" i="3"/>
  <c r="DG18" i="3"/>
  <c r="DI31" i="3"/>
  <c r="L191" i="7" s="1"/>
  <c r="L190" i="7" s="1"/>
  <c r="DF31" i="3"/>
  <c r="DG31" i="3"/>
  <c r="DH31" i="3"/>
  <c r="V74" i="1"/>
  <c r="P74" i="1"/>
  <c r="L149" i="7" s="1"/>
  <c r="S74" i="1"/>
  <c r="DF47" i="3"/>
  <c r="DG47" i="3"/>
  <c r="DH47" i="3"/>
  <c r="DI47" i="3"/>
  <c r="P80" i="1"/>
  <c r="L197" i="7" s="1"/>
  <c r="T78" i="1"/>
  <c r="DG61" i="3"/>
  <c r="DH61" i="3"/>
  <c r="DI61" i="3"/>
  <c r="DF61" i="3"/>
  <c r="DJ61" i="3" s="1"/>
  <c r="DH4" i="3"/>
  <c r="L72" i="7" s="1"/>
  <c r="DI4" i="3"/>
  <c r="DF4" i="3"/>
  <c r="DG4" i="3"/>
  <c r="V79" i="1"/>
  <c r="G193" i="7" s="1"/>
  <c r="DI17" i="3"/>
  <c r="DF17" i="3"/>
  <c r="DJ17" i="3" s="1"/>
  <c r="DG17" i="3"/>
  <c r="DH17" i="3"/>
  <c r="DF33" i="3"/>
  <c r="DG33" i="3"/>
  <c r="DH33" i="3"/>
  <c r="DI33" i="3"/>
  <c r="DF22" i="3"/>
  <c r="DG22" i="3"/>
  <c r="DH22" i="3"/>
  <c r="DI22" i="3"/>
  <c r="DJ22" i="3" s="1"/>
  <c r="DI55" i="3"/>
  <c r="DJ55" i="3" s="1"/>
  <c r="DF55" i="3"/>
  <c r="DG55" i="3"/>
  <c r="DH55" i="3"/>
  <c r="DH36" i="3"/>
  <c r="DI36" i="3"/>
  <c r="DF36" i="3"/>
  <c r="DJ36" i="3" s="1"/>
  <c r="DG36" i="3"/>
  <c r="DF58" i="3"/>
  <c r="DG58" i="3"/>
  <c r="DH58" i="3"/>
  <c r="DI58" i="3"/>
  <c r="DF8" i="3"/>
  <c r="DJ8" i="3" s="1"/>
  <c r="DG8" i="3"/>
  <c r="DH8" i="3"/>
  <c r="DI8" i="3"/>
  <c r="DF6" i="3"/>
  <c r="DG6" i="3"/>
  <c r="DH6" i="3"/>
  <c r="DI6" i="3"/>
  <c r="DF50" i="3"/>
  <c r="DG50" i="3"/>
  <c r="DH50" i="3"/>
  <c r="DI50" i="3"/>
  <c r="DJ50" i="3" s="1"/>
  <c r="DF26" i="3"/>
  <c r="DG26" i="3"/>
  <c r="DH26" i="3"/>
  <c r="DI26" i="3"/>
  <c r="DJ26" i="3" s="1"/>
  <c r="DF37" i="3"/>
  <c r="P81" i="1" s="1"/>
  <c r="DG37" i="3"/>
  <c r="Q81" i="1" s="1"/>
  <c r="DH37" i="3"/>
  <c r="R81" i="1" s="1"/>
  <c r="DI37" i="3"/>
  <c r="L205" i="7" s="1"/>
  <c r="L204" i="7" s="1"/>
  <c r="DF43" i="3"/>
  <c r="DG43" i="3"/>
  <c r="DH43" i="3"/>
  <c r="DI43" i="3"/>
  <c r="DJ43" i="3" s="1"/>
  <c r="F50" i="1"/>
  <c r="AT26" i="1"/>
  <c r="AE190" i="1"/>
  <c r="R195" i="1"/>
  <c r="R78" i="1"/>
  <c r="DG56" i="3"/>
  <c r="DH56" i="3"/>
  <c r="L304" i="7" s="1"/>
  <c r="DI56" i="3"/>
  <c r="DF56" i="3"/>
  <c r="V78" i="1"/>
  <c r="GX78" i="1"/>
  <c r="X195" i="1"/>
  <c r="AK190" i="1"/>
  <c r="F222" i="1"/>
  <c r="Y190" i="1"/>
  <c r="CH190" i="1"/>
  <c r="AY195" i="1"/>
  <c r="GX155" i="1"/>
  <c r="DG13" i="3"/>
  <c r="L129" i="7" s="1"/>
  <c r="DH13" i="3"/>
  <c r="L130" i="7" s="1"/>
  <c r="DI13" i="3"/>
  <c r="DF13" i="3"/>
  <c r="DH32" i="3"/>
  <c r="DI32" i="3"/>
  <c r="DJ32" i="3" s="1"/>
  <c r="DF32" i="3"/>
  <c r="DG32" i="3"/>
  <c r="DF3" i="3"/>
  <c r="DG3" i="3"/>
  <c r="DH3" i="3"/>
  <c r="L70" i="7" s="1"/>
  <c r="L68" i="7" s="1"/>
  <c r="DI3" i="3"/>
  <c r="DF10" i="3"/>
  <c r="DG10" i="3"/>
  <c r="DH10" i="3"/>
  <c r="DI10" i="3"/>
  <c r="L124" i="7" s="1"/>
  <c r="L123" i="7" s="1"/>
  <c r="DI12" i="3"/>
  <c r="DF12" i="3"/>
  <c r="DG12" i="3"/>
  <c r="L127" i="7" s="1"/>
  <c r="DH12" i="3"/>
  <c r="L128" i="7" s="1"/>
  <c r="DF41" i="3"/>
  <c r="DG41" i="3"/>
  <c r="DH41" i="3"/>
  <c r="L219" i="7" s="1"/>
  <c r="L217" i="7" s="1"/>
  <c r="DI41" i="3"/>
  <c r="DF34" i="3"/>
  <c r="DG34" i="3"/>
  <c r="DH34" i="3"/>
  <c r="DI34" i="3"/>
  <c r="AP68" i="1"/>
  <c r="AP120" i="1"/>
  <c r="F99" i="1"/>
  <c r="CD68" i="1"/>
  <c r="AU90" i="1"/>
  <c r="T80" i="1"/>
  <c r="GX156" i="1"/>
  <c r="DH60" i="3"/>
  <c r="DI60" i="3"/>
  <c r="DF60" i="3"/>
  <c r="DJ60" i="3" s="1"/>
  <c r="DG60" i="3"/>
  <c r="V80" i="1"/>
  <c r="GX80" i="1"/>
  <c r="BC18" i="1"/>
  <c r="F274" i="1"/>
  <c r="AQ152" i="1"/>
  <c r="F168" i="1"/>
  <c r="AW195" i="1"/>
  <c r="CF190" i="1"/>
  <c r="V156" i="1"/>
  <c r="V155" i="1"/>
  <c r="DG1" i="3"/>
  <c r="DH1" i="3"/>
  <c r="R28" i="1" s="1"/>
  <c r="AE32" i="1" s="1"/>
  <c r="DI1" i="3"/>
  <c r="L66" i="7" s="1"/>
  <c r="L65" i="7" s="1"/>
  <c r="DF1" i="3"/>
  <c r="DG39" i="3"/>
  <c r="DH39" i="3"/>
  <c r="DI39" i="3"/>
  <c r="L215" i="7" s="1"/>
  <c r="L214" i="7" s="1"/>
  <c r="DF39" i="3"/>
  <c r="DF44" i="3"/>
  <c r="DG44" i="3"/>
  <c r="L232" i="7" s="1"/>
  <c r="DH44" i="3"/>
  <c r="L233" i="7" s="1"/>
  <c r="DI44" i="3"/>
  <c r="DI24" i="3"/>
  <c r="DF24" i="3"/>
  <c r="DJ24" i="3" s="1"/>
  <c r="DG24" i="3"/>
  <c r="DH24" i="3"/>
  <c r="DF2" i="3"/>
  <c r="DG2" i="3"/>
  <c r="DH2" i="3"/>
  <c r="DI2" i="3"/>
  <c r="DJ2" i="3" s="1"/>
  <c r="DI59" i="3"/>
  <c r="DF59" i="3"/>
  <c r="DG59" i="3"/>
  <c r="DH59" i="3"/>
  <c r="F51" i="1"/>
  <c r="AU26" i="1"/>
  <c r="CM190" i="1"/>
  <c r="BD195" i="1"/>
  <c r="DG42" i="3"/>
  <c r="DH42" i="3"/>
  <c r="R84" i="1" s="1"/>
  <c r="DI42" i="3"/>
  <c r="L229" i="7" s="1"/>
  <c r="L228" i="7" s="1"/>
  <c r="DF42" i="3"/>
  <c r="DI35" i="3"/>
  <c r="DF35" i="3"/>
  <c r="DJ35" i="3" s="1"/>
  <c r="DG35" i="3"/>
  <c r="DH35" i="3"/>
  <c r="V28" i="1"/>
  <c r="DF7" i="3"/>
  <c r="DJ7" i="3" s="1"/>
  <c r="DG7" i="3"/>
  <c r="DH7" i="3"/>
  <c r="DI7" i="3"/>
  <c r="DF11" i="3"/>
  <c r="DG11" i="3"/>
  <c r="DH11" i="3"/>
  <c r="DI11" i="3"/>
  <c r="DJ11" i="3" s="1"/>
  <c r="V70" i="1"/>
  <c r="G126" i="7" s="1"/>
  <c r="DF19" i="3"/>
  <c r="P73" i="1" s="1"/>
  <c r="DG19" i="3"/>
  <c r="Q73" i="1" s="1"/>
  <c r="DH19" i="3"/>
  <c r="R73" i="1" s="1"/>
  <c r="DI19" i="3"/>
  <c r="L147" i="7" s="1"/>
  <c r="L146" i="7" s="1"/>
  <c r="DF49" i="3"/>
  <c r="DG49" i="3"/>
  <c r="DH49" i="3"/>
  <c r="DI49" i="3"/>
  <c r="DH45" i="3"/>
  <c r="L235" i="7" s="1"/>
  <c r="DI45" i="3"/>
  <c r="DF45" i="3"/>
  <c r="DG45" i="3"/>
  <c r="W32" i="1"/>
  <c r="AJ26" i="1"/>
  <c r="AX26" i="1"/>
  <c r="S190" i="1"/>
  <c r="F210" i="1"/>
  <c r="U74" i="1"/>
  <c r="R80" i="1"/>
  <c r="V154" i="1"/>
  <c r="G302" i="7" s="1"/>
  <c r="AR195" i="1"/>
  <c r="CA190" i="1"/>
  <c r="V82" i="1"/>
  <c r="P156" i="1"/>
  <c r="L315" i="7" s="1"/>
  <c r="AU190" i="1"/>
  <c r="F214" i="1"/>
  <c r="DI27" i="3"/>
  <c r="DF27" i="3"/>
  <c r="DG27" i="3"/>
  <c r="DH27" i="3"/>
  <c r="L176" i="7" s="1"/>
  <c r="L174" i="7" s="1"/>
  <c r="DH28" i="3"/>
  <c r="DI28" i="3"/>
  <c r="DF28" i="3"/>
  <c r="DG28" i="3"/>
  <c r="DG5" i="3"/>
  <c r="DH5" i="3"/>
  <c r="DI5" i="3"/>
  <c r="DF5" i="3"/>
  <c r="DG29" i="3"/>
  <c r="DH29" i="3"/>
  <c r="DI29" i="3"/>
  <c r="DF29" i="3"/>
  <c r="BD26" i="1"/>
  <c r="F57" i="1"/>
  <c r="DF15" i="3"/>
  <c r="DG15" i="3"/>
  <c r="DH15" i="3"/>
  <c r="DI15" i="3"/>
  <c r="U78" i="1"/>
  <c r="Q78" i="1"/>
  <c r="W78" i="1"/>
  <c r="HG78" i="1"/>
  <c r="DF40" i="3"/>
  <c r="DG40" i="3"/>
  <c r="DH40" i="3"/>
  <c r="DI40" i="3"/>
  <c r="DJ40" i="3" s="1"/>
  <c r="AG26" i="1"/>
  <c r="T32" i="1"/>
  <c r="Q74" i="1"/>
  <c r="BB68" i="1"/>
  <c r="F103" i="1"/>
  <c r="BB120" i="1"/>
  <c r="GX74" i="1"/>
  <c r="CJ90" i="1" s="1"/>
  <c r="T82" i="1"/>
  <c r="S82" i="1"/>
  <c r="P155" i="1"/>
  <c r="Q155" i="1"/>
  <c r="DF54" i="3"/>
  <c r="DG54" i="3"/>
  <c r="DH54" i="3"/>
  <c r="DI54" i="3"/>
  <c r="L300" i="7" s="1"/>
  <c r="L299" i="7" s="1"/>
  <c r="AR319" i="7" s="1"/>
  <c r="AZ195" i="1"/>
  <c r="CI190" i="1"/>
  <c r="AP190" i="1"/>
  <c r="F204" i="1"/>
  <c r="BD64" i="1"/>
  <c r="F145" i="1"/>
  <c r="CG152" i="1"/>
  <c r="AX158" i="1"/>
  <c r="AT152" i="1"/>
  <c r="F176" i="1"/>
  <c r="CE190" i="1"/>
  <c r="AV195" i="1"/>
  <c r="V190" i="1"/>
  <c r="F218" i="1"/>
  <c r="G388" i="7" s="1"/>
  <c r="DF14" i="3"/>
  <c r="DG14" i="3"/>
  <c r="DH14" i="3"/>
  <c r="DI14" i="3"/>
  <c r="DF25" i="3"/>
  <c r="DG25" i="3"/>
  <c r="DH25" i="3"/>
  <c r="DI25" i="3"/>
  <c r="L172" i="7" s="1"/>
  <c r="L171" i="7" s="1"/>
  <c r="DF30" i="3"/>
  <c r="DJ30" i="3" s="1"/>
  <c r="DG30" i="3"/>
  <c r="DH30" i="3"/>
  <c r="DI30" i="3"/>
  <c r="AZ32" i="1"/>
  <c r="CI26" i="1"/>
  <c r="U80" i="1"/>
  <c r="Q80" i="1"/>
  <c r="W80" i="1"/>
  <c r="HG80" i="1"/>
  <c r="DH52" i="3"/>
  <c r="DI52" i="3"/>
  <c r="DF52" i="3"/>
  <c r="DJ52" i="3" s="1"/>
  <c r="DG52" i="3"/>
  <c r="V84" i="1"/>
  <c r="G231" i="7" s="1"/>
  <c r="BA26" i="1"/>
  <c r="F52" i="1"/>
  <c r="DF23" i="3"/>
  <c r="DG23" i="3"/>
  <c r="L160" i="7" s="1"/>
  <c r="DH23" i="3"/>
  <c r="L161" i="7" s="1"/>
  <c r="L159" i="7" s="1"/>
  <c r="DI23" i="3"/>
  <c r="R74" i="1"/>
  <c r="P78" i="1"/>
  <c r="BZ68" i="1"/>
  <c r="CG90" i="1"/>
  <c r="AQ90" i="1"/>
  <c r="R82" i="1"/>
  <c r="T74" i="1"/>
  <c r="W156" i="1"/>
  <c r="R156" i="1"/>
  <c r="DF57" i="3"/>
  <c r="DG57" i="3"/>
  <c r="DH57" i="3"/>
  <c r="L306" i="7" s="1"/>
  <c r="DI57" i="3"/>
  <c r="CJ190" i="1"/>
  <c r="BA195" i="1"/>
  <c r="CI90" i="1"/>
  <c r="T155" i="1"/>
  <c r="AG158" i="1" s="1"/>
  <c r="AT190" i="1"/>
  <c r="F213" i="1"/>
  <c r="DG21" i="3"/>
  <c r="Q75" i="1" s="1"/>
  <c r="DH21" i="3"/>
  <c r="R75" i="1" s="1"/>
  <c r="DI21" i="3"/>
  <c r="L157" i="7" s="1"/>
  <c r="L156" i="7" s="1"/>
  <c r="DF21" i="3"/>
  <c r="DF20" i="3"/>
  <c r="DJ20" i="3" s="1"/>
  <c r="DG20" i="3"/>
  <c r="DH20" i="3"/>
  <c r="DI20" i="3"/>
  <c r="DI9" i="3"/>
  <c r="DF9" i="3"/>
  <c r="DG9" i="3"/>
  <c r="DH9" i="3"/>
  <c r="DG53" i="3"/>
  <c r="DH53" i="3"/>
  <c r="DI53" i="3"/>
  <c r="DF53" i="3"/>
  <c r="DJ53" i="3" s="1"/>
  <c r="AQ26" i="1"/>
  <c r="F42" i="1"/>
  <c r="U82" i="1"/>
  <c r="P82" i="1"/>
  <c r="L207" i="7" s="1"/>
  <c r="Q82" i="1"/>
  <c r="W82" i="1"/>
  <c r="AH158" i="1"/>
  <c r="W74" i="1"/>
  <c r="AO152" i="1"/>
  <c r="AO225" i="1"/>
  <c r="F162" i="1"/>
  <c r="Q156" i="1"/>
  <c r="S156" i="1"/>
  <c r="P190" i="1"/>
  <c r="F198" i="1"/>
  <c r="S155" i="1"/>
  <c r="W155" i="1"/>
  <c r="DJ9" i="3" l="1"/>
  <c r="L76" i="7"/>
  <c r="L323" i="7"/>
  <c r="DJ49" i="3"/>
  <c r="L249" i="7"/>
  <c r="L247" i="7" s="1"/>
  <c r="AR153" i="7"/>
  <c r="L150" i="7" s="1"/>
  <c r="L148" i="7"/>
  <c r="DJ59" i="3"/>
  <c r="L309" i="7"/>
  <c r="AT224" i="7"/>
  <c r="AT85" i="7"/>
  <c r="L67" i="7"/>
  <c r="AO85" i="7" s="1"/>
  <c r="L92" i="7" s="1"/>
  <c r="DJ6" i="3"/>
  <c r="L75" i="7"/>
  <c r="DJ58" i="3"/>
  <c r="L308" i="7"/>
  <c r="L307" i="7" s="1"/>
  <c r="AW319" i="7" s="1"/>
  <c r="DJ14" i="3"/>
  <c r="L132" i="7"/>
  <c r="CP155" i="1"/>
  <c r="O155" i="1" s="1"/>
  <c r="L314" i="7"/>
  <c r="DJ29" i="3"/>
  <c r="L179" i="7"/>
  <c r="AT186" i="7"/>
  <c r="L173" i="7"/>
  <c r="AO186" i="7" s="1"/>
  <c r="DJ41" i="3"/>
  <c r="L218" i="7"/>
  <c r="L216" i="7" s="1"/>
  <c r="AR211" i="7"/>
  <c r="L208" i="7" s="1"/>
  <c r="L206" i="7"/>
  <c r="AW149" i="7"/>
  <c r="AN149" i="7"/>
  <c r="AW256" i="7"/>
  <c r="AN256" i="7"/>
  <c r="AN355" i="7"/>
  <c r="K355" i="7"/>
  <c r="I355" i="7" s="1"/>
  <c r="BB355" i="7"/>
  <c r="CZ71" i="1"/>
  <c r="Y71" i="1" s="1"/>
  <c r="BA138" i="7" s="1"/>
  <c r="CP71" i="1"/>
  <c r="O71" i="1" s="1"/>
  <c r="AJ90" i="1"/>
  <c r="AW207" i="7"/>
  <c r="AN207" i="7"/>
  <c r="DJ57" i="3"/>
  <c r="L305" i="7"/>
  <c r="L158" i="7"/>
  <c r="AO167" i="7" s="1"/>
  <c r="AT167" i="7"/>
  <c r="L164" i="7" s="1"/>
  <c r="AR186" i="7"/>
  <c r="Q154" i="1"/>
  <c r="AD158" i="1" s="1"/>
  <c r="AD152" i="1" s="1"/>
  <c r="AH90" i="1"/>
  <c r="AH68" i="1" s="1"/>
  <c r="DJ15" i="3"/>
  <c r="L133" i="7"/>
  <c r="DJ28" i="3"/>
  <c r="L178" i="7"/>
  <c r="L177" i="7" s="1"/>
  <c r="AW186" i="7" s="1"/>
  <c r="DJ27" i="3"/>
  <c r="L175" i="7"/>
  <c r="P83" i="1"/>
  <c r="L302" i="7"/>
  <c r="DJ4" i="3"/>
  <c r="L71" i="7"/>
  <c r="L196" i="7"/>
  <c r="AR201" i="7"/>
  <c r="L198" i="7" s="1"/>
  <c r="DJ62" i="3"/>
  <c r="L310" i="7"/>
  <c r="AW139" i="7"/>
  <c r="AN139" i="7"/>
  <c r="DJ45" i="3"/>
  <c r="L234" i="7"/>
  <c r="R154" i="1"/>
  <c r="AE158" i="1" s="1"/>
  <c r="DJ5" i="3"/>
  <c r="L74" i="7"/>
  <c r="L73" i="7" s="1"/>
  <c r="AW85" i="7" s="1"/>
  <c r="L98" i="7" s="1"/>
  <c r="L96" i="7" s="1"/>
  <c r="DJ3" i="3"/>
  <c r="L69" i="7"/>
  <c r="AQ190" i="1"/>
  <c r="F205" i="1"/>
  <c r="AR167" i="7"/>
  <c r="CP78" i="1"/>
  <c r="O78" i="1" s="1"/>
  <c r="GM78" i="1" s="1"/>
  <c r="GN78" i="1" s="1"/>
  <c r="L182" i="7"/>
  <c r="AW315" i="7"/>
  <c r="AN315" i="7"/>
  <c r="AR244" i="7"/>
  <c r="L231" i="7"/>
  <c r="AR224" i="7"/>
  <c r="L221" i="7" s="1"/>
  <c r="AR85" i="7"/>
  <c r="L126" i="7"/>
  <c r="AR143" i="7"/>
  <c r="CJ158" i="1"/>
  <c r="DJ56" i="3"/>
  <c r="L303" i="7"/>
  <c r="AW197" i="7"/>
  <c r="AN197" i="7"/>
  <c r="AX197" i="7"/>
  <c r="DJ47" i="3"/>
  <c r="L237" i="7"/>
  <c r="L236" i="7" s="1"/>
  <c r="AW244" i="7" s="1"/>
  <c r="AT260" i="7"/>
  <c r="L422" i="7" s="1"/>
  <c r="AW163" i="7"/>
  <c r="AN163" i="7"/>
  <c r="CZ72" i="1"/>
  <c r="Y72" i="1" s="1"/>
  <c r="BA139" i="7" s="1"/>
  <c r="GM85" i="1"/>
  <c r="GN85" i="1" s="1"/>
  <c r="BA240" i="7"/>
  <c r="CP72" i="1"/>
  <c r="O72" i="1" s="1"/>
  <c r="GM72" i="1" s="1"/>
  <c r="GN72" i="1" s="1"/>
  <c r="DJ18" i="3"/>
  <c r="L134" i="7"/>
  <c r="DJ51" i="3"/>
  <c r="L252" i="7"/>
  <c r="L250" i="7" s="1"/>
  <c r="AO260" i="7" s="1"/>
  <c r="L420" i="7" s="1"/>
  <c r="L418" i="7" s="1"/>
  <c r="CG190" i="1"/>
  <c r="AX195" i="1"/>
  <c r="CZ88" i="1"/>
  <c r="Y88" i="1" s="1"/>
  <c r="BA256" i="7" s="1"/>
  <c r="AI32" i="1"/>
  <c r="AI26" i="1" s="1"/>
  <c r="G68" i="7"/>
  <c r="AH26" i="1"/>
  <c r="AW255" i="7"/>
  <c r="AN255" i="7"/>
  <c r="U90" i="1"/>
  <c r="AE26" i="1"/>
  <c r="R32" i="1"/>
  <c r="CY156" i="1"/>
  <c r="X156" i="1" s="1"/>
  <c r="AZ315" i="7" s="1"/>
  <c r="CZ156" i="1"/>
  <c r="Y156" i="1" s="1"/>
  <c r="BA315" i="7" s="1"/>
  <c r="AG90" i="1"/>
  <c r="R77" i="1"/>
  <c r="P154" i="1"/>
  <c r="Q84" i="1"/>
  <c r="Q28" i="1"/>
  <c r="AD32" i="1" s="1"/>
  <c r="DJ34" i="3"/>
  <c r="Q77" i="1"/>
  <c r="AX152" i="1"/>
  <c r="F165" i="1"/>
  <c r="AI158" i="1"/>
  <c r="DJ19" i="3"/>
  <c r="S73" i="1"/>
  <c r="CP73" i="1" s="1"/>
  <c r="O73" i="1" s="1"/>
  <c r="F54" i="1"/>
  <c r="G115" i="7" s="1"/>
  <c r="U26" i="1"/>
  <c r="R83" i="1"/>
  <c r="DJ12" i="3"/>
  <c r="P70" i="1"/>
  <c r="DJ13" i="3"/>
  <c r="DJ37" i="3"/>
  <c r="S81" i="1"/>
  <c r="CP80" i="1"/>
  <c r="O80" i="1" s="1"/>
  <c r="GM80" i="1" s="1"/>
  <c r="GN80" i="1" s="1"/>
  <c r="CP74" i="1"/>
  <c r="O74" i="1" s="1"/>
  <c r="R86" i="1"/>
  <c r="R158" i="1"/>
  <c r="AE152" i="1"/>
  <c r="F56" i="1"/>
  <c r="W26" i="1"/>
  <c r="AJ158" i="1"/>
  <c r="T158" i="1"/>
  <c r="AG152" i="1"/>
  <c r="P77" i="1"/>
  <c r="AZ190" i="1"/>
  <c r="F206" i="1"/>
  <c r="CJ152" i="1"/>
  <c r="BA158" i="1"/>
  <c r="X190" i="1"/>
  <c r="F221" i="1"/>
  <c r="DJ25" i="3"/>
  <c r="S77" i="1"/>
  <c r="P75" i="1"/>
  <c r="AQ68" i="1"/>
  <c r="F100" i="1"/>
  <c r="AQ120" i="1"/>
  <c r="BD190" i="1"/>
  <c r="F220" i="1"/>
  <c r="Q83" i="1"/>
  <c r="AP64" i="1"/>
  <c r="AP225" i="1"/>
  <c r="F129" i="1"/>
  <c r="Q86" i="1"/>
  <c r="CY155" i="1"/>
  <c r="X155" i="1" s="1"/>
  <c r="CZ155" i="1"/>
  <c r="Y155" i="1" s="1"/>
  <c r="BA314" i="7" s="1"/>
  <c r="AO22" i="1"/>
  <c r="AO258" i="1"/>
  <c r="F229" i="1"/>
  <c r="CP82" i="1"/>
  <c r="O82" i="1" s="1"/>
  <c r="DJ21" i="3"/>
  <c r="S75" i="1"/>
  <c r="CI68" i="1"/>
  <c r="AZ90" i="1"/>
  <c r="CG68" i="1"/>
  <c r="AX90" i="1"/>
  <c r="DJ23" i="3"/>
  <c r="AV190" i="1"/>
  <c r="F200" i="1"/>
  <c r="DJ54" i="3"/>
  <c r="S154" i="1"/>
  <c r="CY82" i="1"/>
  <c r="X82" i="1" s="1"/>
  <c r="AZ207" i="7" s="1"/>
  <c r="CZ82" i="1"/>
  <c r="Y82" i="1" s="1"/>
  <c r="BA207" i="7" s="1"/>
  <c r="CP156" i="1"/>
  <c r="O156" i="1" s="1"/>
  <c r="GM156" i="1" s="1"/>
  <c r="GN156" i="1" s="1"/>
  <c r="P84" i="1"/>
  <c r="DJ44" i="3"/>
  <c r="P28" i="1"/>
  <c r="AY190" i="1"/>
  <c r="F203" i="1"/>
  <c r="DJ33" i="3"/>
  <c r="R79" i="1"/>
  <c r="P86" i="1"/>
  <c r="DJ42" i="3"/>
  <c r="S84" i="1"/>
  <c r="DJ1" i="3"/>
  <c r="S28" i="1"/>
  <c r="F201" i="1"/>
  <c r="AW190" i="1"/>
  <c r="DJ10" i="3"/>
  <c r="S70" i="1"/>
  <c r="R190" i="1"/>
  <c r="F209" i="1"/>
  <c r="Q79" i="1"/>
  <c r="DJ48" i="3"/>
  <c r="S86" i="1"/>
  <c r="F215" i="1"/>
  <c r="BA190" i="1"/>
  <c r="AJ68" i="1"/>
  <c r="W90" i="1"/>
  <c r="CJ68" i="1"/>
  <c r="BA90" i="1"/>
  <c r="AU68" i="1"/>
  <c r="F109" i="1"/>
  <c r="AU120" i="1"/>
  <c r="R70" i="1"/>
  <c r="P79" i="1"/>
  <c r="AS190" i="1"/>
  <c r="F212" i="1"/>
  <c r="T26" i="1"/>
  <c r="F53" i="1"/>
  <c r="AI90" i="1"/>
  <c r="AH152" i="1"/>
  <c r="U158" i="1"/>
  <c r="F43" i="1"/>
  <c r="AZ26" i="1"/>
  <c r="BB64" i="1"/>
  <c r="BB225" i="1"/>
  <c r="F133" i="1"/>
  <c r="BD225" i="1"/>
  <c r="AR190" i="1"/>
  <c r="F223" i="1"/>
  <c r="DJ39" i="3"/>
  <c r="S83" i="1"/>
  <c r="Q70" i="1"/>
  <c r="CY74" i="1"/>
  <c r="X74" i="1" s="1"/>
  <c r="AZ149" i="7" s="1"/>
  <c r="CZ74" i="1"/>
  <c r="Y74" i="1" s="1"/>
  <c r="BA149" i="7" s="1"/>
  <c r="DJ31" i="3"/>
  <c r="S79" i="1"/>
  <c r="AO224" i="7" l="1"/>
  <c r="L220" i="7"/>
  <c r="AR260" i="7"/>
  <c r="L254" i="7"/>
  <c r="L82" i="7"/>
  <c r="L89" i="7"/>
  <c r="L397" i="7"/>
  <c r="L101" i="7"/>
  <c r="AW182" i="7"/>
  <c r="AN182" i="7"/>
  <c r="AX182" i="7"/>
  <c r="AW314" i="7"/>
  <c r="L332" i="7" s="1"/>
  <c r="L330" i="7" s="1"/>
  <c r="AN314" i="7"/>
  <c r="V32" i="1"/>
  <c r="V26" i="1" s="1"/>
  <c r="L408" i="7"/>
  <c r="L479" i="7"/>
  <c r="L372" i="7"/>
  <c r="L359" i="7" s="1"/>
  <c r="L383" i="7" s="1"/>
  <c r="L94" i="7"/>
  <c r="L90" i="7" s="1"/>
  <c r="Q158" i="1"/>
  <c r="Q152" i="1" s="1"/>
  <c r="AX190" i="1"/>
  <c r="F202" i="1"/>
  <c r="AT143" i="7"/>
  <c r="L125" i="7"/>
  <c r="L162" i="7"/>
  <c r="L131" i="7"/>
  <c r="AW143" i="7" s="1"/>
  <c r="L406" i="7" s="1"/>
  <c r="L404" i="7" s="1"/>
  <c r="L181" i="7"/>
  <c r="AT319" i="7"/>
  <c r="L301" i="7"/>
  <c r="GM155" i="1"/>
  <c r="GN155" i="1" s="1"/>
  <c r="AZ314" i="7"/>
  <c r="L79" i="7"/>
  <c r="AT244" i="7"/>
  <c r="L241" i="7" s="1"/>
  <c r="L230" i="7"/>
  <c r="L183" i="7"/>
  <c r="GM71" i="1"/>
  <c r="GN71" i="1" s="1"/>
  <c r="GM88" i="1"/>
  <c r="GO88" i="1" s="1"/>
  <c r="L426" i="7"/>
  <c r="L424" i="7" s="1"/>
  <c r="L274" i="7"/>
  <c r="L272" i="7" s="1"/>
  <c r="L477" i="7"/>
  <c r="L475" i="7" s="1"/>
  <c r="CP83" i="1"/>
  <c r="O83" i="1" s="1"/>
  <c r="CP79" i="1"/>
  <c r="O79" i="1" s="1"/>
  <c r="CP77" i="1"/>
  <c r="O77" i="1" s="1"/>
  <c r="CY75" i="1"/>
  <c r="X75" i="1" s="1"/>
  <c r="AZ167" i="7" s="1"/>
  <c r="L165" i="7" s="1"/>
  <c r="CZ75" i="1"/>
  <c r="Y75" i="1" s="1"/>
  <c r="BA167" i="7" s="1"/>
  <c r="L166" i="7" s="1"/>
  <c r="BA152" i="1"/>
  <c r="F178" i="1"/>
  <c r="CP154" i="1"/>
  <c r="O154" i="1" s="1"/>
  <c r="AC158" i="1"/>
  <c r="CY70" i="1"/>
  <c r="X70" i="1" s="1"/>
  <c r="AZ143" i="7" s="1"/>
  <c r="CZ70" i="1"/>
  <c r="Y70" i="1" s="1"/>
  <c r="BA143" i="7" s="1"/>
  <c r="AF90" i="1"/>
  <c r="CP75" i="1"/>
  <c r="O75" i="1" s="1"/>
  <c r="T152" i="1"/>
  <c r="F179" i="1"/>
  <c r="AD90" i="1"/>
  <c r="F180" i="1"/>
  <c r="G349" i="7" s="1"/>
  <c r="U152" i="1"/>
  <c r="AE90" i="1"/>
  <c r="W68" i="1"/>
  <c r="F114" i="1"/>
  <c r="W120" i="1"/>
  <c r="CP28" i="1"/>
  <c r="O28" i="1" s="1"/>
  <c r="AC32" i="1"/>
  <c r="AF158" i="1"/>
  <c r="CY154" i="1"/>
  <c r="X154" i="1" s="1"/>
  <c r="CZ154" i="1"/>
  <c r="Y154" i="1" s="1"/>
  <c r="AJ152" i="1"/>
  <c r="W158" i="1"/>
  <c r="CP70" i="1"/>
  <c r="O70" i="1" s="1"/>
  <c r="AC90" i="1"/>
  <c r="CY73" i="1"/>
  <c r="X73" i="1" s="1"/>
  <c r="AZ153" i="7" s="1"/>
  <c r="L151" i="7" s="1"/>
  <c r="CZ73" i="1"/>
  <c r="Y73" i="1" s="1"/>
  <c r="BA153" i="7" s="1"/>
  <c r="L152" i="7" s="1"/>
  <c r="AI68" i="1"/>
  <c r="V90" i="1"/>
  <c r="CY81" i="1"/>
  <c r="X81" i="1" s="1"/>
  <c r="AZ211" i="7" s="1"/>
  <c r="L209" i="7" s="1"/>
  <c r="CZ81" i="1"/>
  <c r="Y81" i="1" s="1"/>
  <c r="BA211" i="7" s="1"/>
  <c r="L210" i="7" s="1"/>
  <c r="BA68" i="1"/>
  <c r="F110" i="1"/>
  <c r="BA120" i="1"/>
  <c r="CY84" i="1"/>
  <c r="X84" i="1" s="1"/>
  <c r="AZ244" i="7" s="1"/>
  <c r="L242" i="7" s="1"/>
  <c r="CZ84" i="1"/>
  <c r="Y84" i="1" s="1"/>
  <c r="BA244" i="7" s="1"/>
  <c r="L243" i="7" s="1"/>
  <c r="U68" i="1"/>
  <c r="F112" i="1"/>
  <c r="U120" i="1"/>
  <c r="BD22" i="1"/>
  <c r="BD258" i="1"/>
  <c r="F250" i="1"/>
  <c r="AX68" i="1"/>
  <c r="F97" i="1"/>
  <c r="AX120" i="1"/>
  <c r="CY77" i="1"/>
  <c r="X77" i="1" s="1"/>
  <c r="AZ186" i="7" s="1"/>
  <c r="L184" i="7" s="1"/>
  <c r="CZ77" i="1"/>
  <c r="Y77" i="1" s="1"/>
  <c r="BA186" i="7" s="1"/>
  <c r="L185" i="7" s="1"/>
  <c r="F55" i="1"/>
  <c r="G116" i="7" s="1"/>
  <c r="R152" i="1"/>
  <c r="F172" i="1"/>
  <c r="AG68" i="1"/>
  <c r="T90" i="1"/>
  <c r="CY83" i="1"/>
  <c r="X83" i="1" s="1"/>
  <c r="AZ224" i="7" s="1"/>
  <c r="L222" i="7" s="1"/>
  <c r="CZ83" i="1"/>
  <c r="Y83" i="1" s="1"/>
  <c r="BA224" i="7" s="1"/>
  <c r="L223" i="7" s="1"/>
  <c r="BB22" i="1"/>
  <c r="BB258" i="1"/>
  <c r="F238" i="1"/>
  <c r="AU64" i="1"/>
  <c r="F139" i="1"/>
  <c r="AU225" i="1"/>
  <c r="CP81" i="1"/>
  <c r="O81" i="1" s="1"/>
  <c r="CP86" i="1"/>
  <c r="O86" i="1" s="1"/>
  <c r="AZ68" i="1"/>
  <c r="F101" i="1"/>
  <c r="AZ120" i="1"/>
  <c r="AO18" i="1"/>
  <c r="F262" i="1"/>
  <c r="AP22" i="1"/>
  <c r="F234" i="1"/>
  <c r="AP258" i="1"/>
  <c r="AQ64" i="1"/>
  <c r="F130" i="1"/>
  <c r="AQ225" i="1"/>
  <c r="GM74" i="1"/>
  <c r="GN74" i="1" s="1"/>
  <c r="Q32" i="1"/>
  <c r="AD26" i="1"/>
  <c r="CY79" i="1"/>
  <c r="X79" i="1" s="1"/>
  <c r="AZ201" i="7" s="1"/>
  <c r="L199" i="7" s="1"/>
  <c r="CZ79" i="1"/>
  <c r="Y79" i="1" s="1"/>
  <c r="BA201" i="7" s="1"/>
  <c r="L200" i="7" s="1"/>
  <c r="CZ28" i="1"/>
  <c r="Y28" i="1" s="1"/>
  <c r="AF32" i="1"/>
  <c r="CY28" i="1"/>
  <c r="X28" i="1" s="1"/>
  <c r="CP84" i="1"/>
  <c r="O84" i="1" s="1"/>
  <c r="AI152" i="1"/>
  <c r="V158" i="1"/>
  <c r="F46" i="1"/>
  <c r="R26" i="1"/>
  <c r="CZ86" i="1"/>
  <c r="Y86" i="1" s="1"/>
  <c r="BA260" i="7" s="1"/>
  <c r="CY86" i="1"/>
  <c r="X86" i="1" s="1"/>
  <c r="AZ260" i="7" s="1"/>
  <c r="GM82" i="1"/>
  <c r="GN82" i="1" s="1"/>
  <c r="K153" i="7" l="1"/>
  <c r="I153" i="7" s="1"/>
  <c r="L270" i="7"/>
  <c r="L289" i="7"/>
  <c r="L489" i="7"/>
  <c r="L417" i="7"/>
  <c r="L257" i="7"/>
  <c r="L429" i="7"/>
  <c r="F170" i="1"/>
  <c r="L473" i="7"/>
  <c r="L140" i="7"/>
  <c r="K47" i="7"/>
  <c r="L468" i="7"/>
  <c r="G16" i="2"/>
  <c r="C51" i="7"/>
  <c r="L415" i="7"/>
  <c r="AO319" i="7"/>
  <c r="L326" i="7" s="1"/>
  <c r="L313" i="7"/>
  <c r="L402" i="7"/>
  <c r="L277" i="7"/>
  <c r="L480" i="7"/>
  <c r="AO244" i="7"/>
  <c r="L239" i="7"/>
  <c r="L328" i="7"/>
  <c r="L335" i="7"/>
  <c r="L316" i="7"/>
  <c r="AO143" i="7"/>
  <c r="L137" i="7"/>
  <c r="K48" i="7"/>
  <c r="L265" i="7"/>
  <c r="L409" i="7"/>
  <c r="L87" i="7"/>
  <c r="GM84" i="1"/>
  <c r="GN84" i="1" s="1"/>
  <c r="AN211" i="7"/>
  <c r="K211" i="7"/>
  <c r="I211" i="7" s="1"/>
  <c r="L430" i="7"/>
  <c r="L258" i="7"/>
  <c r="AN244" i="7"/>
  <c r="K244" i="7"/>
  <c r="I244" i="7" s="1"/>
  <c r="AK32" i="1"/>
  <c r="AK26" i="1" s="1"/>
  <c r="AZ85" i="7"/>
  <c r="AL32" i="1"/>
  <c r="AL26" i="1" s="1"/>
  <c r="BA85" i="7"/>
  <c r="L141" i="7"/>
  <c r="L278" i="7"/>
  <c r="K167" i="7"/>
  <c r="I167" i="7" s="1"/>
  <c r="AN167" i="7"/>
  <c r="L431" i="7"/>
  <c r="L259" i="7"/>
  <c r="L279" i="7"/>
  <c r="L142" i="7"/>
  <c r="AN153" i="7"/>
  <c r="AL158" i="1"/>
  <c r="Y158" i="1" s="1"/>
  <c r="BA319" i="7"/>
  <c r="AN186" i="7"/>
  <c r="K186" i="7"/>
  <c r="I186" i="7" s="1"/>
  <c r="AN201" i="7"/>
  <c r="K201" i="7"/>
  <c r="I201" i="7" s="1"/>
  <c r="AN224" i="7"/>
  <c r="K224" i="7"/>
  <c r="I224" i="7" s="1"/>
  <c r="AK158" i="1"/>
  <c r="AK152" i="1" s="1"/>
  <c r="AZ319" i="7"/>
  <c r="GM83" i="1"/>
  <c r="GN83" i="1" s="1"/>
  <c r="GM79" i="1"/>
  <c r="GN79" i="1" s="1"/>
  <c r="GM73" i="1"/>
  <c r="GN73" i="1" s="1"/>
  <c r="GM77" i="1"/>
  <c r="GN77" i="1" s="1"/>
  <c r="AP18" i="1"/>
  <c r="F267" i="1"/>
  <c r="AL152" i="1"/>
  <c r="AD68" i="1"/>
  <c r="Q90" i="1"/>
  <c r="F44" i="1"/>
  <c r="Q26" i="1"/>
  <c r="BD18" i="1"/>
  <c r="F283" i="1"/>
  <c r="BB18" i="1"/>
  <c r="F271" i="1"/>
  <c r="BA64" i="1"/>
  <c r="F140" i="1"/>
  <c r="BA225" i="1"/>
  <c r="Y32" i="1"/>
  <c r="AQ22" i="1"/>
  <c r="F235" i="1"/>
  <c r="AQ258" i="1"/>
  <c r="GM81" i="1"/>
  <c r="GN81" i="1" s="1"/>
  <c r="AX64" i="1"/>
  <c r="F127" i="1"/>
  <c r="AX225" i="1"/>
  <c r="U64" i="1"/>
  <c r="F142" i="1"/>
  <c r="G291" i="7" s="1"/>
  <c r="U225" i="1"/>
  <c r="GM70" i="1"/>
  <c r="AB90" i="1"/>
  <c r="CE32" i="1"/>
  <c r="CF32" i="1"/>
  <c r="AC26" i="1"/>
  <c r="CH32" i="1"/>
  <c r="P32" i="1"/>
  <c r="AE68" i="1"/>
  <c r="R90" i="1"/>
  <c r="AB158" i="1"/>
  <c r="GM154" i="1"/>
  <c r="W64" i="1"/>
  <c r="F144" i="1"/>
  <c r="W225" i="1"/>
  <c r="AL90" i="1"/>
  <c r="AK90" i="1"/>
  <c r="AF26" i="1"/>
  <c r="S32" i="1"/>
  <c r="GM86" i="1"/>
  <c r="GO86" i="1" s="1"/>
  <c r="CC90" i="1" s="1"/>
  <c r="AC68" i="1"/>
  <c r="CF90" i="1"/>
  <c r="P90" i="1"/>
  <c r="CE90" i="1"/>
  <c r="CH90" i="1"/>
  <c r="AF152" i="1"/>
  <c r="S158" i="1"/>
  <c r="AC152" i="1"/>
  <c r="CE158" i="1"/>
  <c r="P158" i="1"/>
  <c r="CF158" i="1"/>
  <c r="CH158" i="1"/>
  <c r="F181" i="1"/>
  <c r="G350" i="7" s="1"/>
  <c r="V152" i="1"/>
  <c r="AU22" i="1"/>
  <c r="AU258" i="1"/>
  <c r="F244" i="1"/>
  <c r="C52" i="7" s="1"/>
  <c r="V68" i="1"/>
  <c r="V120" i="1"/>
  <c r="F113" i="1"/>
  <c r="W152" i="1"/>
  <c r="F182" i="1"/>
  <c r="GM28" i="1"/>
  <c r="AB32" i="1"/>
  <c r="GM75" i="1"/>
  <c r="GN75" i="1" s="1"/>
  <c r="AZ64" i="1"/>
  <c r="F131" i="1"/>
  <c r="AZ225" i="1"/>
  <c r="AF68" i="1"/>
  <c r="S90" i="1"/>
  <c r="T68" i="1"/>
  <c r="T120" i="1"/>
  <c r="F111" i="1"/>
  <c r="X32" i="1" l="1"/>
  <c r="F58" i="1" s="1"/>
  <c r="L400" i="7"/>
  <c r="L398" i="7" s="1"/>
  <c r="L395" i="7" s="1"/>
  <c r="L471" i="7"/>
  <c r="L469" i="7" s="1"/>
  <c r="L466" i="7" s="1"/>
  <c r="L268" i="7"/>
  <c r="L266" i="7" s="1"/>
  <c r="L263" i="7" s="1"/>
  <c r="L287" i="7" s="1"/>
  <c r="L324" i="7"/>
  <c r="L321" i="7" s="1"/>
  <c r="L413" i="7"/>
  <c r="X158" i="1"/>
  <c r="L317" i="7"/>
  <c r="L336" i="7"/>
  <c r="L337" i="7"/>
  <c r="L318" i="7"/>
  <c r="L103" i="7"/>
  <c r="L411" i="7"/>
  <c r="L84" i="7"/>
  <c r="L482" i="7"/>
  <c r="L83" i="7"/>
  <c r="L102" i="7"/>
  <c r="L481" i="7"/>
  <c r="L410" i="7"/>
  <c r="AN143" i="7"/>
  <c r="K143" i="7"/>
  <c r="I143" i="7" s="1"/>
  <c r="K260" i="7"/>
  <c r="I260" i="7" s="1"/>
  <c r="AN260" i="7"/>
  <c r="CC68" i="1"/>
  <c r="AT90" i="1"/>
  <c r="GN70" i="1"/>
  <c r="CB90" i="1" s="1"/>
  <c r="CA90" i="1"/>
  <c r="GN28" i="1"/>
  <c r="CB32" i="1" s="1"/>
  <c r="CA32" i="1"/>
  <c r="AW158" i="1"/>
  <c r="CF152" i="1"/>
  <c r="CH68" i="1"/>
  <c r="AY90" i="1"/>
  <c r="AY32" i="1"/>
  <c r="CH26" i="1"/>
  <c r="U22" i="1"/>
  <c r="F247" i="1"/>
  <c r="U258" i="1"/>
  <c r="BA22" i="1"/>
  <c r="F245" i="1"/>
  <c r="BA258" i="1"/>
  <c r="AZ22" i="1"/>
  <c r="F236" i="1"/>
  <c r="AZ258" i="1"/>
  <c r="AU18" i="1"/>
  <c r="F277" i="1"/>
  <c r="P152" i="1"/>
  <c r="F161" i="1"/>
  <c r="CE68" i="1"/>
  <c r="AV90" i="1"/>
  <c r="GN154" i="1"/>
  <c r="CB158" i="1" s="1"/>
  <c r="CA158" i="1"/>
  <c r="AQ18" i="1"/>
  <c r="F268" i="1"/>
  <c r="AV158" i="1"/>
  <c r="CE152" i="1"/>
  <c r="P68" i="1"/>
  <c r="F93" i="1"/>
  <c r="P120" i="1"/>
  <c r="P225" i="1" s="1"/>
  <c r="AK68" i="1"/>
  <c r="X90" i="1"/>
  <c r="AB152" i="1"/>
  <c r="O158" i="1"/>
  <c r="AW32" i="1"/>
  <c r="CF26" i="1"/>
  <c r="Q68" i="1"/>
  <c r="F102" i="1"/>
  <c r="Q120" i="1"/>
  <c r="S68" i="1"/>
  <c r="S120" i="1"/>
  <c r="S225" i="1" s="1"/>
  <c r="F105" i="1"/>
  <c r="AB26" i="1"/>
  <c r="O32" i="1"/>
  <c r="CH152" i="1"/>
  <c r="AY158" i="1"/>
  <c r="P26" i="1"/>
  <c r="F35" i="1"/>
  <c r="H16" i="2"/>
  <c r="S26" i="1"/>
  <c r="F47" i="1"/>
  <c r="X152" i="1"/>
  <c r="F184" i="1"/>
  <c r="T64" i="1"/>
  <c r="F141" i="1"/>
  <c r="T225" i="1"/>
  <c r="CF68" i="1"/>
  <c r="AW90" i="1"/>
  <c r="AL68" i="1"/>
  <c r="Y90" i="1"/>
  <c r="R68" i="1"/>
  <c r="R120" i="1"/>
  <c r="F104" i="1"/>
  <c r="AV32" i="1"/>
  <c r="CE26" i="1"/>
  <c r="AX22" i="1"/>
  <c r="AX258" i="1"/>
  <c r="F232" i="1"/>
  <c r="V64" i="1"/>
  <c r="F143" i="1"/>
  <c r="G292" i="7" s="1"/>
  <c r="V225" i="1"/>
  <c r="S152" i="1"/>
  <c r="F173" i="1"/>
  <c r="W22" i="1"/>
  <c r="F249" i="1"/>
  <c r="W258" i="1"/>
  <c r="AB68" i="1"/>
  <c r="O90" i="1"/>
  <c r="Y26" i="1"/>
  <c r="F59" i="1"/>
  <c r="F185" i="1"/>
  <c r="Y152" i="1"/>
  <c r="X26" i="1" l="1"/>
  <c r="L393" i="7"/>
  <c r="L464" i="7" s="1"/>
  <c r="L111" i="7"/>
  <c r="L345" i="7"/>
  <c r="AN85" i="7"/>
  <c r="K85" i="7"/>
  <c r="I85" i="7" s="1"/>
  <c r="K319" i="7"/>
  <c r="I319" i="7" s="1"/>
  <c r="AN319" i="7"/>
  <c r="K49" i="7"/>
  <c r="G491" i="7"/>
  <c r="P22" i="1"/>
  <c r="F228" i="1"/>
  <c r="P258" i="1"/>
  <c r="F37" i="1"/>
  <c r="AV26" i="1"/>
  <c r="AX18" i="1"/>
  <c r="F265" i="1"/>
  <c r="Q64" i="1"/>
  <c r="F132" i="1"/>
  <c r="Q225" i="1"/>
  <c r="AV68" i="1"/>
  <c r="AV120" i="1"/>
  <c r="AV225" i="1" s="1"/>
  <c r="F95" i="1"/>
  <c r="AZ18" i="1"/>
  <c r="F269" i="1"/>
  <c r="BA18" i="1"/>
  <c r="F278" i="1"/>
  <c r="CA26" i="1"/>
  <c r="AR32" i="1"/>
  <c r="O68" i="1"/>
  <c r="O120" i="1"/>
  <c r="O225" i="1" s="1"/>
  <c r="F92" i="1"/>
  <c r="F163" i="1"/>
  <c r="AV152" i="1"/>
  <c r="AY26" i="1"/>
  <c r="F40" i="1"/>
  <c r="AS32" i="1"/>
  <c r="CB26" i="1"/>
  <c r="Y68" i="1"/>
  <c r="Y120" i="1"/>
  <c r="F117" i="1"/>
  <c r="O26" i="1"/>
  <c r="F34" i="1"/>
  <c r="X68" i="1"/>
  <c r="X120" i="1"/>
  <c r="F116" i="1"/>
  <c r="V22" i="1"/>
  <c r="F248" i="1"/>
  <c r="V258" i="1"/>
  <c r="AY68" i="1"/>
  <c r="AY120" i="1"/>
  <c r="AY225" i="1" s="1"/>
  <c r="F98" i="1"/>
  <c r="CA68" i="1"/>
  <c r="AR90" i="1"/>
  <c r="CB68" i="1"/>
  <c r="AS90" i="1"/>
  <c r="S22" i="1"/>
  <c r="S258" i="1"/>
  <c r="F240" i="1"/>
  <c r="S64" i="1"/>
  <c r="F135" i="1"/>
  <c r="AW26" i="1"/>
  <c r="F38" i="1"/>
  <c r="AR158" i="1"/>
  <c r="CA152" i="1"/>
  <c r="AT68" i="1"/>
  <c r="F108" i="1"/>
  <c r="AT120" i="1"/>
  <c r="W18" i="1"/>
  <c r="F282" i="1"/>
  <c r="AW68" i="1"/>
  <c r="F96" i="1"/>
  <c r="AW120" i="1"/>
  <c r="AW225" i="1" s="1"/>
  <c r="P64" i="1"/>
  <c r="F123" i="1"/>
  <c r="U18" i="1"/>
  <c r="F280" i="1"/>
  <c r="R64" i="1"/>
  <c r="F134" i="1"/>
  <c r="R225" i="1"/>
  <c r="T22" i="1"/>
  <c r="T258" i="1"/>
  <c r="F246" i="1"/>
  <c r="AY152" i="1"/>
  <c r="F166" i="1"/>
  <c r="F160" i="1"/>
  <c r="O152" i="1"/>
  <c r="CB152" i="1"/>
  <c r="AS158" i="1"/>
  <c r="AW152" i="1"/>
  <c r="F164" i="1"/>
  <c r="K50" i="7" l="1"/>
  <c r="G492" i="7"/>
  <c r="AV22" i="1"/>
  <c r="F230" i="1"/>
  <c r="AV258" i="1"/>
  <c r="AW22" i="1"/>
  <c r="F231" i="1"/>
  <c r="AW258" i="1"/>
  <c r="V18" i="1"/>
  <c r="F281" i="1"/>
  <c r="O22" i="1"/>
  <c r="F227" i="1"/>
  <c r="O258" i="1"/>
  <c r="AR68" i="1"/>
  <c r="F118" i="1"/>
  <c r="AR120" i="1"/>
  <c r="AR225" i="1" s="1"/>
  <c r="F49" i="1"/>
  <c r="AS26" i="1"/>
  <c r="Q22" i="1"/>
  <c r="Q258" i="1"/>
  <c r="F237" i="1"/>
  <c r="AR152" i="1"/>
  <c r="F186" i="1"/>
  <c r="AY22" i="1"/>
  <c r="F233" i="1"/>
  <c r="AY258" i="1"/>
  <c r="O64" i="1"/>
  <c r="F122" i="1"/>
  <c r="F175" i="1"/>
  <c r="AS152" i="1"/>
  <c r="S18" i="1"/>
  <c r="F273" i="1"/>
  <c r="P18" i="1"/>
  <c r="F261" i="1"/>
  <c r="T18" i="1"/>
  <c r="F279" i="1"/>
  <c r="R22" i="1"/>
  <c r="F239" i="1"/>
  <c r="J16" i="2" s="1"/>
  <c r="R258" i="1"/>
  <c r="AT64" i="1"/>
  <c r="F138" i="1"/>
  <c r="AT225" i="1"/>
  <c r="AY64" i="1"/>
  <c r="F128" i="1"/>
  <c r="X64" i="1"/>
  <c r="F146" i="1"/>
  <c r="X225" i="1"/>
  <c r="Y64" i="1"/>
  <c r="F147" i="1"/>
  <c r="Y225" i="1"/>
  <c r="F60" i="1"/>
  <c r="AR26" i="1"/>
  <c r="AW64" i="1"/>
  <c r="F126" i="1"/>
  <c r="AS68" i="1"/>
  <c r="AS120" i="1"/>
  <c r="AS225" i="1" s="1"/>
  <c r="F107" i="1"/>
  <c r="AV64" i="1"/>
  <c r="F125" i="1"/>
  <c r="AT22" i="1" l="1"/>
  <c r="F243" i="1"/>
  <c r="AT258" i="1"/>
  <c r="AW18" i="1"/>
  <c r="F264" i="1"/>
  <c r="X22" i="1"/>
  <c r="X258" i="1"/>
  <c r="F251" i="1"/>
  <c r="AS22" i="1"/>
  <c r="F242" i="1"/>
  <c r="AS258" i="1"/>
  <c r="O18" i="1"/>
  <c r="F260" i="1"/>
  <c r="AR22" i="1"/>
  <c r="AR258" i="1"/>
  <c r="F253" i="1"/>
  <c r="F254" i="1" s="1"/>
  <c r="AS64" i="1"/>
  <c r="F137" i="1"/>
  <c r="R18" i="1"/>
  <c r="F272" i="1"/>
  <c r="AV18" i="1"/>
  <c r="F263" i="1"/>
  <c r="Y22" i="1"/>
  <c r="F252" i="1"/>
  <c r="Y258" i="1"/>
  <c r="AY18" i="1"/>
  <c r="F266" i="1"/>
  <c r="AR64" i="1"/>
  <c r="F148" i="1"/>
  <c r="Q18" i="1"/>
  <c r="F270" i="1"/>
  <c r="F16" i="2" l="1"/>
  <c r="C50" i="7"/>
  <c r="E16" i="2"/>
  <c r="I16" i="2" s="1"/>
  <c r="N16" i="2" s="1"/>
  <c r="C49" i="7"/>
  <c r="F255" i="1"/>
  <c r="F256" i="1" s="1"/>
  <c r="AR18" i="1"/>
  <c r="F286" i="1"/>
  <c r="F287" i="1" s="1"/>
  <c r="AT18" i="1"/>
  <c r="F276" i="1"/>
  <c r="AS18" i="1"/>
  <c r="F275" i="1"/>
  <c r="Y18" i="1"/>
  <c r="F285" i="1"/>
  <c r="X18" i="1"/>
  <c r="F284" i="1"/>
  <c r="F288" i="1" l="1"/>
  <c r="F289" i="1" s="1"/>
</calcChain>
</file>

<file path=xl/sharedStrings.xml><?xml version="1.0" encoding="utf-8"?>
<sst xmlns="http://schemas.openxmlformats.org/spreadsheetml/2006/main" count="4346" uniqueCount="584">
  <si>
    <t>Smeta.RU  (495) 974-1589</t>
  </si>
  <si>
    <t>_PS_</t>
  </si>
  <si>
    <t>Smeta.RU</t>
  </si>
  <si>
    <t/>
  </si>
  <si>
    <t>Новый объект_(Копия)</t>
  </si>
  <si>
    <t>Ремонт в пом 500 , 308,  1холл до 600тр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</si>
  <si>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</si>
  <si>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</si>
  <si>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</si>
  <si>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</si>
  <si>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</si>
  <si>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</si>
  <si>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</si>
  <si>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</si>
  <si>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</si>
  <si>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</si>
  <si>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помещение 308</t>
  </si>
  <si>
    <t>1</t>
  </si>
  <si>
    <t>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</si>
  <si>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</si>
  <si>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100 м2</t>
  </si>
  <si>
    <t>ГЭСН-2022, 15-04-007-03, приказ Минстроя России от 18.05.2022 г. № 378/пр</t>
  </si>
  <si>
    <t>*1,25</t>
  </si>
  <si>
    <t>*1,15</t>
  </si>
  <si>
    <t>*0,9</t>
  </si>
  <si>
    <t>*0,85</t>
  </si>
  <si>
    <t>Общестроительные работы</t>
  </si>
  <si>
    <t>Отделочные работы</t>
  </si>
  <si>
    <t>ФЕР-15</t>
  </si>
  <si>
    <t>Поправка: 421/пр_2020_п.58_пп.б</t>
  </si>
  <si>
    <t>Пр/812-015.0-1</t>
  </si>
  <si>
    <t>Пр/774-015.0</t>
  </si>
  <si>
    <t>1,1</t>
  </si>
  <si>
    <t>14.3.02.01-0362</t>
  </si>
  <si>
    <t>Краска водно-дисперсионная акрилатная ВД-АК-104</t>
  </si>
  <si>
    <t>т</t>
  </si>
  <si>
    <t>ФСБЦ-2022, 14.3.02.01-0362, приказ Минстроя России от 18.05.2022 г. № 378/пр</t>
  </si>
  <si>
    <t>1,2</t>
  </si>
  <si>
    <t>14.4.01.02-0012</t>
  </si>
  <si>
    <t>Грунтовка укрепляющая, глубокого проникновения, быстросохнущая, паропроницаемая</t>
  </si>
  <si>
    <t>кг</t>
  </si>
  <si>
    <t>ФСБЦ-2022, 14.4.01.02-0012,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</si>
  <si>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</si>
  <si>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</si>
  <si>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</si>
  <si>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</si>
  <si>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</si>
  <si>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</si>
  <si>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</si>
  <si>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</si>
  <si>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</si>
  <si>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</si>
  <si>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</si>
  <si>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</si>
  <si>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</si>
  <si>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</si>
  <si>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</si>
  <si>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</si>
  <si>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</si>
  <si>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</si>
  <si>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</si>
  <si>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</si>
  <si>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</si>
  <si>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</si>
  <si>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</si>
  <si>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</si>
  <si>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</si>
  <si>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</si>
  <si>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</si>
  <si>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</si>
  <si>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</si>
  <si>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</si>
  <si>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</si>
  <si>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</si>
  <si>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</si>
  <si>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</si>
  <si>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</si>
  <si>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</si>
  <si>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</si>
  <si>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</si>
  <si>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</si>
  <si>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</si>
  <si>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</si>
  <si>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</si>
  <si>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</si>
  <si>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</si>
  <si>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</si>
  <si>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</si>
  <si>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</si>
  <si>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</si>
  <si>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</si>
  <si>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</si>
  <si>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</si>
  <si>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</si>
  <si>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</si>
  <si>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</si>
  <si>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Холл</t>
  </si>
  <si>
    <t>Новый подраздел</t>
  </si>
  <si>
    <t>Холл малый</t>
  </si>
  <si>
    <t>2</t>
  </si>
  <si>
    <t>2,1</t>
  </si>
  <si>
    <t>2,2</t>
  </si>
  <si>
    <t>3</t>
  </si>
  <si>
    <t>57-01-003-01</t>
  </si>
  <si>
    <t>Разборка плинтусов: деревянных и из пластмассовых материалов</t>
  </si>
  <si>
    <t>100 м</t>
  </si>
  <si>
    <t>ГЭСНр-2022, 57-01-003-01, приказ Минстроя России от 18.05.2022 г. № 378/пр</t>
  </si>
  <si>
    <t>Ремонтно-строительные работы</t>
  </si>
  <si>
    <t>Полы</t>
  </si>
  <si>
    <t>рФЕР-57</t>
  </si>
  <si>
    <t>Пр/812-091.0-1</t>
  </si>
  <si>
    <t>Пр/774-091.0</t>
  </si>
  <si>
    <t>3,1</t>
  </si>
  <si>
    <t>999-9900</t>
  </si>
  <si>
    <t>Строительный мусор</t>
  </si>
  <si>
    <t>4</t>
  </si>
  <si>
    <t>57-01-002-01</t>
  </si>
  <si>
    <t>Разборка покрытий полов: из линолеума и релина</t>
  </si>
  <si>
    <t>ГЭСНр-2022 доп.3, 57-01-002-01, приказ Минстроя России от 26.10.2022 г. № 905/пр</t>
  </si>
  <si>
    <t>4,1</t>
  </si>
  <si>
    <t>5</t>
  </si>
  <si>
    <t>11-01-034-04</t>
  </si>
  <si>
    <t>Устройство покрытий: из досок ламинированных замковым способом</t>
  </si>
  <si>
    <t>ГЭСН-2022 доп.12, 11-01-034-04, приказ Минстроя России от 07.11.2024 г. № 747/пр</t>
  </si>
  <si>
    <t>ФЕР-11</t>
  </si>
  <si>
    <t>Пр/812-011.0-1</t>
  </si>
  <si>
    <t>Пр/774-011.0</t>
  </si>
  <si>
    <t>5,1</t>
  </si>
  <si>
    <t>ТЦ_59.00.00.00_50_5009056896_16.04.2026_01_1.2</t>
  </si>
  <si>
    <t>Напольное покрытие кварцвинил</t>
  </si>
  <si>
    <t>м2</t>
  </si>
  <si>
    <t>Материалы, отсутствующие в СНБ (Строительные)</t>
  </si>
  <si>
    <t>МР КА Строительные</t>
  </si>
  <si>
    <t>6</t>
  </si>
  <si>
    <t>11-01-040-01</t>
  </si>
  <si>
    <t>Устройство плинтусов поливинилхлоридных: на клее КН-2</t>
  </si>
  <si>
    <t>ГЭСН-2022, 11-01-040-01, приказ Минстроя России от 18.05.2022 г. № 378/пр</t>
  </si>
  <si>
    <t>6,1</t>
  </si>
  <si>
    <t>ТЦ_11.00.00.00_77_7707609512_03.03.2026_01_2.2</t>
  </si>
  <si>
    <t>Плинтус Европласт</t>
  </si>
  <si>
    <t>м</t>
  </si>
  <si>
    <t>7</t>
  </si>
  <si>
    <t>63-03-009-01</t>
  </si>
  <si>
    <t>Разборка элементов облицовки потолков с разборкой каркаса: плит растровых</t>
  </si>
  <si>
    <t>ГЭСНр-2022, 63-03-009-01, приказ Минстроя России от 18.05.2022 г. № 378/пр</t>
  </si>
  <si>
    <t>Стекольные, обойные и облицовочные работы</t>
  </si>
  <si>
    <t>Стекольные, обойные, облицовочные работы</t>
  </si>
  <si>
    <t>рФЕР-63</t>
  </si>
  <si>
    <t>Пр/812-097.0-1</t>
  </si>
  <si>
    <t>Пр/774-097.0</t>
  </si>
  <si>
    <t>7,1</t>
  </si>
  <si>
    <t>999-9899</t>
  </si>
  <si>
    <t>Строительный мусор и масса возвратных материалов</t>
  </si>
  <si>
    <t>8</t>
  </si>
  <si>
    <t>67-01-004-05</t>
  </si>
  <si>
    <t>Демонтаж: светильников для люминесцентных ламп</t>
  </si>
  <si>
    <t>100 ШТ</t>
  </si>
  <si>
    <t>ГЭСНр-2022, 67-01-004-05, приказ Минстроя России от 18.05.2022 г. № 378/пр</t>
  </si>
  <si>
    <t>Электромонтажные работы</t>
  </si>
  <si>
    <t>рФЕР-67</t>
  </si>
  <si>
    <t>Пр/812-101.0-1</t>
  </si>
  <si>
    <t>Пр/774-101.0</t>
  </si>
  <si>
    <t>9</t>
  </si>
  <si>
    <t>15-01-047-15</t>
  </si>
  <si>
    <t>Устройство потолков: плитно-ячеистых по каркасу из оцинкованного профиля</t>
  </si>
  <si>
    <t>ГЭСН-2022 доп.13, 15-01-047-15, приказ Минстроя России от 07.02.2025 г. № 69/пр</t>
  </si>
  <si>
    <t>9,1</t>
  </si>
  <si>
    <t>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</si>
  <si>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</si>
  <si>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ФСБЦ-2022 доп.3, 01.6.04.02-0011, приказ Минстроя России от 26.10.2022 г. № 905/пр</t>
  </si>
  <si>
    <t>10</t>
  </si>
  <si>
    <t>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</si>
  <si>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</si>
  <si>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ГЭСНм-2022 доп.12, м08-03-608-02, приказ Минстроя России от 07.11.2024 г. № 747/пр</t>
  </si>
  <si>
    <t>Монтажные работы</t>
  </si>
  <si>
    <t>Электротехнические установки: на других объектах</t>
  </si>
  <si>
    <t>мФЕР-08</t>
  </si>
  <si>
    <t>Пр/812-049.3-1</t>
  </si>
  <si>
    <t>Пр/774-049.3</t>
  </si>
  <si>
    <t>10,1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</si>
  <si>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</si>
  <si>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</si>
  <si>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</si>
  <si>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10,2</t>
  </si>
  <si>
    <t>20.3.03.07-0091</t>
  </si>
  <si>
    <t>ШТ</t>
  </si>
  <si>
    <t>ФСБЦ-2022 доп.14, 20.3.03.07-0091, приказ Минстроя России от 19.05.2025 г. № 299/пр</t>
  </si>
  <si>
    <t>помещение 500</t>
  </si>
  <si>
    <t>11</t>
  </si>
  <si>
    <t>11,1</t>
  </si>
  <si>
    <t>11,2</t>
  </si>
  <si>
    <t>мусор</t>
  </si>
  <si>
    <t>12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</si>
  <si>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</si>
  <si>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</si>
  <si>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</si>
  <si>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</si>
  <si>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</si>
  <si>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</si>
  <si>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</si>
  <si>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13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</si>
  <si>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</si>
  <si>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</si>
  <si>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</si>
  <si>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</si>
  <si>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</si>
  <si>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</si>
  <si>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</si>
  <si>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</si>
  <si>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Итого</t>
  </si>
  <si>
    <t>НДС</t>
  </si>
  <si>
    <t>НДС 22%</t>
  </si>
  <si>
    <t>ИтогоНДС</t>
  </si>
  <si>
    <t>Итого с НДС</t>
  </si>
  <si>
    <t>21120826,44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</si>
  <si>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</si>
  <si>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</si>
  <si>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</si>
  <si>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</si>
  <si>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</si>
  <si>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</si>
  <si>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</si>
  <si>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</si>
  <si>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</si>
  <si>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</si>
  <si>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</si>
  <si>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</si>
  <si>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</si>
  <si>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</si>
  <si>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</si>
  <si>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</si>
  <si>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</si>
  <si>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</si>
  <si>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</si>
  <si>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</si>
  <si>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</si>
  <si>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</si>
  <si>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</si>
  <si>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</si>
  <si>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</si>
  <si>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</si>
  <si>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</si>
  <si>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</si>
  <si>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</si>
  <si>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</si>
  <si>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</si>
  <si>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</si>
  <si>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</si>
  <si>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</si>
  <si>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</si>
  <si>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</si>
  <si>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</si>
  <si>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</si>
  <si>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</si>
  <si>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</si>
  <si>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</si>
  <si>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</si>
  <si>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</si>
  <si>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</si>
  <si>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</si>
  <si>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</si>
  <si>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</si>
  <si>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</si>
  <si>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</si>
  <si>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</si>
  <si>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</si>
  <si>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</si>
  <si>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</si>
  <si>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</si>
  <si>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</si>
  <si>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</si>
  <si>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</si>
  <si>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</si>
  <si>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</si>
  <si>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</si>
  <si>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</si>
  <si>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</si>
  <si>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</si>
  <si>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</si>
  <si>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</si>
  <si>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</si>
  <si>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</si>
  <si>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</si>
  <si>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</si>
  <si>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</si>
  <si>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</si>
  <si>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</si>
  <si>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</si>
  <si>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</si>
  <si>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</si>
  <si>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</si>
  <si>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1-100-33</t>
  </si>
  <si>
    <t>Средний разряд работы 3,3</t>
  </si>
  <si>
    <t>чел.-ч.</t>
  </si>
  <si>
    <t>4-100-00</t>
  </si>
  <si>
    <t>Затраты труда машинистов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</si>
  <si>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</si>
  <si>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</si>
  <si>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</si>
  <si>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маш.-ч</t>
  </si>
  <si>
    <t>4-100-030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</si>
  <si>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</si>
  <si>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</si>
  <si>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</si>
  <si>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</si>
  <si>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</si>
  <si>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</si>
  <si>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</si>
  <si>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</si>
  <si>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</si>
  <si>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</si>
  <si>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14.5.11.02-0101</t>
  </si>
  <si>
    <t>ФСБЦ-2022, 14.5.11.02-0101, приказ Минстроя России от 18.05.2022 г. № 378/пр</t>
  </si>
  <si>
    <t>Шпатлевка водно-дисперсионная</t>
  </si>
  <si>
    <t>1-100-20</t>
  </si>
  <si>
    <t>Средний разряд работы 2,0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</si>
  <si>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</si>
  <si>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</si>
  <si>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</si>
  <si>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1-100-30</t>
  </si>
  <si>
    <t>Средний разряд работы 3,0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</si>
  <si>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</si>
  <si>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</si>
  <si>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</si>
  <si>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</si>
  <si>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11.3.03.08-0004</t>
  </si>
  <si>
    <t>ФСБЦ-2022, 11.3.03.08-0004, приказ Минстроя России от 18.05.2022 г. № 378/пр</t>
  </si>
  <si>
    <t>Подложка из вспененного полиэтилена под паркет и ламинат, толщина 2 мм</t>
  </si>
  <si>
    <t>10 м2</t>
  </si>
  <si>
    <t>1-100-41</t>
  </si>
  <si>
    <t>Средний разряд работы 4,1</t>
  </si>
  <si>
    <t>14.5.04.03-0104</t>
  </si>
  <si>
    <t>ФСБЦ-2022, 14.5.04.03-0104, приказ Минстроя России от 18.05.2022 г. № 378/пр</t>
  </si>
  <si>
    <t>Мастика клеящая каучуковая КН-2</t>
  </si>
  <si>
    <t>1-100-29</t>
  </si>
  <si>
    <t>Средний разряд работы 2,9</t>
  </si>
  <si>
    <t>1-100-23</t>
  </si>
  <si>
    <t>Средний разряд работы 2,3</t>
  </si>
  <si>
    <t>1-100-38</t>
  </si>
  <si>
    <t>Средний разряд работы 3,8</t>
  </si>
  <si>
    <t>2-100-01</t>
  </si>
  <si>
    <t>Рабочий 1 разряда</t>
  </si>
  <si>
    <t>чел.-ч</t>
  </si>
  <si>
    <t>2-100-04</t>
  </si>
  <si>
    <t>Рабочий 4 разряда</t>
  </si>
  <si>
    <t>14.3.02.01</t>
  </si>
  <si>
    <t>Краска акриловая</t>
  </si>
  <si>
    <t>14.4.01.02</t>
  </si>
  <si>
    <t>Грунтовка</t>
  </si>
  <si>
    <t>11.2.03.02</t>
  </si>
  <si>
    <t>Покрытие напольное ламинированное (ламинат)</t>
  </si>
  <si>
    <t>11.3.03.06</t>
  </si>
  <si>
    <t>Плинтуса для полов пластиковые</t>
  </si>
  <si>
    <t>01.6.04.02</t>
  </si>
  <si>
    <t>Панели потолочные с комплектующими</t>
  </si>
  <si>
    <t>421/пр_2020_п.58_пп.б</t>
  </si>
  <si>
    <t>Методика 421/пр (О.П.)</t>
  </si>
  <si>
    <t>Конъюнктурный анализ</t>
  </si>
  <si>
    <t>1.1</t>
  </si>
  <si>
    <t>ТЦ_59.00.00.00_77_9729288231_09.04.2026_01_1.1</t>
  </si>
  <si>
    <t>Кварцвинил SPC плитка КREAFORTA дуб</t>
  </si>
  <si>
    <t>59.00.00.00</t>
  </si>
  <si>
    <t>ООО "Центрстройпоставка"</t>
  </si>
  <si>
    <t>г Москва</t>
  </si>
  <si>
    <t>9729288231</t>
  </si>
  <si>
    <t>772901001</t>
  </si>
  <si>
    <t>77</t>
  </si>
  <si>
    <t>Россия</t>
  </si>
  <si>
    <t>1.2</t>
  </si>
  <si>
    <t>Кварцвинил SPC плитка КREAFORTA дуб Тукса</t>
  </si>
  <si>
    <t>ООО"Стройпоставка"</t>
  </si>
  <si>
    <t>МО г. Домодедово</t>
  </si>
  <si>
    <t>5009056896</t>
  </si>
  <si>
    <t>500901001</t>
  </si>
  <si>
    <t>50</t>
  </si>
  <si>
    <t>1.3</t>
  </si>
  <si>
    <t>ТЦ_59.00.00.00_77_9717052425_10.04.2026_01_1.3</t>
  </si>
  <si>
    <t>ООО "Сатурн Центр"</t>
  </si>
  <si>
    <t>г. Москва</t>
  </si>
  <si>
    <t>9717052425</t>
  </si>
  <si>
    <t>771501001</t>
  </si>
  <si>
    <t>2.1</t>
  </si>
  <si>
    <t>ТЦ_11.00.00.00_77_9729288231_09.04.2026_01_2.1</t>
  </si>
  <si>
    <t>Плинтус Европласт 1.51.108</t>
  </si>
  <si>
    <t>11.00.00.00</t>
  </si>
  <si>
    <t>2.2</t>
  </si>
  <si>
    <t>ООО "Декор"</t>
  </si>
  <si>
    <t>МО г. Чехов</t>
  </si>
  <si>
    <t>7707609512</t>
  </si>
  <si>
    <t>504801001</t>
  </si>
  <si>
    <t>2.3</t>
  </si>
  <si>
    <t>ТЦ_11.00.00.00_78_7802348846_16.04.2026_01_2.3</t>
  </si>
  <si>
    <t>ООО "ТД Петрович"</t>
  </si>
  <si>
    <t>МО  д. Грибки</t>
  </si>
  <si>
    <t>7802348846</t>
  </si>
  <si>
    <t>781601001</t>
  </si>
  <si>
    <t>78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</si>
  <si>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</si>
  <si>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</si>
  <si>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</si>
  <si>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</si>
  <si>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</si>
  <si>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</si>
  <si>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</si>
  <si>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</si>
  <si>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</si>
  <si>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</si>
  <si>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</si>
  <si>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</si>
  <si>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</si>
  <si>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</si>
  <si>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</si>
  <si>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</si>
  <si>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</si>
  <si>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</si>
  <si>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</si>
  <si>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</si>
  <si>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</si>
  <si>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</si>
  <si>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</si>
  <si>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</si>
  <si>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</si>
  <si>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</si>
  <si>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</si>
  <si>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</si>
  <si>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</si>
  <si>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</si>
  <si>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</si>
  <si>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</si>
  <si>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</si>
  <si>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</si>
  <si>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</si>
  <si>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</si>
  <si>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</si>
  <si>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</si>
  <si>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</si>
  <si>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</si>
  <si>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</si>
  <si>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</si>
  <si>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</si>
  <si>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</si>
  <si>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</si>
  <si>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</si>
  <si>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</si>
  <si>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</si>
  <si>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</si>
  <si>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II квартал 2026 года</t>
  </si>
  <si>
    <t>Раздел: помещение 308</t>
  </si>
  <si>
    <t>ГЭСН 15-04-007-03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</si>
  <si>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</si>
  <si>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ОТ (ЗТ)</t>
  </si>
  <si>
    <t>ЭМ</t>
  </si>
  <si>
    <t>ОТм(ЗТм) Средний разряд машинистов 3</t>
  </si>
  <si>
    <t>ОТм(ЗТм) Средний разряд машинистов 4</t>
  </si>
  <si>
    <t>ОТм(ЗТм)</t>
  </si>
  <si>
    <t>М</t>
  </si>
  <si>
    <t>Итого прямые затраты</t>
  </si>
  <si>
    <t>ФОТ</t>
  </si>
  <si>
    <t>Пр/812-015.0-1;_x000D_
п.25</t>
  </si>
  <si>
    <t>НР Отделочные работы</t>
  </si>
  <si>
    <t>Пр/774-015.0;_x000D_
п.16</t>
  </si>
  <si>
    <t>СП Отделочные работы</t>
  </si>
  <si>
    <t>Всего по позиции</t>
  </si>
  <si>
    <t>=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</si>
  <si>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</si>
  <si>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</si>
  <si>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</si>
  <si>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</si>
  <si>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</si>
  <si>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</si>
  <si>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</si>
  <si>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</si>
  <si>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</si>
  <si>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</si>
  <si>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</si>
  <si>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</si>
  <si>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</si>
  <si>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</si>
  <si>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</si>
  <si>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</si>
  <si>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</si>
  <si>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</si>
  <si>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</si>
  <si>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</si>
  <si>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</si>
  <si>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</si>
  <si>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</si>
  <si>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</si>
  <si>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</si>
  <si>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</si>
  <si>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Холл</t>
  </si>
  <si>
    <t>ГЭСНр 57-01-003-01</t>
  </si>
  <si>
    <t>3.1</t>
  </si>
  <si>
    <t>НР Полы</t>
  </si>
  <si>
    <t>СП Полы</t>
  </si>
  <si>
    <t>ГЭСНр 57-01-002-01</t>
  </si>
  <si>
    <t>4.1</t>
  </si>
  <si>
    <t>ГЭСН 11-01-034-04</t>
  </si>
  <si>
    <r>
      <t>Устройство покрытий: из досок ламинированных замковым способом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</si>
  <si>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5.1</t>
  </si>
  <si>
    <r>
      <t>Напольное покрытие кварцвинил</t>
    </r>
    <r>
      <rPr>
        <i/>
        <sz val="11"/>
        <rFont val="Arial"/>
        <family val="2"/>
        <charset val="204"/>
      </rPr>
      <t xml:space="preserve">
Базовая за единицу (справочно): 2 213,11 = 2 213,11 / 1,00</t>
    </r>
  </si>
  <si>
    <t>Пр/812-011.0-1;_x000D_
п.25</t>
  </si>
  <si>
    <t>Пр/774-011.0;_x000D_
п.16</t>
  </si>
  <si>
    <t>ГЭСН 11-01-040-01</t>
  </si>
  <si>
    <t>6.1</t>
  </si>
  <si>
    <r>
      <t>Плинтус Европласт</t>
    </r>
    <r>
      <rPr>
        <i/>
        <sz val="11"/>
        <rFont val="Arial"/>
        <family val="2"/>
        <charset val="204"/>
      </rPr>
      <t xml:space="preserve">
Базовая за единицу (справочно): 1 106,56 = 1 106,56 / 1,00</t>
    </r>
  </si>
  <si>
    <t>ГЭСНр 63-03-009-01</t>
  </si>
  <si>
    <t>7.1</t>
  </si>
  <si>
    <t>НР Стекольные, обойные, облицовочные работы</t>
  </si>
  <si>
    <t>СП Стекольные, обойные, облицовочные работы</t>
  </si>
  <si>
    <t>ГЭСНр 67-01-004-05</t>
  </si>
  <si>
    <t>НР Электромонтажные работы</t>
  </si>
  <si>
    <t>СП Электромонтажные работы</t>
  </si>
  <si>
    <t>ГЭСН 15-01-047-15</t>
  </si>
  <si>
    <t>9.1</t>
  </si>
  <si>
    <t>ГЭСНм 08-03-608-02</t>
  </si>
  <si>
    <t>10.1</t>
  </si>
  <si>
    <t>10.2</t>
  </si>
  <si>
    <t>НР Электротехнические установки: на других объектах</t>
  </si>
  <si>
    <t>СП Электротехнические установки: на других объектах</t>
  </si>
  <si>
    <t>Раздел: помещение 500</t>
  </si>
  <si>
    <t>11.1</t>
  </si>
  <si>
    <t>11.2</t>
  </si>
  <si>
    <t>Раздел: мусор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</si>
  <si>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</si>
  <si>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</si>
  <si>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</si>
  <si>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</si>
  <si>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</si>
  <si>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</si>
  <si>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</si>
  <si>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</si>
  <si>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</si>
  <si>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</si>
  <si>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</si>
  <si>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</si>
  <si>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</si>
  <si>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</si>
  <si>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</si>
  <si>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</si>
  <si>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</si>
  <si>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</si>
  <si>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</si>
  <si>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</si>
  <si>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</si>
  <si>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</si>
  <si>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</si>
  <si>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</si>
  <si>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</si>
  <si>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Примечание</t>
  </si>
  <si>
    <t>Заказчик _________________</t>
  </si>
  <si>
    <t>Подрядчик _________________</t>
  </si>
  <si>
    <t>Сводная таблица результатов конъюнктурного анализа</t>
  </si>
  <si>
    <t>(наименование объекта строительства)</t>
  </si>
  <si>
    <t>Код ресурса, затрат</t>
  </si>
  <si>
    <t>Наименование ресурса, затрат</t>
  </si>
  <si>
    <t>Полное наименование ресурса, затрат в обосновывающем документе</t>
  </si>
  <si>
    <t>Единица измерения ресурса, затрат</t>
  </si>
  <si>
    <t>Единица измерения ресурса, затрат в обосновывающем документе</t>
  </si>
  <si>
    <t xml:space="preserve">Текущая отпускная цена за единицу измерения в обосновывающем документе с НДС, руб.
</t>
  </si>
  <si>
    <t xml:space="preserve">Текущая отпускная цена за единицу измерения в обосновывающем документе без НДС, руб.
</t>
  </si>
  <si>
    <t xml:space="preserve">Текущая отпускная цена за единицу измерения без НДС, руб. в соответствии с графой 5
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</si>
  <si>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</si>
  <si>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</si>
  <si>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</si>
  <si>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НДС, руб. за единицу измерения</t>
  </si>
  <si>
    <t>Год</t>
  </si>
  <si>
    <t>Квартал</t>
  </si>
  <si>
    <t>Полное и (или) сокращенное (при наличии) наименования производителя / поставщика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</si>
  <si>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</si>
  <si>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</si>
  <si>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</si>
  <si>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 / поставщика</t>
  </si>
  <si>
    <t>Населенный пункт расположения склада производителя / поставщика</t>
  </si>
  <si>
    <t>Статус организации - производитель (1) / поставщик (2)</t>
  </si>
  <si>
    <t>руб. за единицу измерения без НДС</t>
  </si>
  <si>
    <t>руб.</t>
  </si>
  <si>
    <t>Наименование затрат</t>
  </si>
  <si>
    <t>По объекту: Ремонт в пом 500 , 308,  1холл до 600тр</t>
  </si>
  <si>
    <t>II</t>
  </si>
  <si>
    <t>I</t>
  </si>
  <si>
    <t>Застройщик 
(технический заказчик)</t>
  </si>
  <si>
    <t>ЛОКАЛЬНАЯ СМЕТА №</t>
  </si>
  <si>
    <t>Выполнение работ по текущему ремонту помещений в здании ФГБОУ ВО "МГУТУ им. К.Г. Разумовского (ПКУ)"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</si>
</sst>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30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0" xfId="0" quotePrefix="1" applyFont="1" applyAlignment="1">
      <alignment vertical="top" wrapText="1"/>
    </xf>
    <xf numFmtId="0" fontId="8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5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2" fillId="0" borderId="0" xfId="0" applyNumberFormat="1" applyFont="1" applyAlignment="1">
      <alignment horizontal="right"/>
    </xf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/>
    </xf>
    <xf numFmtId="0" fontId="22" fillId="0" borderId="1" xfId="0" quotePrefix="1" applyFont="1" applyBorder="1" applyAlignment="1">
      <alignment horizontal="left" vertical="top" wrapText="1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5" fillId="0" borderId="2" xfId="0" applyNumberFormat="1" applyFont="1" applyBorder="1" applyAlignment="1">
      <alignment horizontal="right" vertical="top"/>
    </xf>
    <xf numFmtId="0" fontId="25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Border="1" applyAlignment="1">
      <alignment horizontal="right"/>
    </xf>
    <xf numFmtId="0" fontId="25" fillId="0" borderId="0" xfId="0" applyFont="1" applyAlignment="1">
      <alignment horizontal="left" vertical="top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wrapText="1"/>
    </xf>
    <xf numFmtId="0" fontId="22" fillId="0" borderId="7" xfId="0" applyFont="1" applyBorder="1" applyAlignment="1">
      <alignment horizontal="right" wrapText="1"/>
    </xf>
    <xf numFmtId="0" fontId="22" fillId="0" borderId="7" xfId="0" applyFont="1" applyBorder="1" applyAlignment="1">
      <alignment horizontal="right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right"/>
    </xf>
    <xf numFmtId="0" fontId="25" fillId="0" borderId="0" xfId="0" applyFont="1"/>
    <xf numFmtId="0" fontId="10" fillId="0" borderId="1" xfId="0" applyNumberFormat="1" applyFont="1" applyBorder="1" applyAlignment="1"/>
    <xf numFmtId="0" fontId="29" fillId="0" borderId="7" xfId="0" applyNumberFormat="1" applyFont="1" applyBorder="1" applyAlignment="1">
      <alignment horizontal="center" vertical="center"/>
    </xf>
    <xf numFmtId="0" fontId="22" fillId="0" borderId="7" xfId="0" quotePrefix="1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top" wrapText="1"/>
    </xf>
    <xf numFmtId="165" fontId="22" fillId="0" borderId="7" xfId="0" applyNumberFormat="1" applyFont="1" applyBorder="1" applyAlignment="1">
      <alignment horizontal="right" vertical="top" wrapText="1"/>
    </xf>
    <xf numFmtId="0" fontId="25" fillId="0" borderId="7" xfId="0" quotePrefix="1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top" wrapText="1"/>
    </xf>
    <xf numFmtId="165" fontId="25" fillId="0" borderId="7" xfId="0" applyNumberFormat="1" applyFont="1" applyBorder="1" applyAlignment="1">
      <alignment horizontal="right" vertical="top" wrapText="1"/>
    </xf>
    <xf numFmtId="0" fontId="16" fillId="0" borderId="0" xfId="0" applyNumberFormat="1" applyFont="1" applyAlignment="1">
      <alignment horizontal="right" vertical="center"/>
    </xf>
    <xf numFmtId="0" fontId="26" fillId="0" borderId="0" xfId="0" applyNumberFormat="1" applyFont="1" applyAlignment="1">
      <alignment horizontal="center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right" vertical="center" wrapText="1"/>
    </xf>
    <xf numFmtId="0" fontId="16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165" fontId="25" fillId="0" borderId="0" xfId="0" applyNumberFormat="1" applyFont="1" applyAlignment="1">
      <alignment horizontal="left" vertical="top"/>
    </xf>
    <xf numFmtId="165" fontId="25" fillId="0" borderId="2" xfId="0" applyNumberFormat="1" applyFont="1" applyBorder="1" applyAlignment="1">
      <alignment horizontal="right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5" fillId="0" borderId="2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1" fillId="0" borderId="5" xfId="0" applyFont="1" applyBorder="1" applyAlignment="1">
      <alignment horizontal="center" wrapText="1"/>
    </xf>
    <xf numFmtId="0" fontId="25" fillId="0" borderId="0" xfId="0" applyFont="1" applyBorder="1" applyAlignment="1">
      <alignment horizontal="right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9" fillId="0" borderId="5" xfId="0" applyNumberFormat="1" applyFont="1" applyBorder="1" applyAlignment="1">
      <alignment horizontal="center" vertical="center" wrapText="1"/>
    </xf>
    <xf numFmtId="0" fontId="29" fillId="0" borderId="6" xfId="0" applyNumberFormat="1" applyFont="1" applyBorder="1" applyAlignment="1">
      <alignment horizontal="center" vertical="center" wrapText="1"/>
    </xf>
    <xf numFmtId="0" fontId="29" fillId="0" borderId="8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29" fillId="0" borderId="4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29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29" fillId="0" borderId="13" xfId="0" applyNumberFormat="1" applyFont="1" applyBorder="1" applyAlignment="1">
      <alignment horizontal="center" vertical="center" wrapText="1"/>
    </xf>
    <xf numFmtId="0" fontId="29" fillId="0" borderId="14" xfId="0" applyNumberFormat="1" applyFont="1" applyBorder="1" applyAlignment="1">
      <alignment horizontal="center" vertical="center" wrapText="1"/>
    </xf>
    <xf numFmtId="0" fontId="29" fillId="0" borderId="15" xfId="0" applyNumberFormat="1" applyFont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left" vertical="top" wrapText="1"/>
    </xf>
    <xf numFmtId="0" fontId="28" fillId="0" borderId="0" xfId="0" applyNumberFormat="1" applyFont="1" applyAlignment="1">
      <alignment horizontal="center" vertical="center"/>
    </xf>
    <xf numFmtId="0" fontId="29" fillId="0" borderId="1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/>
    </xf>
    <xf numFmtId="0" fontId="29" fillId="0" borderId="19" xfId="0" applyNumberFormat="1" applyFont="1" applyBorder="1" applyAlignment="1">
      <alignment horizontal="center" vertical="center" wrapText="1"/>
    </xf>
    <xf numFmtId="0" fontId="29" fillId="0" borderId="20" xfId="0" applyNumberFormat="1" applyFont="1" applyBorder="1" applyAlignment="1">
      <alignment horizontal="center" vertical="center" wrapText="1"/>
    </xf>
    <xf numFmtId="0" fontId="29" fillId="0" borderId="21" xfId="0" applyNumberFormat="1" applyFont="1" applyBorder="1" applyAlignment="1">
      <alignment horizontal="center" vertical="center" wrapText="1"/>
    </xf>
    <xf numFmtId="0" fontId="29" fillId="0" borderId="3" xfId="0" applyNumberFormat="1" applyFont="1" applyBorder="1" applyAlignment="1">
      <alignment horizontal="center" vertical="center" wrapText="1"/>
    </xf>
    <xf numFmtId="0" fontId="29" fillId="0" borderId="9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3"/>
  <sheetViews>
    <sheetView tabSelected="1" topLeftCell="A420" zoomScaleNormal="100" workbookViewId="0">
      <selection activeCell="D37" sqref="D37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93" ht="16.5" customHeight="1" x14ac:dyDescent="0.25">
      <c r="A3" s="16"/>
      <c r="B3" s="114" t="s">
        <v>401</v>
      </c>
      <c r="C3" s="114"/>
      <c r="D3" s="114"/>
      <c r="E3" s="114"/>
      <c r="F3" s="17"/>
      <c r="G3" s="17"/>
      <c r="H3" s="114" t="s">
        <v>402</v>
      </c>
      <c r="I3" s="114"/>
      <c r="J3" s="114"/>
      <c r="K3" s="114"/>
      <c r="L3" s="114"/>
    </row>
    <row r="4" spans="1:93" ht="14.25" customHeight="1" x14ac:dyDescent="0.2">
      <c r="A4" s="17"/>
      <c r="B4" s="115"/>
      <c r="C4" s="115"/>
      <c r="D4" s="115"/>
      <c r="E4" s="115"/>
      <c r="F4" s="17"/>
      <c r="G4" s="17"/>
      <c r="H4" s="115"/>
      <c r="I4" s="115"/>
      <c r="J4" s="115"/>
      <c r="K4" s="115"/>
      <c r="L4" s="115"/>
    </row>
    <row r="5" spans="1:93" ht="14.25" customHeight="1" x14ac:dyDescent="0.2">
      <c r="A5" s="17"/>
      <c r="B5" s="17"/>
      <c r="C5" s="18"/>
      <c r="D5" s="18"/>
      <c r="E5" s="18"/>
      <c r="F5" s="17"/>
      <c r="G5" s="17"/>
      <c r="H5" s="18"/>
      <c r="I5" s="18"/>
      <c r="J5" s="18"/>
      <c r="K5" s="18"/>
      <c r="L5" s="18"/>
    </row>
    <row r="6" spans="1:93" ht="14.25" customHeight="1" x14ac:dyDescent="0.2">
      <c r="A6" s="18"/>
      <c r="B6" s="115" t="str">
        <f>CONCATENATE("______________________ ", IF(Source!AL12&lt;&gt;"", Source!AL12, ""))</f>
        <v xml:space="preserve">______________________ </v>
      </c>
      <c r="C6" s="115"/>
      <c r="D6" s="115"/>
      <c r="E6" s="115"/>
      <c r="F6" s="17"/>
      <c r="G6" s="17"/>
      <c r="H6" s="115" t="str">
        <f>CONCATENATE("______________________ ", IF(Source!AH12&lt;&gt;"", Source!AH12, ""))</f>
        <v xml:space="preserve">______________________ </v>
      </c>
      <c r="I6" s="115"/>
      <c r="J6" s="115"/>
      <c r="K6" s="115"/>
      <c r="L6" s="115"/>
    </row>
    <row r="7" spans="1:93" ht="14.25" customHeight="1" x14ac:dyDescent="0.2">
      <c r="A7" s="19"/>
      <c r="B7" s="111" t="s">
        <v>403</v>
      </c>
      <c r="C7" s="111"/>
      <c r="D7" s="111"/>
      <c r="E7" s="111"/>
      <c r="F7" s="17"/>
      <c r="G7" s="17"/>
      <c r="H7" s="111" t="s">
        <v>403</v>
      </c>
      <c r="I7" s="111"/>
      <c r="J7" s="111"/>
      <c r="K7" s="111"/>
      <c r="L7" s="111"/>
    </row>
    <row r="10" spans="1:93" ht="12.75" customHeight="1" x14ac:dyDescent="0.2">
      <c r="A10" s="112" t="s">
        <v>404</v>
      </c>
      <c r="B10" s="112"/>
      <c r="C10" s="112"/>
      <c r="D10" s="112"/>
      <c r="E10" s="112"/>
      <c r="F10" s="113" t="s">
        <v>443</v>
      </c>
      <c r="G10" s="113"/>
      <c r="H10" s="113"/>
      <c r="I10" s="113"/>
      <c r="J10" s="113"/>
      <c r="K10" s="113"/>
      <c r="L10" s="113"/>
    </row>
    <row r="11" spans="1:93" ht="12.75" customHeight="1" x14ac:dyDescent="0.2">
      <c r="A11" s="21"/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</row>
    <row r="12" spans="1:93" ht="25.5" x14ac:dyDescent="0.2">
      <c r="A12" s="112" t="s">
        <v>405</v>
      </c>
      <c r="B12" s="112"/>
      <c r="C12" s="112"/>
      <c r="D12" s="112"/>
      <c r="E12" s="112"/>
      <c r="F12" s="113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13"/>
      <c r="H12" s="113"/>
      <c r="I12" s="113"/>
      <c r="J12" s="113"/>
      <c r="K12" s="113"/>
      <c r="L12" s="113"/>
      <c r="CO12" s="4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21"/>
      <c r="B13" s="21"/>
      <c r="C13" s="21"/>
      <c r="D13" s="21"/>
      <c r="E13" s="21"/>
      <c r="F13" s="22"/>
      <c r="G13" s="22"/>
      <c r="H13" s="22"/>
      <c r="I13" s="22"/>
      <c r="J13" s="22"/>
      <c r="K13" s="22"/>
      <c r="L13" s="22"/>
    </row>
    <row r="14" spans="1:93" ht="140.25" x14ac:dyDescent="0.2">
      <c r="A14" s="112" t="s">
        <v>406</v>
      </c>
      <c r="B14" s="112"/>
      <c r="C14" s="112"/>
      <c r="D14" s="112"/>
      <c r="E14" s="112"/>
      <c r="F14" s="113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13"/>
      <c r="H14" s="113"/>
      <c r="I14" s="113"/>
      <c r="J14" s="113"/>
      <c r="K14" s="113"/>
      <c r="L14" s="113"/>
      <c r="CO14" s="4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</row>
    <row r="16" spans="1:93" ht="76.5" customHeight="1" x14ac:dyDescent="0.2">
      <c r="A16" s="112" t="s">
        <v>407</v>
      </c>
      <c r="B16" s="112"/>
      <c r="C16" s="112"/>
      <c r="D16" s="112"/>
      <c r="E16" s="112"/>
      <c r="F16" s="113" t="s">
        <v>288</v>
      </c>
      <c r="G16" s="113"/>
      <c r="H16" s="113"/>
      <c r="I16" s="113"/>
      <c r="J16" s="113"/>
      <c r="K16" s="113"/>
      <c r="L16" s="113"/>
    </row>
    <row r="17" spans="1:12" ht="12.75" customHeight="1" x14ac:dyDescent="0.2">
      <c r="A17" s="21"/>
      <c r="B17" s="21"/>
      <c r="C17" s="21"/>
      <c r="D17" s="21"/>
      <c r="E17" s="21"/>
      <c r="F17" s="22"/>
      <c r="G17" s="22"/>
      <c r="H17" s="22"/>
      <c r="I17" s="22"/>
      <c r="J17" s="22"/>
      <c r="K17" s="22"/>
      <c r="L17" s="22"/>
    </row>
    <row r="18" spans="1:12" ht="38.25" customHeight="1" x14ac:dyDescent="0.2">
      <c r="A18" s="112" t="s">
        <v>408</v>
      </c>
      <c r="B18" s="112"/>
      <c r="C18" s="112"/>
      <c r="D18" s="112"/>
      <c r="E18" s="112"/>
      <c r="F18" s="113" t="s">
        <v>289</v>
      </c>
      <c r="G18" s="113"/>
      <c r="H18" s="113"/>
      <c r="I18" s="113"/>
      <c r="J18" s="113"/>
      <c r="K18" s="113"/>
      <c r="L18" s="113"/>
    </row>
    <row r="19" spans="1:12" ht="12.75" customHeight="1" x14ac:dyDescent="0.2">
      <c r="A19" s="23"/>
      <c r="B19" s="23"/>
      <c r="C19" s="23"/>
      <c r="D19" s="23"/>
      <c r="E19" s="23"/>
      <c r="F19" s="24"/>
      <c r="G19" s="24"/>
      <c r="H19" s="24"/>
      <c r="I19" s="24"/>
      <c r="J19" s="24"/>
      <c r="K19" s="24"/>
      <c r="L19" s="24"/>
    </row>
    <row r="20" spans="1:12" ht="12.75" customHeight="1" x14ac:dyDescent="0.2">
      <c r="A20" s="112" t="s">
        <v>409</v>
      </c>
      <c r="B20" s="112"/>
      <c r="C20" s="112"/>
      <c r="D20" s="112"/>
      <c r="E20" s="112"/>
      <c r="F20" s="113" t="s">
        <v>444</v>
      </c>
      <c r="G20" s="113"/>
      <c r="H20" s="113"/>
      <c r="I20" s="113"/>
      <c r="J20" s="113"/>
      <c r="K20" s="113"/>
      <c r="L20" s="113"/>
    </row>
    <row r="21" spans="1:12" ht="12.75" customHeight="1" x14ac:dyDescent="0.2">
      <c r="A21" s="23"/>
      <c r="B21" s="23"/>
      <c r="C21" s="23"/>
      <c r="D21" s="23"/>
      <c r="E21" s="23"/>
      <c r="F21" s="24"/>
      <c r="G21" s="24"/>
      <c r="H21" s="24"/>
      <c r="I21" s="24"/>
      <c r="J21" s="24"/>
      <c r="K21" s="24"/>
      <c r="L21" s="24"/>
    </row>
    <row r="22" spans="1:12" ht="12.75" customHeight="1" x14ac:dyDescent="0.2">
      <c r="A22" s="112" t="s">
        <v>410</v>
      </c>
      <c r="B22" s="112"/>
      <c r="C22" s="112"/>
      <c r="D22" s="112"/>
      <c r="E22" s="112"/>
      <c r="F22" s="113" t="str">
        <f>IF(Source!CZ12 &lt;&gt; "", Source!CZ12, "")</f>
        <v/>
      </c>
      <c r="G22" s="113"/>
      <c r="H22" s="113"/>
      <c r="I22" s="113"/>
      <c r="J22" s="113"/>
      <c r="K22" s="113"/>
      <c r="L22" s="113"/>
    </row>
    <row r="23" spans="1:12" ht="12.75" customHeight="1" x14ac:dyDescent="0.2">
      <c r="A23" s="23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2"/>
    </row>
    <row r="24" spans="1:12" ht="12.75" customHeight="1" x14ac:dyDescent="0.2">
      <c r="A24" s="112" t="s">
        <v>411</v>
      </c>
      <c r="B24" s="112"/>
      <c r="C24" s="112"/>
      <c r="D24" s="112"/>
      <c r="E24" s="112"/>
      <c r="F24" s="113" t="str">
        <f>IF(Source!DA12 &lt;&gt; "", Source!DA12, "")</f>
        <v/>
      </c>
      <c r="G24" s="113"/>
      <c r="H24" s="113"/>
      <c r="I24" s="113"/>
      <c r="J24" s="113"/>
      <c r="K24" s="113"/>
      <c r="L24" s="113"/>
    </row>
    <row r="25" spans="1:12" ht="12.75" customHeight="1" x14ac:dyDescent="0.2">
      <c r="A25" s="15"/>
      <c r="B25" s="15"/>
      <c r="C25" s="15"/>
      <c r="D25" s="15"/>
      <c r="E25" s="15"/>
      <c r="F25" s="25"/>
      <c r="G25" s="25"/>
      <c r="H25" s="25"/>
      <c r="I25" s="25"/>
      <c r="J25" s="25"/>
      <c r="K25" s="25"/>
      <c r="L25" s="25"/>
    </row>
    <row r="26" spans="1:12" ht="12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5.75" customHeight="1" x14ac:dyDescent="0.25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</row>
    <row r="28" spans="1:12" ht="14.25" customHeight="1" x14ac:dyDescent="0.2">
      <c r="A28" s="116" t="s">
        <v>412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</row>
    <row r="29" spans="1:1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25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</row>
    <row r="31" spans="1:12" ht="14.25" customHeight="1" x14ac:dyDescent="0.2">
      <c r="A31" s="116" t="s">
        <v>413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2" ht="14.25" customHeight="1" x14ac:dyDescent="0.2">
      <c r="A32" s="17"/>
      <c r="B32" s="17"/>
      <c r="C32" s="17"/>
      <c r="D32" s="17"/>
      <c r="E32" s="17"/>
      <c r="F32" s="19"/>
      <c r="G32" s="19"/>
      <c r="H32" s="19"/>
      <c r="I32" s="19"/>
      <c r="J32" s="19"/>
      <c r="K32" s="19"/>
      <c r="L32" s="19"/>
    </row>
    <row r="33" spans="1:12" ht="15.75" customHeight="1" x14ac:dyDescent="0.25">
      <c r="A33" s="121" t="s">
        <v>582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2" ht="1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</row>
    <row r="35" spans="1:12" ht="18" customHeight="1" x14ac:dyDescent="0.25">
      <c r="A35" s="122" t="s">
        <v>583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</row>
    <row r="36" spans="1:12" ht="14.25" customHeight="1" x14ac:dyDescent="0.2">
      <c r="A36" s="116" t="s">
        <v>414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2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4.2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2.75" customHeight="1" x14ac:dyDescent="0.2">
      <c r="A39" s="20" t="s">
        <v>415</v>
      </c>
      <c r="B39" s="20"/>
      <c r="C39" s="29" t="s">
        <v>445</v>
      </c>
      <c r="D39" s="20" t="s">
        <v>416</v>
      </c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20"/>
      <c r="B40" s="20"/>
      <c r="C40" s="3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A41" s="20" t="s">
        <v>417</v>
      </c>
      <c r="B41" s="20"/>
      <c r="C41" s="117"/>
      <c r="D41" s="117"/>
      <c r="E41" s="117"/>
      <c r="F41" s="117"/>
      <c r="G41" s="117"/>
      <c r="H41" s="117"/>
      <c r="I41" s="117"/>
      <c r="J41" s="117"/>
      <c r="K41" s="117"/>
      <c r="L41" s="117"/>
    </row>
    <row r="42" spans="1:12" ht="12.75" customHeight="1" x14ac:dyDescent="0.2">
      <c r="A42" s="31"/>
      <c r="B42" s="32"/>
      <c r="C42" s="116" t="s">
        <v>418</v>
      </c>
      <c r="D42" s="116"/>
      <c r="E42" s="116"/>
      <c r="F42" s="116"/>
      <c r="G42" s="116"/>
      <c r="H42" s="116"/>
      <c r="I42" s="116"/>
      <c r="J42" s="116"/>
      <c r="K42" s="116"/>
      <c r="L42" s="116"/>
    </row>
    <row r="43" spans="1:12" ht="14.2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4.25" customHeight="1" x14ac:dyDescent="0.2">
      <c r="A44" s="33" t="s">
        <v>446</v>
      </c>
      <c r="B44" s="17"/>
      <c r="C44" s="17"/>
      <c r="D44" s="34"/>
      <c r="E44" s="17"/>
      <c r="F44" s="17"/>
      <c r="G44" s="17"/>
      <c r="H44" s="17"/>
      <c r="I44" s="17"/>
      <c r="J44" s="17"/>
      <c r="K44" s="17"/>
      <c r="L44" s="17"/>
    </row>
    <row r="45" spans="1:12" ht="14.2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4.25" customHeight="1" x14ac:dyDescent="0.2">
      <c r="A46" s="33" t="s">
        <v>419</v>
      </c>
      <c r="B46" s="17"/>
      <c r="C46" s="118">
        <v>568.03</v>
      </c>
      <c r="D46" s="119"/>
      <c r="E46" s="20" t="s">
        <v>420</v>
      </c>
      <c r="F46" s="15"/>
      <c r="G46" s="15"/>
      <c r="H46" s="15"/>
      <c r="I46" s="15"/>
      <c r="J46" s="15"/>
      <c r="K46" s="15"/>
      <c r="L46" s="17"/>
    </row>
    <row r="47" spans="1:12" ht="14.25" customHeight="1" x14ac:dyDescent="0.2">
      <c r="A47" s="33"/>
      <c r="B47" s="17"/>
      <c r="C47" s="76"/>
      <c r="D47" s="35"/>
      <c r="E47" s="20"/>
      <c r="F47" s="15"/>
      <c r="G47" s="20" t="s">
        <v>421</v>
      </c>
      <c r="H47" s="17"/>
      <c r="I47" s="20"/>
      <c r="J47" s="20"/>
      <c r="K47" s="78">
        <f>ROUND(SUM(AR60:AR496)/1000, 2)</f>
        <v>143.38999999999999</v>
      </c>
      <c r="L47" s="20" t="s">
        <v>420</v>
      </c>
    </row>
    <row r="48" spans="1:12" ht="14.25" customHeight="1" x14ac:dyDescent="0.2">
      <c r="A48" s="17"/>
      <c r="B48" s="36" t="s">
        <v>422</v>
      </c>
      <c r="C48" s="77"/>
      <c r="D48" s="17"/>
      <c r="E48" s="20"/>
      <c r="F48" s="15"/>
      <c r="G48" s="20" t="s">
        <v>423</v>
      </c>
      <c r="H48" s="17"/>
      <c r="I48" s="20"/>
      <c r="J48" s="20"/>
      <c r="K48" s="78">
        <f>ROUND(SUM(AT60:AT496)/1000, 2)</f>
        <v>1.55</v>
      </c>
      <c r="L48" s="20" t="s">
        <v>420</v>
      </c>
    </row>
    <row r="49" spans="1:101" ht="14.25" customHeight="1" x14ac:dyDescent="0.2">
      <c r="A49" s="17"/>
      <c r="B49" s="33" t="s">
        <v>424</v>
      </c>
      <c r="C49" s="118">
        <f>ROUND((Source!F242)/1000, 2)</f>
        <v>450.66</v>
      </c>
      <c r="D49" s="119"/>
      <c r="E49" s="20" t="s">
        <v>420</v>
      </c>
      <c r="F49" s="15"/>
      <c r="G49" s="20" t="s">
        <v>425</v>
      </c>
      <c r="H49" s="17"/>
      <c r="I49" s="20"/>
      <c r="J49" s="35"/>
      <c r="K49" s="79">
        <f>Source!F247</f>
        <v>212.83942999999999</v>
      </c>
      <c r="L49" s="20" t="s">
        <v>293</v>
      </c>
    </row>
    <row r="50" spans="1:101" ht="14.25" customHeight="1" x14ac:dyDescent="0.2">
      <c r="A50" s="17"/>
      <c r="B50" s="33" t="s">
        <v>426</v>
      </c>
      <c r="C50" s="118">
        <f>ROUND((Source!F243)/1000, 2)</f>
        <v>14.95</v>
      </c>
      <c r="D50" s="119"/>
      <c r="E50" s="20" t="s">
        <v>420</v>
      </c>
      <c r="F50" s="15"/>
      <c r="G50" s="20" t="s">
        <v>427</v>
      </c>
      <c r="H50" s="17"/>
      <c r="I50" s="20"/>
      <c r="J50" s="37"/>
      <c r="K50" s="79">
        <f>Source!F248</f>
        <v>2.1574374999999999</v>
      </c>
      <c r="L50" s="20" t="s">
        <v>293</v>
      </c>
    </row>
    <row r="51" spans="1:101" ht="14.25" customHeight="1" x14ac:dyDescent="0.2">
      <c r="A51" s="17"/>
      <c r="B51" s="33" t="s">
        <v>428</v>
      </c>
      <c r="C51" s="118">
        <f>ROUND((Source!F234)/1000, 2)</f>
        <v>0</v>
      </c>
      <c r="D51" s="119"/>
      <c r="E51" s="20" t="s">
        <v>420</v>
      </c>
      <c r="F51" s="15"/>
      <c r="G51" s="20"/>
      <c r="H51" s="20"/>
      <c r="I51" s="20"/>
      <c r="J51" s="20"/>
      <c r="K51" s="15"/>
      <c r="L51" s="20"/>
    </row>
    <row r="52" spans="1:101" ht="14.25" customHeight="1" x14ac:dyDescent="0.2">
      <c r="A52" s="17"/>
      <c r="B52" s="33" t="s">
        <v>429</v>
      </c>
      <c r="C52" s="118">
        <f>ROUND((Source!F244)/1000, 2)</f>
        <v>0</v>
      </c>
      <c r="D52" s="119"/>
      <c r="E52" s="20" t="s">
        <v>420</v>
      </c>
      <c r="F52" s="15"/>
      <c r="G52" s="20"/>
      <c r="H52" s="20"/>
      <c r="I52" s="20"/>
      <c r="J52" s="20"/>
      <c r="K52" s="15"/>
      <c r="L52" s="20"/>
    </row>
    <row r="53" spans="1:101" ht="14.2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01" ht="12.75" customHeight="1" x14ac:dyDescent="0.2">
      <c r="A54" s="136" t="s">
        <v>430</v>
      </c>
      <c r="B54" s="136" t="s">
        <v>431</v>
      </c>
      <c r="C54" s="136" t="s">
        <v>432</v>
      </c>
      <c r="D54" s="136" t="s">
        <v>433</v>
      </c>
      <c r="E54" s="123" t="s">
        <v>434</v>
      </c>
      <c r="F54" s="124"/>
      <c r="G54" s="125"/>
      <c r="H54" s="123" t="s">
        <v>435</v>
      </c>
      <c r="I54" s="124"/>
      <c r="J54" s="124"/>
      <c r="K54" s="124"/>
      <c r="L54" s="125"/>
    </row>
    <row r="55" spans="1:101" ht="12.75" customHeight="1" x14ac:dyDescent="0.2">
      <c r="A55" s="137"/>
      <c r="B55" s="137"/>
      <c r="C55" s="137"/>
      <c r="D55" s="137"/>
      <c r="E55" s="126"/>
      <c r="F55" s="127"/>
      <c r="G55" s="128"/>
      <c r="H55" s="126"/>
      <c r="I55" s="127"/>
      <c r="J55" s="127"/>
      <c r="K55" s="127"/>
      <c r="L55" s="128"/>
    </row>
    <row r="56" spans="1:101" ht="12.75" customHeight="1" x14ac:dyDescent="0.2">
      <c r="A56" s="137"/>
      <c r="B56" s="137"/>
      <c r="C56" s="137"/>
      <c r="D56" s="137"/>
      <c r="E56" s="126"/>
      <c r="F56" s="127"/>
      <c r="G56" s="128"/>
      <c r="H56" s="126"/>
      <c r="I56" s="127"/>
      <c r="J56" s="127"/>
      <c r="K56" s="127"/>
      <c r="L56" s="128"/>
    </row>
    <row r="57" spans="1:101" ht="12.75" customHeight="1" x14ac:dyDescent="0.2">
      <c r="A57" s="137"/>
      <c r="B57" s="137"/>
      <c r="C57" s="137"/>
      <c r="D57" s="137"/>
      <c r="E57" s="129"/>
      <c r="F57" s="130"/>
      <c r="G57" s="131"/>
      <c r="H57" s="129"/>
      <c r="I57" s="130"/>
      <c r="J57" s="130"/>
      <c r="K57" s="130"/>
      <c r="L57" s="131"/>
    </row>
    <row r="58" spans="1:101" ht="51" customHeight="1" x14ac:dyDescent="0.2">
      <c r="A58" s="138"/>
      <c r="B58" s="138"/>
      <c r="C58" s="138"/>
      <c r="D58" s="138"/>
      <c r="E58" s="39" t="s">
        <v>436</v>
      </c>
      <c r="F58" s="39" t="s">
        <v>437</v>
      </c>
      <c r="G58" s="40" t="s">
        <v>438</v>
      </c>
      <c r="H58" s="39" t="s">
        <v>439</v>
      </c>
      <c r="I58" s="39" t="s">
        <v>440</v>
      </c>
      <c r="J58" s="39" t="s">
        <v>441</v>
      </c>
      <c r="K58" s="39" t="s">
        <v>437</v>
      </c>
      <c r="L58" s="39" t="s">
        <v>442</v>
      </c>
    </row>
    <row r="59" spans="1:101" ht="14.25" customHeight="1" x14ac:dyDescent="0.2">
      <c r="A59" s="41">
        <v>1</v>
      </c>
      <c r="B59" s="41">
        <v>2</v>
      </c>
      <c r="C59" s="41">
        <v>3</v>
      </c>
      <c r="D59" s="41">
        <v>4</v>
      </c>
      <c r="E59" s="41">
        <v>5</v>
      </c>
      <c r="F59" s="41">
        <v>6</v>
      </c>
      <c r="G59" s="41">
        <v>7</v>
      </c>
      <c r="H59" s="41">
        <v>8</v>
      </c>
      <c r="I59" s="41">
        <v>9</v>
      </c>
      <c r="J59" s="41">
        <v>10</v>
      </c>
      <c r="K59" s="43">
        <v>11</v>
      </c>
      <c r="L59" s="43">
        <v>12</v>
      </c>
    </row>
    <row r="61" spans="1:101" ht="16.5" x14ac:dyDescent="0.2">
      <c r="A61" s="132" t="s">
        <v>447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</row>
    <row r="62" spans="1:101" ht="57" x14ac:dyDescent="0.2">
      <c r="A62" s="46" t="s">
        <v>17</v>
      </c>
      <c r="B62" s="48" t="s">
        <v>448</v>
      </c>
      <c r="C62" s="48" t="str">
        <f>Source!G28</f>
        <v>Окраска водно-дисперсионными акриловыми составами улучшенная: по сборным конструкциям стен, подготовленным под окраску</v>
      </c>
      <c r="D62" s="49" t="str">
        <f>Source!H28</f>
        <v>100 м2</v>
      </c>
      <c r="E62" s="50">
        <f>Source!K28</f>
        <v>2.21</v>
      </c>
      <c r="F62" s="50"/>
      <c r="G62" s="50">
        <f>Source!I28</f>
        <v>2.21</v>
      </c>
      <c r="H62" s="52"/>
      <c r="I62" s="51"/>
      <c r="J62" s="52"/>
      <c r="K62" s="51"/>
      <c r="L62" s="52"/>
    </row>
    <row r="63" spans="1:101" ht="51" x14ac:dyDescent="0.2">
      <c r="B63" s="53" t="s">
        <v>355</v>
      </c>
      <c r="C63" s="133" t="s">
        <v>449</v>
      </c>
      <c r="D63" s="133"/>
      <c r="E63" s="133"/>
      <c r="F63" s="133"/>
      <c r="G63" s="133"/>
      <c r="H63" s="133"/>
      <c r="I63" s="133"/>
      <c r="J63" s="133"/>
      <c r="K63" s="133"/>
      <c r="L63" s="133"/>
      <c r="CW63" s="54" t="s">
        <v>449</v>
      </c>
    </row>
    <row r="64" spans="1:101" x14ac:dyDescent="0.2">
      <c r="C64" s="55" t="str">
        <f>"Объем: "&amp;Source!I28&amp;"=221/"&amp;"100"</f>
        <v>Объем: 2,21=221/100</v>
      </c>
    </row>
    <row r="65" spans="1:83" ht="15" x14ac:dyDescent="0.2">
      <c r="A65" s="47"/>
      <c r="B65" s="50">
        <v>1</v>
      </c>
      <c r="C65" s="47" t="s">
        <v>450</v>
      </c>
      <c r="D65" s="49" t="s">
        <v>293</v>
      </c>
      <c r="E65" s="56"/>
      <c r="F65" s="50"/>
      <c r="G65" s="50">
        <f>Source!U28</f>
        <v>83.183295000000001</v>
      </c>
      <c r="H65" s="50"/>
      <c r="I65" s="50"/>
      <c r="J65" s="50"/>
      <c r="K65" s="50"/>
      <c r="L65" s="57">
        <f>SUM(L66:L66)-SUMIF(CE66:CE66, 1, L66:L66)</f>
        <v>56048.07</v>
      </c>
    </row>
    <row r="66" spans="1:83" ht="14.25" x14ac:dyDescent="0.2">
      <c r="A66" s="48"/>
      <c r="B66" s="48" t="s">
        <v>291</v>
      </c>
      <c r="C66" s="48" t="s">
        <v>292</v>
      </c>
      <c r="D66" s="49" t="s">
        <v>293</v>
      </c>
      <c r="E66" s="50">
        <v>32.729999999999997</v>
      </c>
      <c r="F66" s="50">
        <f>ROUND(1.15,7)</f>
        <v>1.1499999999999999</v>
      </c>
      <c r="G66" s="50">
        <f>SmtRes!CX1</f>
        <v>83.183295000000001</v>
      </c>
      <c r="H66" s="52"/>
      <c r="I66" s="51"/>
      <c r="J66" s="52">
        <f>SmtRes!CZ1</f>
        <v>673.79</v>
      </c>
      <c r="K66" s="51"/>
      <c r="L66" s="52">
        <f>SmtRes!DI1</f>
        <v>56048.07</v>
      </c>
    </row>
    <row r="67" spans="1:83" ht="15" x14ac:dyDescent="0.2">
      <c r="A67" s="47"/>
      <c r="B67" s="50">
        <v>2</v>
      </c>
      <c r="C67" s="47" t="s">
        <v>451</v>
      </c>
      <c r="D67" s="49"/>
      <c r="E67" s="56"/>
      <c r="F67" s="50"/>
      <c r="G67" s="50"/>
      <c r="H67" s="50"/>
      <c r="I67" s="50"/>
      <c r="J67" s="50"/>
      <c r="K67" s="50"/>
      <c r="L67" s="57">
        <f>SUM(L68:L72)-SUMIF(CE68:CE72, 1, L68:L72)</f>
        <v>151.86000000000007</v>
      </c>
    </row>
    <row r="68" spans="1:83" ht="15" x14ac:dyDescent="0.2">
      <c r="A68" s="47"/>
      <c r="B68" s="50"/>
      <c r="C68" s="47" t="s">
        <v>454</v>
      </c>
      <c r="D68" s="49" t="s">
        <v>293</v>
      </c>
      <c r="E68" s="56"/>
      <c r="F68" s="50"/>
      <c r="G68" s="50">
        <f>Source!V28</f>
        <v>0.30387500000000001</v>
      </c>
      <c r="H68" s="50"/>
      <c r="I68" s="50"/>
      <c r="J68" s="50"/>
      <c r="K68" s="50"/>
      <c r="L68" s="57">
        <f>SUMIF(CE69:CE72, 1, L69:L72)</f>
        <v>219.9</v>
      </c>
      <c r="CE68">
        <v>1</v>
      </c>
    </row>
    <row r="69" spans="1:83" ht="42.75" x14ac:dyDescent="0.2">
      <c r="A69" s="48"/>
      <c r="B69" s="48" t="s">
        <v>296</v>
      </c>
      <c r="C69" s="48" t="s">
        <v>298</v>
      </c>
      <c r="D69" s="49" t="s">
        <v>299</v>
      </c>
      <c r="E69" s="50">
        <v>0.01</v>
      </c>
      <c r="F69" s="50">
        <f>ROUND(1.25,7)</f>
        <v>1.25</v>
      </c>
      <c r="G69" s="50">
        <f>SmtRes!CX3</f>
        <v>2.7625E-2</v>
      </c>
      <c r="H69" s="52">
        <f>SmtRes!CZ3</f>
        <v>30.61</v>
      </c>
      <c r="I69" s="51">
        <f>SmtRes!AJ3</f>
        <v>1.57</v>
      </c>
      <c r="J69" s="52">
        <f>ROUND(H69*I69, 2)</f>
        <v>48.06</v>
      </c>
      <c r="K69" s="51"/>
      <c r="L69" s="52">
        <f>SmtRes!DG3</f>
        <v>1.33</v>
      </c>
    </row>
    <row r="70" spans="1:83" ht="28.5" x14ac:dyDescent="0.2">
      <c r="A70" s="48"/>
      <c r="B70" s="48" t="s">
        <v>300</v>
      </c>
      <c r="C70" s="48" t="s">
        <v>452</v>
      </c>
      <c r="D70" s="49" t="s">
        <v>293</v>
      </c>
      <c r="E70" s="50">
        <f>SmtRes!DO3*SmtRes!AT3</f>
        <v>0.01</v>
      </c>
      <c r="F70" s="50">
        <f>ROUND(1.25,7)</f>
        <v>1.25</v>
      </c>
      <c r="G70" s="50">
        <f>ROUND(E70*F70*G62, 7)</f>
        <v>2.7625E-2</v>
      </c>
      <c r="H70" s="52"/>
      <c r="I70" s="51"/>
      <c r="J70" s="52">
        <f>ROUND(SmtRes!AG3/SmtRes!DO3, 2)</f>
        <v>649.24</v>
      </c>
      <c r="K70" s="51"/>
      <c r="L70" s="52">
        <f>SmtRes!DH3</f>
        <v>17.940000000000001</v>
      </c>
      <c r="CE70">
        <v>1</v>
      </c>
    </row>
    <row r="71" spans="1:83" ht="28.5" x14ac:dyDescent="0.2">
      <c r="A71" s="48"/>
      <c r="B71" s="48" t="s">
        <v>301</v>
      </c>
      <c r="C71" s="48" t="s">
        <v>303</v>
      </c>
      <c r="D71" s="49" t="s">
        <v>299</v>
      </c>
      <c r="E71" s="50">
        <v>0.1</v>
      </c>
      <c r="F71" s="50">
        <f>ROUND(1.25,7)</f>
        <v>1.25</v>
      </c>
      <c r="G71" s="50">
        <f>SmtRes!CX4</f>
        <v>0.27625</v>
      </c>
      <c r="H71" s="52"/>
      <c r="I71" s="51"/>
      <c r="J71" s="52">
        <f>SmtRes!CZ4</f>
        <v>544.91999999999996</v>
      </c>
      <c r="K71" s="51"/>
      <c r="L71" s="52">
        <f>SmtRes!DG4</f>
        <v>150.53</v>
      </c>
    </row>
    <row r="72" spans="1:83" ht="28.5" x14ac:dyDescent="0.2">
      <c r="A72" s="48"/>
      <c r="B72" s="48" t="s">
        <v>304</v>
      </c>
      <c r="C72" s="48" t="s">
        <v>453</v>
      </c>
      <c r="D72" s="49" t="s">
        <v>293</v>
      </c>
      <c r="E72" s="50">
        <f>SmtRes!DO4*SmtRes!AT4</f>
        <v>0.1</v>
      </c>
      <c r="F72" s="50">
        <f>ROUND(1.25,7)</f>
        <v>1.25</v>
      </c>
      <c r="G72" s="50">
        <f>ROUND(E72*F72*G62, 7)</f>
        <v>0.27625</v>
      </c>
      <c r="H72" s="52"/>
      <c r="I72" s="51"/>
      <c r="J72" s="52">
        <f>ROUND(SmtRes!AG4/SmtRes!DO4, 2)</f>
        <v>731.08</v>
      </c>
      <c r="K72" s="51"/>
      <c r="L72" s="52">
        <f>SmtRes!DH4</f>
        <v>201.96</v>
      </c>
      <c r="CE72">
        <v>1</v>
      </c>
    </row>
    <row r="73" spans="1:83" ht="15" x14ac:dyDescent="0.2">
      <c r="A73" s="47"/>
      <c r="B73" s="50">
        <v>4</v>
      </c>
      <c r="C73" s="47" t="s">
        <v>455</v>
      </c>
      <c r="D73" s="49"/>
      <c r="E73" s="56"/>
      <c r="F73" s="50"/>
      <c r="G73" s="50"/>
      <c r="H73" s="50"/>
      <c r="I73" s="50"/>
      <c r="J73" s="50"/>
      <c r="K73" s="50"/>
      <c r="L73" s="57">
        <f>SUM(L74:L76)-SUMIF(CE74:CE76, 1, L74:L76)</f>
        <v>2233.37</v>
      </c>
    </row>
    <row r="74" spans="1:83" ht="28.5" x14ac:dyDescent="0.2">
      <c r="A74" s="48"/>
      <c r="B74" s="48" t="s">
        <v>305</v>
      </c>
      <c r="C74" s="48" t="s">
        <v>307</v>
      </c>
      <c r="D74" s="49" t="s">
        <v>130</v>
      </c>
      <c r="E74" s="50">
        <v>0.84</v>
      </c>
      <c r="F74" s="50"/>
      <c r="G74" s="50">
        <f>SmtRes!CX5</f>
        <v>1.8564000000000001</v>
      </c>
      <c r="H74" s="52">
        <f>SmtRes!CZ5</f>
        <v>531.44000000000005</v>
      </c>
      <c r="I74" s="51">
        <f>SmtRes!AI5</f>
        <v>1.35</v>
      </c>
      <c r="J74" s="52">
        <f>ROUND(H74*I74, 2)</f>
        <v>717.44</v>
      </c>
      <c r="K74" s="51"/>
      <c r="L74" s="52">
        <f>SmtRes!DF5</f>
        <v>1331.86</v>
      </c>
    </row>
    <row r="75" spans="1:83" ht="14.25" x14ac:dyDescent="0.2">
      <c r="A75" s="48"/>
      <c r="B75" s="48" t="s">
        <v>308</v>
      </c>
      <c r="C75" s="48" t="s">
        <v>310</v>
      </c>
      <c r="D75" s="49" t="s">
        <v>40</v>
      </c>
      <c r="E75" s="50">
        <v>0.31</v>
      </c>
      <c r="F75" s="50"/>
      <c r="G75" s="50">
        <f>SmtRes!CX6</f>
        <v>0.68510000000000004</v>
      </c>
      <c r="H75" s="52">
        <f>SmtRes!CZ6</f>
        <v>56.11</v>
      </c>
      <c r="I75" s="51">
        <f>SmtRes!AI6</f>
        <v>1.6</v>
      </c>
      <c r="J75" s="52">
        <f>ROUND(H75*I75, 2)</f>
        <v>89.78</v>
      </c>
      <c r="K75" s="51"/>
      <c r="L75" s="52">
        <f>SmtRes!DF6</f>
        <v>61.51</v>
      </c>
    </row>
    <row r="76" spans="1:83" ht="14.25" x14ac:dyDescent="0.2">
      <c r="A76" s="48"/>
      <c r="B76" s="48" t="s">
        <v>311</v>
      </c>
      <c r="C76" s="48" t="s">
        <v>313</v>
      </c>
      <c r="D76" s="49" t="s">
        <v>35</v>
      </c>
      <c r="E76" s="50">
        <v>5.0000000000000001E-3</v>
      </c>
      <c r="F76" s="50"/>
      <c r="G76" s="50">
        <f>SmtRes!CX9</f>
        <v>1.1050000000000001E-2</v>
      </c>
      <c r="H76" s="52">
        <f>SmtRes!CZ9</f>
        <v>52790.33</v>
      </c>
      <c r="I76" s="51">
        <f>SmtRes!AI9</f>
        <v>1.44</v>
      </c>
      <c r="J76" s="52">
        <f>ROUND(H76*I76, 2)</f>
        <v>76018.080000000002</v>
      </c>
      <c r="K76" s="51"/>
      <c r="L76" s="52">
        <f>SmtRes!DF9</f>
        <v>840</v>
      </c>
    </row>
    <row r="77" spans="1:83" ht="14.25" x14ac:dyDescent="0.2">
      <c r="A77" s="48"/>
      <c r="B77" s="48" t="str">
        <f>EtalonRes!I7</f>
        <v>14.3.02.01</v>
      </c>
      <c r="C77" s="48" t="str">
        <f>EtalonRes!K7</f>
        <v>Краска акриловая</v>
      </c>
      <c r="D77" s="49" t="str">
        <f>EtalonRes!O7</f>
        <v>т</v>
      </c>
      <c r="E77" s="50">
        <f>EtalonRes!X7</f>
        <v>0.03</v>
      </c>
      <c r="F77" s="50"/>
      <c r="G77" s="50">
        <f>ROUND(EtalonRes!AG7*Source!I28, 7)</f>
        <v>6.6299999999999998E-2</v>
      </c>
      <c r="H77" s="52"/>
      <c r="I77" s="51"/>
      <c r="J77" s="52"/>
      <c r="K77" s="51"/>
      <c r="L77" s="52"/>
    </row>
    <row r="78" spans="1:83" ht="14.25" x14ac:dyDescent="0.2">
      <c r="A78" s="48"/>
      <c r="B78" s="48" t="str">
        <f>EtalonRes!I8</f>
        <v>14.4.01.02</v>
      </c>
      <c r="C78" s="58" t="str">
        <f>EtalonRes!K8</f>
        <v>Грунтовка</v>
      </c>
      <c r="D78" s="59" t="str">
        <f>EtalonRes!O8</f>
        <v>т</v>
      </c>
      <c r="E78" s="60">
        <f>EtalonRes!X8</f>
        <v>0.02</v>
      </c>
      <c r="F78" s="60"/>
      <c r="G78" s="60">
        <f>ROUND(EtalonRes!AG8*Source!I28, 7)</f>
        <v>4.4200000000000003E-2</v>
      </c>
      <c r="H78" s="61"/>
      <c r="I78" s="62"/>
      <c r="J78" s="61"/>
      <c r="K78" s="62"/>
      <c r="L78" s="61"/>
    </row>
    <row r="79" spans="1:83" ht="15" x14ac:dyDescent="0.2">
      <c r="A79" s="48"/>
      <c r="B79" s="48"/>
      <c r="C79" s="65" t="s">
        <v>456</v>
      </c>
      <c r="D79" s="49"/>
      <c r="E79" s="50"/>
      <c r="F79" s="50"/>
      <c r="G79" s="50"/>
      <c r="H79" s="52"/>
      <c r="I79" s="51"/>
      <c r="J79" s="52"/>
      <c r="K79" s="51"/>
      <c r="L79" s="52">
        <f>L65+L67+L68+L73</f>
        <v>58653.200000000004</v>
      </c>
    </row>
    <row r="80" spans="1:83" ht="28.5" x14ac:dyDescent="0.2">
      <c r="A80" s="46" t="s">
        <v>358</v>
      </c>
      <c r="B80" s="48" t="str">
        <f>Source!F29</f>
        <v>14.3.02.01-0362</v>
      </c>
      <c r="C80" s="48" t="str">
        <f>Source!G29</f>
        <v>Краска водно-дисперсионная акрилатная ВД-АК-104</v>
      </c>
      <c r="D80" s="49" t="str">
        <f>Source!H29</f>
        <v>т</v>
      </c>
      <c r="E80" s="50">
        <f>SmtRes!AT7</f>
        <v>0.03</v>
      </c>
      <c r="F80" s="50"/>
      <c r="G80" s="50">
        <f>Source!I29</f>
        <v>6.6299999999999998E-2</v>
      </c>
      <c r="H80" s="52">
        <f>Source!AL29+Source!AO29+Source!AM29+Source!AN29</f>
        <v>87665.56</v>
      </c>
      <c r="I80" s="51">
        <f>IF(Source!BC29&lt;&gt; 0, Source!BC29, 1)</f>
        <v>1.75</v>
      </c>
      <c r="J80" s="52">
        <f>ROUND(H80*I80, 2)</f>
        <v>153414.73000000001</v>
      </c>
      <c r="K80" s="51"/>
      <c r="L80" s="52">
        <f>Source!P29</f>
        <v>10171.4</v>
      </c>
      <c r="AD80">
        <f>ROUND((Source!AT29/100)*((ROUND(ROUND(Source!AO29,2)*Source!I29, 2)+ROUND(ROUND(Source!AN29,2)*Source!I29, 2))), 2)</f>
        <v>0</v>
      </c>
      <c r="AE80">
        <f>ROUND((Source!AU29/100)*((ROUND(ROUND(Source!AO29,2)*Source!I29, 2)+ROUND(ROUND(Source!AN29,2)*Source!I29, 2))), 2)</f>
        <v>0</v>
      </c>
      <c r="AN80">
        <f>L80</f>
        <v>10171.4</v>
      </c>
      <c r="AW80">
        <f>L80</f>
        <v>10171.4</v>
      </c>
      <c r="AZ80">
        <f>Source!X29</f>
        <v>0</v>
      </c>
      <c r="BA80">
        <f>Source!Y29</f>
        <v>0</v>
      </c>
      <c r="CD80">
        <v>1</v>
      </c>
    </row>
    <row r="81" spans="1:82" ht="42.75" x14ac:dyDescent="0.2">
      <c r="A81" s="46" t="s">
        <v>368</v>
      </c>
      <c r="B81" s="48" t="str">
        <f>Source!F30</f>
        <v>14.4.01.02-0012</v>
      </c>
      <c r="C81" s="48" t="str">
        <f>Source!G30</f>
        <v>Грунтовка укрепляющая, глубокого проникновения, быстросохнущая, паропроницаемая</v>
      </c>
      <c r="D81" s="49" t="str">
        <f>Source!H30</f>
        <v>кг</v>
      </c>
      <c r="E81" s="50">
        <f>SmtRes!AT8</f>
        <v>20</v>
      </c>
      <c r="F81" s="50"/>
      <c r="G81" s="50">
        <f>Source!I30</f>
        <v>44.2</v>
      </c>
      <c r="H81" s="52">
        <f>Source!AL30+Source!AO30+Source!AM30+Source!AN30</f>
        <v>68.290000000000006</v>
      </c>
      <c r="I81" s="51">
        <f>IF(Source!BC30&lt;&gt; 0, Source!BC30, 1)</f>
        <v>1.54</v>
      </c>
      <c r="J81" s="52">
        <f>ROUND(H81*I81, 2)</f>
        <v>105.17</v>
      </c>
      <c r="K81" s="51"/>
      <c r="L81" s="52">
        <f>Source!P30</f>
        <v>4648.51</v>
      </c>
      <c r="AD81">
        <f>ROUND((Source!AT30/100)*((ROUND(ROUND(Source!AO30,2)*Source!I30, 2)+ROUND(ROUND(Source!AN30,2)*Source!I30, 2))), 2)</f>
        <v>0</v>
      </c>
      <c r="AE81">
        <f>ROUND((Source!AU30/100)*((ROUND(ROUND(Source!AO30,2)*Source!I30, 2)+ROUND(ROUND(Source!AN30,2)*Source!I30, 2))), 2)</f>
        <v>0</v>
      </c>
      <c r="AN81">
        <f>L81</f>
        <v>4648.51</v>
      </c>
      <c r="AW81">
        <f>L81</f>
        <v>4648.51</v>
      </c>
      <c r="AZ81">
        <f>Source!X30</f>
        <v>0</v>
      </c>
      <c r="BA81">
        <f>Source!Y30</f>
        <v>0</v>
      </c>
      <c r="CD81">
        <v>1</v>
      </c>
    </row>
    <row r="82" spans="1:82" ht="14.25" x14ac:dyDescent="0.2">
      <c r="A82" s="48"/>
      <c r="B82" s="48"/>
      <c r="C82" s="48" t="s">
        <v>457</v>
      </c>
      <c r="D82" s="49"/>
      <c r="E82" s="50"/>
      <c r="F82" s="50"/>
      <c r="G82" s="50"/>
      <c r="H82" s="52"/>
      <c r="I82" s="51"/>
      <c r="J82" s="52"/>
      <c r="K82" s="51"/>
      <c r="L82" s="52">
        <f>SUM(AR62:AR85)+SUM(AS62:AS85)+SUM(AT62:AT85)+SUM(AU62:AU85)+SUM(AV62:AV85)</f>
        <v>56267.97</v>
      </c>
    </row>
    <row r="83" spans="1:82" ht="28.5" x14ac:dyDescent="0.2">
      <c r="A83" s="48"/>
      <c r="B83" s="48" t="s">
        <v>458</v>
      </c>
      <c r="C83" s="48" t="s">
        <v>459</v>
      </c>
      <c r="D83" s="49" t="s">
        <v>182</v>
      </c>
      <c r="E83" s="50">
        <f>Source!BZ28</f>
        <v>100</v>
      </c>
      <c r="F83" s="50">
        <f>ROUND(0.9,7)</f>
        <v>0.9</v>
      </c>
      <c r="G83" s="50">
        <f>Source!AT28</f>
        <v>90</v>
      </c>
      <c r="H83" s="52"/>
      <c r="I83" s="51"/>
      <c r="J83" s="52"/>
      <c r="K83" s="51"/>
      <c r="L83" s="52">
        <f>SUM(AZ62:AZ85)</f>
        <v>50641.17</v>
      </c>
    </row>
    <row r="84" spans="1:82" ht="28.5" x14ac:dyDescent="0.2">
      <c r="A84" s="58"/>
      <c r="B84" s="58" t="s">
        <v>460</v>
      </c>
      <c r="C84" s="58" t="s">
        <v>461</v>
      </c>
      <c r="D84" s="59" t="s">
        <v>182</v>
      </c>
      <c r="E84" s="60">
        <f>Source!CA28</f>
        <v>49</v>
      </c>
      <c r="F84" s="60">
        <f>ROUND(0.85,7)</f>
        <v>0.85</v>
      </c>
      <c r="G84" s="60">
        <f>Source!AU28</f>
        <v>41.65</v>
      </c>
      <c r="H84" s="61"/>
      <c r="I84" s="62"/>
      <c r="J84" s="61"/>
      <c r="K84" s="62"/>
      <c r="L84" s="61">
        <f>SUM(BA62:BA85)</f>
        <v>23435.61</v>
      </c>
    </row>
    <row r="85" spans="1:82" ht="15" x14ac:dyDescent="0.2">
      <c r="C85" s="134" t="s">
        <v>462</v>
      </c>
      <c r="D85" s="134"/>
      <c r="E85" s="134"/>
      <c r="F85" s="134"/>
      <c r="G85" s="134"/>
      <c r="H85" s="134"/>
      <c r="I85" s="135">
        <f>IF(E62&lt;&gt;0,K85/E62, 0)</f>
        <v>66764.656108597293</v>
      </c>
      <c r="J85" s="135"/>
      <c r="K85" s="135">
        <f>L65+L67+L73+L83+L84+L68+SUM(L80:L81)</f>
        <v>147549.89000000001</v>
      </c>
      <c r="L85" s="135"/>
      <c r="AD85">
        <f>ROUND((Source!AT28/100)*((ROUND(SUMIF(SmtRes!AQ1:'SmtRes'!AQ9,"=1",SmtRes!AD1:'SmtRes'!AD9)*Source!I28, 2)+ROUND(SUMIF(SmtRes!AQ1:'SmtRes'!AQ9,"=1",SmtRes!AC1:'SmtRes'!AC9)*Source!I28, 2))), 2)</f>
        <v>4085.63</v>
      </c>
      <c r="AE85">
        <f>ROUND((Source!AU28/100)*((ROUND(SUMIF(SmtRes!AQ1:'SmtRes'!AQ9,"=1",SmtRes!AD1:'SmtRes'!AD9)*Source!I28, 2)+ROUND(SUMIF(SmtRes!AQ1:'SmtRes'!AQ9,"=1",SmtRes!AC1:'SmtRes'!AC9)*Source!I28, 2))), 2)</f>
        <v>1890.74</v>
      </c>
      <c r="AN85" s="63">
        <f>L65+L67+L73+L83+L84+L68</f>
        <v>132729.98000000001</v>
      </c>
      <c r="AO85" s="63">
        <f>L67</f>
        <v>151.86000000000007</v>
      </c>
      <c r="AQ85" t="s">
        <v>463</v>
      </c>
      <c r="AR85" s="63">
        <f>L65</f>
        <v>56048.07</v>
      </c>
      <c r="AT85" s="63">
        <f>L68</f>
        <v>219.9</v>
      </c>
      <c r="AV85" t="s">
        <v>463</v>
      </c>
      <c r="AW85" s="63">
        <f>L73</f>
        <v>2233.37</v>
      </c>
      <c r="AZ85">
        <f>Source!X28</f>
        <v>50641.17</v>
      </c>
      <c r="BA85">
        <f>Source!Y28</f>
        <v>23435.61</v>
      </c>
      <c r="CD85">
        <v>1</v>
      </c>
    </row>
    <row r="87" spans="1:82" ht="15" x14ac:dyDescent="0.2">
      <c r="A87" s="68"/>
      <c r="B87" s="69"/>
      <c r="C87" s="141" t="s">
        <v>464</v>
      </c>
      <c r="D87" s="141"/>
      <c r="E87" s="141"/>
      <c r="F87" s="141"/>
      <c r="G87" s="141"/>
      <c r="H87" s="141"/>
      <c r="I87" s="57"/>
      <c r="J87" s="68"/>
      <c r="K87" s="70"/>
      <c r="L87" s="57">
        <f>L89+L90+L96+L100</f>
        <v>73473.11</v>
      </c>
    </row>
    <row r="88" spans="1:82" ht="14.25" x14ac:dyDescent="0.2">
      <c r="A88" s="66"/>
      <c r="B88" s="67"/>
      <c r="C88" s="139" t="s">
        <v>465</v>
      </c>
      <c r="D88" s="140"/>
      <c r="E88" s="140"/>
      <c r="F88" s="140"/>
      <c r="G88" s="140"/>
      <c r="H88" s="140"/>
      <c r="I88" s="52"/>
      <c r="J88" s="66"/>
      <c r="K88" s="50"/>
      <c r="L88" s="52"/>
    </row>
    <row r="89" spans="1:82" ht="14.25" x14ac:dyDescent="0.2">
      <c r="A89" s="66"/>
      <c r="B89" s="67"/>
      <c r="C89" s="140" t="s">
        <v>466</v>
      </c>
      <c r="D89" s="140"/>
      <c r="E89" s="140"/>
      <c r="F89" s="140"/>
      <c r="G89" s="140"/>
      <c r="H89" s="140"/>
      <c r="I89" s="52"/>
      <c r="J89" s="66"/>
      <c r="K89" s="50"/>
      <c r="L89" s="52">
        <f>SUM(AR61:AR85)</f>
        <v>56048.07</v>
      </c>
    </row>
    <row r="90" spans="1:82" ht="14.25" hidden="1" x14ac:dyDescent="0.2">
      <c r="A90" s="66"/>
      <c r="B90" s="67"/>
      <c r="C90" s="140" t="s">
        <v>467</v>
      </c>
      <c r="D90" s="140"/>
      <c r="E90" s="140"/>
      <c r="F90" s="140"/>
      <c r="G90" s="140"/>
      <c r="H90" s="140"/>
      <c r="I90" s="52"/>
      <c r="J90" s="66"/>
      <c r="K90" s="50"/>
      <c r="L90" s="52">
        <f>L92+L95+L94</f>
        <v>371.7600000000001</v>
      </c>
    </row>
    <row r="91" spans="1:82" ht="14.25" hidden="1" x14ac:dyDescent="0.2">
      <c r="A91" s="66"/>
      <c r="B91" s="67"/>
      <c r="C91" s="139" t="s">
        <v>468</v>
      </c>
      <c r="D91" s="140"/>
      <c r="E91" s="140"/>
      <c r="F91" s="140"/>
      <c r="G91" s="140"/>
      <c r="H91" s="140"/>
      <c r="I91" s="52"/>
      <c r="J91" s="66"/>
      <c r="K91" s="50"/>
      <c r="L91" s="52"/>
    </row>
    <row r="92" spans="1:82" ht="14.25" x14ac:dyDescent="0.2">
      <c r="A92" s="66"/>
      <c r="B92" s="67"/>
      <c r="C92" s="140" t="s">
        <v>467</v>
      </c>
      <c r="D92" s="140"/>
      <c r="E92" s="140"/>
      <c r="F92" s="140"/>
      <c r="G92" s="140"/>
      <c r="H92" s="140"/>
      <c r="I92" s="52"/>
      <c r="J92" s="66"/>
      <c r="K92" s="50"/>
      <c r="L92" s="52">
        <f>SUM(AO61:AO85)</f>
        <v>151.86000000000007</v>
      </c>
    </row>
    <row r="93" spans="1:82" ht="14.25" hidden="1" x14ac:dyDescent="0.2">
      <c r="A93" s="66"/>
      <c r="B93" s="67"/>
      <c r="C93" s="139" t="s">
        <v>469</v>
      </c>
      <c r="D93" s="140"/>
      <c r="E93" s="140"/>
      <c r="F93" s="140"/>
      <c r="G93" s="140"/>
      <c r="H93" s="140"/>
      <c r="I93" s="52"/>
      <c r="J93" s="66"/>
      <c r="K93" s="50"/>
      <c r="L93" s="52"/>
    </row>
    <row r="94" spans="1:82" ht="14.25" x14ac:dyDescent="0.2">
      <c r="A94" s="66"/>
      <c r="B94" s="67"/>
      <c r="C94" s="140" t="s">
        <v>489</v>
      </c>
      <c r="D94" s="140"/>
      <c r="E94" s="140"/>
      <c r="F94" s="140"/>
      <c r="G94" s="140"/>
      <c r="H94" s="140"/>
      <c r="I94" s="52"/>
      <c r="J94" s="66"/>
      <c r="K94" s="50"/>
      <c r="L94" s="52">
        <f>SUM(AT61:AT85)</f>
        <v>219.9</v>
      </c>
    </row>
    <row r="95" spans="1:82" ht="14.25" hidden="1" x14ac:dyDescent="0.2">
      <c r="A95" s="66"/>
      <c r="B95" s="67"/>
      <c r="C95" s="140" t="s">
        <v>470</v>
      </c>
      <c r="D95" s="140"/>
      <c r="E95" s="140"/>
      <c r="F95" s="140"/>
      <c r="G95" s="140"/>
      <c r="H95" s="140"/>
      <c r="I95" s="52"/>
      <c r="J95" s="66"/>
      <c r="K95" s="50"/>
      <c r="L95" s="52">
        <f>SUM(AV61:AV85)</f>
        <v>0</v>
      </c>
    </row>
    <row r="96" spans="1:82" ht="14.25" x14ac:dyDescent="0.2">
      <c r="A96" s="66"/>
      <c r="B96" s="67"/>
      <c r="C96" s="140" t="s">
        <v>471</v>
      </c>
      <c r="D96" s="140"/>
      <c r="E96" s="140"/>
      <c r="F96" s="140"/>
      <c r="G96" s="140"/>
      <c r="H96" s="140"/>
      <c r="I96" s="52"/>
      <c r="J96" s="66"/>
      <c r="K96" s="50"/>
      <c r="L96" s="52">
        <f>L98+L99</f>
        <v>17053.28</v>
      </c>
    </row>
    <row r="97" spans="1:12" ht="14.25" x14ac:dyDescent="0.2">
      <c r="A97" s="66"/>
      <c r="B97" s="67"/>
      <c r="C97" s="139" t="s">
        <v>468</v>
      </c>
      <c r="D97" s="140"/>
      <c r="E97" s="140"/>
      <c r="F97" s="140"/>
      <c r="G97" s="140"/>
      <c r="H97" s="140"/>
      <c r="I97" s="52"/>
      <c r="J97" s="66"/>
      <c r="K97" s="50"/>
      <c r="L97" s="52"/>
    </row>
    <row r="98" spans="1:12" ht="14.25" x14ac:dyDescent="0.2">
      <c r="A98" s="66"/>
      <c r="B98" s="67"/>
      <c r="C98" s="140" t="s">
        <v>472</v>
      </c>
      <c r="D98" s="140"/>
      <c r="E98" s="140"/>
      <c r="F98" s="140"/>
      <c r="G98" s="140"/>
      <c r="H98" s="140"/>
      <c r="I98" s="52"/>
      <c r="J98" s="66"/>
      <c r="K98" s="50"/>
      <c r="L98" s="52">
        <f>SUM(AW61:AW85)-SUM(BK61:BK85)</f>
        <v>17053.28</v>
      </c>
    </row>
    <row r="99" spans="1:12" ht="14.25" hidden="1" x14ac:dyDescent="0.2">
      <c r="A99" s="66"/>
      <c r="B99" s="67"/>
      <c r="C99" s="140" t="s">
        <v>473</v>
      </c>
      <c r="D99" s="140"/>
      <c r="E99" s="140"/>
      <c r="F99" s="140"/>
      <c r="G99" s="140"/>
      <c r="H99" s="140"/>
      <c r="I99" s="52"/>
      <c r="J99" s="66"/>
      <c r="K99" s="50"/>
      <c r="L99" s="52">
        <f>SUM(BC61:BC85)</f>
        <v>0</v>
      </c>
    </row>
    <row r="100" spans="1:12" ht="14.25" hidden="1" x14ac:dyDescent="0.2">
      <c r="A100" s="66"/>
      <c r="B100" s="67"/>
      <c r="C100" s="140" t="s">
        <v>474</v>
      </c>
      <c r="D100" s="140"/>
      <c r="E100" s="140"/>
      <c r="F100" s="140"/>
      <c r="G100" s="140"/>
      <c r="H100" s="140"/>
      <c r="I100" s="52"/>
      <c r="J100" s="66"/>
      <c r="K100" s="50"/>
      <c r="L100" s="52">
        <f>SUM(BB61:BB85)</f>
        <v>0</v>
      </c>
    </row>
    <row r="101" spans="1:12" ht="14.25" x14ac:dyDescent="0.2">
      <c r="A101" s="66"/>
      <c r="B101" s="67"/>
      <c r="C101" s="140" t="s">
        <v>475</v>
      </c>
      <c r="D101" s="140"/>
      <c r="E101" s="140"/>
      <c r="F101" s="140"/>
      <c r="G101" s="140"/>
      <c r="H101" s="140"/>
      <c r="I101" s="52"/>
      <c r="J101" s="66"/>
      <c r="K101" s="50"/>
      <c r="L101" s="52">
        <f>SUM(AR61:AR85)+SUM(AT61:AT85)+SUM(AV61:AV85)</f>
        <v>56267.97</v>
      </c>
    </row>
    <row r="102" spans="1:12" ht="14.25" x14ac:dyDescent="0.2">
      <c r="A102" s="66"/>
      <c r="B102" s="67"/>
      <c r="C102" s="140" t="s">
        <v>476</v>
      </c>
      <c r="D102" s="140"/>
      <c r="E102" s="140"/>
      <c r="F102" s="140"/>
      <c r="G102" s="140"/>
      <c r="H102" s="140"/>
      <c r="I102" s="52"/>
      <c r="J102" s="66"/>
      <c r="K102" s="50"/>
      <c r="L102" s="52">
        <f>SUM(AZ61:AZ85)</f>
        <v>50641.17</v>
      </c>
    </row>
    <row r="103" spans="1:12" ht="14.25" x14ac:dyDescent="0.2">
      <c r="A103" s="66"/>
      <c r="B103" s="67"/>
      <c r="C103" s="140" t="s">
        <v>477</v>
      </c>
      <c r="D103" s="140"/>
      <c r="E103" s="140"/>
      <c r="F103" s="140"/>
      <c r="G103" s="140"/>
      <c r="H103" s="140"/>
      <c r="I103" s="52"/>
      <c r="J103" s="66"/>
      <c r="K103" s="50"/>
      <c r="L103" s="52">
        <f>SUM(BA61:BA85)</f>
        <v>23435.61</v>
      </c>
    </row>
    <row r="104" spans="1:12" ht="14.25" hidden="1" x14ac:dyDescent="0.2">
      <c r="A104" s="66"/>
      <c r="B104" s="67"/>
      <c r="C104" s="140" t="s">
        <v>478</v>
      </c>
      <c r="D104" s="140"/>
      <c r="E104" s="140"/>
      <c r="F104" s="140"/>
      <c r="G104" s="140"/>
      <c r="H104" s="140"/>
      <c r="I104" s="52"/>
      <c r="J104" s="66"/>
      <c r="K104" s="50"/>
      <c r="L104" s="52">
        <f>L106+L107</f>
        <v>0</v>
      </c>
    </row>
    <row r="105" spans="1:12" ht="14.25" hidden="1" x14ac:dyDescent="0.2">
      <c r="A105" s="66"/>
      <c r="B105" s="67"/>
      <c r="C105" s="139" t="s">
        <v>465</v>
      </c>
      <c r="D105" s="140"/>
      <c r="E105" s="140"/>
      <c r="F105" s="140"/>
      <c r="G105" s="140"/>
      <c r="H105" s="140"/>
      <c r="I105" s="52"/>
      <c r="J105" s="66"/>
      <c r="K105" s="50"/>
      <c r="L105" s="52"/>
    </row>
    <row r="106" spans="1:12" ht="14.25" hidden="1" x14ac:dyDescent="0.2">
      <c r="A106" s="66"/>
      <c r="B106" s="67"/>
      <c r="C106" s="140" t="s">
        <v>479</v>
      </c>
      <c r="D106" s="140"/>
      <c r="E106" s="140"/>
      <c r="F106" s="140"/>
      <c r="G106" s="140"/>
      <c r="H106" s="140"/>
      <c r="I106" s="52"/>
      <c r="J106" s="66"/>
      <c r="K106" s="50"/>
      <c r="L106" s="52">
        <f>SUM(BK61:BK85)</f>
        <v>0</v>
      </c>
    </row>
    <row r="107" spans="1:12" ht="14.25" hidden="1" x14ac:dyDescent="0.2">
      <c r="A107" s="66"/>
      <c r="B107" s="67"/>
      <c r="C107" s="140" t="s">
        <v>480</v>
      </c>
      <c r="D107" s="140"/>
      <c r="E107" s="140"/>
      <c r="F107" s="140"/>
      <c r="G107" s="140"/>
      <c r="H107" s="140"/>
      <c r="I107" s="52"/>
      <c r="J107" s="66"/>
      <c r="K107" s="50"/>
      <c r="L107" s="52">
        <f>SUM(BD61:BD85)</f>
        <v>0</v>
      </c>
    </row>
    <row r="108" spans="1:12" ht="14.25" hidden="1" x14ac:dyDescent="0.2">
      <c r="A108" s="66"/>
      <c r="B108" s="67"/>
      <c r="C108" s="140" t="s">
        <v>481</v>
      </c>
      <c r="D108" s="140"/>
      <c r="E108" s="140"/>
      <c r="F108" s="140"/>
      <c r="G108" s="140"/>
      <c r="H108" s="140"/>
      <c r="I108" s="52"/>
      <c r="J108" s="66"/>
      <c r="K108" s="50"/>
      <c r="L108" s="52"/>
    </row>
    <row r="109" spans="1:12" ht="14.25" hidden="1" x14ac:dyDescent="0.2">
      <c r="A109" s="66"/>
      <c r="B109" s="67"/>
      <c r="C109" s="140" t="s">
        <v>481</v>
      </c>
      <c r="D109" s="140"/>
      <c r="E109" s="140"/>
      <c r="F109" s="140"/>
      <c r="G109" s="140"/>
      <c r="H109" s="140"/>
      <c r="I109" s="52"/>
      <c r="J109" s="66"/>
      <c r="K109" s="50"/>
      <c r="L109" s="52">
        <f>SUM(BQ61:BQ85)</f>
        <v>0</v>
      </c>
    </row>
    <row r="110" spans="1:12" ht="14.25" hidden="1" x14ac:dyDescent="0.2">
      <c r="A110" s="66"/>
      <c r="B110" s="67"/>
      <c r="C110" s="140" t="s">
        <v>482</v>
      </c>
      <c r="D110" s="140"/>
      <c r="E110" s="140"/>
      <c r="F110" s="140"/>
      <c r="G110" s="140"/>
      <c r="H110" s="140"/>
      <c r="I110" s="52"/>
      <c r="J110" s="66"/>
      <c r="K110" s="50"/>
      <c r="L110" s="52">
        <f>SUM(BO61:BO85)</f>
        <v>0</v>
      </c>
    </row>
    <row r="111" spans="1:12" ht="15" x14ac:dyDescent="0.2">
      <c r="A111" s="68"/>
      <c r="B111" s="69"/>
      <c r="C111" s="141" t="s">
        <v>483</v>
      </c>
      <c r="D111" s="141"/>
      <c r="E111" s="141"/>
      <c r="F111" s="141"/>
      <c r="G111" s="141"/>
      <c r="H111" s="141"/>
      <c r="I111" s="57"/>
      <c r="J111" s="68"/>
      <c r="K111" s="70"/>
      <c r="L111" s="57">
        <f>L87+L102+L103+L104+L109+L110</f>
        <v>147549.89000000001</v>
      </c>
    </row>
    <row r="112" spans="1:12" ht="14.25" x14ac:dyDescent="0.2">
      <c r="A112" s="66"/>
      <c r="B112" s="67"/>
      <c r="C112" s="139" t="s">
        <v>484</v>
      </c>
      <c r="D112" s="140"/>
      <c r="E112" s="140"/>
      <c r="F112" s="140"/>
      <c r="G112" s="140"/>
      <c r="H112" s="140"/>
      <c r="I112" s="52"/>
      <c r="J112" s="66"/>
      <c r="K112" s="50"/>
      <c r="L112" s="52"/>
    </row>
    <row r="113" spans="1:101" ht="14.25" hidden="1" x14ac:dyDescent="0.2">
      <c r="A113" s="66"/>
      <c r="B113" s="67"/>
      <c r="C113" s="140" t="s">
        <v>485</v>
      </c>
      <c r="D113" s="140"/>
      <c r="E113" s="140"/>
      <c r="F113" s="140"/>
      <c r="G113" s="140"/>
      <c r="H113" s="140"/>
      <c r="I113" s="52"/>
      <c r="J113" s="66"/>
      <c r="K113" s="50"/>
      <c r="L113" s="52">
        <f>SUM(AX61:AX85)</f>
        <v>0</v>
      </c>
    </row>
    <row r="114" spans="1:101" ht="14.25" hidden="1" x14ac:dyDescent="0.2">
      <c r="A114" s="66"/>
      <c r="B114" s="67"/>
      <c r="C114" s="140" t="s">
        <v>486</v>
      </c>
      <c r="D114" s="140"/>
      <c r="E114" s="140"/>
      <c r="F114" s="140"/>
      <c r="G114" s="140"/>
      <c r="H114" s="140"/>
      <c r="I114" s="52"/>
      <c r="J114" s="66"/>
      <c r="K114" s="50"/>
      <c r="L114" s="52">
        <f>SUM(AY61:AY85)</f>
        <v>0</v>
      </c>
    </row>
    <row r="115" spans="1:101" ht="14.25" x14ac:dyDescent="0.2">
      <c r="A115" s="66"/>
      <c r="B115" s="67"/>
      <c r="C115" s="140" t="s">
        <v>487</v>
      </c>
      <c r="D115" s="140"/>
      <c r="E115" s="140"/>
      <c r="F115" s="142"/>
      <c r="G115" s="56">
        <f>Source!F54</f>
        <v>83.183295000000001</v>
      </c>
      <c r="H115" s="66"/>
      <c r="I115" s="66"/>
      <c r="J115" s="66"/>
      <c r="K115" s="66"/>
      <c r="L115" s="66"/>
    </row>
    <row r="116" spans="1:101" ht="14.25" x14ac:dyDescent="0.2">
      <c r="A116" s="66"/>
      <c r="B116" s="67"/>
      <c r="C116" s="140" t="s">
        <v>488</v>
      </c>
      <c r="D116" s="140"/>
      <c r="E116" s="140"/>
      <c r="F116" s="142"/>
      <c r="G116" s="56">
        <f>Source!F55</f>
        <v>0.30387500000000001</v>
      </c>
      <c r="H116" s="66"/>
      <c r="I116" s="66"/>
      <c r="J116" s="66"/>
      <c r="K116" s="66"/>
      <c r="L116" s="66"/>
    </row>
    <row r="119" spans="1:101" ht="16.5" x14ac:dyDescent="0.2">
      <c r="A119" s="132" t="s">
        <v>490</v>
      </c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</row>
    <row r="120" spans="1:101" ht="57" x14ac:dyDescent="0.2">
      <c r="A120" s="46" t="s">
        <v>99</v>
      </c>
      <c r="B120" s="48" t="s">
        <v>448</v>
      </c>
      <c r="C120" s="48" t="str">
        <f>Source!G70</f>
        <v>Окраска водно-дисперсионными акриловыми составами улучшенная: по сборным конструкциям стен, подготовленным под окраску</v>
      </c>
      <c r="D120" s="49" t="str">
        <f>Source!H70</f>
        <v>100 м2</v>
      </c>
      <c r="E120" s="50">
        <f>Source!K70</f>
        <v>0.72</v>
      </c>
      <c r="F120" s="50"/>
      <c r="G120" s="50">
        <f>Source!I70</f>
        <v>0.72</v>
      </c>
      <c r="H120" s="52"/>
      <c r="I120" s="51"/>
      <c r="J120" s="52"/>
      <c r="K120" s="51"/>
      <c r="L120" s="52"/>
    </row>
    <row r="121" spans="1:101" ht="51" x14ac:dyDescent="0.2">
      <c r="B121" s="53" t="s">
        <v>355</v>
      </c>
      <c r="C121" s="133" t="s">
        <v>449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CW121" s="54" t="s">
        <v>449</v>
      </c>
    </row>
    <row r="122" spans="1:101" x14ac:dyDescent="0.2">
      <c r="C122" s="55" t="str">
        <f>"Объем: "&amp;Source!I70&amp;"=72/"&amp;"100"</f>
        <v>Объем: 0,72=72/100</v>
      </c>
    </row>
    <row r="123" spans="1:101" ht="15" x14ac:dyDescent="0.2">
      <c r="A123" s="47"/>
      <c r="B123" s="50">
        <v>1</v>
      </c>
      <c r="C123" s="47" t="s">
        <v>450</v>
      </c>
      <c r="D123" s="49" t="s">
        <v>293</v>
      </c>
      <c r="E123" s="56"/>
      <c r="F123" s="50"/>
      <c r="G123" s="50">
        <f>Source!U70</f>
        <v>27.100439999999999</v>
      </c>
      <c r="H123" s="50"/>
      <c r="I123" s="50"/>
      <c r="J123" s="50"/>
      <c r="K123" s="50"/>
      <c r="L123" s="57">
        <f>SUM(L124:L124)-SUMIF(CE124:CE124, 1, L124:L124)</f>
        <v>18260.009999999998</v>
      </c>
    </row>
    <row r="124" spans="1:101" ht="14.25" x14ac:dyDescent="0.2">
      <c r="A124" s="48"/>
      <c r="B124" s="48" t="s">
        <v>291</v>
      </c>
      <c r="C124" s="48" t="s">
        <v>292</v>
      </c>
      <c r="D124" s="49" t="s">
        <v>293</v>
      </c>
      <c r="E124" s="50">
        <v>32.729999999999997</v>
      </c>
      <c r="F124" s="50">
        <f>ROUND(1.15,7)</f>
        <v>1.1499999999999999</v>
      </c>
      <c r="G124" s="50">
        <f>SmtRes!CX10</f>
        <v>27.100439999999999</v>
      </c>
      <c r="H124" s="52"/>
      <c r="I124" s="51"/>
      <c r="J124" s="52">
        <f>SmtRes!CZ10</f>
        <v>673.79</v>
      </c>
      <c r="K124" s="51"/>
      <c r="L124" s="52">
        <f>SmtRes!DI10</f>
        <v>18260.009999999998</v>
      </c>
    </row>
    <row r="125" spans="1:101" ht="15" x14ac:dyDescent="0.2">
      <c r="A125" s="47"/>
      <c r="B125" s="50">
        <v>2</v>
      </c>
      <c r="C125" s="47" t="s">
        <v>451</v>
      </c>
      <c r="D125" s="49"/>
      <c r="E125" s="56"/>
      <c r="F125" s="50"/>
      <c r="G125" s="50"/>
      <c r="H125" s="50"/>
      <c r="I125" s="50"/>
      <c r="J125" s="50"/>
      <c r="K125" s="50"/>
      <c r="L125" s="57">
        <f>SUM(L126:L130)-SUMIF(CE126:CE130, 1, L126:L130)</f>
        <v>49.47</v>
      </c>
    </row>
    <row r="126" spans="1:101" ht="15" x14ac:dyDescent="0.2">
      <c r="A126" s="47"/>
      <c r="B126" s="50"/>
      <c r="C126" s="47" t="s">
        <v>454</v>
      </c>
      <c r="D126" s="49" t="s">
        <v>293</v>
      </c>
      <c r="E126" s="56"/>
      <c r="F126" s="50"/>
      <c r="G126" s="50">
        <f>Source!V70</f>
        <v>9.8999999999999991E-2</v>
      </c>
      <c r="H126" s="50"/>
      <c r="I126" s="50"/>
      <c r="J126" s="50"/>
      <c r="K126" s="50"/>
      <c r="L126" s="57">
        <f>SUMIF(CE127:CE130, 1, L127:L130)</f>
        <v>71.64</v>
      </c>
      <c r="CE126">
        <v>1</v>
      </c>
    </row>
    <row r="127" spans="1:101" ht="42.75" x14ac:dyDescent="0.2">
      <c r="A127" s="48"/>
      <c r="B127" s="48" t="s">
        <v>296</v>
      </c>
      <c r="C127" s="48" t="s">
        <v>298</v>
      </c>
      <c r="D127" s="49" t="s">
        <v>299</v>
      </c>
      <c r="E127" s="50">
        <v>0.01</v>
      </c>
      <c r="F127" s="50">
        <f>ROUND(1.25,7)</f>
        <v>1.25</v>
      </c>
      <c r="G127" s="50">
        <f>SmtRes!CX12</f>
        <v>8.9999999999999993E-3</v>
      </c>
      <c r="H127" s="52">
        <f>SmtRes!CZ12</f>
        <v>30.61</v>
      </c>
      <c r="I127" s="51">
        <f>SmtRes!AJ12</f>
        <v>1.57</v>
      </c>
      <c r="J127" s="52">
        <f>ROUND(H127*I127, 2)</f>
        <v>48.06</v>
      </c>
      <c r="K127" s="51"/>
      <c r="L127" s="52">
        <f>SmtRes!DG12</f>
        <v>0.43</v>
      </c>
    </row>
    <row r="128" spans="1:101" ht="28.5" x14ac:dyDescent="0.2">
      <c r="A128" s="48"/>
      <c r="B128" s="48" t="s">
        <v>300</v>
      </c>
      <c r="C128" s="48" t="s">
        <v>452</v>
      </c>
      <c r="D128" s="49" t="s">
        <v>293</v>
      </c>
      <c r="E128" s="50">
        <f>SmtRes!DO12*SmtRes!AT12</f>
        <v>0.01</v>
      </c>
      <c r="F128" s="50">
        <f>ROUND(1.25,7)</f>
        <v>1.25</v>
      </c>
      <c r="G128" s="50">
        <f>ROUND(E128*F128*G120, 7)</f>
        <v>8.9999999999999993E-3</v>
      </c>
      <c r="H128" s="52"/>
      <c r="I128" s="51"/>
      <c r="J128" s="52">
        <f>ROUND(SmtRes!AG12/SmtRes!DO12, 2)</f>
        <v>649.24</v>
      </c>
      <c r="K128" s="51"/>
      <c r="L128" s="52">
        <f>SmtRes!DH12</f>
        <v>5.84</v>
      </c>
      <c r="CE128">
        <v>1</v>
      </c>
    </row>
    <row r="129" spans="1:83" ht="28.5" x14ac:dyDescent="0.2">
      <c r="A129" s="48"/>
      <c r="B129" s="48" t="s">
        <v>301</v>
      </c>
      <c r="C129" s="48" t="s">
        <v>303</v>
      </c>
      <c r="D129" s="49" t="s">
        <v>299</v>
      </c>
      <c r="E129" s="50">
        <v>0.1</v>
      </c>
      <c r="F129" s="50">
        <f>ROUND(1.25,7)</f>
        <v>1.25</v>
      </c>
      <c r="G129" s="50">
        <f>SmtRes!CX13</f>
        <v>0.09</v>
      </c>
      <c r="H129" s="52"/>
      <c r="I129" s="51"/>
      <c r="J129" s="52">
        <f>SmtRes!CZ13</f>
        <v>544.91999999999996</v>
      </c>
      <c r="K129" s="51"/>
      <c r="L129" s="52">
        <f>SmtRes!DG13</f>
        <v>49.04</v>
      </c>
    </row>
    <row r="130" spans="1:83" ht="28.5" x14ac:dyDescent="0.2">
      <c r="A130" s="48"/>
      <c r="B130" s="48" t="s">
        <v>304</v>
      </c>
      <c r="C130" s="48" t="s">
        <v>453</v>
      </c>
      <c r="D130" s="49" t="s">
        <v>293</v>
      </c>
      <c r="E130" s="50">
        <f>SmtRes!DO13*SmtRes!AT13</f>
        <v>0.1</v>
      </c>
      <c r="F130" s="50">
        <f>ROUND(1.25,7)</f>
        <v>1.25</v>
      </c>
      <c r="G130" s="50">
        <f>ROUND(E130*F130*G120, 7)</f>
        <v>0.09</v>
      </c>
      <c r="H130" s="52"/>
      <c r="I130" s="51"/>
      <c r="J130" s="52">
        <f>ROUND(SmtRes!AG13/SmtRes!DO13, 2)</f>
        <v>731.08</v>
      </c>
      <c r="K130" s="51"/>
      <c r="L130" s="52">
        <f>SmtRes!DH13</f>
        <v>65.8</v>
      </c>
      <c r="CE130">
        <v>1</v>
      </c>
    </row>
    <row r="131" spans="1:83" ht="15" x14ac:dyDescent="0.2">
      <c r="A131" s="47"/>
      <c r="B131" s="50">
        <v>4</v>
      </c>
      <c r="C131" s="47" t="s">
        <v>455</v>
      </c>
      <c r="D131" s="49"/>
      <c r="E131" s="56"/>
      <c r="F131" s="50"/>
      <c r="G131" s="50"/>
      <c r="H131" s="50"/>
      <c r="I131" s="50"/>
      <c r="J131" s="50"/>
      <c r="K131" s="50"/>
      <c r="L131" s="57">
        <f>SUM(L132:L134)-SUMIF(CE132:CE134, 1, L132:L134)</f>
        <v>727.62000000000012</v>
      </c>
    </row>
    <row r="132" spans="1:83" ht="28.5" x14ac:dyDescent="0.2">
      <c r="A132" s="48"/>
      <c r="B132" s="48" t="s">
        <v>305</v>
      </c>
      <c r="C132" s="48" t="s">
        <v>307</v>
      </c>
      <c r="D132" s="49" t="s">
        <v>130</v>
      </c>
      <c r="E132" s="50">
        <v>0.84</v>
      </c>
      <c r="F132" s="50"/>
      <c r="G132" s="50">
        <f>SmtRes!CX14</f>
        <v>0.6048</v>
      </c>
      <c r="H132" s="52">
        <f>SmtRes!CZ14</f>
        <v>531.44000000000005</v>
      </c>
      <c r="I132" s="51">
        <f>SmtRes!AI14</f>
        <v>1.35</v>
      </c>
      <c r="J132" s="52">
        <f>ROUND(H132*I132, 2)</f>
        <v>717.44</v>
      </c>
      <c r="K132" s="51"/>
      <c r="L132" s="52">
        <f>SmtRes!DF14</f>
        <v>433.91</v>
      </c>
    </row>
    <row r="133" spans="1:83" ht="14.25" x14ac:dyDescent="0.2">
      <c r="A133" s="48"/>
      <c r="B133" s="48" t="s">
        <v>308</v>
      </c>
      <c r="C133" s="48" t="s">
        <v>310</v>
      </c>
      <c r="D133" s="49" t="s">
        <v>40</v>
      </c>
      <c r="E133" s="50">
        <v>0.31</v>
      </c>
      <c r="F133" s="50"/>
      <c r="G133" s="50">
        <f>SmtRes!CX15</f>
        <v>0.22320000000000001</v>
      </c>
      <c r="H133" s="52">
        <f>SmtRes!CZ15</f>
        <v>56.11</v>
      </c>
      <c r="I133" s="51">
        <f>SmtRes!AI15</f>
        <v>1.6</v>
      </c>
      <c r="J133" s="52">
        <f>ROUND(H133*I133, 2)</f>
        <v>89.78</v>
      </c>
      <c r="K133" s="51"/>
      <c r="L133" s="52">
        <f>SmtRes!DF15</f>
        <v>20.04</v>
      </c>
    </row>
    <row r="134" spans="1:83" ht="14.25" x14ac:dyDescent="0.2">
      <c r="A134" s="48"/>
      <c r="B134" s="48" t="s">
        <v>311</v>
      </c>
      <c r="C134" s="48" t="s">
        <v>313</v>
      </c>
      <c r="D134" s="49" t="s">
        <v>35</v>
      </c>
      <c r="E134" s="50">
        <v>5.0000000000000001E-3</v>
      </c>
      <c r="F134" s="50"/>
      <c r="G134" s="50">
        <f>SmtRes!CX18</f>
        <v>3.5999999999999999E-3</v>
      </c>
      <c r="H134" s="52">
        <f>SmtRes!CZ18</f>
        <v>52790.33</v>
      </c>
      <c r="I134" s="51">
        <f>SmtRes!AI18</f>
        <v>1.44</v>
      </c>
      <c r="J134" s="52">
        <f>ROUND(H134*I134, 2)</f>
        <v>76018.080000000002</v>
      </c>
      <c r="K134" s="51"/>
      <c r="L134" s="52">
        <f>SmtRes!DF18</f>
        <v>273.67</v>
      </c>
    </row>
    <row r="135" spans="1:83" ht="14.25" x14ac:dyDescent="0.2">
      <c r="A135" s="48"/>
      <c r="B135" s="48" t="str">
        <f>EtalonRes!I16</f>
        <v>14.3.02.01</v>
      </c>
      <c r="C135" s="48" t="str">
        <f>EtalonRes!K16</f>
        <v>Краска акриловая</v>
      </c>
      <c r="D135" s="49" t="str">
        <f>EtalonRes!O16</f>
        <v>т</v>
      </c>
      <c r="E135" s="50">
        <f>EtalonRes!X16</f>
        <v>0.03</v>
      </c>
      <c r="F135" s="50"/>
      <c r="G135" s="50">
        <f>ROUND(EtalonRes!AG16*Source!I70, 7)</f>
        <v>2.1600000000000001E-2</v>
      </c>
      <c r="H135" s="52"/>
      <c r="I135" s="51"/>
      <c r="J135" s="52"/>
      <c r="K135" s="51"/>
      <c r="L135" s="52"/>
    </row>
    <row r="136" spans="1:83" ht="14.25" x14ac:dyDescent="0.2">
      <c r="A136" s="48"/>
      <c r="B136" s="48" t="str">
        <f>EtalonRes!I17</f>
        <v>14.4.01.02</v>
      </c>
      <c r="C136" s="58" t="str">
        <f>EtalonRes!K17</f>
        <v>Грунтовка</v>
      </c>
      <c r="D136" s="59" t="str">
        <f>EtalonRes!O17</f>
        <v>т</v>
      </c>
      <c r="E136" s="60">
        <f>EtalonRes!X17</f>
        <v>0.02</v>
      </c>
      <c r="F136" s="60"/>
      <c r="G136" s="60">
        <f>ROUND(EtalonRes!AG17*Source!I70, 7)</f>
        <v>1.44E-2</v>
      </c>
      <c r="H136" s="61"/>
      <c r="I136" s="62"/>
      <c r="J136" s="61"/>
      <c r="K136" s="62"/>
      <c r="L136" s="61"/>
    </row>
    <row r="137" spans="1:83" ht="15" x14ac:dyDescent="0.2">
      <c r="A137" s="48"/>
      <c r="B137" s="48"/>
      <c r="C137" s="65" t="s">
        <v>456</v>
      </c>
      <c r="D137" s="49"/>
      <c r="E137" s="50"/>
      <c r="F137" s="50"/>
      <c r="G137" s="50"/>
      <c r="H137" s="52"/>
      <c r="I137" s="51"/>
      <c r="J137" s="52"/>
      <c r="K137" s="51"/>
      <c r="L137" s="52">
        <f>L123+L125+L126+L131</f>
        <v>19108.739999999998</v>
      </c>
    </row>
    <row r="138" spans="1:83" ht="28.5" x14ac:dyDescent="0.2">
      <c r="A138" s="46" t="s">
        <v>381</v>
      </c>
      <c r="B138" s="48" t="str">
        <f>Source!F71</f>
        <v>14.3.02.01-0362</v>
      </c>
      <c r="C138" s="48" t="str">
        <f>Source!G71</f>
        <v>Краска водно-дисперсионная акрилатная ВД-АК-104</v>
      </c>
      <c r="D138" s="49" t="str">
        <f>Source!H71</f>
        <v>т</v>
      </c>
      <c r="E138" s="50">
        <f>SmtRes!AT16</f>
        <v>0.03</v>
      </c>
      <c r="F138" s="50"/>
      <c r="G138" s="50">
        <f>Source!I71</f>
        <v>2.1600000000000001E-2</v>
      </c>
      <c r="H138" s="52">
        <f>Source!AL71+Source!AO71+Source!AM71+Source!AN71</f>
        <v>87665.56</v>
      </c>
      <c r="I138" s="51">
        <f>IF(Source!BC71&lt;&gt; 0, Source!BC71, 1)</f>
        <v>1.75</v>
      </c>
      <c r="J138" s="52">
        <f>ROUND(H138*I138, 2)</f>
        <v>153414.73000000001</v>
      </c>
      <c r="K138" s="51"/>
      <c r="L138" s="52">
        <f>Source!P71</f>
        <v>3313.76</v>
      </c>
      <c r="AD138">
        <f>ROUND((Source!AT71/100)*((ROUND(ROUND(Source!AO71,2)*Source!I71, 2)+ROUND(ROUND(Source!AN71,2)*Source!I71, 2))), 2)</f>
        <v>0</v>
      </c>
      <c r="AE138">
        <f>ROUND((Source!AU71/100)*((ROUND(ROUND(Source!AO71,2)*Source!I71, 2)+ROUND(ROUND(Source!AN71,2)*Source!I71, 2))), 2)</f>
        <v>0</v>
      </c>
      <c r="AN138">
        <f>L138</f>
        <v>3313.76</v>
      </c>
      <c r="AW138">
        <f>L138</f>
        <v>3313.76</v>
      </c>
      <c r="AZ138">
        <f>Source!X71</f>
        <v>0</v>
      </c>
      <c r="BA138">
        <f>Source!Y71</f>
        <v>0</v>
      </c>
      <c r="CD138">
        <v>1</v>
      </c>
    </row>
    <row r="139" spans="1:83" ht="42.75" x14ac:dyDescent="0.2">
      <c r="A139" s="46" t="s">
        <v>385</v>
      </c>
      <c r="B139" s="48" t="str">
        <f>Source!F72</f>
        <v>14.4.01.02-0012</v>
      </c>
      <c r="C139" s="48" t="str">
        <f>Source!G72</f>
        <v>Грунтовка укрепляющая, глубокого проникновения, быстросохнущая, паропроницаемая</v>
      </c>
      <c r="D139" s="49" t="str">
        <f>Source!H72</f>
        <v>кг</v>
      </c>
      <c r="E139" s="50">
        <f>SmtRes!AT17</f>
        <v>20</v>
      </c>
      <c r="F139" s="50"/>
      <c r="G139" s="50">
        <f>Source!I72</f>
        <v>14.399999999999999</v>
      </c>
      <c r="H139" s="52">
        <f>Source!AL72+Source!AO72+Source!AM72+Source!AN72</f>
        <v>68.290000000000006</v>
      </c>
      <c r="I139" s="51">
        <f>IF(Source!BC72&lt;&gt; 0, Source!BC72, 1)</f>
        <v>1.54</v>
      </c>
      <c r="J139" s="52">
        <f>ROUND(H139*I139, 2)</f>
        <v>105.17</v>
      </c>
      <c r="K139" s="51"/>
      <c r="L139" s="52">
        <f>Source!P72</f>
        <v>1514.45</v>
      </c>
      <c r="AD139">
        <f>ROUND((Source!AT72/100)*((ROUND(ROUND(Source!AO72,2)*Source!I72, 2)+ROUND(ROUND(Source!AN72,2)*Source!I72, 2))), 2)</f>
        <v>0</v>
      </c>
      <c r="AE139">
        <f>ROUND((Source!AU72/100)*((ROUND(ROUND(Source!AO72,2)*Source!I72, 2)+ROUND(ROUND(Source!AN72,2)*Source!I72, 2))), 2)</f>
        <v>0</v>
      </c>
      <c r="AN139">
        <f>L139</f>
        <v>1514.45</v>
      </c>
      <c r="AW139">
        <f>L139</f>
        <v>1514.45</v>
      </c>
      <c r="AZ139">
        <f>Source!X72</f>
        <v>0</v>
      </c>
      <c r="BA139">
        <f>Source!Y72</f>
        <v>0</v>
      </c>
      <c r="CD139">
        <v>1</v>
      </c>
    </row>
    <row r="140" spans="1:83" ht="14.25" x14ac:dyDescent="0.2">
      <c r="A140" s="48"/>
      <c r="B140" s="48"/>
      <c r="C140" s="48" t="s">
        <v>457</v>
      </c>
      <c r="D140" s="49"/>
      <c r="E140" s="50"/>
      <c r="F140" s="50"/>
      <c r="G140" s="50"/>
      <c r="H140" s="52"/>
      <c r="I140" s="51"/>
      <c r="J140" s="52"/>
      <c r="K140" s="51"/>
      <c r="L140" s="52">
        <f>SUM(AR120:AR143)+SUM(AS120:AS143)+SUM(AT120:AT143)+SUM(AU120:AU143)+SUM(AV120:AV143)</f>
        <v>18331.649999999998</v>
      </c>
    </row>
    <row r="141" spans="1:83" ht="28.5" x14ac:dyDescent="0.2">
      <c r="A141" s="48"/>
      <c r="B141" s="48" t="s">
        <v>458</v>
      </c>
      <c r="C141" s="48" t="s">
        <v>459</v>
      </c>
      <c r="D141" s="49" t="s">
        <v>182</v>
      </c>
      <c r="E141" s="50">
        <f>Source!BZ70</f>
        <v>100</v>
      </c>
      <c r="F141" s="50">
        <f>ROUND(0.9,7)</f>
        <v>0.9</v>
      </c>
      <c r="G141" s="50">
        <f>Source!AT70</f>
        <v>90</v>
      </c>
      <c r="H141" s="52"/>
      <c r="I141" s="51"/>
      <c r="J141" s="52"/>
      <c r="K141" s="51"/>
      <c r="L141" s="52">
        <f>SUM(AZ120:AZ143)</f>
        <v>16498.490000000002</v>
      </c>
    </row>
    <row r="142" spans="1:83" ht="28.5" x14ac:dyDescent="0.2">
      <c r="A142" s="58"/>
      <c r="B142" s="58" t="s">
        <v>460</v>
      </c>
      <c r="C142" s="58" t="s">
        <v>461</v>
      </c>
      <c r="D142" s="59" t="s">
        <v>182</v>
      </c>
      <c r="E142" s="60">
        <f>Source!CA70</f>
        <v>49</v>
      </c>
      <c r="F142" s="60">
        <f>ROUND(0.85,7)</f>
        <v>0.85</v>
      </c>
      <c r="G142" s="60">
        <f>Source!AU70</f>
        <v>41.65</v>
      </c>
      <c r="H142" s="61"/>
      <c r="I142" s="62"/>
      <c r="J142" s="61"/>
      <c r="K142" s="62"/>
      <c r="L142" s="61">
        <f>SUM(BA120:BA143)</f>
        <v>7635.13</v>
      </c>
    </row>
    <row r="143" spans="1:83" ht="15" x14ac:dyDescent="0.2">
      <c r="C143" s="134" t="s">
        <v>462</v>
      </c>
      <c r="D143" s="134"/>
      <c r="E143" s="134"/>
      <c r="F143" s="134"/>
      <c r="G143" s="134"/>
      <c r="H143" s="134"/>
      <c r="I143" s="135">
        <f>IF(E120&lt;&gt;0,K143/E120, 0)</f>
        <v>66764.680555555547</v>
      </c>
      <c r="J143" s="135"/>
      <c r="K143" s="135">
        <f>L123+L125+L131+L141+L142+L126+SUM(L138:L139)</f>
        <v>48070.569999999992</v>
      </c>
      <c r="L143" s="135"/>
      <c r="AD143">
        <f>ROUND((Source!AT70/100)*((ROUND(SUMIF(SmtRes!AQ10:'SmtRes'!AQ18,"=1",SmtRes!AD10:'SmtRes'!AD18)*Source!I70, 2)+ROUND(SUMIF(SmtRes!AQ10:'SmtRes'!AQ18,"=1",SmtRes!AC10:'SmtRes'!AC18)*Source!I70, 2))), 2)</f>
        <v>1331.06</v>
      </c>
      <c r="AE143">
        <f>ROUND((Source!AU70/100)*((ROUND(SUMIF(SmtRes!AQ10:'SmtRes'!AQ18,"=1",SmtRes!AD10:'SmtRes'!AD18)*Source!I70, 2)+ROUND(SUMIF(SmtRes!AQ10:'SmtRes'!AQ18,"=1",SmtRes!AC10:'SmtRes'!AC18)*Source!I70, 2))), 2)</f>
        <v>615.99</v>
      </c>
      <c r="AN143" s="63">
        <f>L123+L125+L131+L141+L142+L126</f>
        <v>43242.359999999993</v>
      </c>
      <c r="AO143" s="63">
        <f>L125</f>
        <v>49.47</v>
      </c>
      <c r="AQ143" t="s">
        <v>463</v>
      </c>
      <c r="AR143" s="63">
        <f>L123</f>
        <v>18260.009999999998</v>
      </c>
      <c r="AT143" s="63">
        <f>L126</f>
        <v>71.64</v>
      </c>
      <c r="AV143" t="s">
        <v>463</v>
      </c>
      <c r="AW143" s="63">
        <f>L131</f>
        <v>727.62000000000012</v>
      </c>
      <c r="AZ143">
        <f>Source!X70</f>
        <v>16498.490000000002</v>
      </c>
      <c r="BA143">
        <f>Source!Y70</f>
        <v>7635.13</v>
      </c>
      <c r="CD143">
        <v>1</v>
      </c>
    </row>
    <row r="144" spans="1:83" ht="28.5" x14ac:dyDescent="0.2">
      <c r="A144" s="46" t="s">
        <v>102</v>
      </c>
      <c r="B144" s="48" t="s">
        <v>491</v>
      </c>
      <c r="C144" s="48" t="str">
        <f>Source!G73</f>
        <v>Разборка плинтусов: деревянных и из пластмассовых материалов</v>
      </c>
      <c r="D144" s="49" t="str">
        <f>Source!H73</f>
        <v>100 м</v>
      </c>
      <c r="E144" s="50">
        <f>Source!K73</f>
        <v>0.15</v>
      </c>
      <c r="F144" s="50"/>
      <c r="G144" s="50">
        <f>Source!I73</f>
        <v>0.15</v>
      </c>
      <c r="H144" s="52"/>
      <c r="I144" s="51"/>
      <c r="J144" s="52"/>
      <c r="K144" s="51"/>
      <c r="L144" s="52"/>
    </row>
    <row r="145" spans="1:83" x14ac:dyDescent="0.2">
      <c r="C145" s="55" t="str">
        <f>"Объем: "&amp;Source!I73&amp;"=15/"&amp;"100"</f>
        <v>Объем: 0,15=15/100</v>
      </c>
    </row>
    <row r="146" spans="1:83" ht="15" x14ac:dyDescent="0.2">
      <c r="A146" s="47"/>
      <c r="B146" s="50">
        <v>1</v>
      </c>
      <c r="C146" s="47" t="s">
        <v>450</v>
      </c>
      <c r="D146" s="49" t="s">
        <v>293</v>
      </c>
      <c r="E146" s="56"/>
      <c r="F146" s="50"/>
      <c r="G146" s="50">
        <f>Source!U73</f>
        <v>0.5655</v>
      </c>
      <c r="H146" s="50"/>
      <c r="I146" s="50"/>
      <c r="J146" s="50"/>
      <c r="K146" s="50"/>
      <c r="L146" s="57">
        <f>SUM(L147:L147)-SUMIF(CE147:CE147, 1, L147:L147)</f>
        <v>336.29</v>
      </c>
    </row>
    <row r="147" spans="1:83" ht="14.25" x14ac:dyDescent="0.2">
      <c r="A147" s="48"/>
      <c r="B147" s="48" t="s">
        <v>314</v>
      </c>
      <c r="C147" s="58" t="s">
        <v>315</v>
      </c>
      <c r="D147" s="59" t="s">
        <v>293</v>
      </c>
      <c r="E147" s="60">
        <v>3.77</v>
      </c>
      <c r="F147" s="60"/>
      <c r="G147" s="60">
        <f>SmtRes!CX19</f>
        <v>0.5655</v>
      </c>
      <c r="H147" s="61"/>
      <c r="I147" s="62"/>
      <c r="J147" s="61">
        <f>SmtRes!CZ19</f>
        <v>594.67999999999995</v>
      </c>
      <c r="K147" s="62"/>
      <c r="L147" s="61">
        <f>SmtRes!DI19</f>
        <v>336.29</v>
      </c>
    </row>
    <row r="148" spans="1:83" ht="15" x14ac:dyDescent="0.2">
      <c r="A148" s="48"/>
      <c r="B148" s="48"/>
      <c r="C148" s="65" t="s">
        <v>456</v>
      </c>
      <c r="D148" s="49"/>
      <c r="E148" s="50"/>
      <c r="F148" s="50"/>
      <c r="G148" s="50"/>
      <c r="H148" s="52"/>
      <c r="I148" s="51"/>
      <c r="J148" s="52"/>
      <c r="K148" s="51"/>
      <c r="L148" s="52">
        <f>L146</f>
        <v>336.29</v>
      </c>
    </row>
    <row r="149" spans="1:83" ht="14.25" x14ac:dyDescent="0.2">
      <c r="A149" s="46" t="s">
        <v>492</v>
      </c>
      <c r="B149" s="48" t="str">
        <f>Source!F74</f>
        <v>999-9900</v>
      </c>
      <c r="C149" s="48" t="str">
        <f>Source!G74</f>
        <v>Строительный мусор</v>
      </c>
      <c r="D149" s="49" t="str">
        <f>Source!H74</f>
        <v>т</v>
      </c>
      <c r="E149" s="50">
        <f>SmtRes!AT20</f>
        <v>0.11</v>
      </c>
      <c r="F149" s="50"/>
      <c r="G149" s="50">
        <f>Source!I74</f>
        <v>1.6500000000000001E-2</v>
      </c>
      <c r="H149" s="52">
        <f>Source!AL74+Source!AO74+Source!AM74+Source!AN74</f>
        <v>0</v>
      </c>
      <c r="I149" s="51"/>
      <c r="J149" s="52"/>
      <c r="K149" s="51"/>
      <c r="L149" s="52">
        <f>Source!P74</f>
        <v>0</v>
      </c>
      <c r="AD149">
        <f>ROUND((Source!AT74/100)*((ROUND(ROUND(Source!AO74,2)*Source!I74, 2)+ROUND(ROUND(Source!AN74,2)*Source!I74, 2))), 2)</f>
        <v>0</v>
      </c>
      <c r="AE149">
        <f>ROUND((Source!AU74/100)*((ROUND(ROUND(Source!AO74,2)*Source!I74, 2)+ROUND(ROUND(Source!AN74,2)*Source!I74, 2))), 2)</f>
        <v>0</v>
      </c>
      <c r="AN149">
        <f>L149</f>
        <v>0</v>
      </c>
      <c r="AW149">
        <f>L149</f>
        <v>0</v>
      </c>
      <c r="AZ149">
        <f>Source!X74</f>
        <v>0</v>
      </c>
      <c r="BA149">
        <f>Source!Y74</f>
        <v>0</v>
      </c>
      <c r="CD149">
        <v>1</v>
      </c>
    </row>
    <row r="150" spans="1:83" ht="14.25" x14ac:dyDescent="0.2">
      <c r="A150" s="48"/>
      <c r="B150" s="48"/>
      <c r="C150" s="48" t="s">
        <v>457</v>
      </c>
      <c r="D150" s="49"/>
      <c r="E150" s="50"/>
      <c r="F150" s="50"/>
      <c r="G150" s="50"/>
      <c r="H150" s="52"/>
      <c r="I150" s="51"/>
      <c r="J150" s="52"/>
      <c r="K150" s="51"/>
      <c r="L150" s="52">
        <f>SUM(AR144:AR153)+SUM(AS144:AS153)+SUM(AT144:AT153)+SUM(AU144:AU153)+SUM(AV144:AV153)</f>
        <v>336.29</v>
      </c>
    </row>
    <row r="151" spans="1:83" ht="14.25" x14ac:dyDescent="0.2">
      <c r="A151" s="48"/>
      <c r="B151" s="48" t="s">
        <v>110</v>
      </c>
      <c r="C151" s="48" t="s">
        <v>493</v>
      </c>
      <c r="D151" s="49" t="s">
        <v>182</v>
      </c>
      <c r="E151" s="50">
        <f>Source!BZ73</f>
        <v>89</v>
      </c>
      <c r="F151" s="50"/>
      <c r="G151" s="50">
        <f>Source!AT73</f>
        <v>89</v>
      </c>
      <c r="H151" s="52"/>
      <c r="I151" s="51"/>
      <c r="J151" s="52"/>
      <c r="K151" s="51"/>
      <c r="L151" s="52">
        <f>SUM(AZ144:AZ153)</f>
        <v>299.3</v>
      </c>
    </row>
    <row r="152" spans="1:83" ht="14.25" x14ac:dyDescent="0.2">
      <c r="A152" s="58"/>
      <c r="B152" s="58" t="s">
        <v>111</v>
      </c>
      <c r="C152" s="58" t="s">
        <v>494</v>
      </c>
      <c r="D152" s="59" t="s">
        <v>182</v>
      </c>
      <c r="E152" s="60">
        <f>Source!CA73</f>
        <v>49</v>
      </c>
      <c r="F152" s="60"/>
      <c r="G152" s="60">
        <f>Source!AU73</f>
        <v>49</v>
      </c>
      <c r="H152" s="61"/>
      <c r="I152" s="62"/>
      <c r="J152" s="61"/>
      <c r="K152" s="62"/>
      <c r="L152" s="61">
        <f>SUM(BA144:BA153)</f>
        <v>164.78</v>
      </c>
    </row>
    <row r="153" spans="1:83" ht="15" x14ac:dyDescent="0.2">
      <c r="C153" s="134" t="s">
        <v>462</v>
      </c>
      <c r="D153" s="134"/>
      <c r="E153" s="134"/>
      <c r="F153" s="134"/>
      <c r="G153" s="134"/>
      <c r="H153" s="134"/>
      <c r="I153" s="135">
        <f>IF(E144&lt;&gt;0,K153/E144, 0)</f>
        <v>5335.8</v>
      </c>
      <c r="J153" s="135"/>
      <c r="K153" s="135">
        <f>L146+L151+L152+SUM(L149:L149)</f>
        <v>800.37</v>
      </c>
      <c r="L153" s="135"/>
      <c r="AD153">
        <f>ROUND((Source!AT73/100)*((ROUND(SUMIF(SmtRes!AQ19:'SmtRes'!AQ20,"=1",SmtRes!AD19:'SmtRes'!AD20)*Source!I73, 2)+ROUND(SUMIF(SmtRes!AQ19:'SmtRes'!AQ20,"=1",SmtRes!AC19:'SmtRes'!AC20)*Source!I73, 2))), 2)</f>
        <v>79.39</v>
      </c>
      <c r="AE153">
        <f>ROUND((Source!AU73/100)*((ROUND(SUMIF(SmtRes!AQ19:'SmtRes'!AQ20,"=1",SmtRes!AD19:'SmtRes'!AD20)*Source!I73, 2)+ROUND(SUMIF(SmtRes!AQ19:'SmtRes'!AQ20,"=1",SmtRes!AC19:'SmtRes'!AC20)*Source!I73, 2))), 2)</f>
        <v>43.71</v>
      </c>
      <c r="AN153" s="63">
        <f>L146+L151+L152</f>
        <v>800.37</v>
      </c>
      <c r="AO153">
        <f>0</f>
        <v>0</v>
      </c>
      <c r="AQ153" t="s">
        <v>463</v>
      </c>
      <c r="AR153" s="63">
        <f>L146</f>
        <v>336.29</v>
      </c>
      <c r="AT153">
        <f>0</f>
        <v>0</v>
      </c>
      <c r="AV153" t="s">
        <v>463</v>
      </c>
      <c r="AW153">
        <f>0</f>
        <v>0</v>
      </c>
      <c r="AZ153">
        <f>Source!X73</f>
        <v>299.3</v>
      </c>
      <c r="BA153">
        <f>Source!Y73</f>
        <v>164.78</v>
      </c>
      <c r="CD153">
        <v>1</v>
      </c>
    </row>
    <row r="154" spans="1:83" ht="28.5" x14ac:dyDescent="0.2">
      <c r="A154" s="46" t="s">
        <v>115</v>
      </c>
      <c r="B154" s="48" t="s">
        <v>495</v>
      </c>
      <c r="C154" s="48" t="str">
        <f>Source!G75</f>
        <v>Разборка покрытий полов: из линолеума и релина</v>
      </c>
      <c r="D154" s="49" t="str">
        <f>Source!H75</f>
        <v>100 м2</v>
      </c>
      <c r="E154" s="50">
        <f>Source!K75</f>
        <v>0.22</v>
      </c>
      <c r="F154" s="50"/>
      <c r="G154" s="50">
        <f>Source!I75</f>
        <v>0.22</v>
      </c>
      <c r="H154" s="52"/>
      <c r="I154" s="51"/>
      <c r="J154" s="52"/>
      <c r="K154" s="51"/>
      <c r="L154" s="52"/>
    </row>
    <row r="155" spans="1:83" x14ac:dyDescent="0.2">
      <c r="C155" s="55" t="str">
        <f>"Объем: "&amp;Source!I75&amp;"=22/"&amp;"100"</f>
        <v>Объем: 0,22=22/100</v>
      </c>
    </row>
    <row r="156" spans="1:83" ht="15" x14ac:dyDescent="0.2">
      <c r="A156" s="47"/>
      <c r="B156" s="50">
        <v>1</v>
      </c>
      <c r="C156" s="47" t="s">
        <v>450</v>
      </c>
      <c r="D156" s="49" t="s">
        <v>293</v>
      </c>
      <c r="E156" s="56"/>
      <c r="F156" s="50"/>
      <c r="G156" s="50">
        <f>Source!U75</f>
        <v>2.5057999999999998</v>
      </c>
      <c r="H156" s="50"/>
      <c r="I156" s="50"/>
      <c r="J156" s="50"/>
      <c r="K156" s="50"/>
      <c r="L156" s="57">
        <f>SUM(L157:L157)-SUMIF(CE157:CE157, 1, L157:L157)</f>
        <v>1490.15</v>
      </c>
    </row>
    <row r="157" spans="1:83" ht="14.25" x14ac:dyDescent="0.2">
      <c r="A157" s="48"/>
      <c r="B157" s="48" t="s">
        <v>314</v>
      </c>
      <c r="C157" s="48" t="s">
        <v>315</v>
      </c>
      <c r="D157" s="49" t="s">
        <v>293</v>
      </c>
      <c r="E157" s="50">
        <v>11.39</v>
      </c>
      <c r="F157" s="50"/>
      <c r="G157" s="50">
        <f>SmtRes!CX21</f>
        <v>2.5057999999999998</v>
      </c>
      <c r="H157" s="52"/>
      <c r="I157" s="51"/>
      <c r="J157" s="52">
        <f>SmtRes!CZ21</f>
        <v>594.67999999999995</v>
      </c>
      <c r="K157" s="51"/>
      <c r="L157" s="52">
        <f>SmtRes!DI21</f>
        <v>1490.15</v>
      </c>
    </row>
    <row r="158" spans="1:83" ht="15" x14ac:dyDescent="0.2">
      <c r="A158" s="47"/>
      <c r="B158" s="50">
        <v>2</v>
      </c>
      <c r="C158" s="47" t="s">
        <v>451</v>
      </c>
      <c r="D158" s="49"/>
      <c r="E158" s="56"/>
      <c r="F158" s="50"/>
      <c r="G158" s="50"/>
      <c r="H158" s="50"/>
      <c r="I158" s="50"/>
      <c r="J158" s="50"/>
      <c r="K158" s="50"/>
      <c r="L158" s="57">
        <f>SUM(L159:L161)-SUMIF(CE159:CE161, 1, L159:L161)</f>
        <v>1.6799999999999997</v>
      </c>
    </row>
    <row r="159" spans="1:83" ht="15" x14ac:dyDescent="0.2">
      <c r="A159" s="47"/>
      <c r="B159" s="50"/>
      <c r="C159" s="47" t="s">
        <v>454</v>
      </c>
      <c r="D159" s="49" t="s">
        <v>293</v>
      </c>
      <c r="E159" s="56"/>
      <c r="F159" s="50"/>
      <c r="G159" s="50">
        <f>Source!V75</f>
        <v>2.86E-2</v>
      </c>
      <c r="H159" s="50"/>
      <c r="I159" s="50"/>
      <c r="J159" s="50"/>
      <c r="K159" s="50"/>
      <c r="L159" s="57">
        <f>SUMIF(CE160:CE161, 1, L160:L161)</f>
        <v>18.57</v>
      </c>
      <c r="CE159">
        <v>1</v>
      </c>
    </row>
    <row r="160" spans="1:83" ht="42.75" x14ac:dyDescent="0.2">
      <c r="A160" s="48"/>
      <c r="B160" s="48" t="s">
        <v>316</v>
      </c>
      <c r="C160" s="48" t="s">
        <v>318</v>
      </c>
      <c r="D160" s="49" t="s">
        <v>299</v>
      </c>
      <c r="E160" s="50">
        <v>0.13</v>
      </c>
      <c r="F160" s="50"/>
      <c r="G160" s="50">
        <f>SmtRes!CX23</f>
        <v>2.86E-2</v>
      </c>
      <c r="H160" s="52">
        <f>SmtRes!CZ23</f>
        <v>37.32</v>
      </c>
      <c r="I160" s="51">
        <f>SmtRes!AJ23</f>
        <v>1.57</v>
      </c>
      <c r="J160" s="52">
        <f>ROUND(H160*I160, 2)</f>
        <v>58.59</v>
      </c>
      <c r="K160" s="51"/>
      <c r="L160" s="52">
        <f>SmtRes!DG23</f>
        <v>1.68</v>
      </c>
    </row>
    <row r="161" spans="1:83" ht="28.5" x14ac:dyDescent="0.2">
      <c r="A161" s="48"/>
      <c r="B161" s="48" t="s">
        <v>300</v>
      </c>
      <c r="C161" s="58" t="s">
        <v>452</v>
      </c>
      <c r="D161" s="59" t="s">
        <v>293</v>
      </c>
      <c r="E161" s="60">
        <f>SmtRes!DO23*SmtRes!AT23</f>
        <v>0.13</v>
      </c>
      <c r="F161" s="60"/>
      <c r="G161" s="60">
        <f>ROUND(E161*G154, 7)</f>
        <v>2.86E-2</v>
      </c>
      <c r="H161" s="61"/>
      <c r="I161" s="62"/>
      <c r="J161" s="61">
        <f>ROUND(SmtRes!AG23/SmtRes!DO23, 2)</f>
        <v>649.24</v>
      </c>
      <c r="K161" s="62"/>
      <c r="L161" s="61">
        <f>SmtRes!DH23</f>
        <v>18.57</v>
      </c>
      <c r="CE161">
        <v>1</v>
      </c>
    </row>
    <row r="162" spans="1:83" ht="15" x14ac:dyDescent="0.2">
      <c r="A162" s="48"/>
      <c r="B162" s="48"/>
      <c r="C162" s="65" t="s">
        <v>456</v>
      </c>
      <c r="D162" s="49"/>
      <c r="E162" s="50"/>
      <c r="F162" s="50"/>
      <c r="G162" s="50"/>
      <c r="H162" s="52"/>
      <c r="I162" s="51"/>
      <c r="J162" s="52"/>
      <c r="K162" s="51"/>
      <c r="L162" s="52">
        <f>L156+L158+L159</f>
        <v>1510.4</v>
      </c>
    </row>
    <row r="163" spans="1:83" ht="14.25" x14ac:dyDescent="0.2">
      <c r="A163" s="46" t="s">
        <v>496</v>
      </c>
      <c r="B163" s="48" t="str">
        <f>Source!F76</f>
        <v>999-9900</v>
      </c>
      <c r="C163" s="48" t="str">
        <f>Source!G76</f>
        <v>Строительный мусор</v>
      </c>
      <c r="D163" s="49" t="str">
        <f>Source!H76</f>
        <v>т</v>
      </c>
      <c r="E163" s="50">
        <f>SmtRes!AT24</f>
        <v>0.47</v>
      </c>
      <c r="F163" s="50"/>
      <c r="G163" s="50">
        <f>Source!I76</f>
        <v>0.10340000000000001</v>
      </c>
      <c r="H163" s="52">
        <f>Source!AL76+Source!AO76+Source!AM76+Source!AN76</f>
        <v>0</v>
      </c>
      <c r="I163" s="51"/>
      <c r="J163" s="52"/>
      <c r="K163" s="51"/>
      <c r="L163" s="52">
        <f>Source!P76</f>
        <v>0</v>
      </c>
      <c r="AD163">
        <f>ROUND((Source!AT76/100)*((ROUND(ROUND(Source!AO76,2)*Source!I76, 2)+ROUND(ROUND(Source!AN76,2)*Source!I76, 2))), 2)</f>
        <v>0</v>
      </c>
      <c r="AE163">
        <f>ROUND((Source!AU76/100)*((ROUND(ROUND(Source!AO76,2)*Source!I76, 2)+ROUND(ROUND(Source!AN76,2)*Source!I76, 2))), 2)</f>
        <v>0</v>
      </c>
      <c r="AN163">
        <f>L163</f>
        <v>0</v>
      </c>
      <c r="AW163">
        <f>L163</f>
        <v>0</v>
      </c>
      <c r="AZ163">
        <f>Source!X76</f>
        <v>0</v>
      </c>
      <c r="BA163">
        <f>Source!Y76</f>
        <v>0</v>
      </c>
      <c r="CD163">
        <v>1</v>
      </c>
    </row>
    <row r="164" spans="1:83" ht="14.25" x14ac:dyDescent="0.2">
      <c r="A164" s="48"/>
      <c r="B164" s="48"/>
      <c r="C164" s="48" t="s">
        <v>457</v>
      </c>
      <c r="D164" s="49"/>
      <c r="E164" s="50"/>
      <c r="F164" s="50"/>
      <c r="G164" s="50"/>
      <c r="H164" s="52"/>
      <c r="I164" s="51"/>
      <c r="J164" s="52"/>
      <c r="K164" s="51"/>
      <c r="L164" s="52">
        <f>SUM(AR154:AR167)+SUM(AS154:AS167)+SUM(AT154:AT167)+SUM(AU154:AU167)+SUM(AV154:AV167)</f>
        <v>1508.72</v>
      </c>
    </row>
    <row r="165" spans="1:83" ht="14.25" x14ac:dyDescent="0.2">
      <c r="A165" s="48"/>
      <c r="B165" s="48" t="s">
        <v>110</v>
      </c>
      <c r="C165" s="48" t="s">
        <v>493</v>
      </c>
      <c r="D165" s="49" t="s">
        <v>182</v>
      </c>
      <c r="E165" s="50">
        <f>Source!BZ75</f>
        <v>89</v>
      </c>
      <c r="F165" s="50"/>
      <c r="G165" s="50">
        <f>Source!AT75</f>
        <v>89</v>
      </c>
      <c r="H165" s="52"/>
      <c r="I165" s="51"/>
      <c r="J165" s="52"/>
      <c r="K165" s="51"/>
      <c r="L165" s="52">
        <f>SUM(AZ154:AZ167)</f>
        <v>1342.76</v>
      </c>
    </row>
    <row r="166" spans="1:83" ht="14.25" x14ac:dyDescent="0.2">
      <c r="A166" s="58"/>
      <c r="B166" s="58" t="s">
        <v>111</v>
      </c>
      <c r="C166" s="58" t="s">
        <v>494</v>
      </c>
      <c r="D166" s="59" t="s">
        <v>182</v>
      </c>
      <c r="E166" s="60">
        <f>Source!CA75</f>
        <v>49</v>
      </c>
      <c r="F166" s="60"/>
      <c r="G166" s="60">
        <f>Source!AU75</f>
        <v>49</v>
      </c>
      <c r="H166" s="61"/>
      <c r="I166" s="62"/>
      <c r="J166" s="61"/>
      <c r="K166" s="62"/>
      <c r="L166" s="61">
        <f>SUM(BA154:BA167)</f>
        <v>739.27</v>
      </c>
    </row>
    <row r="167" spans="1:83" ht="15" x14ac:dyDescent="0.2">
      <c r="C167" s="134" t="s">
        <v>462</v>
      </c>
      <c r="D167" s="134"/>
      <c r="E167" s="134"/>
      <c r="F167" s="134"/>
      <c r="G167" s="134"/>
      <c r="H167" s="134"/>
      <c r="I167" s="135">
        <f>IF(E154&lt;&gt;0,K167/E154, 0)</f>
        <v>16329.227272727274</v>
      </c>
      <c r="J167" s="135"/>
      <c r="K167" s="135">
        <f>L156+L158+L165+L166+L159+SUM(L163:L163)</f>
        <v>3592.4300000000003</v>
      </c>
      <c r="L167" s="135"/>
      <c r="AD167">
        <f>ROUND((Source!AT75/100)*((ROUND(SUMIF(SmtRes!AQ21:'SmtRes'!AQ24,"=1",SmtRes!AD21:'SmtRes'!AD24)*Source!I75, 2)+ROUND(SUMIF(SmtRes!AQ21:'SmtRes'!AQ24,"=1",SmtRes!AC21:'SmtRes'!AC24)*Source!I75, 2))), 2)</f>
        <v>243.56</v>
      </c>
      <c r="AE167">
        <f>ROUND((Source!AU75/100)*((ROUND(SUMIF(SmtRes!AQ21:'SmtRes'!AQ24,"=1",SmtRes!AD21:'SmtRes'!AD24)*Source!I75, 2)+ROUND(SUMIF(SmtRes!AQ21:'SmtRes'!AQ24,"=1",SmtRes!AC21:'SmtRes'!AC24)*Source!I75, 2))), 2)</f>
        <v>134.09</v>
      </c>
      <c r="AN167" s="63">
        <f>L156+L158+L165+L166+L159</f>
        <v>3592.4300000000003</v>
      </c>
      <c r="AO167" s="63">
        <f>L158</f>
        <v>1.6799999999999997</v>
      </c>
      <c r="AQ167" t="s">
        <v>463</v>
      </c>
      <c r="AR167" s="63">
        <f>L156</f>
        <v>1490.15</v>
      </c>
      <c r="AT167" s="63">
        <f>L159</f>
        <v>18.57</v>
      </c>
      <c r="AV167" t="s">
        <v>463</v>
      </c>
      <c r="AW167">
        <f>0</f>
        <v>0</v>
      </c>
      <c r="AZ167">
        <f>Source!X75</f>
        <v>1342.76</v>
      </c>
      <c r="BA167">
        <f>Source!Y75</f>
        <v>739.27</v>
      </c>
      <c r="CD167">
        <v>1</v>
      </c>
    </row>
    <row r="168" spans="1:83" ht="105" x14ac:dyDescent="0.2">
      <c r="A168" s="46" t="s">
        <v>120</v>
      </c>
      <c r="B168" s="48" t="s">
        <v>497</v>
      </c>
      <c r="C168" s="48" t="s">
        <v>498</v>
      </c>
      <c r="D168" s="49" t="str">
        <f>Source!H77</f>
        <v>100 м2</v>
      </c>
      <c r="E168" s="50">
        <f>Source!K77</f>
        <v>0.22</v>
      </c>
      <c r="F168" s="50"/>
      <c r="G168" s="50">
        <f>Source!I77</f>
        <v>0.22</v>
      </c>
      <c r="H168" s="52"/>
      <c r="I168" s="51"/>
      <c r="J168" s="52"/>
      <c r="K168" s="51"/>
      <c r="L168" s="52"/>
    </row>
    <row r="169" spans="1:83" ht="165.75" x14ac:dyDescent="0.2">
      <c r="B169" s="53" t="str">
        <f>Source!EO77</f>
        <v>Поправка: 421/пр_2020_п.58_пп.б</v>
      </c>
      <c r="C169" s="53" t="str">
        <f>Source!CN77</f>
        <v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v>
      </c>
    </row>
    <row r="170" spans="1:83" x14ac:dyDescent="0.2">
      <c r="C170" s="55" t="str">
        <f>"Объем: "&amp;Source!I77&amp;"=22/"&amp;"100"</f>
        <v>Объем: 0,22=22/100</v>
      </c>
    </row>
    <row r="171" spans="1:83" ht="15" x14ac:dyDescent="0.2">
      <c r="A171" s="47"/>
      <c r="B171" s="50">
        <v>1</v>
      </c>
      <c r="C171" s="47" t="s">
        <v>450</v>
      </c>
      <c r="D171" s="49" t="s">
        <v>293</v>
      </c>
      <c r="E171" s="56"/>
      <c r="F171" s="50"/>
      <c r="G171" s="50">
        <f>Source!U77</f>
        <v>5.7051499999999997</v>
      </c>
      <c r="H171" s="50"/>
      <c r="I171" s="50"/>
      <c r="J171" s="50"/>
      <c r="K171" s="50"/>
      <c r="L171" s="57">
        <f>SUM(L172:L172)-SUMIF(CE172:CE172, 1, L172:L172)</f>
        <v>3704.01</v>
      </c>
    </row>
    <row r="172" spans="1:83" ht="14.25" x14ac:dyDescent="0.2">
      <c r="A172" s="48"/>
      <c r="B172" s="48" t="s">
        <v>319</v>
      </c>
      <c r="C172" s="48" t="s">
        <v>320</v>
      </c>
      <c r="D172" s="49" t="s">
        <v>293</v>
      </c>
      <c r="E172" s="50">
        <v>22.55</v>
      </c>
      <c r="F172" s="50">
        <f>ROUND(1.15,7)</f>
        <v>1.1499999999999999</v>
      </c>
      <c r="G172" s="50">
        <f>SmtRes!CX25</f>
        <v>5.7051499999999997</v>
      </c>
      <c r="H172" s="52"/>
      <c r="I172" s="51"/>
      <c r="J172" s="52">
        <f>SmtRes!CZ25</f>
        <v>649.24</v>
      </c>
      <c r="K172" s="51"/>
      <c r="L172" s="52">
        <f>SmtRes!DI25</f>
        <v>3704.01</v>
      </c>
    </row>
    <row r="173" spans="1:83" ht="15" x14ac:dyDescent="0.2">
      <c r="A173" s="47"/>
      <c r="B173" s="50">
        <v>2</v>
      </c>
      <c r="C173" s="47" t="s">
        <v>451</v>
      </c>
      <c r="D173" s="49"/>
      <c r="E173" s="56"/>
      <c r="F173" s="50"/>
      <c r="G173" s="50"/>
      <c r="H173" s="50"/>
      <c r="I173" s="50"/>
      <c r="J173" s="50"/>
      <c r="K173" s="50"/>
      <c r="L173" s="57">
        <f>SUM(L174:L176)-SUMIF(CE174:CE176, 1, L174:L176)</f>
        <v>14.990000000000002</v>
      </c>
    </row>
    <row r="174" spans="1:83" ht="15" x14ac:dyDescent="0.2">
      <c r="A174" s="47"/>
      <c r="B174" s="50"/>
      <c r="C174" s="47" t="s">
        <v>454</v>
      </c>
      <c r="D174" s="49" t="s">
        <v>293</v>
      </c>
      <c r="E174" s="56"/>
      <c r="F174" s="50"/>
      <c r="G174" s="50">
        <f>Source!V77</f>
        <v>2.75E-2</v>
      </c>
      <c r="H174" s="50"/>
      <c r="I174" s="50"/>
      <c r="J174" s="50"/>
      <c r="K174" s="50"/>
      <c r="L174" s="57">
        <f>SUMIF(CE175:CE176, 1, L175:L176)</f>
        <v>20.100000000000001</v>
      </c>
      <c r="CE174">
        <v>1</v>
      </c>
    </row>
    <row r="175" spans="1:83" ht="28.5" x14ac:dyDescent="0.2">
      <c r="A175" s="48"/>
      <c r="B175" s="48" t="s">
        <v>301</v>
      </c>
      <c r="C175" s="48" t="s">
        <v>303</v>
      </c>
      <c r="D175" s="49" t="s">
        <v>299</v>
      </c>
      <c r="E175" s="50">
        <v>0.1</v>
      </c>
      <c r="F175" s="50">
        <f>ROUND(1.25,7)</f>
        <v>1.25</v>
      </c>
      <c r="G175" s="50">
        <f>SmtRes!CX27</f>
        <v>2.75E-2</v>
      </c>
      <c r="H175" s="52"/>
      <c r="I175" s="51"/>
      <c r="J175" s="52">
        <f>SmtRes!CZ27</f>
        <v>544.91999999999996</v>
      </c>
      <c r="K175" s="51"/>
      <c r="L175" s="52">
        <f>SmtRes!DG27</f>
        <v>14.99</v>
      </c>
    </row>
    <row r="176" spans="1:83" ht="28.5" x14ac:dyDescent="0.2">
      <c r="A176" s="48"/>
      <c r="B176" s="48" t="s">
        <v>304</v>
      </c>
      <c r="C176" s="48" t="s">
        <v>453</v>
      </c>
      <c r="D176" s="49" t="s">
        <v>293</v>
      </c>
      <c r="E176" s="50">
        <f>SmtRes!DO27*SmtRes!AT27</f>
        <v>0.1</v>
      </c>
      <c r="F176" s="50">
        <f>ROUND(1.25,7)</f>
        <v>1.25</v>
      </c>
      <c r="G176" s="50">
        <f>ROUND(E176*F176*G168, 7)</f>
        <v>2.75E-2</v>
      </c>
      <c r="H176" s="52"/>
      <c r="I176" s="51"/>
      <c r="J176" s="52">
        <f>ROUND(SmtRes!AG27/SmtRes!DO27, 2)</f>
        <v>731.08</v>
      </c>
      <c r="K176" s="51"/>
      <c r="L176" s="52">
        <f>SmtRes!DH27</f>
        <v>20.100000000000001</v>
      </c>
      <c r="CE176">
        <v>1</v>
      </c>
    </row>
    <row r="177" spans="1:101" ht="15" x14ac:dyDescent="0.2">
      <c r="A177" s="47"/>
      <c r="B177" s="50">
        <v>4</v>
      </c>
      <c r="C177" s="47" t="s">
        <v>455</v>
      </c>
      <c r="D177" s="49"/>
      <c r="E177" s="56"/>
      <c r="F177" s="50"/>
      <c r="G177" s="50"/>
      <c r="H177" s="50"/>
      <c r="I177" s="50"/>
      <c r="J177" s="50"/>
      <c r="K177" s="50"/>
      <c r="L177" s="57">
        <f>SUM(L178:L179)-SUMIF(CE178:CE179, 1, L178:L179)</f>
        <v>363.83</v>
      </c>
    </row>
    <row r="178" spans="1:101" ht="14.25" x14ac:dyDescent="0.2">
      <c r="A178" s="48"/>
      <c r="B178" s="48" t="s">
        <v>321</v>
      </c>
      <c r="C178" s="48" t="s">
        <v>323</v>
      </c>
      <c r="D178" s="49" t="s">
        <v>324</v>
      </c>
      <c r="E178" s="50">
        <v>0.58099999999999996</v>
      </c>
      <c r="F178" s="50"/>
      <c r="G178" s="50">
        <f>SmtRes!CX28</f>
        <v>0.12781999999999999</v>
      </c>
      <c r="H178" s="52"/>
      <c r="I178" s="51"/>
      <c r="J178" s="52">
        <f>SmtRes!CZ28</f>
        <v>6.92</v>
      </c>
      <c r="K178" s="51"/>
      <c r="L178" s="52">
        <f>SmtRes!DF28</f>
        <v>0.88</v>
      </c>
    </row>
    <row r="179" spans="1:101" ht="28.5" x14ac:dyDescent="0.2">
      <c r="A179" s="48"/>
      <c r="B179" s="48" t="s">
        <v>325</v>
      </c>
      <c r="C179" s="48" t="s">
        <v>327</v>
      </c>
      <c r="D179" s="49" t="s">
        <v>328</v>
      </c>
      <c r="E179" s="50">
        <v>10.5</v>
      </c>
      <c r="F179" s="50"/>
      <c r="G179" s="50">
        <f>SmtRes!CX29</f>
        <v>2.31</v>
      </c>
      <c r="H179" s="52">
        <f>SmtRes!CZ29</f>
        <v>108.36</v>
      </c>
      <c r="I179" s="51">
        <f>SmtRes!AI29</f>
        <v>1.45</v>
      </c>
      <c r="J179" s="52">
        <f>ROUND(H179*I179, 2)</f>
        <v>157.12</v>
      </c>
      <c r="K179" s="51"/>
      <c r="L179" s="52">
        <f>SmtRes!DF29</f>
        <v>362.95</v>
      </c>
    </row>
    <row r="180" spans="1:101" ht="28.5" x14ac:dyDescent="0.2">
      <c r="A180" s="48"/>
      <c r="B180" s="48" t="str">
        <f>EtalonRes!I29</f>
        <v>11.2.03.02</v>
      </c>
      <c r="C180" s="58" t="str">
        <f>EtalonRes!K29</f>
        <v>Покрытие напольное ламинированное (ламинат)</v>
      </c>
      <c r="D180" s="59" t="str">
        <f>EtalonRes!O29</f>
        <v>м2</v>
      </c>
      <c r="E180" s="60">
        <f>EtalonRes!X29</f>
        <v>102.5</v>
      </c>
      <c r="F180" s="60"/>
      <c r="G180" s="60">
        <f>ROUND(EtalonRes!AG29*Source!I77, 7)</f>
        <v>22.55</v>
      </c>
      <c r="H180" s="61"/>
      <c r="I180" s="62"/>
      <c r="J180" s="61"/>
      <c r="K180" s="62"/>
      <c r="L180" s="61"/>
    </row>
    <row r="181" spans="1:101" ht="15" x14ac:dyDescent="0.2">
      <c r="A181" s="48"/>
      <c r="B181" s="48"/>
      <c r="C181" s="65" t="s">
        <v>456</v>
      </c>
      <c r="D181" s="49"/>
      <c r="E181" s="50"/>
      <c r="F181" s="50"/>
      <c r="G181" s="50"/>
      <c r="H181" s="52"/>
      <c r="I181" s="51"/>
      <c r="J181" s="52"/>
      <c r="K181" s="51"/>
      <c r="L181" s="52">
        <f>L171+L173+L174+L177</f>
        <v>4102.93</v>
      </c>
    </row>
    <row r="182" spans="1:101" ht="42.75" x14ac:dyDescent="0.2">
      <c r="A182" s="46" t="s">
        <v>499</v>
      </c>
      <c r="B182" s="48" t="str">
        <f>Source!F78</f>
        <v>ТЦ_59.00.00.00_50_5009056896_16.04.2026_01_1.2</v>
      </c>
      <c r="C182" s="48" t="s">
        <v>500</v>
      </c>
      <c r="D182" s="49" t="str">
        <f>Source!H78</f>
        <v>м2</v>
      </c>
      <c r="E182" s="50">
        <f>SmtRes!AT30</f>
        <v>102.6818182</v>
      </c>
      <c r="F182" s="50"/>
      <c r="G182" s="50">
        <f>Source!I78</f>
        <v>22.59</v>
      </c>
      <c r="H182" s="52"/>
      <c r="I182" s="51"/>
      <c r="J182" s="52">
        <f>Source!AK78</f>
        <v>2213.11</v>
      </c>
      <c r="K182" s="51"/>
      <c r="L182" s="52">
        <f>Source!P78</f>
        <v>49994.15</v>
      </c>
      <c r="AD182">
        <f>ROUND((Source!AT78/100)*((ROUND(ROUND(Source!AO78,2)*Source!I78, 2)+ROUND(ROUND(Source!AN78,2)*Source!I78, 2))), 2)</f>
        <v>0</v>
      </c>
      <c r="AE182">
        <f>ROUND((Source!AU78/100)*((ROUND(ROUND(Source!AO78,2)*Source!I78, 2)+ROUND(ROUND(Source!AN78,2)*Source!I78, 2))), 2)</f>
        <v>0</v>
      </c>
      <c r="AN182">
        <f>L182</f>
        <v>49994.15</v>
      </c>
      <c r="AW182">
        <f>L182</f>
        <v>49994.15</v>
      </c>
      <c r="AX182">
        <f>L182</f>
        <v>49994.15</v>
      </c>
      <c r="AZ182">
        <f>Source!X78</f>
        <v>0</v>
      </c>
      <c r="BA182">
        <f>Source!Y78</f>
        <v>0</v>
      </c>
      <c r="CD182">
        <v>1</v>
      </c>
    </row>
    <row r="183" spans="1:101" ht="14.25" x14ac:dyDescent="0.2">
      <c r="A183" s="48"/>
      <c r="B183" s="48"/>
      <c r="C183" s="48" t="s">
        <v>457</v>
      </c>
      <c r="D183" s="49"/>
      <c r="E183" s="50"/>
      <c r="F183" s="50"/>
      <c r="G183" s="50"/>
      <c r="H183" s="52"/>
      <c r="I183" s="51"/>
      <c r="J183" s="52"/>
      <c r="K183" s="51"/>
      <c r="L183" s="52">
        <f>SUM(AR168:AR186)+SUM(AS168:AS186)+SUM(AT168:AT186)+SUM(AU168:AU186)+SUM(AV168:AV186)</f>
        <v>3724.11</v>
      </c>
    </row>
    <row r="184" spans="1:101" ht="28.5" x14ac:dyDescent="0.2">
      <c r="A184" s="48"/>
      <c r="B184" s="48" t="s">
        <v>501</v>
      </c>
      <c r="C184" s="48" t="s">
        <v>493</v>
      </c>
      <c r="D184" s="49" t="s">
        <v>182</v>
      </c>
      <c r="E184" s="50">
        <f>Source!BZ77</f>
        <v>112</v>
      </c>
      <c r="F184" s="50">
        <f>ROUND(0.9,7)</f>
        <v>0.9</v>
      </c>
      <c r="G184" s="50">
        <f>Source!AT77</f>
        <v>100.8</v>
      </c>
      <c r="H184" s="52"/>
      <c r="I184" s="51"/>
      <c r="J184" s="52"/>
      <c r="K184" s="51"/>
      <c r="L184" s="52">
        <f>SUM(AZ168:AZ186)</f>
        <v>3753.9</v>
      </c>
    </row>
    <row r="185" spans="1:101" ht="28.5" x14ac:dyDescent="0.2">
      <c r="A185" s="58"/>
      <c r="B185" s="58" t="s">
        <v>502</v>
      </c>
      <c r="C185" s="58" t="s">
        <v>494</v>
      </c>
      <c r="D185" s="59" t="s">
        <v>182</v>
      </c>
      <c r="E185" s="60">
        <f>Source!CA77</f>
        <v>65</v>
      </c>
      <c r="F185" s="60">
        <f>ROUND(0.85,7)</f>
        <v>0.85</v>
      </c>
      <c r="G185" s="60">
        <f>Source!AU77</f>
        <v>55.25</v>
      </c>
      <c r="H185" s="61"/>
      <c r="I185" s="62"/>
      <c r="J185" s="61"/>
      <c r="K185" s="62"/>
      <c r="L185" s="61">
        <f>SUM(BA168:BA186)</f>
        <v>2057.5700000000002</v>
      </c>
    </row>
    <row r="186" spans="1:101" ht="15" x14ac:dyDescent="0.2">
      <c r="C186" s="134" t="s">
        <v>462</v>
      </c>
      <c r="D186" s="134"/>
      <c r="E186" s="134"/>
      <c r="F186" s="134"/>
      <c r="G186" s="134"/>
      <c r="H186" s="134"/>
      <c r="I186" s="135">
        <f>IF(E168&lt;&gt;0,K186/E168, 0)</f>
        <v>272311.59090909094</v>
      </c>
      <c r="J186" s="135"/>
      <c r="K186" s="135">
        <f>L171+L173+L177+L184+L185+L174+SUM(L182:L182)</f>
        <v>59908.55</v>
      </c>
      <c r="L186" s="135"/>
      <c r="AD186">
        <f>ROUND((Source!AT77/100)*((ROUND(SUMIF(SmtRes!AQ25:'SmtRes'!AQ30,"=1",SmtRes!AD25:'SmtRes'!AD30)*Source!I77, 2)+ROUND(SUMIF(SmtRes!AQ25:'SmtRes'!AQ30,"=1",SmtRes!AC25:'SmtRes'!AC30)*Source!I77, 2))), 2)</f>
        <v>306.10000000000002</v>
      </c>
      <c r="AE186">
        <f>ROUND((Source!AU77/100)*((ROUND(SUMIF(SmtRes!AQ25:'SmtRes'!AQ30,"=1",SmtRes!AD25:'SmtRes'!AD30)*Source!I77, 2)+ROUND(SUMIF(SmtRes!AQ25:'SmtRes'!AQ30,"=1",SmtRes!AC25:'SmtRes'!AC30)*Source!I77, 2))), 2)</f>
        <v>167.78</v>
      </c>
      <c r="AN186" s="63">
        <f>L171+L173+L177+L184+L185+L174</f>
        <v>9914.4</v>
      </c>
      <c r="AO186" s="63">
        <f>L173</f>
        <v>14.990000000000002</v>
      </c>
      <c r="AQ186" t="s">
        <v>463</v>
      </c>
      <c r="AR186" s="63">
        <f>L171</f>
        <v>3704.01</v>
      </c>
      <c r="AT186" s="63">
        <f>L174</f>
        <v>20.100000000000001</v>
      </c>
      <c r="AV186" t="s">
        <v>463</v>
      </c>
      <c r="AW186" s="63">
        <f>L177</f>
        <v>363.83</v>
      </c>
      <c r="AZ186">
        <f>Source!X77</f>
        <v>3753.9</v>
      </c>
      <c r="BA186">
        <f>Source!Y77</f>
        <v>2057.5700000000002</v>
      </c>
      <c r="CD186">
        <v>1</v>
      </c>
    </row>
    <row r="187" spans="1:101" ht="28.5" x14ac:dyDescent="0.2">
      <c r="A187" s="46" t="s">
        <v>133</v>
      </c>
      <c r="B187" s="48" t="s">
        <v>503</v>
      </c>
      <c r="C187" s="48" t="str">
        <f>Source!G79</f>
        <v>Устройство плинтусов поливинилхлоридных: на клее КН-2</v>
      </c>
      <c r="D187" s="49" t="str">
        <f>Source!H79</f>
        <v>100 м</v>
      </c>
      <c r="E187" s="50">
        <f>Source!K79</f>
        <v>0.15</v>
      </c>
      <c r="F187" s="50"/>
      <c r="G187" s="50">
        <f>Source!I79</f>
        <v>0.15</v>
      </c>
      <c r="H187" s="52"/>
      <c r="I187" s="51"/>
      <c r="J187" s="52"/>
      <c r="K187" s="51"/>
      <c r="L187" s="52"/>
    </row>
    <row r="188" spans="1:101" ht="51" x14ac:dyDescent="0.2">
      <c r="B188" s="53" t="s">
        <v>355</v>
      </c>
      <c r="C188" s="133" t="s">
        <v>449</v>
      </c>
      <c r="D188" s="133"/>
      <c r="E188" s="133"/>
      <c r="F188" s="133"/>
      <c r="G188" s="133"/>
      <c r="H188" s="133"/>
      <c r="I188" s="133"/>
      <c r="J188" s="133"/>
      <c r="K188" s="133"/>
      <c r="L188" s="133"/>
      <c r="CW188" s="54" t="s">
        <v>449</v>
      </c>
    </row>
    <row r="189" spans="1:101" x14ac:dyDescent="0.2">
      <c r="C189" s="55" t="str">
        <f>"Объем: "&amp;Source!I79&amp;"=15/"&amp;"100"</f>
        <v>Объем: 0,15=15/100</v>
      </c>
    </row>
    <row r="190" spans="1:101" ht="15" x14ac:dyDescent="0.2">
      <c r="A190" s="47"/>
      <c r="B190" s="50">
        <v>1</v>
      </c>
      <c r="C190" s="47" t="s">
        <v>450</v>
      </c>
      <c r="D190" s="49" t="s">
        <v>293</v>
      </c>
      <c r="E190" s="56"/>
      <c r="F190" s="50"/>
      <c r="G190" s="50">
        <f>Source!U79</f>
        <v>1.554225</v>
      </c>
      <c r="H190" s="50"/>
      <c r="I190" s="50"/>
      <c r="J190" s="50"/>
      <c r="K190" s="50"/>
      <c r="L190" s="57">
        <f>SUM(L191:L191)-SUMIF(CE191:CE191, 1, L191:L191)</f>
        <v>577.95000000000005</v>
      </c>
    </row>
    <row r="191" spans="1:101" ht="14.25" x14ac:dyDescent="0.2">
      <c r="A191" s="48"/>
      <c r="B191" s="48" t="s">
        <v>329</v>
      </c>
      <c r="C191" s="48" t="s">
        <v>330</v>
      </c>
      <c r="D191" s="49" t="s">
        <v>293</v>
      </c>
      <c r="E191" s="50">
        <v>9.01</v>
      </c>
      <c r="F191" s="50">
        <f>ROUND(1.15,7)</f>
        <v>1.1499999999999999</v>
      </c>
      <c r="G191" s="50">
        <f>SmtRes!CX31</f>
        <v>1.554225</v>
      </c>
      <c r="H191" s="52"/>
      <c r="I191" s="51"/>
      <c r="J191" s="52">
        <f>SmtRes!CZ31</f>
        <v>371.86</v>
      </c>
      <c r="K191" s="51"/>
      <c r="L191" s="52">
        <f>SmtRes!DI31</f>
        <v>577.95000000000005</v>
      </c>
    </row>
    <row r="192" spans="1:101" ht="15" hidden="1" x14ac:dyDescent="0.2">
      <c r="A192" s="47"/>
      <c r="B192" s="50">
        <v>2</v>
      </c>
      <c r="C192" s="47" t="s">
        <v>451</v>
      </c>
      <c r="D192" s="49"/>
      <c r="E192" s="56"/>
      <c r="F192" s="50"/>
      <c r="G192" s="50"/>
      <c r="H192" s="50"/>
      <c r="I192" s="50"/>
      <c r="J192" s="50"/>
      <c r="K192" s="50"/>
      <c r="L192" s="57">
        <f>SUM(L193:L193)-SUMIF(CE193:CE193, 1, L193:L193)</f>
        <v>0</v>
      </c>
    </row>
    <row r="193" spans="1:83" ht="15" hidden="1" x14ac:dyDescent="0.2">
      <c r="A193" s="47"/>
      <c r="B193" s="50"/>
      <c r="C193" s="47" t="s">
        <v>454</v>
      </c>
      <c r="D193" s="49" t="s">
        <v>293</v>
      </c>
      <c r="E193" s="56"/>
      <c r="F193" s="50"/>
      <c r="G193" s="50">
        <f>Source!V79</f>
        <v>6.5624999999999998E-3</v>
      </c>
      <c r="H193" s="50"/>
      <c r="I193" s="50"/>
      <c r="J193" s="50"/>
      <c r="K193" s="50"/>
      <c r="L193" s="57">
        <f>0</f>
        <v>0</v>
      </c>
      <c r="CE193">
        <v>1</v>
      </c>
    </row>
    <row r="194" spans="1:83" ht="15" hidden="1" x14ac:dyDescent="0.2">
      <c r="A194" s="47"/>
      <c r="B194" s="50">
        <v>4</v>
      </c>
      <c r="C194" s="47" t="s">
        <v>455</v>
      </c>
      <c r="D194" s="49"/>
      <c r="E194" s="56"/>
      <c r="F194" s="50"/>
      <c r="G194" s="50"/>
      <c r="H194" s="50"/>
      <c r="I194" s="50"/>
      <c r="J194" s="50"/>
      <c r="K194" s="50"/>
      <c r="L194" s="57">
        <f>0</f>
        <v>0</v>
      </c>
    </row>
    <row r="195" spans="1:83" ht="14.25" x14ac:dyDescent="0.2">
      <c r="A195" s="48"/>
      <c r="B195" s="48" t="str">
        <f>EtalonRes!I35</f>
        <v>11.3.03.06</v>
      </c>
      <c r="C195" s="58" t="str">
        <f>EtalonRes!K35</f>
        <v>Плинтуса для полов пластиковые</v>
      </c>
      <c r="D195" s="59" t="str">
        <f>EtalonRes!O35</f>
        <v>м</v>
      </c>
      <c r="E195" s="60">
        <f>EtalonRes!X35</f>
        <v>101</v>
      </c>
      <c r="F195" s="60"/>
      <c r="G195" s="60">
        <f>ROUND(EtalonRes!AG35*Source!I79, 7)</f>
        <v>15.15</v>
      </c>
      <c r="H195" s="61"/>
      <c r="I195" s="62"/>
      <c r="J195" s="61"/>
      <c r="K195" s="62"/>
      <c r="L195" s="61"/>
    </row>
    <row r="196" spans="1:83" ht="15" x14ac:dyDescent="0.2">
      <c r="A196" s="48"/>
      <c r="B196" s="48"/>
      <c r="C196" s="65" t="s">
        <v>456</v>
      </c>
      <c r="D196" s="49"/>
      <c r="E196" s="50"/>
      <c r="F196" s="50"/>
      <c r="G196" s="50"/>
      <c r="H196" s="52"/>
      <c r="I196" s="51"/>
      <c r="J196" s="52"/>
      <c r="K196" s="51"/>
      <c r="L196" s="52">
        <f>L190+L192+L193+L194</f>
        <v>577.95000000000005</v>
      </c>
    </row>
    <row r="197" spans="1:83" ht="42.75" x14ac:dyDescent="0.2">
      <c r="A197" s="46" t="s">
        <v>504</v>
      </c>
      <c r="B197" s="48" t="str">
        <f>Source!F80</f>
        <v>ТЦ_11.00.00.00_77_7707609512_03.03.2026_01_2.2</v>
      </c>
      <c r="C197" s="48" t="s">
        <v>505</v>
      </c>
      <c r="D197" s="49" t="str">
        <f>Source!H80</f>
        <v>м</v>
      </c>
      <c r="E197" s="50">
        <f>SmtRes!AT36</f>
        <v>101</v>
      </c>
      <c r="F197" s="50"/>
      <c r="G197" s="50">
        <f>Source!I80</f>
        <v>15.149999999999999</v>
      </c>
      <c r="H197" s="52"/>
      <c r="I197" s="51"/>
      <c r="J197" s="52">
        <f>Source!AK80</f>
        <v>1106.56</v>
      </c>
      <c r="K197" s="51"/>
      <c r="L197" s="52">
        <f>Source!P80</f>
        <v>16764.38</v>
      </c>
      <c r="AD197">
        <f>ROUND((Source!AT80/100)*((ROUND(ROUND(Source!AO80,2)*Source!I80, 2)+ROUND(ROUND(Source!AN80,2)*Source!I80, 2))), 2)</f>
        <v>0</v>
      </c>
      <c r="AE197">
        <f>ROUND((Source!AU80/100)*((ROUND(ROUND(Source!AO80,2)*Source!I80, 2)+ROUND(ROUND(Source!AN80,2)*Source!I80, 2))), 2)</f>
        <v>0</v>
      </c>
      <c r="AN197">
        <f>L197</f>
        <v>16764.38</v>
      </c>
      <c r="AW197">
        <f>L197</f>
        <v>16764.38</v>
      </c>
      <c r="AX197">
        <f>L197</f>
        <v>16764.38</v>
      </c>
      <c r="AZ197">
        <f>Source!X80</f>
        <v>0</v>
      </c>
      <c r="BA197">
        <f>Source!Y80</f>
        <v>0</v>
      </c>
      <c r="CD197">
        <v>1</v>
      </c>
    </row>
    <row r="198" spans="1:83" ht="14.25" x14ac:dyDescent="0.2">
      <c r="A198" s="48"/>
      <c r="B198" s="48"/>
      <c r="C198" s="48" t="s">
        <v>457</v>
      </c>
      <c r="D198" s="49"/>
      <c r="E198" s="50"/>
      <c r="F198" s="50"/>
      <c r="G198" s="50"/>
      <c r="H198" s="52"/>
      <c r="I198" s="51"/>
      <c r="J198" s="52"/>
      <c r="K198" s="51"/>
      <c r="L198" s="52">
        <f>SUM(AR187:AR201)+SUM(AS187:AS201)+SUM(AT187:AT201)+SUM(AU187:AU201)+SUM(AV187:AV201)</f>
        <v>577.95000000000005</v>
      </c>
    </row>
    <row r="199" spans="1:83" ht="28.5" x14ac:dyDescent="0.2">
      <c r="A199" s="48"/>
      <c r="B199" s="48" t="s">
        <v>501</v>
      </c>
      <c r="C199" s="48" t="s">
        <v>493</v>
      </c>
      <c r="D199" s="49" t="s">
        <v>182</v>
      </c>
      <c r="E199" s="50">
        <f>Source!BZ79</f>
        <v>112</v>
      </c>
      <c r="F199" s="50">
        <f>ROUND(0.9,7)</f>
        <v>0.9</v>
      </c>
      <c r="G199" s="50">
        <f>Source!AT79</f>
        <v>100.8</v>
      </c>
      <c r="H199" s="52"/>
      <c r="I199" s="51"/>
      <c r="J199" s="52"/>
      <c r="K199" s="51"/>
      <c r="L199" s="52">
        <f>SUM(AZ187:AZ201)</f>
        <v>582.57000000000005</v>
      </c>
    </row>
    <row r="200" spans="1:83" ht="28.5" x14ac:dyDescent="0.2">
      <c r="A200" s="58"/>
      <c r="B200" s="58" t="s">
        <v>502</v>
      </c>
      <c r="C200" s="58" t="s">
        <v>494</v>
      </c>
      <c r="D200" s="59" t="s">
        <v>182</v>
      </c>
      <c r="E200" s="60">
        <f>Source!CA79</f>
        <v>65</v>
      </c>
      <c r="F200" s="60">
        <f>ROUND(0.85,7)</f>
        <v>0.85</v>
      </c>
      <c r="G200" s="60">
        <f>Source!AU79</f>
        <v>55.25</v>
      </c>
      <c r="H200" s="61"/>
      <c r="I200" s="62"/>
      <c r="J200" s="61"/>
      <c r="K200" s="62"/>
      <c r="L200" s="61">
        <f>SUM(BA187:BA201)</f>
        <v>319.32</v>
      </c>
    </row>
    <row r="201" spans="1:83" ht="15" x14ac:dyDescent="0.2">
      <c r="C201" s="134" t="s">
        <v>462</v>
      </c>
      <c r="D201" s="134"/>
      <c r="E201" s="134"/>
      <c r="F201" s="134"/>
      <c r="G201" s="134"/>
      <c r="H201" s="134"/>
      <c r="I201" s="135">
        <f>IF(E187&lt;&gt;0,K201/E187, 0)</f>
        <v>121628.13333333335</v>
      </c>
      <c r="J201" s="135"/>
      <c r="K201" s="135">
        <f>L190+L192+L194+L199+L200+L193+SUM(L197:L197)</f>
        <v>18244.22</v>
      </c>
      <c r="L201" s="135"/>
      <c r="AD201">
        <f>ROUND((Source!AT79/100)*((ROUND(SUMIF(SmtRes!AQ31:'SmtRes'!AQ36,"=1",SmtRes!AD31:'SmtRes'!AD36)*Source!I79, 2)+ROUND(SUMIF(SmtRes!AQ31:'SmtRes'!AQ36,"=1",SmtRes!AC31:'SmtRes'!AC36)*Source!I79, 2))), 2)</f>
        <v>56.23</v>
      </c>
      <c r="AE201">
        <f>ROUND((Source!AU79/100)*((ROUND(SUMIF(SmtRes!AQ31:'SmtRes'!AQ36,"=1",SmtRes!AD31:'SmtRes'!AD36)*Source!I79, 2)+ROUND(SUMIF(SmtRes!AQ31:'SmtRes'!AQ36,"=1",SmtRes!AC31:'SmtRes'!AC36)*Source!I79, 2))), 2)</f>
        <v>30.82</v>
      </c>
      <c r="AN201" s="63">
        <f>L190+L192+L194+L199+L200+L193</f>
        <v>1479.84</v>
      </c>
      <c r="AO201" s="63">
        <f>L192</f>
        <v>0</v>
      </c>
      <c r="AQ201" t="s">
        <v>463</v>
      </c>
      <c r="AR201" s="63">
        <f>L190</f>
        <v>577.95000000000005</v>
      </c>
      <c r="AT201" s="63">
        <f>L193</f>
        <v>0</v>
      </c>
      <c r="AV201" t="s">
        <v>463</v>
      </c>
      <c r="AW201" s="63">
        <f>L194</f>
        <v>0</v>
      </c>
      <c r="AZ201">
        <f>Source!X79</f>
        <v>582.57000000000005</v>
      </c>
      <c r="BA201">
        <f>Source!Y79</f>
        <v>319.32</v>
      </c>
      <c r="CD201">
        <v>1</v>
      </c>
    </row>
    <row r="202" spans="1:83" ht="42.75" x14ac:dyDescent="0.2">
      <c r="A202" s="46" t="s">
        <v>141</v>
      </c>
      <c r="B202" s="48" t="s">
        <v>506</v>
      </c>
      <c r="C202" s="48" t="str">
        <f>Source!G81</f>
        <v>Разборка элементов облицовки потолков с разборкой каркаса: плит растровых</v>
      </c>
      <c r="D202" s="49" t="str">
        <f>Source!H81</f>
        <v>100 м2</v>
      </c>
      <c r="E202" s="50">
        <f>Source!K81</f>
        <v>0.22</v>
      </c>
      <c r="F202" s="50"/>
      <c r="G202" s="50">
        <f>Source!I81</f>
        <v>0.22</v>
      </c>
      <c r="H202" s="52"/>
      <c r="I202" s="51"/>
      <c r="J202" s="52"/>
      <c r="K202" s="51"/>
      <c r="L202" s="52"/>
    </row>
    <row r="203" spans="1:83" x14ac:dyDescent="0.2">
      <c r="C203" s="55" t="str">
        <f>"Объем: "&amp;Source!I81&amp;"=22/"&amp;"100"</f>
        <v>Объем: 0,22=22/100</v>
      </c>
    </row>
    <row r="204" spans="1:83" ht="15" x14ac:dyDescent="0.2">
      <c r="A204" s="47"/>
      <c r="B204" s="50">
        <v>1</v>
      </c>
      <c r="C204" s="47" t="s">
        <v>450</v>
      </c>
      <c r="D204" s="49" t="s">
        <v>293</v>
      </c>
      <c r="E204" s="56"/>
      <c r="F204" s="50"/>
      <c r="G204" s="50">
        <f>Source!U81</f>
        <v>7.5922000000000001</v>
      </c>
      <c r="H204" s="50"/>
      <c r="I204" s="50"/>
      <c r="J204" s="50"/>
      <c r="K204" s="50"/>
      <c r="L204" s="57">
        <f>SUM(L205:L205)-SUMIF(CE205:CE205, 1, L205:L205)</f>
        <v>4887.71</v>
      </c>
    </row>
    <row r="205" spans="1:83" ht="14.25" x14ac:dyDescent="0.2">
      <c r="A205" s="48"/>
      <c r="B205" s="48" t="s">
        <v>334</v>
      </c>
      <c r="C205" s="58" t="s">
        <v>335</v>
      </c>
      <c r="D205" s="59" t="s">
        <v>293</v>
      </c>
      <c r="E205" s="60">
        <v>34.51</v>
      </c>
      <c r="F205" s="60"/>
      <c r="G205" s="60">
        <f>SmtRes!CX37</f>
        <v>7.5922000000000001</v>
      </c>
      <c r="H205" s="61"/>
      <c r="I205" s="62"/>
      <c r="J205" s="61">
        <f>SmtRes!CZ37</f>
        <v>643.78</v>
      </c>
      <c r="K205" s="62"/>
      <c r="L205" s="61">
        <f>SmtRes!DI37</f>
        <v>4887.71</v>
      </c>
    </row>
    <row r="206" spans="1:83" ht="15" x14ac:dyDescent="0.2">
      <c r="A206" s="48"/>
      <c r="B206" s="48"/>
      <c r="C206" s="65" t="s">
        <v>456</v>
      </c>
      <c r="D206" s="49"/>
      <c r="E206" s="50"/>
      <c r="F206" s="50"/>
      <c r="G206" s="50"/>
      <c r="H206" s="52"/>
      <c r="I206" s="51"/>
      <c r="J206" s="52"/>
      <c r="K206" s="51"/>
      <c r="L206" s="52">
        <f>L204</f>
        <v>4887.71</v>
      </c>
    </row>
    <row r="207" spans="1:83" ht="28.5" x14ac:dyDescent="0.2">
      <c r="A207" s="46" t="s">
        <v>507</v>
      </c>
      <c r="B207" s="48" t="str">
        <f>Source!F82</f>
        <v>999-9899</v>
      </c>
      <c r="C207" s="48" t="str">
        <f>Source!G82</f>
        <v>Строительный мусор и масса возвратных материалов</v>
      </c>
      <c r="D207" s="49" t="str">
        <f>Source!H82</f>
        <v>т</v>
      </c>
      <c r="E207" s="50">
        <f>SmtRes!AT38</f>
        <v>0.35599999999999998</v>
      </c>
      <c r="F207" s="50"/>
      <c r="G207" s="50">
        <f>Source!I82</f>
        <v>7.8320000000000001E-2</v>
      </c>
      <c r="H207" s="52">
        <f>Source!AL82+Source!AO82+Source!AM82+Source!AN82</f>
        <v>0</v>
      </c>
      <c r="I207" s="51"/>
      <c r="J207" s="52"/>
      <c r="K207" s="51"/>
      <c r="L207" s="52">
        <f>Source!P82</f>
        <v>0</v>
      </c>
      <c r="AD207">
        <f>ROUND((Source!AT82/100)*((ROUND(ROUND(Source!AO82,2)*Source!I82, 2)+ROUND(ROUND(Source!AN82,2)*Source!I82, 2))), 2)</f>
        <v>0</v>
      </c>
      <c r="AE207">
        <f>ROUND((Source!AU82/100)*((ROUND(ROUND(Source!AO82,2)*Source!I82, 2)+ROUND(ROUND(Source!AN82,2)*Source!I82, 2))), 2)</f>
        <v>0</v>
      </c>
      <c r="AN207">
        <f>L207</f>
        <v>0</v>
      </c>
      <c r="AW207">
        <f>L207</f>
        <v>0</v>
      </c>
      <c r="AZ207">
        <f>Source!X82</f>
        <v>0</v>
      </c>
      <c r="BA207">
        <f>Source!Y82</f>
        <v>0</v>
      </c>
      <c r="CD207">
        <v>1</v>
      </c>
    </row>
    <row r="208" spans="1:83" ht="14.25" x14ac:dyDescent="0.2">
      <c r="A208" s="48"/>
      <c r="B208" s="48"/>
      <c r="C208" s="48" t="s">
        <v>457</v>
      </c>
      <c r="D208" s="49"/>
      <c r="E208" s="50"/>
      <c r="F208" s="50"/>
      <c r="G208" s="50"/>
      <c r="H208" s="52"/>
      <c r="I208" s="51"/>
      <c r="J208" s="52"/>
      <c r="K208" s="51"/>
      <c r="L208" s="52">
        <f>SUM(AR202:AR211)+SUM(AS202:AS211)+SUM(AT202:AT211)+SUM(AU202:AU211)+SUM(AV202:AV211)</f>
        <v>4887.71</v>
      </c>
    </row>
    <row r="209" spans="1:83" ht="28.5" x14ac:dyDescent="0.2">
      <c r="A209" s="48"/>
      <c r="B209" s="48" t="s">
        <v>148</v>
      </c>
      <c r="C209" s="48" t="s">
        <v>508</v>
      </c>
      <c r="D209" s="49" t="s">
        <v>182</v>
      </c>
      <c r="E209" s="50">
        <f>Source!BZ81</f>
        <v>90</v>
      </c>
      <c r="F209" s="50"/>
      <c r="G209" s="50">
        <f>Source!AT81</f>
        <v>90</v>
      </c>
      <c r="H209" s="52"/>
      <c r="I209" s="51"/>
      <c r="J209" s="52"/>
      <c r="K209" s="51"/>
      <c r="L209" s="52">
        <f>SUM(AZ202:AZ211)</f>
        <v>4398.9399999999996</v>
      </c>
    </row>
    <row r="210" spans="1:83" ht="28.5" x14ac:dyDescent="0.2">
      <c r="A210" s="58"/>
      <c r="B210" s="58" t="s">
        <v>149</v>
      </c>
      <c r="C210" s="58" t="s">
        <v>509</v>
      </c>
      <c r="D210" s="59" t="s">
        <v>182</v>
      </c>
      <c r="E210" s="60">
        <f>Source!CA81</f>
        <v>45</v>
      </c>
      <c r="F210" s="60"/>
      <c r="G210" s="60">
        <f>Source!AU81</f>
        <v>45</v>
      </c>
      <c r="H210" s="61"/>
      <c r="I210" s="62"/>
      <c r="J210" s="61"/>
      <c r="K210" s="62"/>
      <c r="L210" s="61">
        <f>SUM(BA202:BA211)</f>
        <v>2199.4699999999998</v>
      </c>
    </row>
    <row r="211" spans="1:83" ht="15" x14ac:dyDescent="0.2">
      <c r="C211" s="134" t="s">
        <v>462</v>
      </c>
      <c r="D211" s="134"/>
      <c r="E211" s="134"/>
      <c r="F211" s="134"/>
      <c r="G211" s="134"/>
      <c r="H211" s="134"/>
      <c r="I211" s="135">
        <f>IF(E202&lt;&gt;0,K211/E202, 0)</f>
        <v>52209.63636363636</v>
      </c>
      <c r="J211" s="135"/>
      <c r="K211" s="135">
        <f>L204+L209+L210+SUM(L207:L207)</f>
        <v>11486.119999999999</v>
      </c>
      <c r="L211" s="135"/>
      <c r="AD211">
        <f>ROUND((Source!AT81/100)*((ROUND(SUMIF(SmtRes!AQ37:'SmtRes'!AQ38,"=1",SmtRes!AD37:'SmtRes'!AD38)*Source!I81, 2)+ROUND(SUMIF(SmtRes!AQ37:'SmtRes'!AQ38,"=1",SmtRes!AC37:'SmtRes'!AC38)*Source!I81, 2))), 2)</f>
        <v>127.47</v>
      </c>
      <c r="AE211">
        <f>ROUND((Source!AU81/100)*((ROUND(SUMIF(SmtRes!AQ37:'SmtRes'!AQ38,"=1",SmtRes!AD37:'SmtRes'!AD38)*Source!I81, 2)+ROUND(SUMIF(SmtRes!AQ37:'SmtRes'!AQ38,"=1",SmtRes!AC37:'SmtRes'!AC38)*Source!I81, 2))), 2)</f>
        <v>63.73</v>
      </c>
      <c r="AN211" s="63">
        <f>L204+L209+L210</f>
        <v>11486.119999999999</v>
      </c>
      <c r="AO211">
        <f>0</f>
        <v>0</v>
      </c>
      <c r="AQ211" t="s">
        <v>463</v>
      </c>
      <c r="AR211" s="63">
        <f>L204</f>
        <v>4887.71</v>
      </c>
      <c r="AT211">
        <f>0</f>
        <v>0</v>
      </c>
      <c r="AV211" t="s">
        <v>463</v>
      </c>
      <c r="AW211">
        <f>0</f>
        <v>0</v>
      </c>
      <c r="AZ211">
        <f>Source!X81</f>
        <v>4398.9399999999996</v>
      </c>
      <c r="BA211">
        <f>Source!Y81</f>
        <v>2199.4699999999998</v>
      </c>
      <c r="CD211">
        <v>1</v>
      </c>
    </row>
    <row r="212" spans="1:83" ht="28.5" x14ac:dyDescent="0.2">
      <c r="A212" s="46" t="s">
        <v>153</v>
      </c>
      <c r="B212" s="48" t="s">
        <v>510</v>
      </c>
      <c r="C212" s="48" t="str">
        <f>Source!G83</f>
        <v>Демонтаж: светильников для люминесцентных ламп</v>
      </c>
      <c r="D212" s="49" t="str">
        <f>Source!H83</f>
        <v>100 ШТ</v>
      </c>
      <c r="E212" s="50">
        <f>Source!K83</f>
        <v>0.04</v>
      </c>
      <c r="F212" s="50"/>
      <c r="G212" s="50">
        <f>Source!I83</f>
        <v>0.04</v>
      </c>
      <c r="H212" s="52"/>
      <c r="I212" s="51"/>
      <c r="J212" s="52"/>
      <c r="K212" s="51"/>
      <c r="L212" s="52"/>
    </row>
    <row r="213" spans="1:83" x14ac:dyDescent="0.2">
      <c r="C213" s="55" t="str">
        <f>"Объем: "&amp;Source!I83&amp;"=4/"&amp;"100"</f>
        <v>Объем: 0,04=4/100</v>
      </c>
    </row>
    <row r="214" spans="1:83" ht="15" x14ac:dyDescent="0.2">
      <c r="A214" s="47"/>
      <c r="B214" s="50">
        <v>1</v>
      </c>
      <c r="C214" s="47" t="s">
        <v>450</v>
      </c>
      <c r="D214" s="49" t="s">
        <v>293</v>
      </c>
      <c r="E214" s="56"/>
      <c r="F214" s="50"/>
      <c r="G214" s="50">
        <f>Source!U83</f>
        <v>0.71560000000000001</v>
      </c>
      <c r="H214" s="50"/>
      <c r="I214" s="50"/>
      <c r="J214" s="50"/>
      <c r="K214" s="50"/>
      <c r="L214" s="57">
        <f>SUM(L215:L215)-SUMIF(CE215:CE215, 1, L215:L215)</f>
        <v>437.27</v>
      </c>
    </row>
    <row r="215" spans="1:83" ht="14.25" x14ac:dyDescent="0.2">
      <c r="A215" s="48"/>
      <c r="B215" s="48" t="s">
        <v>336</v>
      </c>
      <c r="C215" s="48" t="s">
        <v>337</v>
      </c>
      <c r="D215" s="49" t="s">
        <v>293</v>
      </c>
      <c r="E215" s="50">
        <v>17.89</v>
      </c>
      <c r="F215" s="50"/>
      <c r="G215" s="50">
        <f>SmtRes!CX39</f>
        <v>0.71560000000000001</v>
      </c>
      <c r="H215" s="52"/>
      <c r="I215" s="51"/>
      <c r="J215" s="52">
        <f>SmtRes!CZ39</f>
        <v>611.04999999999995</v>
      </c>
      <c r="K215" s="51"/>
      <c r="L215" s="52">
        <f>SmtRes!DI39</f>
        <v>437.27</v>
      </c>
    </row>
    <row r="216" spans="1:83" ht="15" x14ac:dyDescent="0.2">
      <c r="A216" s="47"/>
      <c r="B216" s="50">
        <v>2</v>
      </c>
      <c r="C216" s="47" t="s">
        <v>451</v>
      </c>
      <c r="D216" s="49"/>
      <c r="E216" s="56"/>
      <c r="F216" s="50"/>
      <c r="G216" s="50"/>
      <c r="H216" s="50"/>
      <c r="I216" s="50"/>
      <c r="J216" s="50"/>
      <c r="K216" s="50"/>
      <c r="L216" s="57">
        <f>SUM(L217:L219)-SUMIF(CE217:CE219, 1, L217:L219)</f>
        <v>0.1899999999999995</v>
      </c>
    </row>
    <row r="217" spans="1:83" ht="15" x14ac:dyDescent="0.2">
      <c r="A217" s="47"/>
      <c r="B217" s="50"/>
      <c r="C217" s="47" t="s">
        <v>454</v>
      </c>
      <c r="D217" s="49" t="s">
        <v>293</v>
      </c>
      <c r="E217" s="56"/>
      <c r="F217" s="50"/>
      <c r="G217" s="50">
        <f>Source!V83</f>
        <v>3.2000000000000002E-3</v>
      </c>
      <c r="H217" s="50"/>
      <c r="I217" s="50"/>
      <c r="J217" s="50"/>
      <c r="K217" s="50"/>
      <c r="L217" s="57">
        <f>SUMIF(CE218:CE219, 1, L218:L219)</f>
        <v>2.08</v>
      </c>
      <c r="CE217">
        <v>1</v>
      </c>
    </row>
    <row r="218" spans="1:83" ht="42.75" x14ac:dyDescent="0.2">
      <c r="A218" s="48"/>
      <c r="B218" s="48" t="s">
        <v>316</v>
      </c>
      <c r="C218" s="48" t="s">
        <v>318</v>
      </c>
      <c r="D218" s="49" t="s">
        <v>299</v>
      </c>
      <c r="E218" s="50">
        <v>0.08</v>
      </c>
      <c r="F218" s="50"/>
      <c r="G218" s="50">
        <f>SmtRes!CX41</f>
        <v>3.2000000000000002E-3</v>
      </c>
      <c r="H218" s="52">
        <f>SmtRes!CZ41</f>
        <v>37.32</v>
      </c>
      <c r="I218" s="51">
        <f>SmtRes!AJ41</f>
        <v>1.57</v>
      </c>
      <c r="J218" s="52">
        <f>ROUND(H218*I218, 2)</f>
        <v>58.59</v>
      </c>
      <c r="K218" s="51"/>
      <c r="L218" s="52">
        <f>SmtRes!DG41</f>
        <v>0.19</v>
      </c>
    </row>
    <row r="219" spans="1:83" ht="28.5" x14ac:dyDescent="0.2">
      <c r="A219" s="48"/>
      <c r="B219" s="48" t="s">
        <v>300</v>
      </c>
      <c r="C219" s="58" t="s">
        <v>452</v>
      </c>
      <c r="D219" s="59" t="s">
        <v>293</v>
      </c>
      <c r="E219" s="60">
        <f>SmtRes!DO41*SmtRes!AT41</f>
        <v>0.08</v>
      </c>
      <c r="F219" s="60"/>
      <c r="G219" s="60">
        <f>ROUND(E219*G212, 7)</f>
        <v>3.2000000000000002E-3</v>
      </c>
      <c r="H219" s="61"/>
      <c r="I219" s="62"/>
      <c r="J219" s="61">
        <f>ROUND(SmtRes!AG41/SmtRes!DO41, 2)</f>
        <v>649.24</v>
      </c>
      <c r="K219" s="62"/>
      <c r="L219" s="61">
        <f>SmtRes!DH41</f>
        <v>2.08</v>
      </c>
      <c r="CE219">
        <v>1</v>
      </c>
    </row>
    <row r="220" spans="1:83" ht="15" x14ac:dyDescent="0.2">
      <c r="A220" s="48"/>
      <c r="B220" s="48"/>
      <c r="C220" s="65" t="s">
        <v>456</v>
      </c>
      <c r="D220" s="49"/>
      <c r="E220" s="50"/>
      <c r="F220" s="50"/>
      <c r="G220" s="50"/>
      <c r="H220" s="52"/>
      <c r="I220" s="51"/>
      <c r="J220" s="52"/>
      <c r="K220" s="51"/>
      <c r="L220" s="52">
        <f>L214+L216+L217</f>
        <v>439.53999999999996</v>
      </c>
    </row>
    <row r="221" spans="1:83" ht="14.25" x14ac:dyDescent="0.2">
      <c r="A221" s="48"/>
      <c r="B221" s="48"/>
      <c r="C221" s="48" t="s">
        <v>457</v>
      </c>
      <c r="D221" s="49"/>
      <c r="E221" s="50"/>
      <c r="F221" s="50"/>
      <c r="G221" s="50"/>
      <c r="H221" s="52"/>
      <c r="I221" s="51"/>
      <c r="J221" s="52"/>
      <c r="K221" s="51"/>
      <c r="L221" s="52">
        <f>SUM(AR212:AR224)+SUM(AS212:AS224)+SUM(AT212:AT224)+SUM(AU212:AU224)+SUM(AV212:AV224)</f>
        <v>439.34999999999997</v>
      </c>
    </row>
    <row r="222" spans="1:83" ht="14.25" x14ac:dyDescent="0.2">
      <c r="A222" s="48"/>
      <c r="B222" s="48" t="s">
        <v>160</v>
      </c>
      <c r="C222" s="48" t="s">
        <v>511</v>
      </c>
      <c r="D222" s="49" t="s">
        <v>182</v>
      </c>
      <c r="E222" s="50">
        <f>Source!BZ83</f>
        <v>91</v>
      </c>
      <c r="F222" s="50"/>
      <c r="G222" s="50">
        <f>Source!AT83</f>
        <v>91</v>
      </c>
      <c r="H222" s="52"/>
      <c r="I222" s="51"/>
      <c r="J222" s="52"/>
      <c r="K222" s="51"/>
      <c r="L222" s="52">
        <f>SUM(AZ212:AZ224)</f>
        <v>399.81</v>
      </c>
    </row>
    <row r="223" spans="1:83" ht="14.25" x14ac:dyDescent="0.2">
      <c r="A223" s="58"/>
      <c r="B223" s="58" t="s">
        <v>161</v>
      </c>
      <c r="C223" s="58" t="s">
        <v>512</v>
      </c>
      <c r="D223" s="59" t="s">
        <v>182</v>
      </c>
      <c r="E223" s="60">
        <f>Source!CA83</f>
        <v>48</v>
      </c>
      <c r="F223" s="60"/>
      <c r="G223" s="60">
        <f>Source!AU83</f>
        <v>48</v>
      </c>
      <c r="H223" s="61"/>
      <c r="I223" s="62"/>
      <c r="J223" s="61"/>
      <c r="K223" s="62"/>
      <c r="L223" s="61">
        <f>SUM(BA212:BA224)</f>
        <v>210.89</v>
      </c>
    </row>
    <row r="224" spans="1:83" ht="15" x14ac:dyDescent="0.2">
      <c r="C224" s="134" t="s">
        <v>462</v>
      </c>
      <c r="D224" s="134"/>
      <c r="E224" s="134"/>
      <c r="F224" s="134"/>
      <c r="G224" s="134"/>
      <c r="H224" s="134"/>
      <c r="I224" s="135">
        <f>IF(E212&lt;&gt;0,K224/E212, 0)</f>
        <v>26255.999999999993</v>
      </c>
      <c r="J224" s="135"/>
      <c r="K224" s="135">
        <f>L214+L216+L222+L223+L217</f>
        <v>1050.2399999999998</v>
      </c>
      <c r="L224" s="135"/>
      <c r="AD224">
        <f>ROUND((Source!AT83/100)*((ROUND(SUMIF(SmtRes!AQ39:'SmtRes'!AQ41,"=1",SmtRes!AD39:'SmtRes'!AD41)*Source!I83, 2)+ROUND(SUMIF(SmtRes!AQ39:'SmtRes'!AQ41,"=1",SmtRes!AC39:'SmtRes'!AC41)*Source!I83, 2))), 2)</f>
        <v>45.87</v>
      </c>
      <c r="AE224">
        <f>ROUND((Source!AU83/100)*((ROUND(SUMIF(SmtRes!AQ39:'SmtRes'!AQ41,"=1",SmtRes!AD39:'SmtRes'!AD41)*Source!I83, 2)+ROUND(SUMIF(SmtRes!AQ39:'SmtRes'!AQ41,"=1",SmtRes!AC39:'SmtRes'!AC41)*Source!I83, 2))), 2)</f>
        <v>24.2</v>
      </c>
      <c r="AN224" s="63">
        <f>L214+L216+L222+L223+L217</f>
        <v>1050.2399999999998</v>
      </c>
      <c r="AO224" s="63">
        <f>L216</f>
        <v>0.1899999999999995</v>
      </c>
      <c r="AQ224" t="s">
        <v>463</v>
      </c>
      <c r="AR224" s="63">
        <f>L214</f>
        <v>437.27</v>
      </c>
      <c r="AT224" s="63">
        <f>L217</f>
        <v>2.08</v>
      </c>
      <c r="AV224" t="s">
        <v>463</v>
      </c>
      <c r="AW224">
        <f>0</f>
        <v>0</v>
      </c>
      <c r="AZ224">
        <f>Source!X83</f>
        <v>399.81</v>
      </c>
      <c r="BA224">
        <f>Source!Y83</f>
        <v>210.89</v>
      </c>
      <c r="CD224">
        <v>1</v>
      </c>
    </row>
    <row r="225" spans="1:101" ht="28.5" x14ac:dyDescent="0.2">
      <c r="A225" s="46" t="s">
        <v>162</v>
      </c>
      <c r="B225" s="48" t="s">
        <v>513</v>
      </c>
      <c r="C225" s="48" t="str">
        <f>Source!G84</f>
        <v>Устройство потолков: плитно-ячеистых по каркасу из оцинкованного профиля</v>
      </c>
      <c r="D225" s="49" t="str">
        <f>Source!H84</f>
        <v>100 м2</v>
      </c>
      <c r="E225" s="50">
        <f>Source!K84</f>
        <v>0.22</v>
      </c>
      <c r="F225" s="50"/>
      <c r="G225" s="50">
        <f>Source!I84</f>
        <v>0.22</v>
      </c>
      <c r="H225" s="52"/>
      <c r="I225" s="51"/>
      <c r="J225" s="52"/>
      <c r="K225" s="51"/>
      <c r="L225" s="52"/>
    </row>
    <row r="226" spans="1:101" ht="51" x14ac:dyDescent="0.2">
      <c r="B226" s="53" t="s">
        <v>355</v>
      </c>
      <c r="C226" s="133" t="s">
        <v>449</v>
      </c>
      <c r="D226" s="133"/>
      <c r="E226" s="133"/>
      <c r="F226" s="133"/>
      <c r="G226" s="133"/>
      <c r="H226" s="133"/>
      <c r="I226" s="133"/>
      <c r="J226" s="133"/>
      <c r="K226" s="133"/>
      <c r="L226" s="133"/>
      <c r="CW226" s="54" t="s">
        <v>449</v>
      </c>
    </row>
    <row r="227" spans="1:101" x14ac:dyDescent="0.2">
      <c r="C227" s="55" t="str">
        <f>"Объем: "&amp;Source!I84&amp;"=22/"&amp;"100"</f>
        <v>Объем: 0,22=22/100</v>
      </c>
    </row>
    <row r="228" spans="1:101" ht="15" x14ac:dyDescent="0.2">
      <c r="A228" s="47"/>
      <c r="B228" s="50">
        <v>1</v>
      </c>
      <c r="C228" s="47" t="s">
        <v>450</v>
      </c>
      <c r="D228" s="49" t="s">
        <v>293</v>
      </c>
      <c r="E228" s="56"/>
      <c r="F228" s="50"/>
      <c r="G228" s="50">
        <f>Source!U84</f>
        <v>25.92238</v>
      </c>
      <c r="H228" s="50"/>
      <c r="I228" s="50"/>
      <c r="J228" s="50"/>
      <c r="K228" s="50"/>
      <c r="L228" s="57">
        <f>SUM(L229:L229)-SUMIF(CE229:CE229, 1, L229:L229)</f>
        <v>18526.98</v>
      </c>
    </row>
    <row r="229" spans="1:101" ht="14.25" x14ac:dyDescent="0.2">
      <c r="A229" s="48"/>
      <c r="B229" s="48" t="s">
        <v>338</v>
      </c>
      <c r="C229" s="48" t="s">
        <v>339</v>
      </c>
      <c r="D229" s="49" t="s">
        <v>293</v>
      </c>
      <c r="E229" s="50">
        <v>102.46</v>
      </c>
      <c r="F229" s="50">
        <f>ROUND(1.15,7)</f>
        <v>1.1499999999999999</v>
      </c>
      <c r="G229" s="50">
        <f>SmtRes!CX42</f>
        <v>25.92238</v>
      </c>
      <c r="H229" s="52"/>
      <c r="I229" s="51"/>
      <c r="J229" s="52">
        <f>SmtRes!CZ42</f>
        <v>714.71</v>
      </c>
      <c r="K229" s="51"/>
      <c r="L229" s="52">
        <f>SmtRes!DI42</f>
        <v>18526.98</v>
      </c>
    </row>
    <row r="230" spans="1:101" ht="15" x14ac:dyDescent="0.2">
      <c r="A230" s="47"/>
      <c r="B230" s="50">
        <v>2</v>
      </c>
      <c r="C230" s="47" t="s">
        <v>451</v>
      </c>
      <c r="D230" s="49"/>
      <c r="E230" s="56"/>
      <c r="F230" s="50"/>
      <c r="G230" s="50"/>
      <c r="H230" s="50"/>
      <c r="I230" s="50"/>
      <c r="J230" s="50"/>
      <c r="K230" s="50"/>
      <c r="L230" s="57">
        <f>SUM(L231:L235)-SUMIF(CE231:CE235, 1, L231:L235)</f>
        <v>698.58000000000038</v>
      </c>
    </row>
    <row r="231" spans="1:101" ht="15" x14ac:dyDescent="0.2">
      <c r="A231" s="47"/>
      <c r="B231" s="50"/>
      <c r="C231" s="47" t="s">
        <v>454</v>
      </c>
      <c r="D231" s="49" t="s">
        <v>293</v>
      </c>
      <c r="E231" s="56"/>
      <c r="F231" s="50"/>
      <c r="G231" s="50">
        <f>Source!V84</f>
        <v>1.4685000000000001</v>
      </c>
      <c r="H231" s="50"/>
      <c r="I231" s="50"/>
      <c r="J231" s="50"/>
      <c r="K231" s="50"/>
      <c r="L231" s="57">
        <f>SUMIF(CE232:CE235, 1, L232:L235)</f>
        <v>1056.49</v>
      </c>
      <c r="CE231">
        <v>1</v>
      </c>
    </row>
    <row r="232" spans="1:101" ht="42.75" x14ac:dyDescent="0.2">
      <c r="A232" s="48"/>
      <c r="B232" s="48" t="s">
        <v>316</v>
      </c>
      <c r="C232" s="48" t="s">
        <v>318</v>
      </c>
      <c r="D232" s="49" t="s">
        <v>299</v>
      </c>
      <c r="E232" s="50">
        <v>0.76</v>
      </c>
      <c r="F232" s="50">
        <f>ROUND(1.25,7)</f>
        <v>1.25</v>
      </c>
      <c r="G232" s="50">
        <f>SmtRes!CX44</f>
        <v>0.20899999999999999</v>
      </c>
      <c r="H232" s="52">
        <f>SmtRes!CZ44</f>
        <v>37.32</v>
      </c>
      <c r="I232" s="51">
        <f>SmtRes!AJ44</f>
        <v>1.57</v>
      </c>
      <c r="J232" s="52">
        <f>ROUND(H232*I232, 2)</f>
        <v>58.59</v>
      </c>
      <c r="K232" s="51"/>
      <c r="L232" s="52">
        <f>SmtRes!DG44</f>
        <v>12.25</v>
      </c>
    </row>
    <row r="233" spans="1:101" ht="28.5" x14ac:dyDescent="0.2">
      <c r="A233" s="48"/>
      <c r="B233" s="48" t="s">
        <v>300</v>
      </c>
      <c r="C233" s="48" t="s">
        <v>452</v>
      </c>
      <c r="D233" s="49" t="s">
        <v>293</v>
      </c>
      <c r="E233" s="50">
        <f>SmtRes!DO44*SmtRes!AT44</f>
        <v>0.76</v>
      </c>
      <c r="F233" s="50">
        <f>ROUND(1.25,7)</f>
        <v>1.25</v>
      </c>
      <c r="G233" s="50">
        <f>ROUND(E233*F233*G225, 7)</f>
        <v>0.20899999999999999</v>
      </c>
      <c r="H233" s="52"/>
      <c r="I233" s="51"/>
      <c r="J233" s="52">
        <f>ROUND(SmtRes!AG44/SmtRes!DO44, 2)</f>
        <v>649.24</v>
      </c>
      <c r="K233" s="51"/>
      <c r="L233" s="52">
        <f>SmtRes!DH44</f>
        <v>135.69</v>
      </c>
      <c r="CE233">
        <v>1</v>
      </c>
    </row>
    <row r="234" spans="1:101" ht="28.5" x14ac:dyDescent="0.2">
      <c r="A234" s="48"/>
      <c r="B234" s="48" t="s">
        <v>301</v>
      </c>
      <c r="C234" s="48" t="s">
        <v>303</v>
      </c>
      <c r="D234" s="49" t="s">
        <v>299</v>
      </c>
      <c r="E234" s="50">
        <v>4.58</v>
      </c>
      <c r="F234" s="50">
        <f>ROUND(1.25,7)</f>
        <v>1.25</v>
      </c>
      <c r="G234" s="50">
        <f>SmtRes!CX45</f>
        <v>1.2595000000000001</v>
      </c>
      <c r="H234" s="52"/>
      <c r="I234" s="51"/>
      <c r="J234" s="52">
        <f>SmtRes!CZ45</f>
        <v>544.91999999999996</v>
      </c>
      <c r="K234" s="51"/>
      <c r="L234" s="52">
        <f>SmtRes!DG45</f>
        <v>686.33</v>
      </c>
    </row>
    <row r="235" spans="1:101" ht="28.5" x14ac:dyDescent="0.2">
      <c r="A235" s="48"/>
      <c r="B235" s="48" t="s">
        <v>304</v>
      </c>
      <c r="C235" s="48" t="s">
        <v>453</v>
      </c>
      <c r="D235" s="49" t="s">
        <v>293</v>
      </c>
      <c r="E235" s="50">
        <f>SmtRes!DO45*SmtRes!AT45</f>
        <v>4.58</v>
      </c>
      <c r="F235" s="50">
        <f>ROUND(1.25,7)</f>
        <v>1.25</v>
      </c>
      <c r="G235" s="50">
        <f>ROUND(E235*F235*G225, 7)</f>
        <v>1.2595000000000001</v>
      </c>
      <c r="H235" s="52"/>
      <c r="I235" s="51"/>
      <c r="J235" s="52">
        <f>ROUND(SmtRes!AG45/SmtRes!DO45, 2)</f>
        <v>731.08</v>
      </c>
      <c r="K235" s="51"/>
      <c r="L235" s="52">
        <f>SmtRes!DH45</f>
        <v>920.8</v>
      </c>
      <c r="CE235">
        <v>1</v>
      </c>
    </row>
    <row r="236" spans="1:101" ht="15" x14ac:dyDescent="0.2">
      <c r="A236" s="47"/>
      <c r="B236" s="50">
        <v>4</v>
      </c>
      <c r="C236" s="47" t="s">
        <v>455</v>
      </c>
      <c r="D236" s="49"/>
      <c r="E236" s="56"/>
      <c r="F236" s="50"/>
      <c r="G236" s="50"/>
      <c r="H236" s="50"/>
      <c r="I236" s="50"/>
      <c r="J236" s="50"/>
      <c r="K236" s="50"/>
      <c r="L236" s="57">
        <f>SUM(L237:L237)-SUMIF(CE237:CE237, 1, L237:L237)</f>
        <v>4.24</v>
      </c>
    </row>
    <row r="237" spans="1:101" ht="14.25" x14ac:dyDescent="0.2">
      <c r="A237" s="48"/>
      <c r="B237" s="48" t="s">
        <v>321</v>
      </c>
      <c r="C237" s="48" t="s">
        <v>323</v>
      </c>
      <c r="D237" s="49" t="s">
        <v>324</v>
      </c>
      <c r="E237" s="50">
        <v>2.782</v>
      </c>
      <c r="F237" s="50"/>
      <c r="G237" s="50">
        <f>SmtRes!CX47</f>
        <v>0.61204000000000003</v>
      </c>
      <c r="H237" s="52"/>
      <c r="I237" s="51"/>
      <c r="J237" s="52">
        <f>SmtRes!CZ47</f>
        <v>6.92</v>
      </c>
      <c r="K237" s="51"/>
      <c r="L237" s="52">
        <f>SmtRes!DF47</f>
        <v>4.24</v>
      </c>
    </row>
    <row r="238" spans="1:101" ht="14.25" x14ac:dyDescent="0.2">
      <c r="A238" s="48"/>
      <c r="B238" s="48" t="str">
        <f>EtalonRes!I46</f>
        <v>01.6.04.02</v>
      </c>
      <c r="C238" s="58" t="str">
        <f>EtalonRes!K46</f>
        <v>Панели потолочные с комплектующими</v>
      </c>
      <c r="D238" s="59" t="str">
        <f>EtalonRes!O46</f>
        <v>м2</v>
      </c>
      <c r="E238" s="60">
        <f>EtalonRes!X46</f>
        <v>103</v>
      </c>
      <c r="F238" s="60"/>
      <c r="G238" s="60">
        <f>ROUND(EtalonRes!AG46*Source!I84, 7)</f>
        <v>22.66</v>
      </c>
      <c r="H238" s="61"/>
      <c r="I238" s="62"/>
      <c r="J238" s="61"/>
      <c r="K238" s="62"/>
      <c r="L238" s="61"/>
    </row>
    <row r="239" spans="1:101" ht="15" x14ac:dyDescent="0.2">
      <c r="A239" s="48"/>
      <c r="B239" s="48"/>
      <c r="C239" s="65" t="s">
        <v>456</v>
      </c>
      <c r="D239" s="49"/>
      <c r="E239" s="50"/>
      <c r="F239" s="50"/>
      <c r="G239" s="50"/>
      <c r="H239" s="52"/>
      <c r="I239" s="51"/>
      <c r="J239" s="52"/>
      <c r="K239" s="51"/>
      <c r="L239" s="52">
        <f>L228+L230+L231+L236</f>
        <v>20286.290000000005</v>
      </c>
    </row>
    <row r="240" spans="1:101" ht="85.5" x14ac:dyDescent="0.2">
      <c r="A240" s="46" t="s">
        <v>514</v>
      </c>
      <c r="B240" s="48" t="str">
        <f>Source!F85</f>
        <v>01.6.04.02-0011</v>
      </c>
      <c r="C240" s="48" t="str">
        <f>Source!G85</f>
        <v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v>
      </c>
      <c r="D240" s="49" t="str">
        <f>Source!H85</f>
        <v>м2</v>
      </c>
      <c r="E240" s="50">
        <f>SmtRes!AT46</f>
        <v>103</v>
      </c>
      <c r="F240" s="50"/>
      <c r="G240" s="50">
        <f>Source!I85</f>
        <v>22.66</v>
      </c>
      <c r="H240" s="52">
        <f>Source!AL85+Source!AO85+Source!AM85+Source!AN85</f>
        <v>468.45</v>
      </c>
      <c r="I240" s="51">
        <f>IF(Source!BC85&lt;&gt; 0, Source!BC85, 1)</f>
        <v>1.1299999999999999</v>
      </c>
      <c r="J240" s="52">
        <f>ROUND(H240*I240, 2)</f>
        <v>529.35</v>
      </c>
      <c r="K240" s="51"/>
      <c r="L240" s="52">
        <f>Source!P85</f>
        <v>11995.07</v>
      </c>
      <c r="AD240">
        <f>ROUND((Source!AT85/100)*((ROUND(ROUND(Source!AO85,2)*Source!I85, 2)+ROUND(ROUND(Source!AN85,2)*Source!I85, 2))), 2)</f>
        <v>0</v>
      </c>
      <c r="AE240">
        <f>ROUND((Source!AU85/100)*((ROUND(ROUND(Source!AO85,2)*Source!I85, 2)+ROUND(ROUND(Source!AN85,2)*Source!I85, 2))), 2)</f>
        <v>0</v>
      </c>
      <c r="AN240">
        <f>L240</f>
        <v>11995.07</v>
      </c>
      <c r="AW240">
        <f>L240</f>
        <v>11995.07</v>
      </c>
      <c r="AZ240">
        <f>Source!X85</f>
        <v>0</v>
      </c>
      <c r="BA240">
        <f>Source!Y85</f>
        <v>0</v>
      </c>
      <c r="CD240">
        <v>1</v>
      </c>
    </row>
    <row r="241" spans="1:83" ht="14.25" x14ac:dyDescent="0.2">
      <c r="A241" s="48"/>
      <c r="B241" s="48"/>
      <c r="C241" s="48" t="s">
        <v>457</v>
      </c>
      <c r="D241" s="49"/>
      <c r="E241" s="50"/>
      <c r="F241" s="50"/>
      <c r="G241" s="50"/>
      <c r="H241" s="52"/>
      <c r="I241" s="51"/>
      <c r="J241" s="52"/>
      <c r="K241" s="51"/>
      <c r="L241" s="52">
        <f>SUM(AR225:AR244)+SUM(AS225:AS244)+SUM(AT225:AT244)+SUM(AU225:AU244)+SUM(AV225:AV244)</f>
        <v>19583.47</v>
      </c>
    </row>
    <row r="242" spans="1:83" ht="28.5" x14ac:dyDescent="0.2">
      <c r="A242" s="48"/>
      <c r="B242" s="48" t="s">
        <v>458</v>
      </c>
      <c r="C242" s="48" t="s">
        <v>459</v>
      </c>
      <c r="D242" s="49" t="s">
        <v>182</v>
      </c>
      <c r="E242" s="50">
        <f>Source!BZ84</f>
        <v>100</v>
      </c>
      <c r="F242" s="50">
        <f>ROUND(0.9,7)</f>
        <v>0.9</v>
      </c>
      <c r="G242" s="50">
        <f>Source!AT84</f>
        <v>90</v>
      </c>
      <c r="H242" s="52"/>
      <c r="I242" s="51"/>
      <c r="J242" s="52"/>
      <c r="K242" s="51"/>
      <c r="L242" s="52">
        <f>SUM(AZ225:AZ244)</f>
        <v>17625.12</v>
      </c>
    </row>
    <row r="243" spans="1:83" ht="28.5" x14ac:dyDescent="0.2">
      <c r="A243" s="58"/>
      <c r="B243" s="58" t="s">
        <v>460</v>
      </c>
      <c r="C243" s="58" t="s">
        <v>461</v>
      </c>
      <c r="D243" s="59" t="s">
        <v>182</v>
      </c>
      <c r="E243" s="60">
        <f>Source!CA84</f>
        <v>49</v>
      </c>
      <c r="F243" s="60">
        <f>ROUND(0.85,7)</f>
        <v>0.85</v>
      </c>
      <c r="G243" s="60">
        <f>Source!AU84</f>
        <v>41.65</v>
      </c>
      <c r="H243" s="61"/>
      <c r="I243" s="62"/>
      <c r="J243" s="61"/>
      <c r="K243" s="62"/>
      <c r="L243" s="61">
        <f>SUM(BA225:BA244)</f>
        <v>8156.52</v>
      </c>
    </row>
    <row r="244" spans="1:83" ht="15" x14ac:dyDescent="0.2">
      <c r="C244" s="134" t="s">
        <v>462</v>
      </c>
      <c r="D244" s="134"/>
      <c r="E244" s="134"/>
      <c r="F244" s="134"/>
      <c r="G244" s="134"/>
      <c r="H244" s="134"/>
      <c r="I244" s="135">
        <f>IF(E225&lt;&gt;0,K244/E225, 0)</f>
        <v>263922.72727272729</v>
      </c>
      <c r="J244" s="135"/>
      <c r="K244" s="135">
        <f>L228+L230+L236+L242+L243+L231+SUM(L240:L240)</f>
        <v>58063</v>
      </c>
      <c r="L244" s="135"/>
      <c r="AD244">
        <f>ROUND((Source!AT84/100)*((ROUND(SUMIF(SmtRes!AQ42:'SmtRes'!AQ47,"=1",SmtRes!AD42:'SmtRes'!AD47)*Source!I84, 2)+ROUND(SUMIF(SmtRes!AQ42:'SmtRes'!AQ47,"=1",SmtRes!AC42:'SmtRes'!AC47)*Source!I84, 2))), 2)</f>
        <v>414.82</v>
      </c>
      <c r="AE244">
        <f>ROUND((Source!AU84/100)*((ROUND(SUMIF(SmtRes!AQ42:'SmtRes'!AQ47,"=1",SmtRes!AD42:'SmtRes'!AD47)*Source!I84, 2)+ROUND(SUMIF(SmtRes!AQ42:'SmtRes'!AQ47,"=1",SmtRes!AC42:'SmtRes'!AC47)*Source!I84, 2))), 2)</f>
        <v>191.97</v>
      </c>
      <c r="AN244" s="63">
        <f>L228+L230+L236+L242+L243+L231</f>
        <v>46067.93</v>
      </c>
      <c r="AO244" s="63">
        <f>L230</f>
        <v>698.58000000000038</v>
      </c>
      <c r="AQ244" t="s">
        <v>463</v>
      </c>
      <c r="AR244" s="63">
        <f>L228</f>
        <v>18526.98</v>
      </c>
      <c r="AT244" s="63">
        <f>L231</f>
        <v>1056.49</v>
      </c>
      <c r="AV244" t="s">
        <v>463</v>
      </c>
      <c r="AW244" s="63">
        <f>L236</f>
        <v>4.24</v>
      </c>
      <c r="AZ244">
        <f>Source!X84</f>
        <v>17625.12</v>
      </c>
      <c r="BA244">
        <f>Source!Y84</f>
        <v>8156.52</v>
      </c>
      <c r="CD244">
        <v>1</v>
      </c>
    </row>
    <row r="245" spans="1:83" ht="57" x14ac:dyDescent="0.2">
      <c r="A245" s="46" t="s">
        <v>170</v>
      </c>
      <c r="B245" s="48" t="s">
        <v>515</v>
      </c>
      <c r="C245" s="48" t="str">
        <f>Source!G86</f>
        <v>Светильник светодиодный панельный, встраиваемый в подвесной потолок плитно-ячеистый, с подключением: к клеммной колодке светильника</v>
      </c>
      <c r="D245" s="49" t="str">
        <f>Source!H86</f>
        <v>100 ШТ</v>
      </c>
      <c r="E245" s="50">
        <f>Source!K86</f>
        <v>0.04</v>
      </c>
      <c r="F245" s="50"/>
      <c r="G245" s="50">
        <f>Source!I86</f>
        <v>0.04</v>
      </c>
      <c r="H245" s="52"/>
      <c r="I245" s="51"/>
      <c r="J245" s="52"/>
      <c r="K245" s="51"/>
      <c r="L245" s="52"/>
    </row>
    <row r="246" spans="1:83" x14ac:dyDescent="0.2">
      <c r="C246" s="55" t="str">
        <f>"Объем: "&amp;Source!I86&amp;"=4/"&amp;"100"</f>
        <v>Объем: 0,04=4/100</v>
      </c>
    </row>
    <row r="247" spans="1:83" ht="15" x14ac:dyDescent="0.2">
      <c r="A247" s="47"/>
      <c r="B247" s="50">
        <v>1</v>
      </c>
      <c r="C247" s="47" t="s">
        <v>450</v>
      </c>
      <c r="D247" s="49" t="s">
        <v>293</v>
      </c>
      <c r="E247" s="56"/>
      <c r="F247" s="50"/>
      <c r="G247" s="50">
        <f>Source!U86</f>
        <v>0.78279999999999994</v>
      </c>
      <c r="H247" s="50"/>
      <c r="I247" s="50"/>
      <c r="J247" s="50"/>
      <c r="K247" s="50"/>
      <c r="L247" s="57">
        <f>SUM(L248:L249)-SUMIF(CE248:CE249, 1, L248:L249)</f>
        <v>569.25</v>
      </c>
    </row>
    <row r="248" spans="1:83" ht="14.25" x14ac:dyDescent="0.2">
      <c r="A248" s="48"/>
      <c r="B248" s="48" t="s">
        <v>340</v>
      </c>
      <c r="C248" s="48" t="s">
        <v>341</v>
      </c>
      <c r="D248" s="49" t="s">
        <v>342</v>
      </c>
      <c r="E248" s="50">
        <v>0.41</v>
      </c>
      <c r="F248" s="50"/>
      <c r="G248" s="50">
        <f>SmtRes!CX48</f>
        <v>1.6400000000000001E-2</v>
      </c>
      <c r="H248" s="52"/>
      <c r="I248" s="51"/>
      <c r="J248" s="52">
        <f>SmtRes!CZ48</f>
        <v>545.58000000000004</v>
      </c>
      <c r="K248" s="51"/>
      <c r="L248" s="52">
        <f>SmtRes!DI48</f>
        <v>8.9499999999999993</v>
      </c>
    </row>
    <row r="249" spans="1:83" ht="14.25" x14ac:dyDescent="0.2">
      <c r="A249" s="48"/>
      <c r="B249" s="48" t="s">
        <v>343</v>
      </c>
      <c r="C249" s="48" t="s">
        <v>344</v>
      </c>
      <c r="D249" s="49" t="s">
        <v>342</v>
      </c>
      <c r="E249" s="50">
        <v>19.16</v>
      </c>
      <c r="F249" s="50"/>
      <c r="G249" s="50">
        <f>SmtRes!CX49</f>
        <v>0.76639999999999997</v>
      </c>
      <c r="H249" s="52"/>
      <c r="I249" s="51"/>
      <c r="J249" s="52">
        <f>SmtRes!CZ49</f>
        <v>731.08</v>
      </c>
      <c r="K249" s="51"/>
      <c r="L249" s="52">
        <f>SmtRes!DI49</f>
        <v>560.29999999999995</v>
      </c>
    </row>
    <row r="250" spans="1:83" ht="15" x14ac:dyDescent="0.2">
      <c r="A250" s="47"/>
      <c r="B250" s="50">
        <v>2</v>
      </c>
      <c r="C250" s="47" t="s">
        <v>451</v>
      </c>
      <c r="D250" s="49"/>
      <c r="E250" s="56"/>
      <c r="F250" s="50"/>
      <c r="G250" s="50"/>
      <c r="H250" s="50"/>
      <c r="I250" s="50"/>
      <c r="J250" s="50"/>
      <c r="K250" s="50"/>
      <c r="L250" s="57">
        <f>SUM(L251:L253)-SUMIF(CE251:CE253, 1, L251:L253)</f>
        <v>6.0999999999999979</v>
      </c>
    </row>
    <row r="251" spans="1:83" ht="15" x14ac:dyDescent="0.2">
      <c r="A251" s="47"/>
      <c r="B251" s="50"/>
      <c r="C251" s="47" t="s">
        <v>454</v>
      </c>
      <c r="D251" s="49" t="s">
        <v>293</v>
      </c>
      <c r="E251" s="56"/>
      <c r="F251" s="50"/>
      <c r="G251" s="50">
        <f>Source!V86</f>
        <v>1.12E-2</v>
      </c>
      <c r="H251" s="50"/>
      <c r="I251" s="50"/>
      <c r="J251" s="50"/>
      <c r="K251" s="50"/>
      <c r="L251" s="57">
        <f>SUMIF(CE252:CE253, 1, L252:L253)</f>
        <v>8.19</v>
      </c>
      <c r="CE251">
        <v>1</v>
      </c>
    </row>
    <row r="252" spans="1:83" ht="28.5" x14ac:dyDescent="0.2">
      <c r="A252" s="48"/>
      <c r="B252" s="48" t="s">
        <v>301</v>
      </c>
      <c r="C252" s="48" t="s">
        <v>303</v>
      </c>
      <c r="D252" s="49" t="s">
        <v>299</v>
      </c>
      <c r="E252" s="50">
        <v>0.28000000000000003</v>
      </c>
      <c r="F252" s="50"/>
      <c r="G252" s="50">
        <f>SmtRes!CX51</f>
        <v>1.12E-2</v>
      </c>
      <c r="H252" s="52"/>
      <c r="I252" s="51"/>
      <c r="J252" s="52">
        <f>SmtRes!CZ51</f>
        <v>544.91999999999996</v>
      </c>
      <c r="K252" s="51"/>
      <c r="L252" s="52">
        <f>SmtRes!DG51</f>
        <v>6.1</v>
      </c>
    </row>
    <row r="253" spans="1:83" ht="28.5" x14ac:dyDescent="0.2">
      <c r="A253" s="48"/>
      <c r="B253" s="48" t="s">
        <v>304</v>
      </c>
      <c r="C253" s="58" t="s">
        <v>453</v>
      </c>
      <c r="D253" s="59" t="s">
        <v>293</v>
      </c>
      <c r="E253" s="60">
        <f>SmtRes!DO51*SmtRes!AT51</f>
        <v>0.28000000000000003</v>
      </c>
      <c r="F253" s="60"/>
      <c r="G253" s="60">
        <f>ROUND(E253*G245, 7)</f>
        <v>1.12E-2</v>
      </c>
      <c r="H253" s="61"/>
      <c r="I253" s="62"/>
      <c r="J253" s="61">
        <f>ROUND(SmtRes!AG51/SmtRes!DO51, 2)</f>
        <v>731.08</v>
      </c>
      <c r="K253" s="62"/>
      <c r="L253" s="61">
        <f>SmtRes!DH51</f>
        <v>8.19</v>
      </c>
      <c r="CE253">
        <v>1</v>
      </c>
    </row>
    <row r="254" spans="1:83" ht="15" x14ac:dyDescent="0.2">
      <c r="A254" s="48"/>
      <c r="B254" s="48"/>
      <c r="C254" s="65" t="s">
        <v>456</v>
      </c>
      <c r="D254" s="49"/>
      <c r="E254" s="50"/>
      <c r="F254" s="50"/>
      <c r="G254" s="50"/>
      <c r="H254" s="52"/>
      <c r="I254" s="51"/>
      <c r="J254" s="52"/>
      <c r="K254" s="51"/>
      <c r="L254" s="52">
        <f>L247+L250+L251</f>
        <v>583.54000000000008</v>
      </c>
    </row>
    <row r="255" spans="1:83" ht="57" x14ac:dyDescent="0.2">
      <c r="A255" s="46" t="s">
        <v>516</v>
      </c>
      <c r="B255" s="48" t="str">
        <f>Source!F87</f>
        <v>421/пр_2020_п.75_пп.а</v>
      </c>
      <c r="C255" s="48" t="str">
        <f>Source!G87</f>
        <v>Сметная стоимость вспомогательных ненормируемых материальных ресурсов, не учтенная в сметной норме, 2%</v>
      </c>
      <c r="D255" s="49" t="str">
        <f>Source!H87</f>
        <v>%</v>
      </c>
      <c r="E255" s="50">
        <f>SmtRes!AT53</f>
        <v>2</v>
      </c>
      <c r="F255" s="50"/>
      <c r="G255" s="50">
        <f>Source!I87</f>
        <v>2</v>
      </c>
      <c r="H255" s="52"/>
      <c r="I255" s="51"/>
      <c r="J255" s="52"/>
      <c r="K255" s="51"/>
      <c r="L255" s="52">
        <f>Source!P87</f>
        <v>11.39</v>
      </c>
      <c r="AD255">
        <f>ROUND((Source!AT87/100)*((ROUND(0*Source!I87, 2)+ROUND(0*Source!I87, 2))), 2)</f>
        <v>0</v>
      </c>
      <c r="AE255">
        <f>ROUND((Source!AU87/100)*((ROUND(0*Source!I87, 2)+ROUND(0*Source!I87, 2))), 2)</f>
        <v>0</v>
      </c>
      <c r="AN255">
        <f>L255</f>
        <v>11.39</v>
      </c>
      <c r="AW255">
        <f>L255</f>
        <v>11.39</v>
      </c>
      <c r="AZ255">
        <f>Source!X87</f>
        <v>0</v>
      </c>
      <c r="BA255">
        <f>Source!Y87</f>
        <v>0</v>
      </c>
      <c r="CD255">
        <v>2</v>
      </c>
    </row>
    <row r="256" spans="1:83" ht="114" x14ac:dyDescent="0.2">
      <c r="A256" s="46" t="s">
        <v>517</v>
      </c>
      <c r="B256" s="48" t="str">
        <f>Source!F88</f>
        <v>20.3.03.07-0091</v>
      </c>
      <c r="C256" s="48" t="str">
        <f>Source!G88</f>
        <v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v>
      </c>
      <c r="D256" s="49" t="str">
        <f>Source!H88</f>
        <v>ШТ</v>
      </c>
      <c r="E256" s="50">
        <f>SmtRes!AT52</f>
        <v>100</v>
      </c>
      <c r="F256" s="50"/>
      <c r="G256" s="50">
        <f>Source!I88</f>
        <v>4</v>
      </c>
      <c r="H256" s="52">
        <f>Source!AL88+Source!AO88+Source!AM88+Source!AN88</f>
        <v>2279.73</v>
      </c>
      <c r="I256" s="51">
        <f>IF(Source!BC88&lt;&gt; 0, Source!BC88, 1)</f>
        <v>1.48</v>
      </c>
      <c r="J256" s="52">
        <f>ROUND(H256*I256, 2)</f>
        <v>3374</v>
      </c>
      <c r="K256" s="51"/>
      <c r="L256" s="52">
        <f>Source!P88</f>
        <v>13496</v>
      </c>
      <c r="AD256">
        <f>ROUND((Source!AT88/100)*((ROUND(ROUND(Source!AO88,2)*Source!I88, 2)+ROUND(ROUND(Source!AN88,2)*Source!I88, 2))), 2)</f>
        <v>0</v>
      </c>
      <c r="AE256">
        <f>ROUND((Source!AU88/100)*((ROUND(ROUND(Source!AO88,2)*Source!I88, 2)+ROUND(ROUND(Source!AN88,2)*Source!I88, 2))), 2)</f>
        <v>0</v>
      </c>
      <c r="AN256">
        <f>L256</f>
        <v>13496</v>
      </c>
      <c r="AW256">
        <f>L256</f>
        <v>13496</v>
      </c>
      <c r="AZ256">
        <f>Source!X88</f>
        <v>0</v>
      </c>
      <c r="BA256">
        <f>Source!Y88</f>
        <v>0</v>
      </c>
      <c r="CD256">
        <v>2</v>
      </c>
    </row>
    <row r="257" spans="1:82" ht="14.25" x14ac:dyDescent="0.2">
      <c r="A257" s="48"/>
      <c r="B257" s="48"/>
      <c r="C257" s="48" t="s">
        <v>457</v>
      </c>
      <c r="D257" s="49"/>
      <c r="E257" s="50"/>
      <c r="F257" s="50"/>
      <c r="G257" s="50"/>
      <c r="H257" s="52"/>
      <c r="I257" s="51"/>
      <c r="J257" s="52"/>
      <c r="K257" s="51"/>
      <c r="L257" s="52">
        <f>SUM(AR245:AR260)+SUM(AS245:AS260)+SUM(AT245:AT260)+SUM(AU245:AU260)+SUM(AV245:AV260)</f>
        <v>577.44000000000005</v>
      </c>
    </row>
    <row r="258" spans="1:82" ht="28.5" x14ac:dyDescent="0.2">
      <c r="A258" s="48"/>
      <c r="B258" s="48" t="s">
        <v>177</v>
      </c>
      <c r="C258" s="48" t="s">
        <v>518</v>
      </c>
      <c r="D258" s="49" t="s">
        <v>182</v>
      </c>
      <c r="E258" s="50">
        <f>Source!BZ86</f>
        <v>97</v>
      </c>
      <c r="F258" s="50"/>
      <c r="G258" s="50">
        <f>Source!AT86</f>
        <v>97</v>
      </c>
      <c r="H258" s="52"/>
      <c r="I258" s="51"/>
      <c r="J258" s="52"/>
      <c r="K258" s="51"/>
      <c r="L258" s="52">
        <f>SUM(AZ245:AZ260)</f>
        <v>560.12</v>
      </c>
    </row>
    <row r="259" spans="1:82" ht="28.5" x14ac:dyDescent="0.2">
      <c r="A259" s="58"/>
      <c r="B259" s="58" t="s">
        <v>178</v>
      </c>
      <c r="C259" s="58" t="s">
        <v>519</v>
      </c>
      <c r="D259" s="59" t="s">
        <v>182</v>
      </c>
      <c r="E259" s="60">
        <f>Source!CA86</f>
        <v>51</v>
      </c>
      <c r="F259" s="60"/>
      <c r="G259" s="60">
        <f>Source!AU86</f>
        <v>51</v>
      </c>
      <c r="H259" s="61"/>
      <c r="I259" s="62"/>
      <c r="J259" s="61"/>
      <c r="K259" s="62"/>
      <c r="L259" s="61">
        <f>SUM(BA245:BA260)</f>
        <v>294.49</v>
      </c>
    </row>
    <row r="260" spans="1:82" ht="15" x14ac:dyDescent="0.2">
      <c r="C260" s="134" t="s">
        <v>462</v>
      </c>
      <c r="D260" s="134"/>
      <c r="E260" s="134"/>
      <c r="F260" s="134"/>
      <c r="G260" s="134"/>
      <c r="H260" s="134"/>
      <c r="I260" s="135">
        <f>IF(E245&lt;&gt;0,K260/E245, 0)</f>
        <v>373638.49999999994</v>
      </c>
      <c r="J260" s="135"/>
      <c r="K260" s="135">
        <f>L247+L250+L258+L259+L251+SUM(L255:L256)</f>
        <v>14945.539999999999</v>
      </c>
      <c r="L260" s="135"/>
      <c r="AD260">
        <f>ROUND((Source!AT86/100)*((ROUND(SUMIF(SmtRes!AQ48:'SmtRes'!AQ53,"=1",SmtRes!AD48:'SmtRes'!AD53)*Source!I86, 2)+ROUND(SUMIF(SmtRes!AQ48:'SmtRes'!AQ53,"=1",SmtRes!AC48:'SmtRes'!AC53)*Source!I86, 2))), 2)</f>
        <v>77.900000000000006</v>
      </c>
      <c r="AE260">
        <f>ROUND((Source!AU86/100)*((ROUND(SUMIF(SmtRes!AQ48:'SmtRes'!AQ53,"=1",SmtRes!AD48:'SmtRes'!AD53)*Source!I86, 2)+ROUND(SUMIF(SmtRes!AQ48:'SmtRes'!AQ53,"=1",SmtRes!AC48:'SmtRes'!AC53)*Source!I86, 2))), 2)</f>
        <v>40.96</v>
      </c>
      <c r="AN260" s="63">
        <f>L247+L250+L258+L259+L251</f>
        <v>1438.15</v>
      </c>
      <c r="AO260" s="63">
        <f>L250</f>
        <v>6.0999999999999979</v>
      </c>
      <c r="AQ260" t="s">
        <v>463</v>
      </c>
      <c r="AR260" s="63">
        <f>L247</f>
        <v>569.25</v>
      </c>
      <c r="AT260" s="63">
        <f>L251</f>
        <v>8.19</v>
      </c>
      <c r="AV260" t="s">
        <v>463</v>
      </c>
      <c r="AW260">
        <f>0</f>
        <v>0</v>
      </c>
      <c r="AZ260">
        <f>Source!X86</f>
        <v>560.12</v>
      </c>
      <c r="BA260">
        <f>Source!Y86</f>
        <v>294.49</v>
      </c>
      <c r="CD260">
        <v>2</v>
      </c>
    </row>
    <row r="263" spans="1:82" ht="15" x14ac:dyDescent="0.2">
      <c r="A263" s="68"/>
      <c r="B263" s="69"/>
      <c r="C263" s="141" t="s">
        <v>464</v>
      </c>
      <c r="D263" s="141"/>
      <c r="E263" s="141"/>
      <c r="F263" s="141"/>
      <c r="G263" s="141"/>
      <c r="H263" s="141"/>
      <c r="I263" s="57"/>
      <c r="J263" s="68"/>
      <c r="K263" s="70"/>
      <c r="L263" s="57">
        <f>L265+L266+L272+L276</f>
        <v>148922.59000000003</v>
      </c>
    </row>
    <row r="264" spans="1:82" ht="14.25" x14ac:dyDescent="0.2">
      <c r="A264" s="66"/>
      <c r="B264" s="67"/>
      <c r="C264" s="139" t="s">
        <v>465</v>
      </c>
      <c r="D264" s="140"/>
      <c r="E264" s="140"/>
      <c r="F264" s="140"/>
      <c r="G264" s="140"/>
      <c r="H264" s="140"/>
      <c r="I264" s="52"/>
      <c r="J264" s="66"/>
      <c r="K264" s="50"/>
      <c r="L264" s="52"/>
    </row>
    <row r="265" spans="1:82" ht="14.25" x14ac:dyDescent="0.2">
      <c r="A265" s="66"/>
      <c r="B265" s="67"/>
      <c r="C265" s="140" t="s">
        <v>466</v>
      </c>
      <c r="D265" s="140"/>
      <c r="E265" s="140"/>
      <c r="F265" s="140"/>
      <c r="G265" s="140"/>
      <c r="H265" s="140"/>
      <c r="I265" s="52"/>
      <c r="J265" s="66"/>
      <c r="K265" s="50"/>
      <c r="L265" s="52">
        <f>SUM(AR119:AR261)</f>
        <v>48789.619999999995</v>
      </c>
    </row>
    <row r="266" spans="1:82" ht="14.25" hidden="1" x14ac:dyDescent="0.2">
      <c r="A266" s="66"/>
      <c r="B266" s="67"/>
      <c r="C266" s="140" t="s">
        <v>467</v>
      </c>
      <c r="D266" s="140"/>
      <c r="E266" s="140"/>
      <c r="F266" s="140"/>
      <c r="G266" s="140"/>
      <c r="H266" s="140"/>
      <c r="I266" s="52"/>
      <c r="J266" s="66"/>
      <c r="K266" s="50"/>
      <c r="L266" s="52">
        <f>L268+L271+L270</f>
        <v>1948.0800000000006</v>
      </c>
    </row>
    <row r="267" spans="1:82" ht="14.25" hidden="1" x14ac:dyDescent="0.2">
      <c r="A267" s="66"/>
      <c r="B267" s="67"/>
      <c r="C267" s="139" t="s">
        <v>468</v>
      </c>
      <c r="D267" s="140"/>
      <c r="E267" s="140"/>
      <c r="F267" s="140"/>
      <c r="G267" s="140"/>
      <c r="H267" s="140"/>
      <c r="I267" s="52"/>
      <c r="J267" s="66"/>
      <c r="K267" s="50"/>
      <c r="L267" s="52"/>
    </row>
    <row r="268" spans="1:82" ht="14.25" x14ac:dyDescent="0.2">
      <c r="A268" s="66"/>
      <c r="B268" s="67"/>
      <c r="C268" s="140" t="s">
        <v>467</v>
      </c>
      <c r="D268" s="140"/>
      <c r="E268" s="140"/>
      <c r="F268" s="140"/>
      <c r="G268" s="140"/>
      <c r="H268" s="140"/>
      <c r="I268" s="52"/>
      <c r="J268" s="66"/>
      <c r="K268" s="50"/>
      <c r="L268" s="52">
        <f>SUM(AO119:AO261)</f>
        <v>771.01000000000045</v>
      </c>
    </row>
    <row r="269" spans="1:82" ht="14.25" hidden="1" x14ac:dyDescent="0.2">
      <c r="A269" s="66"/>
      <c r="B269" s="67"/>
      <c r="C269" s="139" t="s">
        <v>469</v>
      </c>
      <c r="D269" s="140"/>
      <c r="E269" s="140"/>
      <c r="F269" s="140"/>
      <c r="G269" s="140"/>
      <c r="H269" s="140"/>
      <c r="I269" s="52"/>
      <c r="J269" s="66"/>
      <c r="K269" s="50"/>
      <c r="L269" s="52"/>
    </row>
    <row r="270" spans="1:82" ht="14.25" x14ac:dyDescent="0.2">
      <c r="A270" s="66"/>
      <c r="B270" s="67"/>
      <c r="C270" s="140" t="s">
        <v>489</v>
      </c>
      <c r="D270" s="140"/>
      <c r="E270" s="140"/>
      <c r="F270" s="140"/>
      <c r="G270" s="140"/>
      <c r="H270" s="140"/>
      <c r="I270" s="52"/>
      <c r="J270" s="66"/>
      <c r="K270" s="50"/>
      <c r="L270" s="52">
        <f>SUM(AT119:AT261)</f>
        <v>1177.0700000000002</v>
      </c>
    </row>
    <row r="271" spans="1:82" ht="14.25" hidden="1" x14ac:dyDescent="0.2">
      <c r="A271" s="66"/>
      <c r="B271" s="67"/>
      <c r="C271" s="140" t="s">
        <v>470</v>
      </c>
      <c r="D271" s="140"/>
      <c r="E271" s="140"/>
      <c r="F271" s="140"/>
      <c r="G271" s="140"/>
      <c r="H271" s="140"/>
      <c r="I271" s="52"/>
      <c r="J271" s="66"/>
      <c r="K271" s="50"/>
      <c r="L271" s="52">
        <f>SUM(AV119:AV261)</f>
        <v>0</v>
      </c>
    </row>
    <row r="272" spans="1:82" ht="14.25" x14ac:dyDescent="0.2">
      <c r="A272" s="66"/>
      <c r="B272" s="67"/>
      <c r="C272" s="140" t="s">
        <v>471</v>
      </c>
      <c r="D272" s="140"/>
      <c r="E272" s="140"/>
      <c r="F272" s="140"/>
      <c r="G272" s="140"/>
      <c r="H272" s="140"/>
      <c r="I272" s="52"/>
      <c r="J272" s="66"/>
      <c r="K272" s="50"/>
      <c r="L272" s="52">
        <f>L274+L275</f>
        <v>98184.890000000014</v>
      </c>
    </row>
    <row r="273" spans="1:12" ht="14.25" x14ac:dyDescent="0.2">
      <c r="A273" s="66"/>
      <c r="B273" s="67"/>
      <c r="C273" s="139" t="s">
        <v>468</v>
      </c>
      <c r="D273" s="140"/>
      <c r="E273" s="140"/>
      <c r="F273" s="140"/>
      <c r="G273" s="140"/>
      <c r="H273" s="140"/>
      <c r="I273" s="52"/>
      <c r="J273" s="66"/>
      <c r="K273" s="50"/>
      <c r="L273" s="52"/>
    </row>
    <row r="274" spans="1:12" ht="14.25" x14ac:dyDescent="0.2">
      <c r="A274" s="66"/>
      <c r="B274" s="67"/>
      <c r="C274" s="140" t="s">
        <v>472</v>
      </c>
      <c r="D274" s="140"/>
      <c r="E274" s="140"/>
      <c r="F274" s="140"/>
      <c r="G274" s="140"/>
      <c r="H274" s="140"/>
      <c r="I274" s="52"/>
      <c r="J274" s="66"/>
      <c r="K274" s="50"/>
      <c r="L274" s="52">
        <f>SUM(AW119:AW261)-SUM(BK119:BK261)</f>
        <v>98184.890000000014</v>
      </c>
    </row>
    <row r="275" spans="1:12" ht="14.25" hidden="1" x14ac:dyDescent="0.2">
      <c r="A275" s="66"/>
      <c r="B275" s="67"/>
      <c r="C275" s="140" t="s">
        <v>473</v>
      </c>
      <c r="D275" s="140"/>
      <c r="E275" s="140"/>
      <c r="F275" s="140"/>
      <c r="G275" s="140"/>
      <c r="H275" s="140"/>
      <c r="I275" s="52"/>
      <c r="J275" s="66"/>
      <c r="K275" s="50"/>
      <c r="L275" s="52">
        <f>SUM(BC119:BC261)</f>
        <v>0</v>
      </c>
    </row>
    <row r="276" spans="1:12" ht="14.25" hidden="1" x14ac:dyDescent="0.2">
      <c r="A276" s="66"/>
      <c r="B276" s="67"/>
      <c r="C276" s="140" t="s">
        <v>474</v>
      </c>
      <c r="D276" s="140"/>
      <c r="E276" s="140"/>
      <c r="F276" s="140"/>
      <c r="G276" s="140"/>
      <c r="H276" s="140"/>
      <c r="I276" s="52"/>
      <c r="J276" s="66"/>
      <c r="K276" s="50"/>
      <c r="L276" s="52">
        <f>SUM(BB119:BB261)</f>
        <v>0</v>
      </c>
    </row>
    <row r="277" spans="1:12" ht="14.25" x14ac:dyDescent="0.2">
      <c r="A277" s="66"/>
      <c r="B277" s="67"/>
      <c r="C277" s="140" t="s">
        <v>475</v>
      </c>
      <c r="D277" s="140"/>
      <c r="E277" s="140"/>
      <c r="F277" s="140"/>
      <c r="G277" s="140"/>
      <c r="H277" s="140"/>
      <c r="I277" s="52"/>
      <c r="J277" s="66"/>
      <c r="K277" s="50"/>
      <c r="L277" s="52">
        <f>SUM(AR119:AR261)+SUM(AT119:AT261)+SUM(AV119:AV261)</f>
        <v>49966.689999999995</v>
      </c>
    </row>
    <row r="278" spans="1:12" ht="14.25" x14ac:dyDescent="0.2">
      <c r="A278" s="66"/>
      <c r="B278" s="67"/>
      <c r="C278" s="140" t="s">
        <v>476</v>
      </c>
      <c r="D278" s="140"/>
      <c r="E278" s="140"/>
      <c r="F278" s="140"/>
      <c r="G278" s="140"/>
      <c r="H278" s="140"/>
      <c r="I278" s="52"/>
      <c r="J278" s="66"/>
      <c r="K278" s="50"/>
      <c r="L278" s="52">
        <f>SUM(AZ119:AZ261)</f>
        <v>45461.01</v>
      </c>
    </row>
    <row r="279" spans="1:12" ht="14.25" x14ac:dyDescent="0.2">
      <c r="A279" s="66"/>
      <c r="B279" s="67"/>
      <c r="C279" s="140" t="s">
        <v>477</v>
      </c>
      <c r="D279" s="140"/>
      <c r="E279" s="140"/>
      <c r="F279" s="140"/>
      <c r="G279" s="140"/>
      <c r="H279" s="140"/>
      <c r="I279" s="52"/>
      <c r="J279" s="66"/>
      <c r="K279" s="50"/>
      <c r="L279" s="52">
        <f>SUM(BA119:BA261)</f>
        <v>21777.439999999999</v>
      </c>
    </row>
    <row r="280" spans="1:12" ht="14.25" hidden="1" x14ac:dyDescent="0.2">
      <c r="A280" s="66"/>
      <c r="B280" s="67"/>
      <c r="C280" s="140" t="s">
        <v>478</v>
      </c>
      <c r="D280" s="140"/>
      <c r="E280" s="140"/>
      <c r="F280" s="140"/>
      <c r="G280" s="140"/>
      <c r="H280" s="140"/>
      <c r="I280" s="52"/>
      <c r="J280" s="66"/>
      <c r="K280" s="50"/>
      <c r="L280" s="52">
        <f>L282+L283</f>
        <v>0</v>
      </c>
    </row>
    <row r="281" spans="1:12" ht="14.25" hidden="1" x14ac:dyDescent="0.2">
      <c r="A281" s="66"/>
      <c r="B281" s="67"/>
      <c r="C281" s="139" t="s">
        <v>465</v>
      </c>
      <c r="D281" s="140"/>
      <c r="E281" s="140"/>
      <c r="F281" s="140"/>
      <c r="G281" s="140"/>
      <c r="H281" s="140"/>
      <c r="I281" s="52"/>
      <c r="J281" s="66"/>
      <c r="K281" s="50"/>
      <c r="L281" s="52"/>
    </row>
    <row r="282" spans="1:12" ht="14.25" hidden="1" x14ac:dyDescent="0.2">
      <c r="A282" s="66"/>
      <c r="B282" s="67"/>
      <c r="C282" s="140" t="s">
        <v>479</v>
      </c>
      <c r="D282" s="140"/>
      <c r="E282" s="140"/>
      <c r="F282" s="140"/>
      <c r="G282" s="140"/>
      <c r="H282" s="140"/>
      <c r="I282" s="52"/>
      <c r="J282" s="66"/>
      <c r="K282" s="50"/>
      <c r="L282" s="52">
        <f>SUM(BK119:BK261)</f>
        <v>0</v>
      </c>
    </row>
    <row r="283" spans="1:12" ht="14.25" hidden="1" x14ac:dyDescent="0.2">
      <c r="A283" s="66"/>
      <c r="B283" s="67"/>
      <c r="C283" s="140" t="s">
        <v>480</v>
      </c>
      <c r="D283" s="140"/>
      <c r="E283" s="140"/>
      <c r="F283" s="140"/>
      <c r="G283" s="140"/>
      <c r="H283" s="140"/>
      <c r="I283" s="52"/>
      <c r="J283" s="66"/>
      <c r="K283" s="50"/>
      <c r="L283" s="52">
        <f>SUM(BD119:BD261)</f>
        <v>0</v>
      </c>
    </row>
    <row r="284" spans="1:12" ht="14.25" hidden="1" x14ac:dyDescent="0.2">
      <c r="A284" s="66"/>
      <c r="B284" s="67"/>
      <c r="C284" s="140" t="s">
        <v>481</v>
      </c>
      <c r="D284" s="140"/>
      <c r="E284" s="140"/>
      <c r="F284" s="140"/>
      <c r="G284" s="140"/>
      <c r="H284" s="140"/>
      <c r="I284" s="52"/>
      <c r="J284" s="66"/>
      <c r="K284" s="50"/>
      <c r="L284" s="52"/>
    </row>
    <row r="285" spans="1:12" ht="14.25" hidden="1" x14ac:dyDescent="0.2">
      <c r="A285" s="66"/>
      <c r="B285" s="67"/>
      <c r="C285" s="140" t="s">
        <v>481</v>
      </c>
      <c r="D285" s="140"/>
      <c r="E285" s="140"/>
      <c r="F285" s="140"/>
      <c r="G285" s="140"/>
      <c r="H285" s="140"/>
      <c r="I285" s="52"/>
      <c r="J285" s="66"/>
      <c r="K285" s="50"/>
      <c r="L285" s="52">
        <f>SUM(BQ119:BQ261)</f>
        <v>0</v>
      </c>
    </row>
    <row r="286" spans="1:12" ht="14.25" hidden="1" x14ac:dyDescent="0.2">
      <c r="A286" s="66"/>
      <c r="B286" s="67"/>
      <c r="C286" s="140" t="s">
        <v>482</v>
      </c>
      <c r="D286" s="140"/>
      <c r="E286" s="140"/>
      <c r="F286" s="140"/>
      <c r="G286" s="140"/>
      <c r="H286" s="140"/>
      <c r="I286" s="52"/>
      <c r="J286" s="66"/>
      <c r="K286" s="50"/>
      <c r="L286" s="52">
        <f>SUM(BO119:BO261)</f>
        <v>0</v>
      </c>
    </row>
    <row r="287" spans="1:12" ht="15" x14ac:dyDescent="0.2">
      <c r="A287" s="68"/>
      <c r="B287" s="69"/>
      <c r="C287" s="141" t="s">
        <v>483</v>
      </c>
      <c r="D287" s="141"/>
      <c r="E287" s="141"/>
      <c r="F287" s="141"/>
      <c r="G287" s="141"/>
      <c r="H287" s="141"/>
      <c r="I287" s="57"/>
      <c r="J287" s="68"/>
      <c r="K287" s="70"/>
      <c r="L287" s="57">
        <f>L263+L278+L279+L280+L285+L286</f>
        <v>216161.04000000004</v>
      </c>
    </row>
    <row r="288" spans="1:12" ht="14.25" x14ac:dyDescent="0.2">
      <c r="A288" s="66"/>
      <c r="B288" s="67"/>
      <c r="C288" s="139" t="s">
        <v>484</v>
      </c>
      <c r="D288" s="140"/>
      <c r="E288" s="140"/>
      <c r="F288" s="140"/>
      <c r="G288" s="140"/>
      <c r="H288" s="140"/>
      <c r="I288" s="52"/>
      <c r="J288" s="66"/>
      <c r="K288" s="50"/>
      <c r="L288" s="52"/>
    </row>
    <row r="289" spans="1:101" ht="14.25" x14ac:dyDescent="0.2">
      <c r="A289" s="66"/>
      <c r="B289" s="67"/>
      <c r="C289" s="140" t="s">
        <v>485</v>
      </c>
      <c r="D289" s="140"/>
      <c r="E289" s="140"/>
      <c r="F289" s="140"/>
      <c r="G289" s="140"/>
      <c r="H289" s="140"/>
      <c r="I289" s="52"/>
      <c r="J289" s="66"/>
      <c r="K289" s="50"/>
      <c r="L289" s="52">
        <f>SUM(AX119:AX261)</f>
        <v>66758.53</v>
      </c>
    </row>
    <row r="290" spans="1:101" ht="14.25" hidden="1" x14ac:dyDescent="0.2">
      <c r="A290" s="66"/>
      <c r="B290" s="67"/>
      <c r="C290" s="140" t="s">
        <v>486</v>
      </c>
      <c r="D290" s="140"/>
      <c r="E290" s="140"/>
      <c r="F290" s="140"/>
      <c r="G290" s="140"/>
      <c r="H290" s="140"/>
      <c r="I290" s="52"/>
      <c r="J290" s="66"/>
      <c r="K290" s="50"/>
      <c r="L290" s="52">
        <f>SUM(AY119:AY261)</f>
        <v>0</v>
      </c>
    </row>
    <row r="291" spans="1:101" ht="14.25" x14ac:dyDescent="0.2">
      <c r="A291" s="66"/>
      <c r="B291" s="67"/>
      <c r="C291" s="140" t="s">
        <v>487</v>
      </c>
      <c r="D291" s="140"/>
      <c r="E291" s="140"/>
      <c r="F291" s="142"/>
      <c r="G291" s="56">
        <f>Source!F142</f>
        <v>72.444095000000004</v>
      </c>
      <c r="H291" s="66"/>
      <c r="I291" s="66"/>
      <c r="J291" s="66"/>
      <c r="K291" s="66"/>
      <c r="L291" s="66"/>
    </row>
    <row r="292" spans="1:101" ht="14.25" x14ac:dyDescent="0.2">
      <c r="A292" s="66"/>
      <c r="B292" s="67"/>
      <c r="C292" s="140" t="s">
        <v>488</v>
      </c>
      <c r="D292" s="140"/>
      <c r="E292" s="140"/>
      <c r="F292" s="142"/>
      <c r="G292" s="56">
        <f>Source!F143</f>
        <v>1.6445624999999999</v>
      </c>
      <c r="H292" s="66"/>
      <c r="I292" s="66"/>
      <c r="J292" s="66"/>
      <c r="K292" s="66"/>
      <c r="L292" s="66"/>
    </row>
    <row r="295" spans="1:101" ht="16.5" x14ac:dyDescent="0.2">
      <c r="A295" s="132" t="s">
        <v>520</v>
      </c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</row>
    <row r="296" spans="1:101" ht="57" x14ac:dyDescent="0.2">
      <c r="A296" s="46" t="s">
        <v>188</v>
      </c>
      <c r="B296" s="48" t="s">
        <v>448</v>
      </c>
      <c r="C296" s="48" t="str">
        <f>Source!G154</f>
        <v>Окраска водно-дисперсионными акриловыми составами улучшенная: по сборным конструкциям стен, подготовленным под окраску</v>
      </c>
      <c r="D296" s="49" t="str">
        <f>Source!H154</f>
        <v>100 м2</v>
      </c>
      <c r="E296" s="50">
        <f>Source!K154</f>
        <v>1.52</v>
      </c>
      <c r="F296" s="50"/>
      <c r="G296" s="50">
        <f>Source!I154</f>
        <v>1.52</v>
      </c>
      <c r="H296" s="52"/>
      <c r="I296" s="51"/>
      <c r="J296" s="52"/>
      <c r="K296" s="51"/>
      <c r="L296" s="52"/>
    </row>
    <row r="297" spans="1:101" ht="51" x14ac:dyDescent="0.2">
      <c r="B297" s="53" t="s">
        <v>355</v>
      </c>
      <c r="C297" s="133" t="s">
        <v>449</v>
      </c>
      <c r="D297" s="133"/>
      <c r="E297" s="133"/>
      <c r="F297" s="133"/>
      <c r="G297" s="133"/>
      <c r="H297" s="133"/>
      <c r="I297" s="133"/>
      <c r="J297" s="133"/>
      <c r="K297" s="133"/>
      <c r="L297" s="133"/>
      <c r="CW297" s="54" t="s">
        <v>449</v>
      </c>
    </row>
    <row r="298" spans="1:101" x14ac:dyDescent="0.2">
      <c r="C298" s="55" t="str">
        <f>"Объем: "&amp;Source!I154&amp;"=152/"&amp;"100"</f>
        <v>Объем: 1,52=152/100</v>
      </c>
    </row>
    <row r="299" spans="1:101" ht="15" x14ac:dyDescent="0.2">
      <c r="A299" s="47"/>
      <c r="B299" s="50">
        <v>1</v>
      </c>
      <c r="C299" s="47" t="s">
        <v>450</v>
      </c>
      <c r="D299" s="49" t="s">
        <v>293</v>
      </c>
      <c r="E299" s="56"/>
      <c r="F299" s="50"/>
      <c r="G299" s="50">
        <f>Source!U154</f>
        <v>57.212040000000002</v>
      </c>
      <c r="H299" s="50"/>
      <c r="I299" s="50"/>
      <c r="J299" s="50"/>
      <c r="K299" s="50"/>
      <c r="L299" s="57">
        <f>SUM(L300:L300)-SUMIF(CE300:CE300, 1, L300:L300)</f>
        <v>38548.9</v>
      </c>
    </row>
    <row r="300" spans="1:101" ht="14.25" x14ac:dyDescent="0.2">
      <c r="A300" s="48"/>
      <c r="B300" s="48" t="s">
        <v>291</v>
      </c>
      <c r="C300" s="48" t="s">
        <v>292</v>
      </c>
      <c r="D300" s="49" t="s">
        <v>293</v>
      </c>
      <c r="E300" s="50">
        <v>32.729999999999997</v>
      </c>
      <c r="F300" s="50">
        <f>ROUND(1.15,7)</f>
        <v>1.1499999999999999</v>
      </c>
      <c r="G300" s="50">
        <f>SmtRes!CX54</f>
        <v>57.212040000000002</v>
      </c>
      <c r="H300" s="52"/>
      <c r="I300" s="51"/>
      <c r="J300" s="52">
        <f>SmtRes!CZ54</f>
        <v>673.79</v>
      </c>
      <c r="K300" s="51"/>
      <c r="L300" s="52">
        <f>SmtRes!DI54</f>
        <v>38548.9</v>
      </c>
    </row>
    <row r="301" spans="1:101" ht="15" x14ac:dyDescent="0.2">
      <c r="A301" s="47"/>
      <c r="B301" s="50">
        <v>2</v>
      </c>
      <c r="C301" s="47" t="s">
        <v>451</v>
      </c>
      <c r="D301" s="49"/>
      <c r="E301" s="56"/>
      <c r="F301" s="50"/>
      <c r="G301" s="50"/>
      <c r="H301" s="50"/>
      <c r="I301" s="50"/>
      <c r="J301" s="50"/>
      <c r="K301" s="50"/>
      <c r="L301" s="57">
        <f>SUM(L302:L306)-SUMIF(CE302:CE306, 1, L302:L306)</f>
        <v>104.43999999999994</v>
      </c>
    </row>
    <row r="302" spans="1:101" ht="15" x14ac:dyDescent="0.2">
      <c r="A302" s="47"/>
      <c r="B302" s="50"/>
      <c r="C302" s="47" t="s">
        <v>454</v>
      </c>
      <c r="D302" s="49" t="s">
        <v>293</v>
      </c>
      <c r="E302" s="56"/>
      <c r="F302" s="50"/>
      <c r="G302" s="50">
        <f>Source!V154</f>
        <v>0.20899999999999999</v>
      </c>
      <c r="H302" s="50"/>
      <c r="I302" s="50"/>
      <c r="J302" s="50"/>
      <c r="K302" s="50"/>
      <c r="L302" s="57">
        <f>SUMIF(CE303:CE306, 1, L303:L306)</f>
        <v>151.25</v>
      </c>
      <c r="CE302">
        <v>1</v>
      </c>
    </row>
    <row r="303" spans="1:101" ht="42.75" x14ac:dyDescent="0.2">
      <c r="A303" s="48"/>
      <c r="B303" s="48" t="s">
        <v>296</v>
      </c>
      <c r="C303" s="48" t="s">
        <v>298</v>
      </c>
      <c r="D303" s="49" t="s">
        <v>299</v>
      </c>
      <c r="E303" s="50">
        <v>0.01</v>
      </c>
      <c r="F303" s="50">
        <f>ROUND(1.25,7)</f>
        <v>1.25</v>
      </c>
      <c r="G303" s="50">
        <f>SmtRes!CX56</f>
        <v>1.9E-2</v>
      </c>
      <c r="H303" s="52">
        <f>SmtRes!CZ56</f>
        <v>30.61</v>
      </c>
      <c r="I303" s="51">
        <f>SmtRes!AJ56</f>
        <v>1.57</v>
      </c>
      <c r="J303" s="52">
        <f>ROUND(H303*I303, 2)</f>
        <v>48.06</v>
      </c>
      <c r="K303" s="51"/>
      <c r="L303" s="52">
        <f>SmtRes!DG56</f>
        <v>0.91</v>
      </c>
    </row>
    <row r="304" spans="1:101" ht="28.5" x14ac:dyDescent="0.2">
      <c r="A304" s="48"/>
      <c r="B304" s="48" t="s">
        <v>300</v>
      </c>
      <c r="C304" s="48" t="s">
        <v>452</v>
      </c>
      <c r="D304" s="49" t="s">
        <v>293</v>
      </c>
      <c r="E304" s="50">
        <f>SmtRes!DO56*SmtRes!AT56</f>
        <v>0.01</v>
      </c>
      <c r="F304" s="50">
        <f>ROUND(1.25,7)</f>
        <v>1.25</v>
      </c>
      <c r="G304" s="50">
        <f>ROUND(E304*F304*G296, 7)</f>
        <v>1.9E-2</v>
      </c>
      <c r="H304" s="52"/>
      <c r="I304" s="51"/>
      <c r="J304" s="52">
        <f>ROUND(SmtRes!AG56/SmtRes!DO56, 2)</f>
        <v>649.24</v>
      </c>
      <c r="K304" s="51"/>
      <c r="L304" s="52">
        <f>SmtRes!DH56</f>
        <v>12.34</v>
      </c>
      <c r="CE304">
        <v>1</v>
      </c>
    </row>
    <row r="305" spans="1:83" ht="28.5" x14ac:dyDescent="0.2">
      <c r="A305" s="48"/>
      <c r="B305" s="48" t="s">
        <v>301</v>
      </c>
      <c r="C305" s="48" t="s">
        <v>303</v>
      </c>
      <c r="D305" s="49" t="s">
        <v>299</v>
      </c>
      <c r="E305" s="50">
        <v>0.1</v>
      </c>
      <c r="F305" s="50">
        <f>ROUND(1.25,7)</f>
        <v>1.25</v>
      </c>
      <c r="G305" s="50">
        <f>SmtRes!CX57</f>
        <v>0.19</v>
      </c>
      <c r="H305" s="52"/>
      <c r="I305" s="51"/>
      <c r="J305" s="52">
        <f>SmtRes!CZ57</f>
        <v>544.91999999999996</v>
      </c>
      <c r="K305" s="51"/>
      <c r="L305" s="52">
        <f>SmtRes!DG57</f>
        <v>103.53</v>
      </c>
    </row>
    <row r="306" spans="1:83" ht="28.5" x14ac:dyDescent="0.2">
      <c r="A306" s="48"/>
      <c r="B306" s="48" t="s">
        <v>304</v>
      </c>
      <c r="C306" s="48" t="s">
        <v>453</v>
      </c>
      <c r="D306" s="49" t="s">
        <v>293</v>
      </c>
      <c r="E306" s="50">
        <f>SmtRes!DO57*SmtRes!AT57</f>
        <v>0.1</v>
      </c>
      <c r="F306" s="50">
        <f>ROUND(1.25,7)</f>
        <v>1.25</v>
      </c>
      <c r="G306" s="50">
        <f>ROUND(E306*F306*G296, 7)</f>
        <v>0.19</v>
      </c>
      <c r="H306" s="52"/>
      <c r="I306" s="51"/>
      <c r="J306" s="52">
        <f>ROUND(SmtRes!AG57/SmtRes!DO57, 2)</f>
        <v>731.08</v>
      </c>
      <c r="K306" s="51"/>
      <c r="L306" s="52">
        <f>SmtRes!DH57</f>
        <v>138.91</v>
      </c>
      <c r="CE306">
        <v>1</v>
      </c>
    </row>
    <row r="307" spans="1:83" ht="15" x14ac:dyDescent="0.2">
      <c r="A307" s="47"/>
      <c r="B307" s="50">
        <v>4</v>
      </c>
      <c r="C307" s="47" t="s">
        <v>455</v>
      </c>
      <c r="D307" s="49"/>
      <c r="E307" s="56"/>
      <c r="F307" s="50"/>
      <c r="G307" s="50"/>
      <c r="H307" s="50"/>
      <c r="I307" s="50"/>
      <c r="J307" s="50"/>
      <c r="K307" s="50"/>
      <c r="L307" s="57">
        <f>SUM(L308:L310)-SUMIF(CE308:CE310, 1, L308:L310)</f>
        <v>1536.07</v>
      </c>
    </row>
    <row r="308" spans="1:83" ht="28.5" x14ac:dyDescent="0.2">
      <c r="A308" s="48"/>
      <c r="B308" s="48" t="s">
        <v>305</v>
      </c>
      <c r="C308" s="48" t="s">
        <v>307</v>
      </c>
      <c r="D308" s="49" t="s">
        <v>130</v>
      </c>
      <c r="E308" s="50">
        <v>0.84</v>
      </c>
      <c r="F308" s="50"/>
      <c r="G308" s="50">
        <f>SmtRes!CX58</f>
        <v>1.2767999999999999</v>
      </c>
      <c r="H308" s="52">
        <f>SmtRes!CZ58</f>
        <v>531.44000000000005</v>
      </c>
      <c r="I308" s="51">
        <f>SmtRes!AI58</f>
        <v>1.35</v>
      </c>
      <c r="J308" s="52">
        <f>ROUND(H308*I308, 2)</f>
        <v>717.44</v>
      </c>
      <c r="K308" s="51"/>
      <c r="L308" s="52">
        <f>SmtRes!DF58</f>
        <v>916.03</v>
      </c>
    </row>
    <row r="309" spans="1:83" ht="14.25" x14ac:dyDescent="0.2">
      <c r="A309" s="48"/>
      <c r="B309" s="48" t="s">
        <v>308</v>
      </c>
      <c r="C309" s="48" t="s">
        <v>310</v>
      </c>
      <c r="D309" s="49" t="s">
        <v>40</v>
      </c>
      <c r="E309" s="50">
        <v>0.31</v>
      </c>
      <c r="F309" s="50"/>
      <c r="G309" s="50">
        <f>SmtRes!CX59</f>
        <v>0.47120000000000001</v>
      </c>
      <c r="H309" s="52">
        <f>SmtRes!CZ59</f>
        <v>56.11</v>
      </c>
      <c r="I309" s="51">
        <f>SmtRes!AI59</f>
        <v>1.6</v>
      </c>
      <c r="J309" s="52">
        <f>ROUND(H309*I309, 2)</f>
        <v>89.78</v>
      </c>
      <c r="K309" s="51"/>
      <c r="L309" s="52">
        <f>SmtRes!DF59</f>
        <v>42.3</v>
      </c>
    </row>
    <row r="310" spans="1:83" ht="14.25" x14ac:dyDescent="0.2">
      <c r="A310" s="48"/>
      <c r="B310" s="48" t="s">
        <v>311</v>
      </c>
      <c r="C310" s="48" t="s">
        <v>313</v>
      </c>
      <c r="D310" s="49" t="s">
        <v>35</v>
      </c>
      <c r="E310" s="50">
        <v>5.0000000000000001E-3</v>
      </c>
      <c r="F310" s="50"/>
      <c r="G310" s="50">
        <f>SmtRes!CX62</f>
        <v>7.6E-3</v>
      </c>
      <c r="H310" s="52">
        <f>SmtRes!CZ62</f>
        <v>52790.33</v>
      </c>
      <c r="I310" s="51">
        <f>SmtRes!AI62</f>
        <v>1.44</v>
      </c>
      <c r="J310" s="52">
        <f>ROUND(H310*I310, 2)</f>
        <v>76018.080000000002</v>
      </c>
      <c r="K310" s="51"/>
      <c r="L310" s="52">
        <f>SmtRes!DF62</f>
        <v>577.74</v>
      </c>
    </row>
    <row r="311" spans="1:83" ht="14.25" x14ac:dyDescent="0.2">
      <c r="A311" s="48"/>
      <c r="B311" s="48" t="str">
        <f>EtalonRes!I59</f>
        <v>14.3.02.01</v>
      </c>
      <c r="C311" s="48" t="str">
        <f>EtalonRes!K59</f>
        <v>Краска акриловая</v>
      </c>
      <c r="D311" s="49" t="str">
        <f>EtalonRes!O59</f>
        <v>т</v>
      </c>
      <c r="E311" s="50">
        <f>EtalonRes!X59</f>
        <v>0.03</v>
      </c>
      <c r="F311" s="50"/>
      <c r="G311" s="50">
        <f>ROUND(EtalonRes!AG59*Source!I154, 7)</f>
        <v>4.5600000000000002E-2</v>
      </c>
      <c r="H311" s="52"/>
      <c r="I311" s="51"/>
      <c r="J311" s="52"/>
      <c r="K311" s="51"/>
      <c r="L311" s="52"/>
    </row>
    <row r="312" spans="1:83" ht="14.25" x14ac:dyDescent="0.2">
      <c r="A312" s="48"/>
      <c r="B312" s="48" t="str">
        <f>EtalonRes!I60</f>
        <v>14.4.01.02</v>
      </c>
      <c r="C312" s="58" t="str">
        <f>EtalonRes!K60</f>
        <v>Грунтовка</v>
      </c>
      <c r="D312" s="59" t="str">
        <f>EtalonRes!O60</f>
        <v>т</v>
      </c>
      <c r="E312" s="60">
        <f>EtalonRes!X60</f>
        <v>0.02</v>
      </c>
      <c r="F312" s="60"/>
      <c r="G312" s="60">
        <f>ROUND(EtalonRes!AG60*Source!I154, 7)</f>
        <v>3.04E-2</v>
      </c>
      <c r="H312" s="61"/>
      <c r="I312" s="62"/>
      <c r="J312" s="61"/>
      <c r="K312" s="62"/>
      <c r="L312" s="61"/>
    </row>
    <row r="313" spans="1:83" ht="15" x14ac:dyDescent="0.2">
      <c r="A313" s="48"/>
      <c r="B313" s="48"/>
      <c r="C313" s="65" t="s">
        <v>456</v>
      </c>
      <c r="D313" s="49"/>
      <c r="E313" s="50"/>
      <c r="F313" s="50"/>
      <c r="G313" s="50"/>
      <c r="H313" s="52"/>
      <c r="I313" s="51"/>
      <c r="J313" s="52"/>
      <c r="K313" s="51"/>
      <c r="L313" s="52">
        <f>L299+L301+L302+L307</f>
        <v>40340.660000000003</v>
      </c>
    </row>
    <row r="314" spans="1:83" ht="28.5" x14ac:dyDescent="0.2">
      <c r="A314" s="46" t="s">
        <v>521</v>
      </c>
      <c r="B314" s="48" t="str">
        <f>Source!F155</f>
        <v>14.3.02.01-0362</v>
      </c>
      <c r="C314" s="48" t="str">
        <f>Source!G155</f>
        <v>Краска водно-дисперсионная акрилатная ВД-АК-104</v>
      </c>
      <c r="D314" s="49" t="str">
        <f>Source!H155</f>
        <v>т</v>
      </c>
      <c r="E314" s="50">
        <f>SmtRes!AT60</f>
        <v>0.03</v>
      </c>
      <c r="F314" s="50"/>
      <c r="G314" s="50">
        <f>Source!I155</f>
        <v>4.5600000000000002E-2</v>
      </c>
      <c r="H314" s="52">
        <f>Source!AL155+Source!AO155+Source!AM155+Source!AN155</f>
        <v>87665.56</v>
      </c>
      <c r="I314" s="51">
        <f>IF(Source!BC155&lt;&gt; 0, Source!BC155, 1)</f>
        <v>1.75</v>
      </c>
      <c r="J314" s="52">
        <f>ROUND(H314*I314, 2)</f>
        <v>153414.73000000001</v>
      </c>
      <c r="K314" s="51"/>
      <c r="L314" s="52">
        <f>Source!P155</f>
        <v>6995.71</v>
      </c>
      <c r="AD314">
        <f>ROUND((Source!AT155/100)*((ROUND(ROUND(Source!AO155,2)*Source!I155, 2)+ROUND(ROUND(Source!AN155,2)*Source!I155, 2))), 2)</f>
        <v>0</v>
      </c>
      <c r="AE314">
        <f>ROUND((Source!AU155/100)*((ROUND(ROUND(Source!AO155,2)*Source!I155, 2)+ROUND(ROUND(Source!AN155,2)*Source!I155, 2))), 2)</f>
        <v>0</v>
      </c>
      <c r="AN314">
        <f>L314</f>
        <v>6995.71</v>
      </c>
      <c r="AW314">
        <f>L314</f>
        <v>6995.71</v>
      </c>
      <c r="AZ314">
        <f>Source!X155</f>
        <v>0</v>
      </c>
      <c r="BA314">
        <f>Source!Y155</f>
        <v>0</v>
      </c>
      <c r="CD314">
        <v>1</v>
      </c>
    </row>
    <row r="315" spans="1:83" ht="42.75" x14ac:dyDescent="0.2">
      <c r="A315" s="46" t="s">
        <v>522</v>
      </c>
      <c r="B315" s="48" t="str">
        <f>Source!F156</f>
        <v>14.4.01.02-0012</v>
      </c>
      <c r="C315" s="48" t="str">
        <f>Source!G156</f>
        <v>Грунтовка укрепляющая, глубокого проникновения, быстросохнущая, паропроницаемая</v>
      </c>
      <c r="D315" s="49" t="str">
        <f>Source!H156</f>
        <v>кг</v>
      </c>
      <c r="E315" s="50">
        <f>SmtRes!AT61</f>
        <v>20</v>
      </c>
      <c r="F315" s="50"/>
      <c r="G315" s="50">
        <f>Source!I156</f>
        <v>30.4</v>
      </c>
      <c r="H315" s="52">
        <f>Source!AL156+Source!AO156+Source!AM156+Source!AN156</f>
        <v>68.290000000000006</v>
      </c>
      <c r="I315" s="51">
        <f>IF(Source!BC156&lt;&gt; 0, Source!BC156, 1)</f>
        <v>1.54</v>
      </c>
      <c r="J315" s="52">
        <f>ROUND(H315*I315, 2)</f>
        <v>105.17</v>
      </c>
      <c r="K315" s="51"/>
      <c r="L315" s="52">
        <f>Source!P156</f>
        <v>3197.17</v>
      </c>
      <c r="AD315">
        <f>ROUND((Source!AT156/100)*((ROUND(ROUND(Source!AO156,2)*Source!I156, 2)+ROUND(ROUND(Source!AN156,2)*Source!I156, 2))), 2)</f>
        <v>0</v>
      </c>
      <c r="AE315">
        <f>ROUND((Source!AU156/100)*((ROUND(ROUND(Source!AO156,2)*Source!I156, 2)+ROUND(ROUND(Source!AN156,2)*Source!I156, 2))), 2)</f>
        <v>0</v>
      </c>
      <c r="AN315">
        <f>L315</f>
        <v>3197.17</v>
      </c>
      <c r="AW315">
        <f>L315</f>
        <v>3197.17</v>
      </c>
      <c r="AZ315">
        <f>Source!X156</f>
        <v>0</v>
      </c>
      <c r="BA315">
        <f>Source!Y156</f>
        <v>0</v>
      </c>
      <c r="CD315">
        <v>1</v>
      </c>
    </row>
    <row r="316" spans="1:83" ht="14.25" x14ac:dyDescent="0.2">
      <c r="A316" s="48"/>
      <c r="B316" s="48"/>
      <c r="C316" s="48" t="s">
        <v>457</v>
      </c>
      <c r="D316" s="49"/>
      <c r="E316" s="50"/>
      <c r="F316" s="50"/>
      <c r="G316" s="50"/>
      <c r="H316" s="52"/>
      <c r="I316" s="51"/>
      <c r="J316" s="52"/>
      <c r="K316" s="51"/>
      <c r="L316" s="52">
        <f>SUM(AR296:AR319)+SUM(AS296:AS319)+SUM(AT296:AT319)+SUM(AU296:AU319)+SUM(AV296:AV319)</f>
        <v>38700.15</v>
      </c>
    </row>
    <row r="317" spans="1:83" ht="28.5" x14ac:dyDescent="0.2">
      <c r="A317" s="48"/>
      <c r="B317" s="48" t="s">
        <v>458</v>
      </c>
      <c r="C317" s="48" t="s">
        <v>459</v>
      </c>
      <c r="D317" s="49" t="s">
        <v>182</v>
      </c>
      <c r="E317" s="50">
        <f>Source!BZ154</f>
        <v>100</v>
      </c>
      <c r="F317" s="50">
        <f>ROUND(0.9,7)</f>
        <v>0.9</v>
      </c>
      <c r="G317" s="50">
        <f>Source!AT154</f>
        <v>90</v>
      </c>
      <c r="H317" s="52"/>
      <c r="I317" s="51"/>
      <c r="J317" s="52"/>
      <c r="K317" s="51"/>
      <c r="L317" s="52">
        <f>SUM(AZ296:AZ319)</f>
        <v>34830.14</v>
      </c>
    </row>
    <row r="318" spans="1:83" ht="28.5" x14ac:dyDescent="0.2">
      <c r="A318" s="58"/>
      <c r="B318" s="58" t="s">
        <v>460</v>
      </c>
      <c r="C318" s="58" t="s">
        <v>461</v>
      </c>
      <c r="D318" s="59" t="s">
        <v>182</v>
      </c>
      <c r="E318" s="60">
        <f>Source!CA154</f>
        <v>49</v>
      </c>
      <c r="F318" s="60">
        <f>ROUND(0.85,7)</f>
        <v>0.85</v>
      </c>
      <c r="G318" s="60">
        <f>Source!AU154</f>
        <v>41.65</v>
      </c>
      <c r="H318" s="61"/>
      <c r="I318" s="62"/>
      <c r="J318" s="61"/>
      <c r="K318" s="62"/>
      <c r="L318" s="61">
        <f>SUM(BA296:BA319)</f>
        <v>16118.61</v>
      </c>
    </row>
    <row r="319" spans="1:83" ht="15" x14ac:dyDescent="0.2">
      <c r="C319" s="134" t="s">
        <v>462</v>
      </c>
      <c r="D319" s="134"/>
      <c r="E319" s="134"/>
      <c r="F319" s="134"/>
      <c r="G319" s="134"/>
      <c r="H319" s="134"/>
      <c r="I319" s="135">
        <f>IF(E296&lt;&gt;0,K319/E296, 0)</f>
        <v>66764.664473684214</v>
      </c>
      <c r="J319" s="135"/>
      <c r="K319" s="135">
        <f>L299+L301+L307+L317+L318+L302+SUM(L314:L315)</f>
        <v>101482.29000000001</v>
      </c>
      <c r="L319" s="135"/>
      <c r="AD319">
        <f>ROUND((Source!AT154/100)*((ROUND(SUMIF(SmtRes!AQ54:'SmtRes'!AQ62,"=1",SmtRes!AD54:'SmtRes'!AD62)*Source!I154, 2)+ROUND(SUMIF(SmtRes!AQ54:'SmtRes'!AQ62,"=1",SmtRes!AC54:'SmtRes'!AC62)*Source!I154, 2))), 2)</f>
        <v>2810.03</v>
      </c>
      <c r="AE319">
        <f>ROUND((Source!AU154/100)*((ROUND(SUMIF(SmtRes!AQ54:'SmtRes'!AQ62,"=1",SmtRes!AD54:'SmtRes'!AD62)*Source!I154, 2)+ROUND(SUMIF(SmtRes!AQ54:'SmtRes'!AQ62,"=1",SmtRes!AC54:'SmtRes'!AC62)*Source!I154, 2))), 2)</f>
        <v>1300.42</v>
      </c>
      <c r="AN319" s="63">
        <f>L299+L301+L307+L317+L318+L302</f>
        <v>91289.41</v>
      </c>
      <c r="AO319" s="63">
        <f>L301</f>
        <v>104.43999999999994</v>
      </c>
      <c r="AQ319" t="s">
        <v>463</v>
      </c>
      <c r="AR319" s="63">
        <f>L299</f>
        <v>38548.9</v>
      </c>
      <c r="AT319" s="63">
        <f>L302</f>
        <v>151.25</v>
      </c>
      <c r="AV319" t="s">
        <v>463</v>
      </c>
      <c r="AW319" s="63">
        <f>L307</f>
        <v>1536.07</v>
      </c>
      <c r="AZ319">
        <f>Source!X154</f>
        <v>34830.14</v>
      </c>
      <c r="BA319">
        <f>Source!Y154</f>
        <v>16118.61</v>
      </c>
      <c r="CD319">
        <v>1</v>
      </c>
    </row>
    <row r="321" spans="1:12" ht="15" x14ac:dyDescent="0.2">
      <c r="A321" s="68"/>
      <c r="B321" s="69"/>
      <c r="C321" s="141" t="s">
        <v>464</v>
      </c>
      <c r="D321" s="141"/>
      <c r="E321" s="141"/>
      <c r="F321" s="141"/>
      <c r="G321" s="141"/>
      <c r="H321" s="141"/>
      <c r="I321" s="57"/>
      <c r="J321" s="68"/>
      <c r="K321" s="70"/>
      <c r="L321" s="57">
        <f>L323+L324+L330+L334</f>
        <v>50533.540000000008</v>
      </c>
    </row>
    <row r="322" spans="1:12" ht="14.25" x14ac:dyDescent="0.2">
      <c r="A322" s="66"/>
      <c r="B322" s="67"/>
      <c r="C322" s="139" t="s">
        <v>465</v>
      </c>
      <c r="D322" s="140"/>
      <c r="E322" s="140"/>
      <c r="F322" s="140"/>
      <c r="G322" s="140"/>
      <c r="H322" s="140"/>
      <c r="I322" s="52"/>
      <c r="J322" s="66"/>
      <c r="K322" s="50"/>
      <c r="L322" s="52"/>
    </row>
    <row r="323" spans="1:12" ht="14.25" x14ac:dyDescent="0.2">
      <c r="A323" s="66"/>
      <c r="B323" s="67"/>
      <c r="C323" s="140" t="s">
        <v>466</v>
      </c>
      <c r="D323" s="140"/>
      <c r="E323" s="140"/>
      <c r="F323" s="140"/>
      <c r="G323" s="140"/>
      <c r="H323" s="140"/>
      <c r="I323" s="52"/>
      <c r="J323" s="66"/>
      <c r="K323" s="50"/>
      <c r="L323" s="52">
        <f>SUM(AR295:AR319)</f>
        <v>38548.9</v>
      </c>
    </row>
    <row r="324" spans="1:12" ht="14.25" hidden="1" x14ac:dyDescent="0.2">
      <c r="A324" s="66"/>
      <c r="B324" s="67"/>
      <c r="C324" s="140" t="s">
        <v>467</v>
      </c>
      <c r="D324" s="140"/>
      <c r="E324" s="140"/>
      <c r="F324" s="140"/>
      <c r="G324" s="140"/>
      <c r="H324" s="140"/>
      <c r="I324" s="52"/>
      <c r="J324" s="66"/>
      <c r="K324" s="50"/>
      <c r="L324" s="52">
        <f>L326+L329+L328</f>
        <v>255.68999999999994</v>
      </c>
    </row>
    <row r="325" spans="1:12" ht="14.25" hidden="1" x14ac:dyDescent="0.2">
      <c r="A325" s="66"/>
      <c r="B325" s="67"/>
      <c r="C325" s="139" t="s">
        <v>468</v>
      </c>
      <c r="D325" s="140"/>
      <c r="E325" s="140"/>
      <c r="F325" s="140"/>
      <c r="G325" s="140"/>
      <c r="H325" s="140"/>
      <c r="I325" s="52"/>
      <c r="J325" s="66"/>
      <c r="K325" s="50"/>
      <c r="L325" s="52"/>
    </row>
    <row r="326" spans="1:12" ht="14.25" x14ac:dyDescent="0.2">
      <c r="A326" s="66"/>
      <c r="B326" s="67"/>
      <c r="C326" s="140" t="s">
        <v>467</v>
      </c>
      <c r="D326" s="140"/>
      <c r="E326" s="140"/>
      <c r="F326" s="140"/>
      <c r="G326" s="140"/>
      <c r="H326" s="140"/>
      <c r="I326" s="52"/>
      <c r="J326" s="66"/>
      <c r="K326" s="50"/>
      <c r="L326" s="52">
        <f>SUM(AO295:AO319)</f>
        <v>104.43999999999994</v>
      </c>
    </row>
    <row r="327" spans="1:12" ht="14.25" hidden="1" x14ac:dyDescent="0.2">
      <c r="A327" s="66"/>
      <c r="B327" s="67"/>
      <c r="C327" s="139" t="s">
        <v>469</v>
      </c>
      <c r="D327" s="140"/>
      <c r="E327" s="140"/>
      <c r="F327" s="140"/>
      <c r="G327" s="140"/>
      <c r="H327" s="140"/>
      <c r="I327" s="52"/>
      <c r="J327" s="66"/>
      <c r="K327" s="50"/>
      <c r="L327" s="52"/>
    </row>
    <row r="328" spans="1:12" ht="14.25" x14ac:dyDescent="0.2">
      <c r="A328" s="66"/>
      <c r="B328" s="67"/>
      <c r="C328" s="140" t="s">
        <v>489</v>
      </c>
      <c r="D328" s="140"/>
      <c r="E328" s="140"/>
      <c r="F328" s="140"/>
      <c r="G328" s="140"/>
      <c r="H328" s="140"/>
      <c r="I328" s="52"/>
      <c r="J328" s="66"/>
      <c r="K328" s="50"/>
      <c r="L328" s="52">
        <f>SUM(AT295:AT319)</f>
        <v>151.25</v>
      </c>
    </row>
    <row r="329" spans="1:12" ht="14.25" hidden="1" x14ac:dyDescent="0.2">
      <c r="A329" s="66"/>
      <c r="B329" s="67"/>
      <c r="C329" s="140" t="s">
        <v>470</v>
      </c>
      <c r="D329" s="140"/>
      <c r="E329" s="140"/>
      <c r="F329" s="140"/>
      <c r="G329" s="140"/>
      <c r="H329" s="140"/>
      <c r="I329" s="52"/>
      <c r="J329" s="66"/>
      <c r="K329" s="50"/>
      <c r="L329" s="52">
        <f>SUM(AV295:AV319)</f>
        <v>0</v>
      </c>
    </row>
    <row r="330" spans="1:12" ht="14.25" x14ac:dyDescent="0.2">
      <c r="A330" s="66"/>
      <c r="B330" s="67"/>
      <c r="C330" s="140" t="s">
        <v>471</v>
      </c>
      <c r="D330" s="140"/>
      <c r="E330" s="140"/>
      <c r="F330" s="140"/>
      <c r="G330" s="140"/>
      <c r="H330" s="140"/>
      <c r="I330" s="52"/>
      <c r="J330" s="66"/>
      <c r="K330" s="50"/>
      <c r="L330" s="52">
        <f>L332+L333</f>
        <v>11728.95</v>
      </c>
    </row>
    <row r="331" spans="1:12" ht="14.25" x14ac:dyDescent="0.2">
      <c r="A331" s="66"/>
      <c r="B331" s="67"/>
      <c r="C331" s="139" t="s">
        <v>468</v>
      </c>
      <c r="D331" s="140"/>
      <c r="E331" s="140"/>
      <c r="F331" s="140"/>
      <c r="G331" s="140"/>
      <c r="H331" s="140"/>
      <c r="I331" s="52"/>
      <c r="J331" s="66"/>
      <c r="K331" s="50"/>
      <c r="L331" s="52"/>
    </row>
    <row r="332" spans="1:12" ht="14.25" x14ac:dyDescent="0.2">
      <c r="A332" s="66"/>
      <c r="B332" s="67"/>
      <c r="C332" s="140" t="s">
        <v>472</v>
      </c>
      <c r="D332" s="140"/>
      <c r="E332" s="140"/>
      <c r="F332" s="140"/>
      <c r="G332" s="140"/>
      <c r="H332" s="140"/>
      <c r="I332" s="52"/>
      <c r="J332" s="66"/>
      <c r="K332" s="50"/>
      <c r="L332" s="52">
        <f>SUM(AW295:AW319)-SUM(BK295:BK319)</f>
        <v>11728.95</v>
      </c>
    </row>
    <row r="333" spans="1:12" ht="14.25" hidden="1" x14ac:dyDescent="0.2">
      <c r="A333" s="66"/>
      <c r="B333" s="67"/>
      <c r="C333" s="140" t="s">
        <v>473</v>
      </c>
      <c r="D333" s="140"/>
      <c r="E333" s="140"/>
      <c r="F333" s="140"/>
      <c r="G333" s="140"/>
      <c r="H333" s="140"/>
      <c r="I333" s="52"/>
      <c r="J333" s="66"/>
      <c r="K333" s="50"/>
      <c r="L333" s="52">
        <f>SUM(BC295:BC319)</f>
        <v>0</v>
      </c>
    </row>
    <row r="334" spans="1:12" ht="14.25" hidden="1" x14ac:dyDescent="0.2">
      <c r="A334" s="66"/>
      <c r="B334" s="67"/>
      <c r="C334" s="140" t="s">
        <v>474</v>
      </c>
      <c r="D334" s="140"/>
      <c r="E334" s="140"/>
      <c r="F334" s="140"/>
      <c r="G334" s="140"/>
      <c r="H334" s="140"/>
      <c r="I334" s="52"/>
      <c r="J334" s="66"/>
      <c r="K334" s="50"/>
      <c r="L334" s="52">
        <f>SUM(BB295:BB319)</f>
        <v>0</v>
      </c>
    </row>
    <row r="335" spans="1:12" ht="14.25" x14ac:dyDescent="0.2">
      <c r="A335" s="66"/>
      <c r="B335" s="67"/>
      <c r="C335" s="140" t="s">
        <v>475</v>
      </c>
      <c r="D335" s="140"/>
      <c r="E335" s="140"/>
      <c r="F335" s="140"/>
      <c r="G335" s="140"/>
      <c r="H335" s="140"/>
      <c r="I335" s="52"/>
      <c r="J335" s="66"/>
      <c r="K335" s="50"/>
      <c r="L335" s="52">
        <f>SUM(AR295:AR319)+SUM(AT295:AT319)+SUM(AV295:AV319)</f>
        <v>38700.15</v>
      </c>
    </row>
    <row r="336" spans="1:12" ht="14.25" x14ac:dyDescent="0.2">
      <c r="A336" s="66"/>
      <c r="B336" s="67"/>
      <c r="C336" s="140" t="s">
        <v>476</v>
      </c>
      <c r="D336" s="140"/>
      <c r="E336" s="140"/>
      <c r="F336" s="140"/>
      <c r="G336" s="140"/>
      <c r="H336" s="140"/>
      <c r="I336" s="52"/>
      <c r="J336" s="66"/>
      <c r="K336" s="50"/>
      <c r="L336" s="52">
        <f>SUM(AZ295:AZ319)</f>
        <v>34830.14</v>
      </c>
    </row>
    <row r="337" spans="1:12" ht="14.25" x14ac:dyDescent="0.2">
      <c r="A337" s="66"/>
      <c r="B337" s="67"/>
      <c r="C337" s="140" t="s">
        <v>477</v>
      </c>
      <c r="D337" s="140"/>
      <c r="E337" s="140"/>
      <c r="F337" s="140"/>
      <c r="G337" s="140"/>
      <c r="H337" s="140"/>
      <c r="I337" s="52"/>
      <c r="J337" s="66"/>
      <c r="K337" s="50"/>
      <c r="L337" s="52">
        <f>SUM(BA295:BA319)</f>
        <v>16118.61</v>
      </c>
    </row>
    <row r="338" spans="1:12" ht="14.25" hidden="1" x14ac:dyDescent="0.2">
      <c r="A338" s="66"/>
      <c r="B338" s="67"/>
      <c r="C338" s="140" t="s">
        <v>478</v>
      </c>
      <c r="D338" s="140"/>
      <c r="E338" s="140"/>
      <c r="F338" s="140"/>
      <c r="G338" s="140"/>
      <c r="H338" s="140"/>
      <c r="I338" s="52"/>
      <c r="J338" s="66"/>
      <c r="K338" s="50"/>
      <c r="L338" s="52">
        <f>L340+L341</f>
        <v>0</v>
      </c>
    </row>
    <row r="339" spans="1:12" ht="14.25" hidden="1" x14ac:dyDescent="0.2">
      <c r="A339" s="66"/>
      <c r="B339" s="67"/>
      <c r="C339" s="139" t="s">
        <v>465</v>
      </c>
      <c r="D339" s="140"/>
      <c r="E339" s="140"/>
      <c r="F339" s="140"/>
      <c r="G339" s="140"/>
      <c r="H339" s="140"/>
      <c r="I339" s="52"/>
      <c r="J339" s="66"/>
      <c r="K339" s="50"/>
      <c r="L339" s="52"/>
    </row>
    <row r="340" spans="1:12" ht="14.25" hidden="1" x14ac:dyDescent="0.2">
      <c r="A340" s="66"/>
      <c r="B340" s="67"/>
      <c r="C340" s="140" t="s">
        <v>479</v>
      </c>
      <c r="D340" s="140"/>
      <c r="E340" s="140"/>
      <c r="F340" s="140"/>
      <c r="G340" s="140"/>
      <c r="H340" s="140"/>
      <c r="I340" s="52"/>
      <c r="J340" s="66"/>
      <c r="K340" s="50"/>
      <c r="L340" s="52">
        <f>SUM(BK295:BK319)</f>
        <v>0</v>
      </c>
    </row>
    <row r="341" spans="1:12" ht="14.25" hidden="1" x14ac:dyDescent="0.2">
      <c r="A341" s="66"/>
      <c r="B341" s="67"/>
      <c r="C341" s="140" t="s">
        <v>480</v>
      </c>
      <c r="D341" s="140"/>
      <c r="E341" s="140"/>
      <c r="F341" s="140"/>
      <c r="G341" s="140"/>
      <c r="H341" s="140"/>
      <c r="I341" s="52"/>
      <c r="J341" s="66"/>
      <c r="K341" s="50"/>
      <c r="L341" s="52">
        <f>SUM(BD295:BD319)</f>
        <v>0</v>
      </c>
    </row>
    <row r="342" spans="1:12" ht="14.25" hidden="1" x14ac:dyDescent="0.2">
      <c r="A342" s="66"/>
      <c r="B342" s="67"/>
      <c r="C342" s="140" t="s">
        <v>481</v>
      </c>
      <c r="D342" s="140"/>
      <c r="E342" s="140"/>
      <c r="F342" s="140"/>
      <c r="G342" s="140"/>
      <c r="H342" s="140"/>
      <c r="I342" s="52"/>
      <c r="J342" s="66"/>
      <c r="K342" s="50"/>
      <c r="L342" s="52"/>
    </row>
    <row r="343" spans="1:12" ht="14.25" hidden="1" x14ac:dyDescent="0.2">
      <c r="A343" s="66"/>
      <c r="B343" s="67"/>
      <c r="C343" s="140" t="s">
        <v>481</v>
      </c>
      <c r="D343" s="140"/>
      <c r="E343" s="140"/>
      <c r="F343" s="140"/>
      <c r="G343" s="140"/>
      <c r="H343" s="140"/>
      <c r="I343" s="52"/>
      <c r="J343" s="66"/>
      <c r="K343" s="50"/>
      <c r="L343" s="52">
        <f>SUM(BQ295:BQ319)</f>
        <v>0</v>
      </c>
    </row>
    <row r="344" spans="1:12" ht="14.25" hidden="1" x14ac:dyDescent="0.2">
      <c r="A344" s="66"/>
      <c r="B344" s="67"/>
      <c r="C344" s="140" t="s">
        <v>482</v>
      </c>
      <c r="D344" s="140"/>
      <c r="E344" s="140"/>
      <c r="F344" s="140"/>
      <c r="G344" s="140"/>
      <c r="H344" s="140"/>
      <c r="I344" s="52"/>
      <c r="J344" s="66"/>
      <c r="K344" s="50"/>
      <c r="L344" s="52">
        <f>SUM(BO295:BO319)</f>
        <v>0</v>
      </c>
    </row>
    <row r="345" spans="1:12" ht="15" x14ac:dyDescent="0.2">
      <c r="A345" s="68"/>
      <c r="B345" s="69"/>
      <c r="C345" s="141" t="s">
        <v>483</v>
      </c>
      <c r="D345" s="141"/>
      <c r="E345" s="141"/>
      <c r="F345" s="141"/>
      <c r="G345" s="141"/>
      <c r="H345" s="141"/>
      <c r="I345" s="57"/>
      <c r="J345" s="68"/>
      <c r="K345" s="70"/>
      <c r="L345" s="57">
        <f>L321+L336+L337+L338+L343+L344</f>
        <v>101482.29000000001</v>
      </c>
    </row>
    <row r="346" spans="1:12" ht="14.25" x14ac:dyDescent="0.2">
      <c r="A346" s="66"/>
      <c r="B346" s="67"/>
      <c r="C346" s="139" t="s">
        <v>484</v>
      </c>
      <c r="D346" s="140"/>
      <c r="E346" s="140"/>
      <c r="F346" s="140"/>
      <c r="G346" s="140"/>
      <c r="H346" s="140"/>
      <c r="I346" s="52"/>
      <c r="J346" s="66"/>
      <c r="K346" s="50"/>
      <c r="L346" s="52"/>
    </row>
    <row r="347" spans="1:12" ht="14.25" hidden="1" x14ac:dyDescent="0.2">
      <c r="A347" s="66"/>
      <c r="B347" s="67"/>
      <c r="C347" s="140" t="s">
        <v>485</v>
      </c>
      <c r="D347" s="140"/>
      <c r="E347" s="140"/>
      <c r="F347" s="140"/>
      <c r="G347" s="140"/>
      <c r="H347" s="140"/>
      <c r="I347" s="52"/>
      <c r="J347" s="66"/>
      <c r="K347" s="50"/>
      <c r="L347" s="52">
        <f>SUM(AX295:AX319)</f>
        <v>0</v>
      </c>
    </row>
    <row r="348" spans="1:12" ht="14.25" hidden="1" x14ac:dyDescent="0.2">
      <c r="A348" s="66"/>
      <c r="B348" s="67"/>
      <c r="C348" s="140" t="s">
        <v>486</v>
      </c>
      <c r="D348" s="140"/>
      <c r="E348" s="140"/>
      <c r="F348" s="140"/>
      <c r="G348" s="140"/>
      <c r="H348" s="140"/>
      <c r="I348" s="52"/>
      <c r="J348" s="66"/>
      <c r="K348" s="50"/>
      <c r="L348" s="52">
        <f>SUM(AY295:AY319)</f>
        <v>0</v>
      </c>
    </row>
    <row r="349" spans="1:12" ht="14.25" x14ac:dyDescent="0.2">
      <c r="A349" s="66"/>
      <c r="B349" s="67"/>
      <c r="C349" s="140" t="s">
        <v>487</v>
      </c>
      <c r="D349" s="140"/>
      <c r="E349" s="140"/>
      <c r="F349" s="142"/>
      <c r="G349" s="56">
        <f>Source!F180</f>
        <v>57.212040000000002</v>
      </c>
      <c r="H349" s="66"/>
      <c r="I349" s="66"/>
      <c r="J349" s="66"/>
      <c r="K349" s="66"/>
      <c r="L349" s="66"/>
    </row>
    <row r="350" spans="1:12" ht="14.25" x14ac:dyDescent="0.2">
      <c r="A350" s="66"/>
      <c r="B350" s="67"/>
      <c r="C350" s="140" t="s">
        <v>488</v>
      </c>
      <c r="D350" s="140"/>
      <c r="E350" s="140"/>
      <c r="F350" s="142"/>
      <c r="G350" s="56">
        <f>Source!F181</f>
        <v>0.20899999999999999</v>
      </c>
      <c r="H350" s="66"/>
      <c r="I350" s="66"/>
      <c r="J350" s="66"/>
      <c r="K350" s="66"/>
      <c r="L350" s="66"/>
    </row>
    <row r="353" spans="1:82" ht="16.5" x14ac:dyDescent="0.2">
      <c r="A353" s="132" t="s">
        <v>523</v>
      </c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</row>
    <row r="354" spans="1:82" ht="42.75" x14ac:dyDescent="0.2">
      <c r="A354" s="71" t="s">
        <v>192</v>
      </c>
      <c r="B354" s="58" t="s">
        <v>193</v>
      </c>
      <c r="C354" s="58" t="str">
        <f>Source!G192</f>
        <v>Погрузка в автотранспортное средство: мусор строительный с погрузкой вручную</v>
      </c>
      <c r="D354" s="59" t="str">
        <f>Source!H192</f>
        <v>1т груза</v>
      </c>
      <c r="E354" s="60">
        <f>Source!K192</f>
        <v>0.2</v>
      </c>
      <c r="F354" s="60"/>
      <c r="G354" s="60">
        <f>Source!I192</f>
        <v>0.2</v>
      </c>
      <c r="H354" s="61"/>
      <c r="I354" s="62"/>
      <c r="J354" s="61">
        <f>Source!AK192</f>
        <v>1490.12</v>
      </c>
      <c r="K354" s="62"/>
      <c r="L354" s="61">
        <f>Source!HD192</f>
        <v>298.02</v>
      </c>
    </row>
    <row r="355" spans="1:82" ht="15" x14ac:dyDescent="0.2">
      <c r="C355" s="134" t="s">
        <v>462</v>
      </c>
      <c r="D355" s="134"/>
      <c r="E355" s="134"/>
      <c r="F355" s="134"/>
      <c r="G355" s="134"/>
      <c r="H355" s="134"/>
      <c r="I355" s="135">
        <f>IF(E354&lt;&gt;0,K355/E354, 0)</f>
        <v>1490.1</v>
      </c>
      <c r="J355" s="135"/>
      <c r="K355" s="135">
        <f>L354</f>
        <v>298.02</v>
      </c>
      <c r="L355" s="135"/>
      <c r="AD355">
        <f>ROUND((Source!AT192/100)*((ROUND(0*Source!I192, 2)+ROUND(0*Source!I192, 2))), 2)</f>
        <v>0</v>
      </c>
      <c r="AE355">
        <f>ROUND((Source!AU192/100)*((ROUND(0*Source!I192, 2)+ROUND(0*Source!I192, 2))), 2)</f>
        <v>0</v>
      </c>
      <c r="AN355" s="63">
        <f>L354</f>
        <v>298.02</v>
      </c>
      <c r="AP355">
        <f>0</f>
        <v>0</v>
      </c>
      <c r="AQ355" t="s">
        <v>463</v>
      </c>
      <c r="AS355">
        <f>0</f>
        <v>0</v>
      </c>
      <c r="AU355">
        <f>0</f>
        <v>0</v>
      </c>
      <c r="AV355" t="s">
        <v>463</v>
      </c>
      <c r="AZ355">
        <f>Source!X192</f>
        <v>0</v>
      </c>
      <c r="BA355">
        <f>Source!Y192</f>
        <v>0</v>
      </c>
      <c r="BB355" s="63">
        <f>L354</f>
        <v>298.02</v>
      </c>
      <c r="CD355">
        <v>1</v>
      </c>
    </row>
    <row r="356" spans="1:82" ht="128.25" x14ac:dyDescent="0.2">
      <c r="A356" s="71" t="s">
        <v>200</v>
      </c>
      <c r="B356" s="58" t="s">
        <v>201</v>
      </c>
      <c r="C356" s="58" t="str">
        <f>Source!G193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v>
      </c>
      <c r="D356" s="59" t="str">
        <f>Source!H193</f>
        <v>1т груза</v>
      </c>
      <c r="E356" s="60">
        <f>Source!K193</f>
        <v>0.2</v>
      </c>
      <c r="F356" s="60"/>
      <c r="G356" s="60">
        <f>Source!I193</f>
        <v>0.2</v>
      </c>
      <c r="H356" s="61"/>
      <c r="I356" s="62"/>
      <c r="J356" s="61">
        <f>Source!AK193</f>
        <v>551.61</v>
      </c>
      <c r="K356" s="62"/>
      <c r="L356" s="61">
        <f>Source!HD193</f>
        <v>110.32</v>
      </c>
    </row>
    <row r="357" spans="1:82" ht="15" x14ac:dyDescent="0.2">
      <c r="C357" s="134" t="s">
        <v>462</v>
      </c>
      <c r="D357" s="134"/>
      <c r="E357" s="134"/>
      <c r="F357" s="134"/>
      <c r="G357" s="134"/>
      <c r="H357" s="134"/>
      <c r="I357" s="135">
        <f>IF(E356&lt;&gt;0,K357/E356, 0)</f>
        <v>551.59999999999991</v>
      </c>
      <c r="J357" s="135"/>
      <c r="K357" s="135">
        <f>L356</f>
        <v>110.32</v>
      </c>
      <c r="L357" s="135"/>
      <c r="AD357">
        <f>ROUND((Source!AT193/100)*((ROUND(0*Source!I193, 2)+ROUND(0*Source!I193, 2))), 2)</f>
        <v>0</v>
      </c>
      <c r="AE357">
        <f>ROUND((Source!AU193/100)*((ROUND(0*Source!I193, 2)+ROUND(0*Source!I193, 2))), 2)</f>
        <v>0</v>
      </c>
      <c r="AN357" s="63">
        <f>L356</f>
        <v>110.32</v>
      </c>
      <c r="AP357">
        <f>0</f>
        <v>0</v>
      </c>
      <c r="AQ357" t="s">
        <v>463</v>
      </c>
      <c r="AS357">
        <f>0</f>
        <v>0</v>
      </c>
      <c r="AU357">
        <f>0</f>
        <v>0</v>
      </c>
      <c r="AV357" t="s">
        <v>463</v>
      </c>
      <c r="AZ357">
        <f>Source!X193</f>
        <v>0</v>
      </c>
      <c r="BA357">
        <f>Source!Y193</f>
        <v>0</v>
      </c>
      <c r="BB357" s="63">
        <f>L356</f>
        <v>110.32</v>
      </c>
      <c r="CD357">
        <v>1</v>
      </c>
    </row>
    <row r="359" spans="1:82" ht="15" x14ac:dyDescent="0.2">
      <c r="A359" s="68"/>
      <c r="B359" s="69"/>
      <c r="C359" s="141" t="s">
        <v>464</v>
      </c>
      <c r="D359" s="141"/>
      <c r="E359" s="141"/>
      <c r="F359" s="141"/>
      <c r="G359" s="141"/>
      <c r="H359" s="141"/>
      <c r="I359" s="57"/>
      <c r="J359" s="68"/>
      <c r="K359" s="70"/>
      <c r="L359" s="57">
        <f>L361+L362+L368+L372</f>
        <v>408.34</v>
      </c>
    </row>
    <row r="360" spans="1:82" ht="14.25" x14ac:dyDescent="0.2">
      <c r="A360" s="66"/>
      <c r="B360" s="67"/>
      <c r="C360" s="139" t="s">
        <v>465</v>
      </c>
      <c r="D360" s="140"/>
      <c r="E360" s="140"/>
      <c r="F360" s="140"/>
      <c r="G360" s="140"/>
      <c r="H360" s="140"/>
      <c r="I360" s="52"/>
      <c r="J360" s="66"/>
      <c r="K360" s="50"/>
      <c r="L360" s="52"/>
    </row>
    <row r="361" spans="1:82" ht="14.25" hidden="1" x14ac:dyDescent="0.2">
      <c r="A361" s="66"/>
      <c r="B361" s="67"/>
      <c r="C361" s="140" t="s">
        <v>466</v>
      </c>
      <c r="D361" s="140"/>
      <c r="E361" s="140"/>
      <c r="F361" s="140"/>
      <c r="G361" s="140"/>
      <c r="H361" s="140"/>
      <c r="I361" s="52"/>
      <c r="J361" s="66"/>
      <c r="K361" s="50"/>
      <c r="L361" s="52">
        <f>SUM(AR353:AR357)</f>
        <v>0</v>
      </c>
    </row>
    <row r="362" spans="1:82" ht="14.25" hidden="1" x14ac:dyDescent="0.2">
      <c r="A362" s="66"/>
      <c r="B362" s="67"/>
      <c r="C362" s="140" t="s">
        <v>467</v>
      </c>
      <c r="D362" s="140"/>
      <c r="E362" s="140"/>
      <c r="F362" s="140"/>
      <c r="G362" s="140"/>
      <c r="H362" s="140"/>
      <c r="I362" s="52"/>
      <c r="J362" s="66"/>
      <c r="K362" s="50"/>
      <c r="L362" s="52">
        <f>L364+L367+L366</f>
        <v>0</v>
      </c>
    </row>
    <row r="363" spans="1:82" ht="14.25" hidden="1" x14ac:dyDescent="0.2">
      <c r="A363" s="66"/>
      <c r="B363" s="67"/>
      <c r="C363" s="139" t="s">
        <v>468</v>
      </c>
      <c r="D363" s="140"/>
      <c r="E363" s="140"/>
      <c r="F363" s="140"/>
      <c r="G363" s="140"/>
      <c r="H363" s="140"/>
      <c r="I363" s="52"/>
      <c r="J363" s="66"/>
      <c r="K363" s="50"/>
      <c r="L363" s="52"/>
    </row>
    <row r="364" spans="1:82" ht="14.25" hidden="1" x14ac:dyDescent="0.2">
      <c r="A364" s="66"/>
      <c r="B364" s="67"/>
      <c r="C364" s="140" t="s">
        <v>467</v>
      </c>
      <c r="D364" s="140"/>
      <c r="E364" s="140"/>
      <c r="F364" s="140"/>
      <c r="G364" s="140"/>
      <c r="H364" s="140"/>
      <c r="I364" s="52"/>
      <c r="J364" s="66"/>
      <c r="K364" s="50"/>
      <c r="L364" s="52">
        <f>SUM(AO353:AO357)</f>
        <v>0</v>
      </c>
    </row>
    <row r="365" spans="1:82" ht="14.25" hidden="1" x14ac:dyDescent="0.2">
      <c r="A365" s="66"/>
      <c r="B365" s="67"/>
      <c r="C365" s="139" t="s">
        <v>469</v>
      </c>
      <c r="D365" s="140"/>
      <c r="E365" s="140"/>
      <c r="F365" s="140"/>
      <c r="G365" s="140"/>
      <c r="H365" s="140"/>
      <c r="I365" s="52"/>
      <c r="J365" s="66"/>
      <c r="K365" s="50"/>
      <c r="L365" s="52"/>
    </row>
    <row r="366" spans="1:82" ht="14.25" hidden="1" x14ac:dyDescent="0.2">
      <c r="A366" s="66"/>
      <c r="B366" s="67"/>
      <c r="C366" s="140" t="s">
        <v>489</v>
      </c>
      <c r="D366" s="140"/>
      <c r="E366" s="140"/>
      <c r="F366" s="140"/>
      <c r="G366" s="140"/>
      <c r="H366" s="140"/>
      <c r="I366" s="52"/>
      <c r="J366" s="66"/>
      <c r="K366" s="50"/>
      <c r="L366" s="52">
        <f>SUM(AT353:AT357)</f>
        <v>0</v>
      </c>
    </row>
    <row r="367" spans="1:82" ht="14.25" hidden="1" x14ac:dyDescent="0.2">
      <c r="A367" s="66"/>
      <c r="B367" s="67"/>
      <c r="C367" s="140" t="s">
        <v>470</v>
      </c>
      <c r="D367" s="140"/>
      <c r="E367" s="140"/>
      <c r="F367" s="140"/>
      <c r="G367" s="140"/>
      <c r="H367" s="140"/>
      <c r="I367" s="52"/>
      <c r="J367" s="66"/>
      <c r="K367" s="50"/>
      <c r="L367" s="52">
        <f>SUM(AV353:AV357)</f>
        <v>0</v>
      </c>
    </row>
    <row r="368" spans="1:82" ht="14.25" hidden="1" x14ac:dyDescent="0.2">
      <c r="A368" s="66"/>
      <c r="B368" s="67"/>
      <c r="C368" s="140" t="s">
        <v>471</v>
      </c>
      <c r="D368" s="140"/>
      <c r="E368" s="140"/>
      <c r="F368" s="140"/>
      <c r="G368" s="140"/>
      <c r="H368" s="140"/>
      <c r="I368" s="52"/>
      <c r="J368" s="66"/>
      <c r="K368" s="50"/>
      <c r="L368" s="52">
        <f>L370+L371</f>
        <v>0</v>
      </c>
    </row>
    <row r="369" spans="1:12" ht="14.25" hidden="1" x14ac:dyDescent="0.2">
      <c r="A369" s="66"/>
      <c r="B369" s="67"/>
      <c r="C369" s="139" t="s">
        <v>468</v>
      </c>
      <c r="D369" s="140"/>
      <c r="E369" s="140"/>
      <c r="F369" s="140"/>
      <c r="G369" s="140"/>
      <c r="H369" s="140"/>
      <c r="I369" s="52"/>
      <c r="J369" s="66"/>
      <c r="K369" s="50"/>
      <c r="L369" s="52"/>
    </row>
    <row r="370" spans="1:12" ht="14.25" hidden="1" x14ac:dyDescent="0.2">
      <c r="A370" s="66"/>
      <c r="B370" s="67"/>
      <c r="C370" s="140" t="s">
        <v>472</v>
      </c>
      <c r="D370" s="140"/>
      <c r="E370" s="140"/>
      <c r="F370" s="140"/>
      <c r="G370" s="140"/>
      <c r="H370" s="140"/>
      <c r="I370" s="52"/>
      <c r="J370" s="66"/>
      <c r="K370" s="50"/>
      <c r="L370" s="52">
        <f>SUM(AW353:AW357)-SUM(BK353:BK357)</f>
        <v>0</v>
      </c>
    </row>
    <row r="371" spans="1:12" ht="14.25" hidden="1" x14ac:dyDescent="0.2">
      <c r="A371" s="66"/>
      <c r="B371" s="67"/>
      <c r="C371" s="140" t="s">
        <v>473</v>
      </c>
      <c r="D371" s="140"/>
      <c r="E371" s="140"/>
      <c r="F371" s="140"/>
      <c r="G371" s="140"/>
      <c r="H371" s="140"/>
      <c r="I371" s="52"/>
      <c r="J371" s="66"/>
      <c r="K371" s="50"/>
      <c r="L371" s="52">
        <f>SUM(BC353:BC357)</f>
        <v>0</v>
      </c>
    </row>
    <row r="372" spans="1:12" ht="14.25" x14ac:dyDescent="0.2">
      <c r="A372" s="66"/>
      <c r="B372" s="67"/>
      <c r="C372" s="140" t="s">
        <v>474</v>
      </c>
      <c r="D372" s="140"/>
      <c r="E372" s="140"/>
      <c r="F372" s="140"/>
      <c r="G372" s="140"/>
      <c r="H372" s="140"/>
      <c r="I372" s="52"/>
      <c r="J372" s="66"/>
      <c r="K372" s="50"/>
      <c r="L372" s="52">
        <f>SUM(BB353:BB357)</f>
        <v>408.34</v>
      </c>
    </row>
    <row r="373" spans="1:12" ht="14.25" hidden="1" x14ac:dyDescent="0.2">
      <c r="A373" s="66"/>
      <c r="B373" s="67"/>
      <c r="C373" s="140" t="s">
        <v>475</v>
      </c>
      <c r="D373" s="140"/>
      <c r="E373" s="140"/>
      <c r="F373" s="140"/>
      <c r="G373" s="140"/>
      <c r="H373" s="140"/>
      <c r="I373" s="52"/>
      <c r="J373" s="66"/>
      <c r="K373" s="50"/>
      <c r="L373" s="52">
        <f>SUM(AR353:AR357)+SUM(AT353:AT357)+SUM(AV353:AV357)</f>
        <v>0</v>
      </c>
    </row>
    <row r="374" spans="1:12" ht="14.25" hidden="1" x14ac:dyDescent="0.2">
      <c r="A374" s="66"/>
      <c r="B374" s="67"/>
      <c r="C374" s="140" t="s">
        <v>476</v>
      </c>
      <c r="D374" s="140"/>
      <c r="E374" s="140"/>
      <c r="F374" s="140"/>
      <c r="G374" s="140"/>
      <c r="H374" s="140"/>
      <c r="I374" s="52"/>
      <c r="J374" s="66"/>
      <c r="K374" s="50"/>
      <c r="L374" s="52">
        <f>SUM(AZ353:AZ357)</f>
        <v>0</v>
      </c>
    </row>
    <row r="375" spans="1:12" ht="14.25" hidden="1" x14ac:dyDescent="0.2">
      <c r="A375" s="66"/>
      <c r="B375" s="67"/>
      <c r="C375" s="140" t="s">
        <v>477</v>
      </c>
      <c r="D375" s="140"/>
      <c r="E375" s="140"/>
      <c r="F375" s="140"/>
      <c r="G375" s="140"/>
      <c r="H375" s="140"/>
      <c r="I375" s="52"/>
      <c r="J375" s="66"/>
      <c r="K375" s="50"/>
      <c r="L375" s="52">
        <f>SUM(BA353:BA357)</f>
        <v>0</v>
      </c>
    </row>
    <row r="376" spans="1:12" ht="14.25" hidden="1" x14ac:dyDescent="0.2">
      <c r="A376" s="66"/>
      <c r="B376" s="67"/>
      <c r="C376" s="140" t="s">
        <v>478</v>
      </c>
      <c r="D376" s="140"/>
      <c r="E376" s="140"/>
      <c r="F376" s="140"/>
      <c r="G376" s="140"/>
      <c r="H376" s="140"/>
      <c r="I376" s="52"/>
      <c r="J376" s="66"/>
      <c r="K376" s="50"/>
      <c r="L376" s="52">
        <f>L378+L379</f>
        <v>0</v>
      </c>
    </row>
    <row r="377" spans="1:12" ht="14.25" hidden="1" x14ac:dyDescent="0.2">
      <c r="A377" s="66"/>
      <c r="B377" s="67"/>
      <c r="C377" s="139" t="s">
        <v>465</v>
      </c>
      <c r="D377" s="140"/>
      <c r="E377" s="140"/>
      <c r="F377" s="140"/>
      <c r="G377" s="140"/>
      <c r="H377" s="140"/>
      <c r="I377" s="52"/>
      <c r="J377" s="66"/>
      <c r="K377" s="50"/>
      <c r="L377" s="52"/>
    </row>
    <row r="378" spans="1:12" ht="14.25" hidden="1" x14ac:dyDescent="0.2">
      <c r="A378" s="66"/>
      <c r="B378" s="67"/>
      <c r="C378" s="140" t="s">
        <v>479</v>
      </c>
      <c r="D378" s="140"/>
      <c r="E378" s="140"/>
      <c r="F378" s="140"/>
      <c r="G378" s="140"/>
      <c r="H378" s="140"/>
      <c r="I378" s="52"/>
      <c r="J378" s="66"/>
      <c r="K378" s="50"/>
      <c r="L378" s="52">
        <f>SUM(BK353:BK357)</f>
        <v>0</v>
      </c>
    </row>
    <row r="379" spans="1:12" ht="14.25" hidden="1" x14ac:dyDescent="0.2">
      <c r="A379" s="66"/>
      <c r="B379" s="67"/>
      <c r="C379" s="140" t="s">
        <v>480</v>
      </c>
      <c r="D379" s="140"/>
      <c r="E379" s="140"/>
      <c r="F379" s="140"/>
      <c r="G379" s="140"/>
      <c r="H379" s="140"/>
      <c r="I379" s="52"/>
      <c r="J379" s="66"/>
      <c r="K379" s="50"/>
      <c r="L379" s="52">
        <f>SUM(BD353:BD357)</f>
        <v>0</v>
      </c>
    </row>
    <row r="380" spans="1:12" ht="14.25" hidden="1" x14ac:dyDescent="0.2">
      <c r="A380" s="66"/>
      <c r="B380" s="67"/>
      <c r="C380" s="140" t="s">
        <v>481</v>
      </c>
      <c r="D380" s="140"/>
      <c r="E380" s="140"/>
      <c r="F380" s="140"/>
      <c r="G380" s="140"/>
      <c r="H380" s="140"/>
      <c r="I380" s="52"/>
      <c r="J380" s="66"/>
      <c r="K380" s="50"/>
      <c r="L380" s="52"/>
    </row>
    <row r="381" spans="1:12" ht="14.25" hidden="1" x14ac:dyDescent="0.2">
      <c r="A381" s="66"/>
      <c r="B381" s="67"/>
      <c r="C381" s="140" t="s">
        <v>481</v>
      </c>
      <c r="D381" s="140"/>
      <c r="E381" s="140"/>
      <c r="F381" s="140"/>
      <c r="G381" s="140"/>
      <c r="H381" s="140"/>
      <c r="I381" s="52"/>
      <c r="J381" s="66"/>
      <c r="K381" s="50"/>
      <c r="L381" s="52">
        <f>SUM(BQ353:BQ357)</f>
        <v>0</v>
      </c>
    </row>
    <row r="382" spans="1:12" ht="14.25" hidden="1" x14ac:dyDescent="0.2">
      <c r="A382" s="66"/>
      <c r="B382" s="67"/>
      <c r="C382" s="140" t="s">
        <v>482</v>
      </c>
      <c r="D382" s="140"/>
      <c r="E382" s="140"/>
      <c r="F382" s="140"/>
      <c r="G382" s="140"/>
      <c r="H382" s="140"/>
      <c r="I382" s="52"/>
      <c r="J382" s="66"/>
      <c r="K382" s="50"/>
      <c r="L382" s="52">
        <f>SUM(BO353:BO357)</f>
        <v>0</v>
      </c>
    </row>
    <row r="383" spans="1:12" ht="15" x14ac:dyDescent="0.2">
      <c r="A383" s="68"/>
      <c r="B383" s="69"/>
      <c r="C383" s="141" t="s">
        <v>483</v>
      </c>
      <c r="D383" s="141"/>
      <c r="E383" s="141"/>
      <c r="F383" s="141"/>
      <c r="G383" s="141"/>
      <c r="H383" s="141"/>
      <c r="I383" s="57"/>
      <c r="J383" s="68"/>
      <c r="K383" s="70"/>
      <c r="L383" s="57">
        <f>L359+L374+L375+L376+L381+L382</f>
        <v>408.34</v>
      </c>
    </row>
    <row r="384" spans="1:12" ht="14.25" hidden="1" x14ac:dyDescent="0.2">
      <c r="A384" s="66"/>
      <c r="B384" s="67"/>
      <c r="C384" s="139" t="s">
        <v>484</v>
      </c>
      <c r="D384" s="140"/>
      <c r="E384" s="140"/>
      <c r="F384" s="140"/>
      <c r="G384" s="140"/>
      <c r="H384" s="140"/>
      <c r="I384" s="52"/>
      <c r="J384" s="66"/>
      <c r="K384" s="50"/>
      <c r="L384" s="52"/>
    </row>
    <row r="385" spans="1:12" ht="14.25" hidden="1" x14ac:dyDescent="0.2">
      <c r="A385" s="66"/>
      <c r="B385" s="67"/>
      <c r="C385" s="140" t="s">
        <v>485</v>
      </c>
      <c r="D385" s="140"/>
      <c r="E385" s="140"/>
      <c r="F385" s="140"/>
      <c r="G385" s="140"/>
      <c r="H385" s="140"/>
      <c r="I385" s="52"/>
      <c r="J385" s="66"/>
      <c r="K385" s="50"/>
      <c r="L385" s="52">
        <f>SUM(AX353:AX357)</f>
        <v>0</v>
      </c>
    </row>
    <row r="386" spans="1:12" ht="14.25" hidden="1" x14ac:dyDescent="0.2">
      <c r="A386" s="66"/>
      <c r="B386" s="67"/>
      <c r="C386" s="140" t="s">
        <v>486</v>
      </c>
      <c r="D386" s="140"/>
      <c r="E386" s="140"/>
      <c r="F386" s="140"/>
      <c r="G386" s="140"/>
      <c r="H386" s="140"/>
      <c r="I386" s="52"/>
      <c r="J386" s="66"/>
      <c r="K386" s="50"/>
      <c r="L386" s="52">
        <f>SUM(AY353:AY357)</f>
        <v>0</v>
      </c>
    </row>
    <row r="387" spans="1:12" ht="14.25" hidden="1" customHeight="1" x14ac:dyDescent="0.2">
      <c r="A387" s="66"/>
      <c r="B387" s="67"/>
      <c r="C387" s="140" t="s">
        <v>487</v>
      </c>
      <c r="D387" s="140"/>
      <c r="E387" s="140"/>
      <c r="F387" s="142"/>
      <c r="G387" s="56">
        <f>Source!F217</f>
        <v>0</v>
      </c>
      <c r="H387" s="66"/>
      <c r="I387" s="66"/>
      <c r="J387" s="66"/>
      <c r="K387" s="66"/>
      <c r="L387" s="66"/>
    </row>
    <row r="388" spans="1:12" ht="14.25" hidden="1" customHeight="1" x14ac:dyDescent="0.2">
      <c r="A388" s="66"/>
      <c r="B388" s="67"/>
      <c r="C388" s="140" t="s">
        <v>488</v>
      </c>
      <c r="D388" s="140"/>
      <c r="E388" s="140"/>
      <c r="F388" s="142"/>
      <c r="G388" s="56">
        <f>Source!F218</f>
        <v>0</v>
      </c>
      <c r="H388" s="66"/>
      <c r="I388" s="66"/>
      <c r="J388" s="66"/>
      <c r="K388" s="66"/>
      <c r="L388" s="66"/>
    </row>
    <row r="391" spans="1:12" ht="15" x14ac:dyDescent="0.2">
      <c r="A391" s="72"/>
      <c r="B391" s="73"/>
      <c r="C391" s="143" t="s">
        <v>524</v>
      </c>
      <c r="D391" s="143"/>
      <c r="E391" s="143"/>
      <c r="F391" s="143"/>
      <c r="G391" s="143"/>
      <c r="H391" s="143"/>
      <c r="I391" s="74"/>
      <c r="J391" s="72"/>
      <c r="K391" s="75"/>
      <c r="L391" s="74"/>
    </row>
    <row r="393" spans="1:12" ht="15" x14ac:dyDescent="0.2">
      <c r="A393" s="68"/>
      <c r="B393" s="69"/>
      <c r="C393" s="141" t="s">
        <v>525</v>
      </c>
      <c r="D393" s="141"/>
      <c r="E393" s="141"/>
      <c r="F393" s="141"/>
      <c r="G393" s="141"/>
      <c r="H393" s="141"/>
      <c r="I393" s="57"/>
      <c r="J393" s="68"/>
      <c r="K393" s="70"/>
      <c r="L393" s="57">
        <f>L395+L410+L411</f>
        <v>450656.01999999996</v>
      </c>
    </row>
    <row r="394" spans="1:12" ht="14.25" x14ac:dyDescent="0.2">
      <c r="A394" s="66"/>
      <c r="B394" s="67"/>
      <c r="C394" s="139" t="s">
        <v>465</v>
      </c>
      <c r="D394" s="140"/>
      <c r="E394" s="140"/>
      <c r="F394" s="140"/>
      <c r="G394" s="140"/>
      <c r="H394" s="140"/>
      <c r="I394" s="52"/>
      <c r="J394" s="66"/>
      <c r="K394" s="50"/>
      <c r="L394" s="52"/>
    </row>
    <row r="395" spans="1:12" ht="14.25" x14ac:dyDescent="0.2">
      <c r="A395" s="66"/>
      <c r="B395" s="67"/>
      <c r="C395" s="140" t="s">
        <v>526</v>
      </c>
      <c r="D395" s="140"/>
      <c r="E395" s="140"/>
      <c r="F395" s="140"/>
      <c r="G395" s="140"/>
      <c r="H395" s="140"/>
      <c r="I395" s="52"/>
      <c r="J395" s="66"/>
      <c r="K395" s="50"/>
      <c r="L395" s="52">
        <f>L397+L398+L404+L408</f>
        <v>259246.65</v>
      </c>
    </row>
    <row r="396" spans="1:12" ht="14.25" x14ac:dyDescent="0.2">
      <c r="A396" s="66"/>
      <c r="B396" s="67"/>
      <c r="C396" s="139" t="s">
        <v>465</v>
      </c>
      <c r="D396" s="140"/>
      <c r="E396" s="140"/>
      <c r="F396" s="140"/>
      <c r="G396" s="140"/>
      <c r="H396" s="140"/>
      <c r="I396" s="52"/>
      <c r="J396" s="66"/>
      <c r="K396" s="50"/>
      <c r="L396" s="52"/>
    </row>
    <row r="397" spans="1:12" ht="14.25" x14ac:dyDescent="0.2">
      <c r="A397" s="66"/>
      <c r="B397" s="67"/>
      <c r="C397" s="140" t="s">
        <v>527</v>
      </c>
      <c r="D397" s="140"/>
      <c r="E397" s="140"/>
      <c r="F397" s="140"/>
      <c r="G397" s="140"/>
      <c r="H397" s="140"/>
      <c r="I397" s="52"/>
      <c r="J397" s="66"/>
      <c r="K397" s="50"/>
      <c r="L397" s="52">
        <f>SUMIF(CD60:CD389, 1, AR60:AR389)</f>
        <v>142817.34</v>
      </c>
    </row>
    <row r="398" spans="1:12" ht="14.25" hidden="1" x14ac:dyDescent="0.2">
      <c r="A398" s="66"/>
      <c r="B398" s="67"/>
      <c r="C398" s="140" t="s">
        <v>467</v>
      </c>
      <c r="D398" s="140"/>
      <c r="E398" s="140"/>
      <c r="F398" s="140"/>
      <c r="G398" s="140"/>
      <c r="H398" s="140"/>
      <c r="I398" s="52"/>
      <c r="J398" s="66"/>
      <c r="K398" s="50"/>
      <c r="L398" s="52">
        <f>L400+L403+L402</f>
        <v>2561.2400000000002</v>
      </c>
    </row>
    <row r="399" spans="1:12" ht="14.25" hidden="1" x14ac:dyDescent="0.2">
      <c r="A399" s="66"/>
      <c r="B399" s="67"/>
      <c r="C399" s="139" t="s">
        <v>468</v>
      </c>
      <c r="D399" s="140"/>
      <c r="E399" s="140"/>
      <c r="F399" s="140"/>
      <c r="G399" s="140"/>
      <c r="H399" s="140"/>
      <c r="I399" s="52"/>
      <c r="J399" s="66"/>
      <c r="K399" s="50"/>
      <c r="L399" s="52"/>
    </row>
    <row r="400" spans="1:12" ht="14.25" x14ac:dyDescent="0.2">
      <c r="A400" s="66"/>
      <c r="B400" s="67"/>
      <c r="C400" s="140" t="s">
        <v>467</v>
      </c>
      <c r="D400" s="140"/>
      <c r="E400" s="140"/>
      <c r="F400" s="140"/>
      <c r="G400" s="140"/>
      <c r="H400" s="140"/>
      <c r="I400" s="52"/>
      <c r="J400" s="66"/>
      <c r="K400" s="50"/>
      <c r="L400" s="52">
        <f>SUMIF(CD60:CD389, 1, AO60:AO389)</f>
        <v>1021.2100000000004</v>
      </c>
    </row>
    <row r="401" spans="1:12" ht="14.25" hidden="1" x14ac:dyDescent="0.2">
      <c r="A401" s="66"/>
      <c r="B401" s="67"/>
      <c r="C401" s="139" t="s">
        <v>469</v>
      </c>
      <c r="D401" s="140"/>
      <c r="E401" s="140"/>
      <c r="F401" s="140"/>
      <c r="G401" s="140"/>
      <c r="H401" s="140"/>
      <c r="I401" s="52"/>
      <c r="J401" s="66"/>
      <c r="K401" s="50"/>
      <c r="L401" s="52"/>
    </row>
    <row r="402" spans="1:12" ht="14.25" x14ac:dyDescent="0.2">
      <c r="A402" s="66"/>
      <c r="B402" s="67"/>
      <c r="C402" s="140" t="s">
        <v>489</v>
      </c>
      <c r="D402" s="140"/>
      <c r="E402" s="140"/>
      <c r="F402" s="140"/>
      <c r="G402" s="140"/>
      <c r="H402" s="140"/>
      <c r="I402" s="52"/>
      <c r="J402" s="66"/>
      <c r="K402" s="50"/>
      <c r="L402" s="52">
        <f>SUMIF(CD60:CD389, 1, AT60:AT389)</f>
        <v>1540.03</v>
      </c>
    </row>
    <row r="403" spans="1:12" ht="14.25" hidden="1" x14ac:dyDescent="0.2">
      <c r="A403" s="66"/>
      <c r="B403" s="67"/>
      <c r="C403" s="140" t="s">
        <v>470</v>
      </c>
      <c r="D403" s="140"/>
      <c r="E403" s="140"/>
      <c r="F403" s="140"/>
      <c r="G403" s="140"/>
      <c r="H403" s="140"/>
      <c r="I403" s="52"/>
      <c r="J403" s="66"/>
      <c r="K403" s="50"/>
      <c r="L403" s="52">
        <f>SUMIF(CD60:CD389, 1, AV60:AV389)</f>
        <v>0</v>
      </c>
    </row>
    <row r="404" spans="1:12" ht="14.25" x14ac:dyDescent="0.2">
      <c r="A404" s="66"/>
      <c r="B404" s="67"/>
      <c r="C404" s="140" t="s">
        <v>471</v>
      </c>
      <c r="D404" s="140"/>
      <c r="E404" s="140"/>
      <c r="F404" s="140"/>
      <c r="G404" s="140"/>
      <c r="H404" s="140"/>
      <c r="I404" s="52"/>
      <c r="J404" s="66"/>
      <c r="K404" s="50"/>
      <c r="L404" s="52">
        <f>L406+L407</f>
        <v>113459.73000000003</v>
      </c>
    </row>
    <row r="405" spans="1:12" ht="14.25" x14ac:dyDescent="0.2">
      <c r="A405" s="66"/>
      <c r="B405" s="67"/>
      <c r="C405" s="139" t="s">
        <v>468</v>
      </c>
      <c r="D405" s="140"/>
      <c r="E405" s="140"/>
      <c r="F405" s="140"/>
      <c r="G405" s="140"/>
      <c r="H405" s="140"/>
      <c r="I405" s="52"/>
      <c r="J405" s="66"/>
      <c r="K405" s="50"/>
      <c r="L405" s="52"/>
    </row>
    <row r="406" spans="1:12" ht="14.25" x14ac:dyDescent="0.2">
      <c r="A406" s="66"/>
      <c r="B406" s="67"/>
      <c r="C406" s="140" t="s">
        <v>472</v>
      </c>
      <c r="D406" s="140"/>
      <c r="E406" s="140"/>
      <c r="F406" s="140"/>
      <c r="G406" s="140"/>
      <c r="H406" s="140"/>
      <c r="I406" s="52"/>
      <c r="J406" s="66"/>
      <c r="K406" s="50"/>
      <c r="L406" s="52">
        <f>SUMIF(CD60:CD389, 1, AW60:AW389)-SUMIF(CD60:CD389, 1, BK60:BK389)</f>
        <v>113459.73000000003</v>
      </c>
    </row>
    <row r="407" spans="1:12" ht="14.25" hidden="1" x14ac:dyDescent="0.2">
      <c r="A407" s="66"/>
      <c r="B407" s="67"/>
      <c r="C407" s="140" t="s">
        <v>473</v>
      </c>
      <c r="D407" s="140"/>
      <c r="E407" s="140"/>
      <c r="F407" s="140"/>
      <c r="G407" s="140"/>
      <c r="H407" s="140"/>
      <c r="I407" s="52"/>
      <c r="J407" s="66"/>
      <c r="K407" s="50"/>
      <c r="L407" s="52">
        <f>SUMIF(CD60:CD389, 1, BC60:BC389)</f>
        <v>0</v>
      </c>
    </row>
    <row r="408" spans="1:12" ht="14.25" x14ac:dyDescent="0.2">
      <c r="A408" s="66"/>
      <c r="B408" s="67"/>
      <c r="C408" s="140" t="s">
        <v>474</v>
      </c>
      <c r="D408" s="140"/>
      <c r="E408" s="140"/>
      <c r="F408" s="140"/>
      <c r="G408" s="140"/>
      <c r="H408" s="140"/>
      <c r="I408" s="52"/>
      <c r="J408" s="66"/>
      <c r="K408" s="50"/>
      <c r="L408" s="52">
        <f>SUMIF(CD60:CD389, 1, BB60:BB389)</f>
        <v>408.34</v>
      </c>
    </row>
    <row r="409" spans="1:12" ht="14.25" x14ac:dyDescent="0.2">
      <c r="A409" s="66"/>
      <c r="B409" s="67"/>
      <c r="C409" s="140" t="s">
        <v>528</v>
      </c>
      <c r="D409" s="140"/>
      <c r="E409" s="140"/>
      <c r="F409" s="140"/>
      <c r="G409" s="140"/>
      <c r="H409" s="140"/>
      <c r="I409" s="52"/>
      <c r="J409" s="66"/>
      <c r="K409" s="50"/>
      <c r="L409" s="52">
        <f>SUMIF(CD60:CD389, 1, AR60:AR389)+SUMIF(CD60:CD389, 1, AT60:AT389)+SUMIF(CD60:CD389, 1, AV60:AV389)</f>
        <v>144357.37</v>
      </c>
    </row>
    <row r="410" spans="1:12" ht="14.25" x14ac:dyDescent="0.2">
      <c r="A410" s="66"/>
      <c r="B410" s="67"/>
      <c r="C410" s="140" t="s">
        <v>529</v>
      </c>
      <c r="D410" s="140"/>
      <c r="E410" s="140"/>
      <c r="F410" s="140"/>
      <c r="G410" s="140"/>
      <c r="H410" s="140"/>
      <c r="I410" s="52"/>
      <c r="J410" s="66"/>
      <c r="K410" s="50"/>
      <c r="L410" s="52">
        <f>SUMIF(CD60:CD389, 1, AZ60:AZ389)</f>
        <v>130372.2</v>
      </c>
    </row>
    <row r="411" spans="1:12" ht="14.25" x14ac:dyDescent="0.2">
      <c r="A411" s="66"/>
      <c r="B411" s="67"/>
      <c r="C411" s="140" t="s">
        <v>530</v>
      </c>
      <c r="D411" s="140"/>
      <c r="E411" s="140"/>
      <c r="F411" s="140"/>
      <c r="G411" s="140"/>
      <c r="H411" s="140"/>
      <c r="I411" s="52"/>
      <c r="J411" s="66"/>
      <c r="K411" s="50"/>
      <c r="L411" s="52">
        <f>SUMIF(CD60:CD389, 1, BA60:BA389)</f>
        <v>61037.17</v>
      </c>
    </row>
    <row r="413" spans="1:12" ht="15" x14ac:dyDescent="0.2">
      <c r="A413" s="68"/>
      <c r="B413" s="69"/>
      <c r="C413" s="141" t="s">
        <v>531</v>
      </c>
      <c r="D413" s="141"/>
      <c r="E413" s="141"/>
      <c r="F413" s="141"/>
      <c r="G413" s="141"/>
      <c r="H413" s="141"/>
      <c r="I413" s="57"/>
      <c r="J413" s="68"/>
      <c r="K413" s="70"/>
      <c r="L413" s="57">
        <f>L415+L430+L431</f>
        <v>14945.54</v>
      </c>
    </row>
    <row r="414" spans="1:12" ht="14.25" x14ac:dyDescent="0.2">
      <c r="A414" s="66"/>
      <c r="B414" s="67"/>
      <c r="C414" s="139" t="s">
        <v>465</v>
      </c>
      <c r="D414" s="140"/>
      <c r="E414" s="140"/>
      <c r="F414" s="140"/>
      <c r="G414" s="140"/>
      <c r="H414" s="140"/>
      <c r="I414" s="52"/>
      <c r="J414" s="66"/>
      <c r="K414" s="50"/>
      <c r="L414" s="52"/>
    </row>
    <row r="415" spans="1:12" ht="14.25" x14ac:dyDescent="0.2">
      <c r="A415" s="66"/>
      <c r="B415" s="67"/>
      <c r="C415" s="140" t="s">
        <v>526</v>
      </c>
      <c r="D415" s="140"/>
      <c r="E415" s="140"/>
      <c r="F415" s="140"/>
      <c r="G415" s="140"/>
      <c r="H415" s="140"/>
      <c r="I415" s="52"/>
      <c r="J415" s="66"/>
      <c r="K415" s="50"/>
      <c r="L415" s="52">
        <f>L417+L418+L424+L428</f>
        <v>14090.93</v>
      </c>
    </row>
    <row r="416" spans="1:12" ht="14.25" x14ac:dyDescent="0.2">
      <c r="A416" s="66"/>
      <c r="B416" s="67"/>
      <c r="C416" s="139" t="s">
        <v>465</v>
      </c>
      <c r="D416" s="140"/>
      <c r="E416" s="140"/>
      <c r="F416" s="140"/>
      <c r="G416" s="140"/>
      <c r="H416" s="140"/>
      <c r="I416" s="52"/>
      <c r="J416" s="66"/>
      <c r="K416" s="50"/>
      <c r="L416" s="52"/>
    </row>
    <row r="417" spans="1:12" ht="14.25" x14ac:dyDescent="0.2">
      <c r="A417" s="66"/>
      <c r="B417" s="67"/>
      <c r="C417" s="140" t="s">
        <v>527</v>
      </c>
      <c r="D417" s="140"/>
      <c r="E417" s="140"/>
      <c r="F417" s="140"/>
      <c r="G417" s="140"/>
      <c r="H417" s="140"/>
      <c r="I417" s="52"/>
      <c r="J417" s="66"/>
      <c r="K417" s="50"/>
      <c r="L417" s="52">
        <f>SUMIF(CD60:CD411, 2, AR60:AR411)</f>
        <v>569.25</v>
      </c>
    </row>
    <row r="418" spans="1:12" ht="14.25" hidden="1" x14ac:dyDescent="0.2">
      <c r="A418" s="66"/>
      <c r="B418" s="67"/>
      <c r="C418" s="140" t="s">
        <v>467</v>
      </c>
      <c r="D418" s="140"/>
      <c r="E418" s="140"/>
      <c r="F418" s="140"/>
      <c r="G418" s="140"/>
      <c r="H418" s="140"/>
      <c r="I418" s="52"/>
      <c r="J418" s="66"/>
      <c r="K418" s="50"/>
      <c r="L418" s="52">
        <f>L420+L423+L422</f>
        <v>14.289999999999997</v>
      </c>
    </row>
    <row r="419" spans="1:12" ht="14.25" hidden="1" x14ac:dyDescent="0.2">
      <c r="A419" s="66"/>
      <c r="B419" s="67"/>
      <c r="C419" s="139" t="s">
        <v>468</v>
      </c>
      <c r="D419" s="140"/>
      <c r="E419" s="140"/>
      <c r="F419" s="140"/>
      <c r="G419" s="140"/>
      <c r="H419" s="140"/>
      <c r="I419" s="52"/>
      <c r="J419" s="66"/>
      <c r="K419" s="50"/>
      <c r="L419" s="52"/>
    </row>
    <row r="420" spans="1:12" ht="14.25" x14ac:dyDescent="0.2">
      <c r="A420" s="66"/>
      <c r="B420" s="67"/>
      <c r="C420" s="140" t="s">
        <v>467</v>
      </c>
      <c r="D420" s="140"/>
      <c r="E420" s="140"/>
      <c r="F420" s="140"/>
      <c r="G420" s="140"/>
      <c r="H420" s="140"/>
      <c r="I420" s="52"/>
      <c r="J420" s="66"/>
      <c r="K420" s="50"/>
      <c r="L420" s="52">
        <f>SUMIF(CD60:CD411, 2, AO60:AO411)</f>
        <v>6.0999999999999979</v>
      </c>
    </row>
    <row r="421" spans="1:12" ht="14.25" hidden="1" x14ac:dyDescent="0.2">
      <c r="A421" s="66"/>
      <c r="B421" s="67"/>
      <c r="C421" s="139" t="s">
        <v>469</v>
      </c>
      <c r="D421" s="140"/>
      <c r="E421" s="140"/>
      <c r="F421" s="140"/>
      <c r="G421" s="140"/>
      <c r="H421" s="140"/>
      <c r="I421" s="52"/>
      <c r="J421" s="66"/>
      <c r="K421" s="50"/>
      <c r="L421" s="52"/>
    </row>
    <row r="422" spans="1:12" ht="14.25" x14ac:dyDescent="0.2">
      <c r="A422" s="66"/>
      <c r="B422" s="67"/>
      <c r="C422" s="140" t="s">
        <v>489</v>
      </c>
      <c r="D422" s="140"/>
      <c r="E422" s="140"/>
      <c r="F422" s="140"/>
      <c r="G422" s="140"/>
      <c r="H422" s="140"/>
      <c r="I422" s="52"/>
      <c r="J422" s="66"/>
      <c r="K422" s="50"/>
      <c r="L422" s="52">
        <f>SUMIF(CD60:CD411, 2, AT60:AT411)</f>
        <v>8.19</v>
      </c>
    </row>
    <row r="423" spans="1:12" ht="14.25" hidden="1" x14ac:dyDescent="0.2">
      <c r="A423" s="66"/>
      <c r="B423" s="67"/>
      <c r="C423" s="140" t="s">
        <v>470</v>
      </c>
      <c r="D423" s="140"/>
      <c r="E423" s="140"/>
      <c r="F423" s="140"/>
      <c r="G423" s="140"/>
      <c r="H423" s="140"/>
      <c r="I423" s="52"/>
      <c r="J423" s="66"/>
      <c r="K423" s="50"/>
      <c r="L423" s="52">
        <f>SUMIF(CD60:CD411, 2, AV60:AV411)</f>
        <v>0</v>
      </c>
    </row>
    <row r="424" spans="1:12" ht="14.25" x14ac:dyDescent="0.2">
      <c r="A424" s="66"/>
      <c r="B424" s="67"/>
      <c r="C424" s="140" t="s">
        <v>471</v>
      </c>
      <c r="D424" s="140"/>
      <c r="E424" s="140"/>
      <c r="F424" s="140"/>
      <c r="G424" s="140"/>
      <c r="H424" s="140"/>
      <c r="I424" s="52"/>
      <c r="J424" s="66"/>
      <c r="K424" s="50"/>
      <c r="L424" s="52">
        <f>L426+L427</f>
        <v>13507.39</v>
      </c>
    </row>
    <row r="425" spans="1:12" ht="14.25" x14ac:dyDescent="0.2">
      <c r="A425" s="66"/>
      <c r="B425" s="67"/>
      <c r="C425" s="139" t="s">
        <v>468</v>
      </c>
      <c r="D425" s="140"/>
      <c r="E425" s="140"/>
      <c r="F425" s="140"/>
      <c r="G425" s="140"/>
      <c r="H425" s="140"/>
      <c r="I425" s="52"/>
      <c r="J425" s="66"/>
      <c r="K425" s="50"/>
      <c r="L425" s="52"/>
    </row>
    <row r="426" spans="1:12" ht="14.25" x14ac:dyDescent="0.2">
      <c r="A426" s="66"/>
      <c r="B426" s="67"/>
      <c r="C426" s="140" t="s">
        <v>472</v>
      </c>
      <c r="D426" s="140"/>
      <c r="E426" s="140"/>
      <c r="F426" s="140"/>
      <c r="G426" s="140"/>
      <c r="H426" s="140"/>
      <c r="I426" s="52"/>
      <c r="J426" s="66"/>
      <c r="K426" s="50"/>
      <c r="L426" s="52">
        <f>SUMIF(CD60:CD411, 2, AW60:AW411)-SUMIF(CD60:CD411, 2, BK60:BK411)</f>
        <v>13507.39</v>
      </c>
    </row>
    <row r="427" spans="1:12" ht="14.25" hidden="1" x14ac:dyDescent="0.2">
      <c r="A427" s="66"/>
      <c r="B427" s="67"/>
      <c r="C427" s="140" t="s">
        <v>473</v>
      </c>
      <c r="D427" s="140"/>
      <c r="E427" s="140"/>
      <c r="F427" s="140"/>
      <c r="G427" s="140"/>
      <c r="H427" s="140"/>
      <c r="I427" s="52"/>
      <c r="J427" s="66"/>
      <c r="K427" s="50"/>
      <c r="L427" s="52">
        <f>SUMIF(CD60:CD411, 2, BC60:BC411)</f>
        <v>0</v>
      </c>
    </row>
    <row r="428" spans="1:12" ht="14.25" hidden="1" x14ac:dyDescent="0.2">
      <c r="A428" s="66"/>
      <c r="B428" s="67"/>
      <c r="C428" s="140" t="s">
        <v>474</v>
      </c>
      <c r="D428" s="140"/>
      <c r="E428" s="140"/>
      <c r="F428" s="140"/>
      <c r="G428" s="140"/>
      <c r="H428" s="140"/>
      <c r="I428" s="52"/>
      <c r="J428" s="66"/>
      <c r="K428" s="50"/>
      <c r="L428" s="52">
        <f>SUMIF(CD60:CD411, 2, BB60:BB411)</f>
        <v>0</v>
      </c>
    </row>
    <row r="429" spans="1:12" ht="14.25" x14ac:dyDescent="0.2">
      <c r="A429" s="66"/>
      <c r="B429" s="67"/>
      <c r="C429" s="140" t="s">
        <v>528</v>
      </c>
      <c r="D429" s="140"/>
      <c r="E429" s="140"/>
      <c r="F429" s="140"/>
      <c r="G429" s="140"/>
      <c r="H429" s="140"/>
      <c r="I429" s="52"/>
      <c r="J429" s="66"/>
      <c r="K429" s="50"/>
      <c r="L429" s="52">
        <f>SUMIF(CD60:CD411, 2, AR60:AR411)+SUMIF(CD60:CD411, 2, AT60:AT411)+SUMIF(CD60:CD411, 2, AV60:AV411)</f>
        <v>577.44000000000005</v>
      </c>
    </row>
    <row r="430" spans="1:12" ht="14.25" x14ac:dyDescent="0.2">
      <c r="A430" s="66"/>
      <c r="B430" s="67"/>
      <c r="C430" s="140" t="s">
        <v>529</v>
      </c>
      <c r="D430" s="140"/>
      <c r="E430" s="140"/>
      <c r="F430" s="140"/>
      <c r="G430" s="140"/>
      <c r="H430" s="140"/>
      <c r="I430" s="52"/>
      <c r="J430" s="66"/>
      <c r="K430" s="50"/>
      <c r="L430" s="52">
        <f>SUMIF(CD60:CD411, 2, AZ60:AZ411)</f>
        <v>560.12</v>
      </c>
    </row>
    <row r="431" spans="1:12" ht="14.25" x14ac:dyDescent="0.2">
      <c r="A431" s="66"/>
      <c r="B431" s="67"/>
      <c r="C431" s="140" t="s">
        <v>530</v>
      </c>
      <c r="D431" s="140"/>
      <c r="E431" s="140"/>
      <c r="F431" s="140"/>
      <c r="G431" s="140"/>
      <c r="H431" s="140"/>
      <c r="I431" s="52"/>
      <c r="J431" s="66"/>
      <c r="K431" s="50"/>
      <c r="L431" s="52">
        <f>SUMIF(CD60:CD411, 2, BA60:BA411)</f>
        <v>294.49</v>
      </c>
    </row>
    <row r="432" spans="1:12" hidden="1" x14ac:dyDescent="0.2"/>
    <row r="433" spans="1:12" ht="15" hidden="1" x14ac:dyDescent="0.2">
      <c r="A433" s="68"/>
      <c r="B433" s="69"/>
      <c r="C433" s="141" t="s">
        <v>532</v>
      </c>
      <c r="D433" s="141"/>
      <c r="E433" s="141"/>
      <c r="F433" s="141"/>
      <c r="G433" s="141"/>
      <c r="H433" s="141"/>
      <c r="I433" s="57"/>
      <c r="J433" s="68"/>
      <c r="K433" s="70"/>
      <c r="L433" s="57">
        <f>L435+L436</f>
        <v>0</v>
      </c>
    </row>
    <row r="434" spans="1:12" ht="14.25" hidden="1" x14ac:dyDescent="0.2">
      <c r="A434" s="66"/>
      <c r="B434" s="67"/>
      <c r="C434" s="139" t="s">
        <v>465</v>
      </c>
      <c r="D434" s="140"/>
      <c r="E434" s="140"/>
      <c r="F434" s="140"/>
      <c r="G434" s="140"/>
      <c r="H434" s="140"/>
      <c r="I434" s="52"/>
      <c r="J434" s="66"/>
      <c r="K434" s="50"/>
      <c r="L434" s="52"/>
    </row>
    <row r="435" spans="1:12" ht="14.25" hidden="1" x14ac:dyDescent="0.2">
      <c r="A435" s="66"/>
      <c r="B435" s="67"/>
      <c r="C435" s="140" t="s">
        <v>479</v>
      </c>
      <c r="D435" s="140"/>
      <c r="E435" s="140"/>
      <c r="F435" s="140"/>
      <c r="G435" s="140"/>
      <c r="H435" s="140"/>
      <c r="I435" s="52"/>
      <c r="J435" s="66"/>
      <c r="K435" s="50"/>
      <c r="L435" s="52">
        <f>SUMIF(CD60:CD431, 3, BK60:BK431)</f>
        <v>0</v>
      </c>
    </row>
    <row r="436" spans="1:12" ht="14.25" hidden="1" x14ac:dyDescent="0.2">
      <c r="A436" s="66"/>
      <c r="B436" s="67"/>
      <c r="C436" s="140" t="s">
        <v>480</v>
      </c>
      <c r="D436" s="140"/>
      <c r="E436" s="140"/>
      <c r="F436" s="140"/>
      <c r="G436" s="140"/>
      <c r="H436" s="140"/>
      <c r="I436" s="52"/>
      <c r="J436" s="66"/>
      <c r="K436" s="50"/>
      <c r="L436" s="52">
        <f>SUMIF(CD60:CD431, 3, BD60:BD431)</f>
        <v>0</v>
      </c>
    </row>
    <row r="437" spans="1:12" hidden="1" x14ac:dyDescent="0.2"/>
    <row r="438" spans="1:12" ht="15" hidden="1" x14ac:dyDescent="0.2">
      <c r="A438" s="68"/>
      <c r="B438" s="69"/>
      <c r="C438" s="141" t="s">
        <v>533</v>
      </c>
      <c r="D438" s="141"/>
      <c r="E438" s="141"/>
      <c r="F438" s="141"/>
      <c r="G438" s="141"/>
      <c r="H438" s="141"/>
      <c r="I438" s="57"/>
      <c r="J438" s="68"/>
      <c r="K438" s="70"/>
      <c r="L438" s="57">
        <f>L446+L461+L462+L440+L441+L442+L443</f>
        <v>0</v>
      </c>
    </row>
    <row r="439" spans="1:12" ht="14.25" hidden="1" x14ac:dyDescent="0.2">
      <c r="A439" s="66"/>
      <c r="B439" s="67"/>
      <c r="C439" s="139" t="s">
        <v>465</v>
      </c>
      <c r="D439" s="140"/>
      <c r="E439" s="140"/>
      <c r="F439" s="140"/>
      <c r="G439" s="140"/>
      <c r="H439" s="140"/>
      <c r="I439" s="52"/>
      <c r="J439" s="66"/>
      <c r="K439" s="50"/>
      <c r="L439" s="52"/>
    </row>
    <row r="440" spans="1:12" ht="14.25" hidden="1" x14ac:dyDescent="0.2">
      <c r="A440" s="66"/>
      <c r="B440" s="67"/>
      <c r="C440" s="140" t="s">
        <v>534</v>
      </c>
      <c r="D440" s="140"/>
      <c r="E440" s="140"/>
      <c r="F440" s="140"/>
      <c r="G440" s="140"/>
      <c r="H440" s="140"/>
      <c r="I440" s="52"/>
      <c r="J440" s="66"/>
      <c r="K440" s="50"/>
      <c r="L440" s="52"/>
    </row>
    <row r="441" spans="1:12" ht="14.25" hidden="1" x14ac:dyDescent="0.2">
      <c r="A441" s="66"/>
      <c r="B441" s="67"/>
      <c r="C441" s="140" t="s">
        <v>534</v>
      </c>
      <c r="D441" s="140"/>
      <c r="E441" s="140"/>
      <c r="F441" s="140"/>
      <c r="G441" s="140"/>
      <c r="H441" s="140"/>
      <c r="I441" s="52"/>
      <c r="J441" s="66"/>
      <c r="K441" s="50"/>
      <c r="L441" s="52">
        <f>SUM(BQ60:BQ436)</f>
        <v>0</v>
      </c>
    </row>
    <row r="442" spans="1:12" ht="14.25" hidden="1" x14ac:dyDescent="0.2">
      <c r="A442" s="66"/>
      <c r="B442" s="67"/>
      <c r="C442" s="140" t="s">
        <v>535</v>
      </c>
      <c r="D442" s="140"/>
      <c r="E442" s="140"/>
      <c r="F442" s="140"/>
      <c r="G442" s="140"/>
      <c r="H442" s="140"/>
      <c r="I442" s="52"/>
      <c r="J442" s="66"/>
      <c r="K442" s="50"/>
      <c r="L442" s="52">
        <f>SUMIF(CD60:CD436, 4, BB60:BB436)+SUMIF(CD60:CD436, 4, BC60:BC436)+SUMIF(CD60:CD436, 4, BD60:BD436)</f>
        <v>0</v>
      </c>
    </row>
    <row r="443" spans="1:12" ht="14.25" hidden="1" x14ac:dyDescent="0.2">
      <c r="A443" s="66"/>
      <c r="B443" s="67"/>
      <c r="C443" s="140" t="s">
        <v>536</v>
      </c>
      <c r="D443" s="140"/>
      <c r="E443" s="140"/>
      <c r="F443" s="140"/>
      <c r="G443" s="140"/>
      <c r="H443" s="140"/>
      <c r="I443" s="52"/>
      <c r="J443" s="66"/>
      <c r="K443" s="50"/>
      <c r="L443" s="52">
        <f>SUM(BO60:BO436)</f>
        <v>0</v>
      </c>
    </row>
    <row r="444" spans="1:12" ht="14.25" hidden="1" x14ac:dyDescent="0.2">
      <c r="A444" s="66"/>
      <c r="B444" s="67"/>
      <c r="C444" s="140" t="s">
        <v>537</v>
      </c>
      <c r="D444" s="140"/>
      <c r="E444" s="140"/>
      <c r="F444" s="140"/>
      <c r="G444" s="140"/>
      <c r="H444" s="140"/>
      <c r="I444" s="52"/>
      <c r="J444" s="66"/>
      <c r="K444" s="50"/>
      <c r="L444" s="52">
        <f>L446+L461+L462</f>
        <v>0</v>
      </c>
    </row>
    <row r="445" spans="1:12" ht="14.25" hidden="1" x14ac:dyDescent="0.2">
      <c r="A445" s="66"/>
      <c r="B445" s="67"/>
      <c r="C445" s="139" t="s">
        <v>465</v>
      </c>
      <c r="D445" s="140"/>
      <c r="E445" s="140"/>
      <c r="F445" s="140"/>
      <c r="G445" s="140"/>
      <c r="H445" s="140"/>
      <c r="I445" s="52"/>
      <c r="J445" s="66"/>
      <c r="K445" s="50"/>
      <c r="L445" s="52"/>
    </row>
    <row r="446" spans="1:12" ht="14.25" hidden="1" x14ac:dyDescent="0.2">
      <c r="A446" s="66"/>
      <c r="B446" s="67"/>
      <c r="C446" s="140" t="s">
        <v>526</v>
      </c>
      <c r="D446" s="140"/>
      <c r="E446" s="140"/>
      <c r="F446" s="140"/>
      <c r="G446" s="140"/>
      <c r="H446" s="140"/>
      <c r="I446" s="52"/>
      <c r="J446" s="66"/>
      <c r="K446" s="50"/>
      <c r="L446" s="52">
        <f>L448+L449+L455+L459</f>
        <v>0</v>
      </c>
    </row>
    <row r="447" spans="1:12" ht="14.25" hidden="1" x14ac:dyDescent="0.2">
      <c r="A447" s="66"/>
      <c r="B447" s="67"/>
      <c r="C447" s="139" t="s">
        <v>465</v>
      </c>
      <c r="D447" s="140"/>
      <c r="E447" s="140"/>
      <c r="F447" s="140"/>
      <c r="G447" s="140"/>
      <c r="H447" s="140"/>
      <c r="I447" s="52"/>
      <c r="J447" s="66"/>
      <c r="K447" s="50"/>
      <c r="L447" s="52"/>
    </row>
    <row r="448" spans="1:12" ht="14.25" hidden="1" x14ac:dyDescent="0.2">
      <c r="A448" s="66"/>
      <c r="B448" s="67"/>
      <c r="C448" s="140" t="s">
        <v>527</v>
      </c>
      <c r="D448" s="140"/>
      <c r="E448" s="140"/>
      <c r="F448" s="140"/>
      <c r="G448" s="140"/>
      <c r="H448" s="140"/>
      <c r="I448" s="52"/>
      <c r="J448" s="66"/>
      <c r="K448" s="50"/>
      <c r="L448" s="52">
        <f>SUMIF(CD60:CD436, 4, AR60:AR436)</f>
        <v>0</v>
      </c>
    </row>
    <row r="449" spans="1:12" ht="14.25" hidden="1" x14ac:dyDescent="0.2">
      <c r="A449" s="66"/>
      <c r="B449" s="67"/>
      <c r="C449" s="140" t="s">
        <v>467</v>
      </c>
      <c r="D449" s="140"/>
      <c r="E449" s="140"/>
      <c r="F449" s="140"/>
      <c r="G449" s="140"/>
      <c r="H449" s="140"/>
      <c r="I449" s="52"/>
      <c r="J449" s="66"/>
      <c r="K449" s="50"/>
      <c r="L449" s="52">
        <f>L451+L454+L453</f>
        <v>0</v>
      </c>
    </row>
    <row r="450" spans="1:12" ht="14.25" hidden="1" x14ac:dyDescent="0.2">
      <c r="A450" s="66"/>
      <c r="B450" s="67"/>
      <c r="C450" s="139" t="s">
        <v>468</v>
      </c>
      <c r="D450" s="140"/>
      <c r="E450" s="140"/>
      <c r="F450" s="140"/>
      <c r="G450" s="140"/>
      <c r="H450" s="140"/>
      <c r="I450" s="52"/>
      <c r="J450" s="66"/>
      <c r="K450" s="50"/>
      <c r="L450" s="52"/>
    </row>
    <row r="451" spans="1:12" ht="14.25" hidden="1" x14ac:dyDescent="0.2">
      <c r="A451" s="66"/>
      <c r="B451" s="67"/>
      <c r="C451" s="140" t="s">
        <v>467</v>
      </c>
      <c r="D451" s="140"/>
      <c r="E451" s="140"/>
      <c r="F451" s="140"/>
      <c r="G451" s="140"/>
      <c r="H451" s="140"/>
      <c r="I451" s="52"/>
      <c r="J451" s="66"/>
      <c r="K451" s="50"/>
      <c r="L451" s="52">
        <f>SUMIF(CD60:CD436, 4, AO60:AO436)</f>
        <v>0</v>
      </c>
    </row>
    <row r="452" spans="1:12" ht="14.25" hidden="1" x14ac:dyDescent="0.2">
      <c r="A452" s="66"/>
      <c r="B452" s="67"/>
      <c r="C452" s="139" t="s">
        <v>469</v>
      </c>
      <c r="D452" s="140"/>
      <c r="E452" s="140"/>
      <c r="F452" s="140"/>
      <c r="G452" s="140"/>
      <c r="H452" s="140"/>
      <c r="I452" s="52"/>
      <c r="J452" s="66"/>
      <c r="K452" s="50"/>
      <c r="L452" s="52"/>
    </row>
    <row r="453" spans="1:12" ht="14.25" hidden="1" x14ac:dyDescent="0.2">
      <c r="A453" s="66"/>
      <c r="B453" s="67"/>
      <c r="C453" s="140" t="s">
        <v>489</v>
      </c>
      <c r="D453" s="140"/>
      <c r="E453" s="140"/>
      <c r="F453" s="140"/>
      <c r="G453" s="140"/>
      <c r="H453" s="140"/>
      <c r="I453" s="52"/>
      <c r="J453" s="66"/>
      <c r="K453" s="50"/>
      <c r="L453" s="52">
        <f>SUMIF(CD60:CD436, 4, AT60:AT436)</f>
        <v>0</v>
      </c>
    </row>
    <row r="454" spans="1:12" ht="14.25" hidden="1" x14ac:dyDescent="0.2">
      <c r="A454" s="66"/>
      <c r="B454" s="67"/>
      <c r="C454" s="140" t="s">
        <v>470</v>
      </c>
      <c r="D454" s="140"/>
      <c r="E454" s="140"/>
      <c r="F454" s="140"/>
      <c r="G454" s="140"/>
      <c r="H454" s="140"/>
      <c r="I454" s="52"/>
      <c r="J454" s="66"/>
      <c r="K454" s="50"/>
      <c r="L454" s="52">
        <f>SUMIF(CD60:CD436, 4, AV60:AV436)</f>
        <v>0</v>
      </c>
    </row>
    <row r="455" spans="1:12" ht="14.25" hidden="1" x14ac:dyDescent="0.2">
      <c r="A455" s="66"/>
      <c r="B455" s="67"/>
      <c r="C455" s="140" t="s">
        <v>471</v>
      </c>
      <c r="D455" s="140"/>
      <c r="E455" s="140"/>
      <c r="F455" s="140"/>
      <c r="G455" s="140"/>
      <c r="H455" s="140"/>
      <c r="I455" s="52"/>
      <c r="J455" s="66"/>
      <c r="K455" s="50"/>
      <c r="L455" s="52">
        <f>L457+L458</f>
        <v>0</v>
      </c>
    </row>
    <row r="456" spans="1:12" ht="14.25" hidden="1" x14ac:dyDescent="0.2">
      <c r="A456" s="66"/>
      <c r="B456" s="67"/>
      <c r="C456" s="139" t="s">
        <v>468</v>
      </c>
      <c r="D456" s="140"/>
      <c r="E456" s="140"/>
      <c r="F456" s="140"/>
      <c r="G456" s="140"/>
      <c r="H456" s="140"/>
      <c r="I456" s="52"/>
      <c r="J456" s="66"/>
      <c r="K456" s="50"/>
      <c r="L456" s="52"/>
    </row>
    <row r="457" spans="1:12" ht="14.25" hidden="1" x14ac:dyDescent="0.2">
      <c r="A457" s="66"/>
      <c r="B457" s="67"/>
      <c r="C457" s="140" t="s">
        <v>472</v>
      </c>
      <c r="D457" s="140"/>
      <c r="E457" s="140"/>
      <c r="F457" s="140"/>
      <c r="G457" s="140"/>
      <c r="H457" s="140"/>
      <c r="I457" s="52"/>
      <c r="J457" s="66"/>
      <c r="K457" s="50"/>
      <c r="L457" s="52">
        <f>SUMIF(CD60:CD436, 4, AW60:AW436)-SUMIF(CD60:CD436, 4, BK60:BK436)</f>
        <v>0</v>
      </c>
    </row>
    <row r="458" spans="1:12" ht="14.25" hidden="1" x14ac:dyDescent="0.2">
      <c r="A458" s="66"/>
      <c r="B458" s="67"/>
      <c r="C458" s="140" t="s">
        <v>473</v>
      </c>
      <c r="D458" s="140"/>
      <c r="E458" s="140"/>
      <c r="F458" s="140"/>
      <c r="G458" s="140"/>
      <c r="H458" s="140"/>
      <c r="I458" s="52"/>
      <c r="J458" s="66"/>
      <c r="K458" s="50"/>
      <c r="L458" s="52">
        <f>SUMIF(CD60:CD436, 4, BC60:BC436)</f>
        <v>0</v>
      </c>
    </row>
    <row r="459" spans="1:12" ht="14.25" hidden="1" x14ac:dyDescent="0.2">
      <c r="A459" s="66"/>
      <c r="B459" s="67"/>
      <c r="C459" s="140" t="s">
        <v>474</v>
      </c>
      <c r="D459" s="140"/>
      <c r="E459" s="140"/>
      <c r="F459" s="140"/>
      <c r="G459" s="140"/>
      <c r="H459" s="140"/>
      <c r="I459" s="52"/>
      <c r="J459" s="66"/>
      <c r="K459" s="50"/>
      <c r="L459" s="52">
        <f>SUMIF(CD60:CD436, 4, BB60:BB436)</f>
        <v>0</v>
      </c>
    </row>
    <row r="460" spans="1:12" ht="14.25" hidden="1" x14ac:dyDescent="0.2">
      <c r="A460" s="66"/>
      <c r="B460" s="67"/>
      <c r="C460" s="140" t="s">
        <v>528</v>
      </c>
      <c r="D460" s="140"/>
      <c r="E460" s="140"/>
      <c r="F460" s="140"/>
      <c r="G460" s="140"/>
      <c r="H460" s="140"/>
      <c r="I460" s="52"/>
      <c r="J460" s="66"/>
      <c r="K460" s="50"/>
      <c r="L460" s="52">
        <f>SUMIF(CD60:CD436, 4, AR60:AR436)+SUMIF(CD60:CD436, 4, AT60:AT436)+SUMIF(CD60:CD436, 4, AV60:AV436)</f>
        <v>0</v>
      </c>
    </row>
    <row r="461" spans="1:12" ht="14.25" hidden="1" x14ac:dyDescent="0.2">
      <c r="A461" s="66"/>
      <c r="B461" s="67"/>
      <c r="C461" s="140" t="s">
        <v>529</v>
      </c>
      <c r="D461" s="140"/>
      <c r="E461" s="140"/>
      <c r="F461" s="140"/>
      <c r="G461" s="140"/>
      <c r="H461" s="140"/>
      <c r="I461" s="52"/>
      <c r="J461" s="66"/>
      <c r="K461" s="50"/>
      <c r="L461" s="52">
        <f>SUMIF(CD60:CD436, 4, AZ60:AZ436)</f>
        <v>0</v>
      </c>
    </row>
    <row r="462" spans="1:12" ht="14.25" hidden="1" x14ac:dyDescent="0.2">
      <c r="A462" s="66"/>
      <c r="B462" s="67"/>
      <c r="C462" s="140" t="s">
        <v>530</v>
      </c>
      <c r="D462" s="140"/>
      <c r="E462" s="140"/>
      <c r="F462" s="140"/>
      <c r="G462" s="140"/>
      <c r="H462" s="140"/>
      <c r="I462" s="52"/>
      <c r="J462" s="66"/>
      <c r="K462" s="50"/>
      <c r="L462" s="52">
        <f>SUMIF(CD60:CD436, 4, BA60:BA436)</f>
        <v>0</v>
      </c>
    </row>
    <row r="464" spans="1:12" ht="15" x14ac:dyDescent="0.2">
      <c r="A464" s="68"/>
      <c r="B464" s="69"/>
      <c r="C464" s="141" t="s">
        <v>538</v>
      </c>
      <c r="D464" s="141"/>
      <c r="E464" s="141"/>
      <c r="F464" s="141"/>
      <c r="G464" s="141"/>
      <c r="H464" s="141"/>
      <c r="I464" s="57"/>
      <c r="J464" s="68"/>
      <c r="K464" s="70"/>
      <c r="L464" s="57">
        <f>L393+L413+L433+L438</f>
        <v>465601.55999999994</v>
      </c>
    </row>
    <row r="465" spans="1:12" ht="14.25" x14ac:dyDescent="0.2">
      <c r="A465" s="66"/>
      <c r="B465" s="67"/>
      <c r="C465" s="139" t="s">
        <v>465</v>
      </c>
      <c r="D465" s="140"/>
      <c r="E465" s="140"/>
      <c r="F465" s="140"/>
      <c r="G465" s="140"/>
      <c r="H465" s="140"/>
      <c r="I465" s="52"/>
      <c r="J465" s="66"/>
      <c r="K465" s="50"/>
      <c r="L465" s="52"/>
    </row>
    <row r="466" spans="1:12" ht="14.25" x14ac:dyDescent="0.2">
      <c r="A466" s="66"/>
      <c r="B466" s="67"/>
      <c r="C466" s="140" t="s">
        <v>526</v>
      </c>
      <c r="D466" s="140"/>
      <c r="E466" s="140"/>
      <c r="F466" s="140"/>
      <c r="G466" s="140"/>
      <c r="H466" s="140"/>
      <c r="I466" s="52"/>
      <c r="J466" s="66"/>
      <c r="K466" s="50"/>
      <c r="L466" s="52">
        <f>L468+L469+L475+L479</f>
        <v>273337.58</v>
      </c>
    </row>
    <row r="467" spans="1:12" ht="14.25" x14ac:dyDescent="0.2">
      <c r="A467" s="66"/>
      <c r="B467" s="67"/>
      <c r="C467" s="139" t="s">
        <v>465</v>
      </c>
      <c r="D467" s="140"/>
      <c r="E467" s="140"/>
      <c r="F467" s="140"/>
      <c r="G467" s="140"/>
      <c r="H467" s="140"/>
      <c r="I467" s="52"/>
      <c r="J467" s="66"/>
      <c r="K467" s="50"/>
      <c r="L467" s="52"/>
    </row>
    <row r="468" spans="1:12" ht="14.25" x14ac:dyDescent="0.2">
      <c r="A468" s="66"/>
      <c r="B468" s="67"/>
      <c r="C468" s="140" t="s">
        <v>527</v>
      </c>
      <c r="D468" s="140"/>
      <c r="E468" s="140"/>
      <c r="F468" s="140"/>
      <c r="G468" s="140"/>
      <c r="H468" s="140"/>
      <c r="I468" s="52"/>
      <c r="J468" s="66"/>
      <c r="K468" s="50"/>
      <c r="L468" s="52">
        <f>SUM(AR60:AR462)</f>
        <v>143386.59</v>
      </c>
    </row>
    <row r="469" spans="1:12" ht="14.25" hidden="1" x14ac:dyDescent="0.2">
      <c r="A469" s="66"/>
      <c r="B469" s="67"/>
      <c r="C469" s="140" t="s">
        <v>467</v>
      </c>
      <c r="D469" s="140"/>
      <c r="E469" s="140"/>
      <c r="F469" s="140"/>
      <c r="G469" s="140"/>
      <c r="H469" s="140"/>
      <c r="I469" s="52"/>
      <c r="J469" s="66"/>
      <c r="K469" s="50"/>
      <c r="L469" s="52">
        <f>L471+L474+L473</f>
        <v>2575.5300000000007</v>
      </c>
    </row>
    <row r="470" spans="1:12" ht="14.25" hidden="1" x14ac:dyDescent="0.2">
      <c r="A470" s="66"/>
      <c r="B470" s="67"/>
      <c r="C470" s="139" t="s">
        <v>468</v>
      </c>
      <c r="D470" s="140"/>
      <c r="E470" s="140"/>
      <c r="F470" s="140"/>
      <c r="G470" s="140"/>
      <c r="H470" s="140"/>
      <c r="I470" s="52"/>
      <c r="J470" s="66"/>
      <c r="K470" s="50"/>
      <c r="L470" s="52"/>
    </row>
    <row r="471" spans="1:12" ht="14.25" x14ac:dyDescent="0.2">
      <c r="A471" s="66"/>
      <c r="B471" s="67"/>
      <c r="C471" s="140" t="s">
        <v>467</v>
      </c>
      <c r="D471" s="140"/>
      <c r="E471" s="140"/>
      <c r="F471" s="140"/>
      <c r="G471" s="140"/>
      <c r="H471" s="140"/>
      <c r="I471" s="52"/>
      <c r="J471" s="66"/>
      <c r="K471" s="50"/>
      <c r="L471" s="52">
        <f>SUM(AO60:AO462)</f>
        <v>1027.3100000000004</v>
      </c>
    </row>
    <row r="472" spans="1:12" ht="14.25" hidden="1" x14ac:dyDescent="0.2">
      <c r="A472" s="66"/>
      <c r="B472" s="67"/>
      <c r="C472" s="139" t="s">
        <v>469</v>
      </c>
      <c r="D472" s="140"/>
      <c r="E472" s="140"/>
      <c r="F472" s="140"/>
      <c r="G472" s="140"/>
      <c r="H472" s="140"/>
      <c r="I472" s="52"/>
      <c r="J472" s="66"/>
      <c r="K472" s="50"/>
      <c r="L472" s="52"/>
    </row>
    <row r="473" spans="1:12" ht="14.25" x14ac:dyDescent="0.2">
      <c r="A473" s="66"/>
      <c r="B473" s="67"/>
      <c r="C473" s="140" t="s">
        <v>489</v>
      </c>
      <c r="D473" s="140"/>
      <c r="E473" s="140"/>
      <c r="F473" s="140"/>
      <c r="G473" s="140"/>
      <c r="H473" s="140"/>
      <c r="I473" s="52"/>
      <c r="J473" s="66"/>
      <c r="K473" s="50"/>
      <c r="L473" s="52">
        <f>SUM(AT60:AT462)</f>
        <v>1548.22</v>
      </c>
    </row>
    <row r="474" spans="1:12" ht="14.25" hidden="1" x14ac:dyDescent="0.2">
      <c r="A474" s="66"/>
      <c r="B474" s="67"/>
      <c r="C474" s="140" t="s">
        <v>470</v>
      </c>
      <c r="D474" s="140"/>
      <c r="E474" s="140"/>
      <c r="F474" s="140"/>
      <c r="G474" s="140"/>
      <c r="H474" s="140"/>
      <c r="I474" s="52"/>
      <c r="J474" s="66"/>
      <c r="K474" s="50"/>
      <c r="L474" s="52">
        <f>SUM(AV60:AV462)</f>
        <v>0</v>
      </c>
    </row>
    <row r="475" spans="1:12" ht="14.25" x14ac:dyDescent="0.2">
      <c r="A475" s="66"/>
      <c r="B475" s="67"/>
      <c r="C475" s="140" t="s">
        <v>471</v>
      </c>
      <c r="D475" s="140"/>
      <c r="E475" s="140"/>
      <c r="F475" s="140"/>
      <c r="G475" s="140"/>
      <c r="H475" s="140"/>
      <c r="I475" s="52"/>
      <c r="J475" s="66"/>
      <c r="K475" s="50"/>
      <c r="L475" s="52">
        <f>L477+L478</f>
        <v>126967.12000000002</v>
      </c>
    </row>
    <row r="476" spans="1:12" ht="14.25" x14ac:dyDescent="0.2">
      <c r="A476" s="66"/>
      <c r="B476" s="67"/>
      <c r="C476" s="139" t="s">
        <v>468</v>
      </c>
      <c r="D476" s="140"/>
      <c r="E476" s="140"/>
      <c r="F476" s="140"/>
      <c r="G476" s="140"/>
      <c r="H476" s="140"/>
      <c r="I476" s="52"/>
      <c r="J476" s="66"/>
      <c r="K476" s="50"/>
      <c r="L476" s="52"/>
    </row>
    <row r="477" spans="1:12" ht="14.25" x14ac:dyDescent="0.2">
      <c r="A477" s="66"/>
      <c r="B477" s="67"/>
      <c r="C477" s="140" t="s">
        <v>472</v>
      </c>
      <c r="D477" s="140"/>
      <c r="E477" s="140"/>
      <c r="F477" s="140"/>
      <c r="G477" s="140"/>
      <c r="H477" s="140"/>
      <c r="I477" s="52"/>
      <c r="J477" s="66"/>
      <c r="K477" s="50"/>
      <c r="L477" s="52">
        <f>SUM(AW60:AW462)-SUM(BK60:BK462)</f>
        <v>126967.12000000002</v>
      </c>
    </row>
    <row r="478" spans="1:12" ht="14.25" hidden="1" x14ac:dyDescent="0.2">
      <c r="A478" s="66"/>
      <c r="B478" s="67"/>
      <c r="C478" s="140" t="s">
        <v>473</v>
      </c>
      <c r="D478" s="140"/>
      <c r="E478" s="140"/>
      <c r="F478" s="140"/>
      <c r="G478" s="140"/>
      <c r="H478" s="140"/>
      <c r="I478" s="52"/>
      <c r="J478" s="66"/>
      <c r="K478" s="50"/>
      <c r="L478" s="52">
        <f>SUM(BC60:BC462)</f>
        <v>0</v>
      </c>
    </row>
    <row r="479" spans="1:12" ht="14.25" x14ac:dyDescent="0.2">
      <c r="A479" s="66"/>
      <c r="B479" s="67"/>
      <c r="C479" s="140" t="s">
        <v>474</v>
      </c>
      <c r="D479" s="140"/>
      <c r="E479" s="140"/>
      <c r="F479" s="140"/>
      <c r="G479" s="140"/>
      <c r="H479" s="140"/>
      <c r="I479" s="52"/>
      <c r="J479" s="66"/>
      <c r="K479" s="50"/>
      <c r="L479" s="52">
        <f>SUM(BB60:BB462)</f>
        <v>408.34</v>
      </c>
    </row>
    <row r="480" spans="1:12" ht="14.25" x14ac:dyDescent="0.2">
      <c r="A480" s="66"/>
      <c r="B480" s="67"/>
      <c r="C480" s="140" t="s">
        <v>475</v>
      </c>
      <c r="D480" s="140"/>
      <c r="E480" s="140"/>
      <c r="F480" s="140"/>
      <c r="G480" s="140"/>
      <c r="H480" s="140"/>
      <c r="I480" s="52"/>
      <c r="J480" s="66"/>
      <c r="K480" s="50"/>
      <c r="L480" s="52">
        <f>SUM(AR60:AR462)+SUM(AT60:AT462)+SUM(AV60:AV462)</f>
        <v>144934.81</v>
      </c>
    </row>
    <row r="481" spans="1:12" ht="14.25" x14ac:dyDescent="0.2">
      <c r="A481" s="66"/>
      <c r="B481" s="67"/>
      <c r="C481" s="140" t="s">
        <v>476</v>
      </c>
      <c r="D481" s="140"/>
      <c r="E481" s="140"/>
      <c r="F481" s="140"/>
      <c r="G481" s="140"/>
      <c r="H481" s="140"/>
      <c r="I481" s="52"/>
      <c r="J481" s="66"/>
      <c r="K481" s="50"/>
      <c r="L481" s="52">
        <f>SUM(AZ60:AZ462)</f>
        <v>130932.31999999999</v>
      </c>
    </row>
    <row r="482" spans="1:12" ht="14.25" x14ac:dyDescent="0.2">
      <c r="A482" s="66"/>
      <c r="B482" s="67"/>
      <c r="C482" s="140" t="s">
        <v>477</v>
      </c>
      <c r="D482" s="140"/>
      <c r="E482" s="140"/>
      <c r="F482" s="140"/>
      <c r="G482" s="140"/>
      <c r="H482" s="140"/>
      <c r="I482" s="52"/>
      <c r="J482" s="66"/>
      <c r="K482" s="50"/>
      <c r="L482" s="52">
        <f>SUM(BA60:BA462)</f>
        <v>61331.659999999996</v>
      </c>
    </row>
    <row r="483" spans="1:12" ht="14.25" hidden="1" x14ac:dyDescent="0.2">
      <c r="A483" s="66"/>
      <c r="B483" s="67"/>
      <c r="C483" s="140" t="s">
        <v>539</v>
      </c>
      <c r="D483" s="140"/>
      <c r="E483" s="140"/>
      <c r="F483" s="140"/>
      <c r="G483" s="140"/>
      <c r="H483" s="140"/>
      <c r="I483" s="52"/>
      <c r="J483" s="66"/>
      <c r="K483" s="50"/>
      <c r="L483" s="52">
        <f>L485+L486</f>
        <v>0</v>
      </c>
    </row>
    <row r="484" spans="1:12" ht="14.25" hidden="1" x14ac:dyDescent="0.2">
      <c r="A484" s="66"/>
      <c r="B484" s="67"/>
      <c r="C484" s="139" t="s">
        <v>465</v>
      </c>
      <c r="D484" s="140"/>
      <c r="E484" s="140"/>
      <c r="F484" s="140"/>
      <c r="G484" s="140"/>
      <c r="H484" s="140"/>
      <c r="I484" s="52"/>
      <c r="J484" s="66"/>
      <c r="K484" s="50"/>
      <c r="L484" s="52"/>
    </row>
    <row r="485" spans="1:12" ht="14.25" hidden="1" x14ac:dyDescent="0.2">
      <c r="A485" s="66"/>
      <c r="B485" s="67"/>
      <c r="C485" s="140" t="s">
        <v>479</v>
      </c>
      <c r="D485" s="140"/>
      <c r="E485" s="140"/>
      <c r="F485" s="140"/>
      <c r="G485" s="140"/>
      <c r="H485" s="140"/>
      <c r="I485" s="52"/>
      <c r="J485" s="66"/>
      <c r="K485" s="50"/>
      <c r="L485" s="52">
        <f>SUM(BK60:BK462)</f>
        <v>0</v>
      </c>
    </row>
    <row r="486" spans="1:12" ht="14.25" hidden="1" x14ac:dyDescent="0.2">
      <c r="A486" s="66"/>
      <c r="B486" s="67"/>
      <c r="C486" s="140" t="s">
        <v>480</v>
      </c>
      <c r="D486" s="140"/>
      <c r="E486" s="140"/>
      <c r="F486" s="140"/>
      <c r="G486" s="140"/>
      <c r="H486" s="140"/>
      <c r="I486" s="52"/>
      <c r="J486" s="66"/>
      <c r="K486" s="50"/>
      <c r="L486" s="52">
        <f>SUM(BD60:BD462)</f>
        <v>0</v>
      </c>
    </row>
    <row r="487" spans="1:12" ht="14.25" hidden="1" x14ac:dyDescent="0.2">
      <c r="A487" s="66"/>
      <c r="B487" s="67"/>
      <c r="C487" s="140" t="s">
        <v>540</v>
      </c>
      <c r="D487" s="140"/>
      <c r="E487" s="140"/>
      <c r="F487" s="140"/>
      <c r="G487" s="140"/>
      <c r="H487" s="140"/>
      <c r="I487" s="52"/>
      <c r="J487" s="66"/>
      <c r="K487" s="50"/>
      <c r="L487" s="52">
        <f>L438</f>
        <v>0</v>
      </c>
    </row>
    <row r="488" spans="1:12" ht="14.25" x14ac:dyDescent="0.2">
      <c r="A488" s="66"/>
      <c r="B488" s="67"/>
      <c r="C488" s="141" t="s">
        <v>484</v>
      </c>
      <c r="D488" s="140"/>
      <c r="E488" s="140"/>
      <c r="F488" s="140"/>
      <c r="G488" s="140"/>
      <c r="H488" s="140"/>
      <c r="I488" s="52"/>
      <c r="J488" s="66"/>
      <c r="K488" s="50"/>
      <c r="L488" s="52"/>
    </row>
    <row r="489" spans="1:12" ht="14.25" x14ac:dyDescent="0.2">
      <c r="A489" s="66"/>
      <c r="B489" s="67"/>
      <c r="C489" s="140" t="s">
        <v>485</v>
      </c>
      <c r="D489" s="140"/>
      <c r="E489" s="140"/>
      <c r="F489" s="140"/>
      <c r="G489" s="140"/>
      <c r="H489" s="140"/>
      <c r="I489" s="52"/>
      <c r="J489" s="66"/>
      <c r="K489" s="50"/>
      <c r="L489" s="52">
        <f>SUM(AX60:AX462)</f>
        <v>66758.53</v>
      </c>
    </row>
    <row r="490" spans="1:12" ht="14.25" hidden="1" x14ac:dyDescent="0.2">
      <c r="A490" s="66"/>
      <c r="B490" s="67"/>
      <c r="C490" s="140" t="s">
        <v>486</v>
      </c>
      <c r="D490" s="140"/>
      <c r="E490" s="140"/>
      <c r="F490" s="140"/>
      <c r="G490" s="140"/>
      <c r="H490" s="140"/>
      <c r="I490" s="52"/>
      <c r="J490" s="66"/>
      <c r="K490" s="50"/>
      <c r="L490" s="52">
        <f>SUM(AY60:AY462)</f>
        <v>0</v>
      </c>
    </row>
    <row r="491" spans="1:12" ht="14.25" x14ac:dyDescent="0.2">
      <c r="A491" s="66"/>
      <c r="B491" s="67"/>
      <c r="C491" s="140" t="s">
        <v>487</v>
      </c>
      <c r="D491" s="140"/>
      <c r="E491" s="140"/>
      <c r="F491" s="142"/>
      <c r="G491" s="56">
        <f>Source!F247</f>
        <v>212.83942999999999</v>
      </c>
      <c r="H491" s="66"/>
      <c r="I491" s="66"/>
      <c r="J491" s="66"/>
      <c r="K491" s="66"/>
      <c r="L491" s="66"/>
    </row>
    <row r="492" spans="1:12" ht="14.25" x14ac:dyDescent="0.2">
      <c r="A492" s="66"/>
      <c r="B492" s="67"/>
      <c r="C492" s="140" t="s">
        <v>488</v>
      </c>
      <c r="D492" s="140"/>
      <c r="E492" s="140"/>
      <c r="F492" s="142"/>
      <c r="G492" s="56">
        <f>Source!F248</f>
        <v>2.1574374999999999</v>
      </c>
      <c r="H492" s="66"/>
      <c r="I492" s="66"/>
      <c r="J492" s="66"/>
      <c r="K492" s="66"/>
      <c r="L492" s="66"/>
    </row>
    <row r="494" spans="1:12" ht="14.25" x14ac:dyDescent="0.2">
      <c r="C494" s="144" t="str">
        <f>Source!H254</f>
        <v>Итого</v>
      </c>
      <c r="D494" s="144"/>
      <c r="E494" s="144"/>
      <c r="F494" s="144"/>
      <c r="G494" s="144"/>
      <c r="H494" s="144"/>
      <c r="I494" s="144"/>
      <c r="J494" s="144"/>
      <c r="K494" s="144"/>
      <c r="L494" s="64">
        <f>IF(Source!Y254=0, "", Source!Y254)</f>
        <v>465601.56</v>
      </c>
    </row>
    <row r="495" spans="1:12" ht="14.25" x14ac:dyDescent="0.2">
      <c r="C495" s="144" t="str">
        <f>Source!H255</f>
        <v>НДС 22%</v>
      </c>
      <c r="D495" s="144"/>
      <c r="E495" s="144"/>
      <c r="F495" s="144"/>
      <c r="G495" s="144"/>
      <c r="H495" s="144"/>
      <c r="I495" s="144"/>
      <c r="J495" s="144"/>
      <c r="K495" s="144"/>
      <c r="L495" s="64">
        <f>IF(Source!Y255=0, "", Source!Y255)</f>
        <v>102432.34</v>
      </c>
    </row>
    <row r="496" spans="1:12" ht="14.25" x14ac:dyDescent="0.2">
      <c r="C496" s="144" t="str">
        <f>Source!H256</f>
        <v>Итого с НДС</v>
      </c>
      <c r="D496" s="144"/>
      <c r="E496" s="144"/>
      <c r="F496" s="144"/>
      <c r="G496" s="144"/>
      <c r="H496" s="144"/>
      <c r="I496" s="144"/>
      <c r="J496" s="144"/>
      <c r="K496" s="144"/>
      <c r="L496" s="64">
        <f>IF(Source!Y256=0, "", Source!Y256)</f>
        <v>568033.9</v>
      </c>
    </row>
    <row r="499" spans="1:12" ht="14.25" customHeight="1" x14ac:dyDescent="0.2">
      <c r="A499" s="80"/>
      <c r="H499" s="18" t="str">
        <f>IF(Source!AB12&lt;&gt;"", Source!AB12," ")</f>
        <v xml:space="preserve"> </v>
      </c>
      <c r="I499" s="28"/>
      <c r="J499" s="28"/>
      <c r="K499" s="42"/>
      <c r="L499" s="42"/>
    </row>
    <row r="500" spans="1:12" ht="14.25" customHeight="1" x14ac:dyDescent="0.2">
      <c r="A500" s="80"/>
      <c r="H500" s="28"/>
      <c r="I500" s="28"/>
      <c r="J500" s="28"/>
      <c r="K500" s="42"/>
      <c r="L500" s="42"/>
    </row>
    <row r="501" spans="1:12" ht="14.25" customHeight="1" x14ac:dyDescent="0.2">
      <c r="A501" s="80"/>
      <c r="H501" s="28"/>
      <c r="I501" s="28"/>
      <c r="J501" s="28"/>
      <c r="K501" s="42"/>
      <c r="L501" s="42"/>
    </row>
    <row r="502" spans="1:12" ht="14.25" customHeight="1" x14ac:dyDescent="0.2">
      <c r="A502" s="80"/>
      <c r="H502" s="18" t="str">
        <f>IF(Source!AD12&lt;&gt;"", Source!AD12," ")</f>
        <v xml:space="preserve"> </v>
      </c>
      <c r="I502" s="28"/>
      <c r="J502" s="28"/>
      <c r="K502" s="42"/>
      <c r="L502" s="42"/>
    </row>
    <row r="503" spans="1:12" ht="14.25" customHeight="1" x14ac:dyDescent="0.2">
      <c r="A503" s="17"/>
      <c r="H503" s="28"/>
      <c r="I503" s="28"/>
      <c r="J503" s="28"/>
      <c r="K503" s="42"/>
      <c r="L503" s="42"/>
    </row>
  </sheetData>
  <mergeCells count="312">
    <mergeCell ref="C492:F492"/>
    <mergeCell ref="C494:K494"/>
    <mergeCell ref="C495:K495"/>
    <mergeCell ref="C496:K496"/>
    <mergeCell ref="C486:H486"/>
    <mergeCell ref="C487:H487"/>
    <mergeCell ref="C488:H488"/>
    <mergeCell ref="C489:H489"/>
    <mergeCell ref="C490:H490"/>
    <mergeCell ref="C491:F491"/>
    <mergeCell ref="C480:H480"/>
    <mergeCell ref="C481:H481"/>
    <mergeCell ref="C482:H482"/>
    <mergeCell ref="C483:H483"/>
    <mergeCell ref="C484:H484"/>
    <mergeCell ref="C485:H485"/>
    <mergeCell ref="C474:H474"/>
    <mergeCell ref="C475:H475"/>
    <mergeCell ref="C476:H476"/>
    <mergeCell ref="C477:H477"/>
    <mergeCell ref="C478:H478"/>
    <mergeCell ref="C479:H479"/>
    <mergeCell ref="C468:H468"/>
    <mergeCell ref="C469:H469"/>
    <mergeCell ref="C470:H470"/>
    <mergeCell ref="C471:H471"/>
    <mergeCell ref="C472:H472"/>
    <mergeCell ref="C473:H473"/>
    <mergeCell ref="C461:H461"/>
    <mergeCell ref="C462:H462"/>
    <mergeCell ref="C464:H464"/>
    <mergeCell ref="C465:H465"/>
    <mergeCell ref="C466:H466"/>
    <mergeCell ref="C467:H467"/>
    <mergeCell ref="C455:H455"/>
    <mergeCell ref="C456:H456"/>
    <mergeCell ref="C457:H457"/>
    <mergeCell ref="C458:H458"/>
    <mergeCell ref="C459:H459"/>
    <mergeCell ref="C460:H460"/>
    <mergeCell ref="C449:H449"/>
    <mergeCell ref="C450:H450"/>
    <mergeCell ref="C451:H451"/>
    <mergeCell ref="C452:H452"/>
    <mergeCell ref="C453:H453"/>
    <mergeCell ref="C454:H454"/>
    <mergeCell ref="C443:H443"/>
    <mergeCell ref="C444:H444"/>
    <mergeCell ref="C445:H445"/>
    <mergeCell ref="C446:H446"/>
    <mergeCell ref="C447:H447"/>
    <mergeCell ref="C448:H448"/>
    <mergeCell ref="C436:H436"/>
    <mergeCell ref="C438:H438"/>
    <mergeCell ref="C439:H439"/>
    <mergeCell ref="C440:H440"/>
    <mergeCell ref="C441:H441"/>
    <mergeCell ref="C442:H442"/>
    <mergeCell ref="C429:H429"/>
    <mergeCell ref="C430:H430"/>
    <mergeCell ref="C431:H431"/>
    <mergeCell ref="C433:H433"/>
    <mergeCell ref="C434:H434"/>
    <mergeCell ref="C435:H435"/>
    <mergeCell ref="C423:H423"/>
    <mergeCell ref="C424:H424"/>
    <mergeCell ref="C425:H425"/>
    <mergeCell ref="C426:H426"/>
    <mergeCell ref="C427:H427"/>
    <mergeCell ref="C428:H428"/>
    <mergeCell ref="C417:H417"/>
    <mergeCell ref="C418:H418"/>
    <mergeCell ref="C419:H419"/>
    <mergeCell ref="C420:H420"/>
    <mergeCell ref="C421:H421"/>
    <mergeCell ref="C422:H422"/>
    <mergeCell ref="C410:H410"/>
    <mergeCell ref="C411:H411"/>
    <mergeCell ref="C413:H413"/>
    <mergeCell ref="C414:H414"/>
    <mergeCell ref="C415:H415"/>
    <mergeCell ref="C416:H416"/>
    <mergeCell ref="C404:H404"/>
    <mergeCell ref="C405:H405"/>
    <mergeCell ref="C406:H406"/>
    <mergeCell ref="C407:H407"/>
    <mergeCell ref="C408:H408"/>
    <mergeCell ref="C409:H409"/>
    <mergeCell ref="C398:H398"/>
    <mergeCell ref="C399:H399"/>
    <mergeCell ref="C400:H400"/>
    <mergeCell ref="C401:H401"/>
    <mergeCell ref="C402:H402"/>
    <mergeCell ref="C403:H403"/>
    <mergeCell ref="C391:H391"/>
    <mergeCell ref="C393:H393"/>
    <mergeCell ref="C394:H394"/>
    <mergeCell ref="C395:H395"/>
    <mergeCell ref="C396:H396"/>
    <mergeCell ref="C397:H397"/>
    <mergeCell ref="C383:H383"/>
    <mergeCell ref="C384:H384"/>
    <mergeCell ref="C385:H385"/>
    <mergeCell ref="C386:H386"/>
    <mergeCell ref="C387:F387"/>
    <mergeCell ref="C388:F388"/>
    <mergeCell ref="C377:H377"/>
    <mergeCell ref="C378:H378"/>
    <mergeCell ref="C379:H379"/>
    <mergeCell ref="C380:H380"/>
    <mergeCell ref="C381:H381"/>
    <mergeCell ref="C382:H382"/>
    <mergeCell ref="C371:H371"/>
    <mergeCell ref="C372:H372"/>
    <mergeCell ref="C373:H373"/>
    <mergeCell ref="C374:H374"/>
    <mergeCell ref="C375:H375"/>
    <mergeCell ref="C376:H376"/>
    <mergeCell ref="C365:H365"/>
    <mergeCell ref="C366:H366"/>
    <mergeCell ref="C367:H367"/>
    <mergeCell ref="C368:H368"/>
    <mergeCell ref="C369:H369"/>
    <mergeCell ref="C370:H370"/>
    <mergeCell ref="C359:H359"/>
    <mergeCell ref="C360:H360"/>
    <mergeCell ref="C361:H361"/>
    <mergeCell ref="C362:H362"/>
    <mergeCell ref="C363:H363"/>
    <mergeCell ref="C364:H364"/>
    <mergeCell ref="C355:H355"/>
    <mergeCell ref="I355:J355"/>
    <mergeCell ref="K355:L355"/>
    <mergeCell ref="C357:H357"/>
    <mergeCell ref="I357:J357"/>
    <mergeCell ref="K357:L357"/>
    <mergeCell ref="C346:H346"/>
    <mergeCell ref="C347:H347"/>
    <mergeCell ref="C348:H348"/>
    <mergeCell ref="C349:F349"/>
    <mergeCell ref="C350:F350"/>
    <mergeCell ref="A353:L353"/>
    <mergeCell ref="C340:H340"/>
    <mergeCell ref="C341:H341"/>
    <mergeCell ref="C342:H342"/>
    <mergeCell ref="C343:H343"/>
    <mergeCell ref="C344:H344"/>
    <mergeCell ref="C345:H345"/>
    <mergeCell ref="C334:H334"/>
    <mergeCell ref="C335:H335"/>
    <mergeCell ref="C336:H336"/>
    <mergeCell ref="C337:H337"/>
    <mergeCell ref="C338:H338"/>
    <mergeCell ref="C339:H339"/>
    <mergeCell ref="C328:H328"/>
    <mergeCell ref="C329:H329"/>
    <mergeCell ref="C330:H330"/>
    <mergeCell ref="C331:H331"/>
    <mergeCell ref="C332:H332"/>
    <mergeCell ref="C333:H333"/>
    <mergeCell ref="C322:H322"/>
    <mergeCell ref="C323:H323"/>
    <mergeCell ref="C324:H324"/>
    <mergeCell ref="C325:H325"/>
    <mergeCell ref="C326:H326"/>
    <mergeCell ref="C327:H327"/>
    <mergeCell ref="A295:L295"/>
    <mergeCell ref="C297:L297"/>
    <mergeCell ref="C319:H319"/>
    <mergeCell ref="I319:J319"/>
    <mergeCell ref="K319:L319"/>
    <mergeCell ref="C321:H321"/>
    <mergeCell ref="C287:H287"/>
    <mergeCell ref="C288:H288"/>
    <mergeCell ref="C289:H289"/>
    <mergeCell ref="C290:H290"/>
    <mergeCell ref="C291:F291"/>
    <mergeCell ref="C292:F292"/>
    <mergeCell ref="C281:H281"/>
    <mergeCell ref="C282:H282"/>
    <mergeCell ref="C283:H283"/>
    <mergeCell ref="C284:H284"/>
    <mergeCell ref="C285:H285"/>
    <mergeCell ref="C286:H286"/>
    <mergeCell ref="C275:H275"/>
    <mergeCell ref="C276:H276"/>
    <mergeCell ref="C277:H277"/>
    <mergeCell ref="C278:H278"/>
    <mergeCell ref="C279:H279"/>
    <mergeCell ref="C280:H280"/>
    <mergeCell ref="C269:H269"/>
    <mergeCell ref="C270:H270"/>
    <mergeCell ref="C271:H271"/>
    <mergeCell ref="C272:H272"/>
    <mergeCell ref="C273:H273"/>
    <mergeCell ref="C274:H274"/>
    <mergeCell ref="C263:H263"/>
    <mergeCell ref="C264:H264"/>
    <mergeCell ref="C265:H265"/>
    <mergeCell ref="C266:H266"/>
    <mergeCell ref="C267:H267"/>
    <mergeCell ref="C268:H268"/>
    <mergeCell ref="C226:L226"/>
    <mergeCell ref="C244:H244"/>
    <mergeCell ref="I244:J244"/>
    <mergeCell ref="K244:L244"/>
    <mergeCell ref="C260:H260"/>
    <mergeCell ref="I260:J260"/>
    <mergeCell ref="K260:L260"/>
    <mergeCell ref="C211:H211"/>
    <mergeCell ref="I211:J211"/>
    <mergeCell ref="K211:L211"/>
    <mergeCell ref="C224:H224"/>
    <mergeCell ref="I224:J224"/>
    <mergeCell ref="K224:L224"/>
    <mergeCell ref="C186:H186"/>
    <mergeCell ref="I186:J186"/>
    <mergeCell ref="K186:L186"/>
    <mergeCell ref="C188:L188"/>
    <mergeCell ref="C201:H201"/>
    <mergeCell ref="I201:J201"/>
    <mergeCell ref="K201:L201"/>
    <mergeCell ref="C153:H153"/>
    <mergeCell ref="I153:J153"/>
    <mergeCell ref="K153:L153"/>
    <mergeCell ref="C167:H167"/>
    <mergeCell ref="I167:J167"/>
    <mergeCell ref="K167:L167"/>
    <mergeCell ref="A119:L119"/>
    <mergeCell ref="C121:L121"/>
    <mergeCell ref="C143:H143"/>
    <mergeCell ref="I143:J143"/>
    <mergeCell ref="K143:L143"/>
    <mergeCell ref="C111:H111"/>
    <mergeCell ref="C112:H112"/>
    <mergeCell ref="C113:H113"/>
    <mergeCell ref="C114:H114"/>
    <mergeCell ref="C115:F115"/>
    <mergeCell ref="C116:F116"/>
    <mergeCell ref="C105:H105"/>
    <mergeCell ref="C106:H106"/>
    <mergeCell ref="C107:H107"/>
    <mergeCell ref="C108:H108"/>
    <mergeCell ref="C109:H109"/>
    <mergeCell ref="C110:H110"/>
    <mergeCell ref="C99:H99"/>
    <mergeCell ref="C100:H100"/>
    <mergeCell ref="C101:H101"/>
    <mergeCell ref="C102:H102"/>
    <mergeCell ref="C103:H103"/>
    <mergeCell ref="C104:H104"/>
    <mergeCell ref="C93:H93"/>
    <mergeCell ref="C94:H94"/>
    <mergeCell ref="C95:H95"/>
    <mergeCell ref="C96:H96"/>
    <mergeCell ref="C97:H97"/>
    <mergeCell ref="C98:H98"/>
    <mergeCell ref="C87:H87"/>
    <mergeCell ref="C88:H88"/>
    <mergeCell ref="C89:H89"/>
    <mergeCell ref="C90:H90"/>
    <mergeCell ref="C91:H91"/>
    <mergeCell ref="C92:H92"/>
    <mergeCell ref="E54:G57"/>
    <mergeCell ref="H54:L57"/>
    <mergeCell ref="A61:L61"/>
    <mergeCell ref="C63:L63"/>
    <mergeCell ref="C85:H85"/>
    <mergeCell ref="I85:J85"/>
    <mergeCell ref="K85:L85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0"/>
  <sheetViews>
    <sheetView zoomScaleNormal="100" workbookViewId="0"/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0" width="114.7109375" hidden="1" customWidth="1"/>
    <col min="31" max="32" width="0" hidden="1" customWidth="1"/>
  </cols>
  <sheetData>
    <row r="1" spans="1:30" x14ac:dyDescent="0.2">
      <c r="A1" s="14" t="str">
        <f>Source!B1</f>
        <v>Smeta.RU  (495) 974-1589</v>
      </c>
    </row>
    <row r="2" spans="1:30" ht="14.25" x14ac:dyDescent="0.2">
      <c r="C2" s="45"/>
      <c r="D2" s="45"/>
    </row>
    <row r="3" spans="1:30" ht="15" x14ac:dyDescent="0.25">
      <c r="C3" s="45"/>
      <c r="D3" s="81" t="s">
        <v>402</v>
      </c>
    </row>
    <row r="4" spans="1:30" ht="15" x14ac:dyDescent="0.25">
      <c r="C4" s="81"/>
      <c r="D4" s="81"/>
    </row>
    <row r="5" spans="1:30" ht="15" x14ac:dyDescent="0.25">
      <c r="C5" s="146" t="s">
        <v>544</v>
      </c>
      <c r="D5" s="146"/>
    </row>
    <row r="6" spans="1:30" ht="15" x14ac:dyDescent="0.25">
      <c r="C6" s="82"/>
      <c r="D6" s="82"/>
    </row>
    <row r="7" spans="1:30" ht="15" x14ac:dyDescent="0.25">
      <c r="C7" s="146" t="s">
        <v>544</v>
      </c>
      <c r="D7" s="146"/>
    </row>
    <row r="8" spans="1:30" ht="15" x14ac:dyDescent="0.25">
      <c r="C8" s="82"/>
      <c r="D8" s="82"/>
    </row>
    <row r="9" spans="1:30" ht="15" x14ac:dyDescent="0.25">
      <c r="C9" s="81" t="s">
        <v>545</v>
      </c>
      <c r="D9" s="45"/>
    </row>
    <row r="10" spans="1:30" ht="14.25" x14ac:dyDescent="0.2">
      <c r="A10" s="45"/>
      <c r="B10" s="45"/>
      <c r="C10" s="45"/>
      <c r="D10" s="45"/>
      <c r="E10" s="45"/>
    </row>
    <row r="11" spans="1:30" ht="15.75" x14ac:dyDescent="0.25">
      <c r="A11" s="147" t="str">
        <f>CONCATENATE("Дефектный акт ", IF(Source!AN15&lt;&gt;"", Source!AN15," "))</f>
        <v xml:space="preserve">Дефектный акт  </v>
      </c>
      <c r="B11" s="147"/>
      <c r="C11" s="147"/>
      <c r="D11" s="147"/>
      <c r="E11" s="45"/>
    </row>
    <row r="12" spans="1:30" ht="15" x14ac:dyDescent="0.25">
      <c r="A12" s="148" t="str">
        <f>CONCATENATE("На капитальный ремонт ", Source!F12, " ", Source!G12)</f>
        <v>На капитальный ремонт Новый объект_(Копия) Ремонт в пом 500 , 308,  1холл до 600тр</v>
      </c>
      <c r="B12" s="148"/>
      <c r="C12" s="148"/>
      <c r="D12" s="148"/>
      <c r="E12" s="45"/>
      <c r="AD12" s="86" t="str">
        <f>CONCATENATE("На капитальный ремонт ", Source!F12, " ", Source!G12)</f>
        <v>На капитальный ремонт Новый объект_(Копия) Ремонт в пом 500 , 308,  1холл до 600тр</v>
      </c>
    </row>
    <row r="13" spans="1:30" ht="14.25" x14ac:dyDescent="0.2">
      <c r="A13" s="45"/>
      <c r="B13" s="45"/>
      <c r="C13" s="45"/>
      <c r="D13" s="45"/>
      <c r="E13" s="45"/>
    </row>
    <row r="14" spans="1:30" ht="15" x14ac:dyDescent="0.2">
      <c r="A14" s="45"/>
      <c r="B14" s="83" t="s">
        <v>546</v>
      </c>
      <c r="C14" s="45"/>
      <c r="D14" s="45"/>
      <c r="E14" s="45"/>
    </row>
    <row r="15" spans="1:30" ht="15" x14ac:dyDescent="0.2">
      <c r="A15" s="45"/>
      <c r="B15" s="83" t="s">
        <v>547</v>
      </c>
      <c r="C15" s="45"/>
      <c r="D15" s="45"/>
      <c r="E15" s="45"/>
    </row>
    <row r="16" spans="1:30" ht="15" x14ac:dyDescent="0.2">
      <c r="A16" s="45"/>
      <c r="B16" s="83" t="s">
        <v>548</v>
      </c>
      <c r="C16" s="45"/>
      <c r="D16" s="45"/>
      <c r="E16" s="45"/>
    </row>
    <row r="17" spans="1:5" ht="28.5" x14ac:dyDescent="0.2">
      <c r="A17" s="84" t="s">
        <v>430</v>
      </c>
      <c r="B17" s="84" t="s">
        <v>432</v>
      </c>
      <c r="C17" s="84" t="s">
        <v>433</v>
      </c>
      <c r="D17" s="84" t="s">
        <v>434</v>
      </c>
      <c r="E17" s="85" t="s">
        <v>549</v>
      </c>
    </row>
    <row r="18" spans="1:5" ht="14.25" x14ac:dyDescent="0.2">
      <c r="A18" s="87">
        <v>1</v>
      </c>
      <c r="B18" s="87">
        <v>2</v>
      </c>
      <c r="C18" s="87">
        <v>3</v>
      </c>
      <c r="D18" s="87">
        <v>4</v>
      </c>
      <c r="E18" s="88">
        <v>5</v>
      </c>
    </row>
    <row r="19" spans="1:5" ht="16.5" x14ac:dyDescent="0.25">
      <c r="A19" s="145" t="str">
        <f>CONCATENATE("Локальная смета: ", Source!G20)</f>
        <v>Локальная смета: Новая локальная смета</v>
      </c>
      <c r="B19" s="145"/>
      <c r="C19" s="145"/>
      <c r="D19" s="145"/>
      <c r="E19" s="145"/>
    </row>
    <row r="20" spans="1:5" ht="16.5" x14ac:dyDescent="0.25">
      <c r="A20" s="145" t="str">
        <f>CONCATENATE("Раздел: ", Source!G24)</f>
        <v>Раздел: помещение 308</v>
      </c>
      <c r="B20" s="145"/>
      <c r="C20" s="145"/>
      <c r="D20" s="145"/>
      <c r="E20" s="145"/>
    </row>
    <row r="21" spans="1:5" ht="28.5" x14ac:dyDescent="0.2">
      <c r="A21" s="93">
        <v>1</v>
      </c>
      <c r="B21" s="94" t="str">
        <f>Source!G28</f>
        <v>Окраска водно-дисперсионными акриловыми составами улучшенная: по сборным конструкциям стен, подготовленным под окраску</v>
      </c>
      <c r="C21" s="95" t="str">
        <f>Source!H28</f>
        <v>100 м2</v>
      </c>
      <c r="D21" s="96">
        <f>Source!I28</f>
        <v>2.21</v>
      </c>
      <c r="E21" s="94"/>
    </row>
    <row r="22" spans="1:5" ht="16.5" x14ac:dyDescent="0.25">
      <c r="A22" s="145" t="str">
        <f>CONCATENATE("Раздел: ", Source!G62)</f>
        <v>Раздел: Холл</v>
      </c>
      <c r="B22" s="145"/>
      <c r="C22" s="145"/>
      <c r="D22" s="145"/>
      <c r="E22" s="145"/>
    </row>
    <row r="23" spans="1:5" ht="16.5" x14ac:dyDescent="0.25">
      <c r="A23" s="145" t="str">
        <f>CONCATENATE("Подраздел: ", Source!G66)</f>
        <v>Подраздел: Холл малый</v>
      </c>
      <c r="B23" s="145"/>
      <c r="C23" s="145"/>
      <c r="D23" s="145"/>
      <c r="E23" s="145"/>
    </row>
    <row r="24" spans="1:5" ht="28.5" x14ac:dyDescent="0.2">
      <c r="A24" s="93">
        <v>2</v>
      </c>
      <c r="B24" s="94" t="str">
        <f>Source!G70</f>
        <v>Окраска водно-дисперсионными акриловыми составами улучшенная: по сборным конструкциям стен, подготовленным под окраску</v>
      </c>
      <c r="C24" s="95" t="str">
        <f>Source!H70</f>
        <v>100 м2</v>
      </c>
      <c r="D24" s="96">
        <f>Source!I70</f>
        <v>0.72</v>
      </c>
      <c r="E24" s="94"/>
    </row>
    <row r="25" spans="1:5" ht="14.25" x14ac:dyDescent="0.2">
      <c r="A25" s="93">
        <v>3</v>
      </c>
      <c r="B25" s="94" t="str">
        <f>Source!G73</f>
        <v>Разборка плинтусов: деревянных и из пластмассовых материалов</v>
      </c>
      <c r="C25" s="95" t="str">
        <f>Source!H73</f>
        <v>100 м</v>
      </c>
      <c r="D25" s="96">
        <f>Source!I73</f>
        <v>0.15</v>
      </c>
      <c r="E25" s="94"/>
    </row>
    <row r="26" spans="1:5" ht="14.25" x14ac:dyDescent="0.2">
      <c r="A26" s="93">
        <v>4</v>
      </c>
      <c r="B26" s="94" t="str">
        <f>Source!G75</f>
        <v>Разборка покрытий полов: из линолеума и релина</v>
      </c>
      <c r="C26" s="95" t="str">
        <f>Source!H75</f>
        <v>100 м2</v>
      </c>
      <c r="D26" s="96">
        <f>Source!I75</f>
        <v>0.22</v>
      </c>
      <c r="E26" s="94"/>
    </row>
    <row r="27" spans="1:5" ht="14.25" x14ac:dyDescent="0.2">
      <c r="A27" s="93">
        <v>5</v>
      </c>
      <c r="B27" s="94" t="str">
        <f>Source!G77</f>
        <v>Устройство покрытий: из досок ламинированных замковым способом</v>
      </c>
      <c r="C27" s="95" t="str">
        <f>Source!H77</f>
        <v>100 м2</v>
      </c>
      <c r="D27" s="96">
        <f>Source!I77</f>
        <v>0.22</v>
      </c>
      <c r="E27" s="94"/>
    </row>
    <row r="28" spans="1:5" ht="14.25" x14ac:dyDescent="0.2">
      <c r="A28" s="93">
        <v>6</v>
      </c>
      <c r="B28" s="94" t="str">
        <f>Source!G79</f>
        <v>Устройство плинтусов поливинилхлоридных: на клее КН-2</v>
      </c>
      <c r="C28" s="95" t="str">
        <f>Source!H79</f>
        <v>100 м</v>
      </c>
      <c r="D28" s="96">
        <f>Source!I79</f>
        <v>0.15</v>
      </c>
      <c r="E28" s="94"/>
    </row>
    <row r="29" spans="1:5" ht="28.5" x14ac:dyDescent="0.2">
      <c r="A29" s="93">
        <v>7</v>
      </c>
      <c r="B29" s="94" t="str">
        <f>Source!G81</f>
        <v>Разборка элементов облицовки потолков с разборкой каркаса: плит растровых</v>
      </c>
      <c r="C29" s="95" t="str">
        <f>Source!H81</f>
        <v>100 м2</v>
      </c>
      <c r="D29" s="96">
        <f>Source!I81</f>
        <v>0.22</v>
      </c>
      <c r="E29" s="94"/>
    </row>
    <row r="30" spans="1:5" ht="14.25" x14ac:dyDescent="0.2">
      <c r="A30" s="93">
        <v>8</v>
      </c>
      <c r="B30" s="94" t="str">
        <f>Source!G83</f>
        <v>Демонтаж: светильников для люминесцентных ламп</v>
      </c>
      <c r="C30" s="95" t="str">
        <f>Source!H83</f>
        <v>100 ШТ</v>
      </c>
      <c r="D30" s="96">
        <f>Source!I83</f>
        <v>0.04</v>
      </c>
      <c r="E30" s="94"/>
    </row>
    <row r="31" spans="1:5" ht="28.5" x14ac:dyDescent="0.2">
      <c r="A31" s="93">
        <v>9</v>
      </c>
      <c r="B31" s="94" t="str">
        <f>Source!G84</f>
        <v>Устройство потолков: плитно-ячеистых по каркасу из оцинкованного профиля</v>
      </c>
      <c r="C31" s="95" t="str">
        <f>Source!H84</f>
        <v>100 м2</v>
      </c>
      <c r="D31" s="96">
        <f>Source!I84</f>
        <v>0.22</v>
      </c>
      <c r="E31" s="94"/>
    </row>
    <row r="32" spans="1:5" ht="42.75" x14ac:dyDescent="0.2">
      <c r="A32" s="93">
        <v>10</v>
      </c>
      <c r="B32" s="94" t="str">
        <f>Source!G86</f>
        <v>Светильник светодиодный панельный, встраиваемый в подвесной потолок плитно-ячеистый, с подключением: к клеммной колодке светильника</v>
      </c>
      <c r="C32" s="95" t="str">
        <f>Source!H86</f>
        <v>100 ШТ</v>
      </c>
      <c r="D32" s="96">
        <f>Source!I86</f>
        <v>0.04</v>
      </c>
      <c r="E32" s="94"/>
    </row>
    <row r="33" spans="1:5" ht="16.5" x14ac:dyDescent="0.25">
      <c r="A33" s="145" t="str">
        <f>CONCATENATE("Раздел: ", Source!G150)</f>
        <v>Раздел: помещение 500</v>
      </c>
      <c r="B33" s="145"/>
      <c r="C33" s="145"/>
      <c r="D33" s="145"/>
      <c r="E33" s="145"/>
    </row>
    <row r="34" spans="1:5" ht="28.5" x14ac:dyDescent="0.2">
      <c r="A34" s="93">
        <v>11</v>
      </c>
      <c r="B34" s="94" t="str">
        <f>Source!G154</f>
        <v>Окраска водно-дисперсионными акриловыми составами улучшенная: по сборным конструкциям стен, подготовленным под окраску</v>
      </c>
      <c r="C34" s="95" t="str">
        <f>Source!H154</f>
        <v>100 м2</v>
      </c>
      <c r="D34" s="96">
        <f>Source!I154</f>
        <v>1.52</v>
      </c>
      <c r="E34" s="94"/>
    </row>
    <row r="35" spans="1:5" ht="16.5" x14ac:dyDescent="0.25">
      <c r="A35" s="145" t="str">
        <f>CONCATENATE("Раздел: ", Source!G188)</f>
        <v>Раздел: мусор</v>
      </c>
      <c r="B35" s="145"/>
      <c r="C35" s="145"/>
      <c r="D35" s="145"/>
      <c r="E35" s="145"/>
    </row>
    <row r="36" spans="1:5" ht="28.5" x14ac:dyDescent="0.2">
      <c r="A36" s="93">
        <v>12</v>
      </c>
      <c r="B36" s="94" t="str">
        <f>Source!G192</f>
        <v>Погрузка в автотранспортное средство: мусор строительный с погрузкой вручную</v>
      </c>
      <c r="C36" s="95" t="str">
        <f>Source!H192</f>
        <v>1т груза</v>
      </c>
      <c r="D36" s="96">
        <f>Source!I192</f>
        <v>0.2</v>
      </c>
      <c r="E36" s="94"/>
    </row>
    <row r="37" spans="1:5" ht="71.25" x14ac:dyDescent="0.2">
      <c r="A37" s="89">
        <v>13</v>
      </c>
      <c r="B37" s="90" t="str">
        <f>Source!G193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v>
      </c>
      <c r="C37" s="91" t="str">
        <f>Source!H193</f>
        <v>1т груза</v>
      </c>
      <c r="D37" s="92">
        <f>Source!I193</f>
        <v>0.2</v>
      </c>
      <c r="E37" s="90"/>
    </row>
    <row r="40" spans="1:5" ht="15" x14ac:dyDescent="0.25">
      <c r="A40" s="97" t="s">
        <v>550</v>
      </c>
      <c r="B40" s="97"/>
      <c r="C40" s="97" t="s">
        <v>551</v>
      </c>
      <c r="D40" s="97"/>
      <c r="E40" s="97"/>
    </row>
  </sheetData>
  <mergeCells count="10">
    <mergeCell ref="A22:E22"/>
    <mergeCell ref="A23:E23"/>
    <mergeCell ref="A33:E33"/>
    <mergeCell ref="A35:E35"/>
    <mergeCell ref="C5:D5"/>
    <mergeCell ref="C7:D7"/>
    <mergeCell ref="A11:D11"/>
    <mergeCell ref="A12:D12"/>
    <mergeCell ref="A19:E19"/>
    <mergeCell ref="A20:E20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zoomScale="70" zoomScaleNormal="70" workbookViewId="0"/>
  </sheetViews>
  <sheetFormatPr defaultRowHeight="12.75" x14ac:dyDescent="0.2"/>
  <cols>
    <col min="1" max="1" width="6.7109375" customWidth="1"/>
    <col min="2" max="2" width="25.7109375" customWidth="1"/>
    <col min="3" max="4" width="35.7109375" customWidth="1"/>
    <col min="5" max="9" width="15.7109375" customWidth="1"/>
    <col min="10" max="13" width="10.7109375" customWidth="1"/>
    <col min="14" max="14" width="25.7109375" customWidth="1"/>
    <col min="15" max="16" width="10.7109375" customWidth="1"/>
    <col min="17" max="19" width="15.7109375" customWidth="1"/>
    <col min="20" max="20" width="20.7109375" customWidth="1"/>
    <col min="21" max="23" width="15.7109375" customWidth="1"/>
    <col min="24" max="25" width="20.7109375" customWidth="1"/>
    <col min="26" max="26" width="15.7109375" customWidth="1"/>
  </cols>
  <sheetData>
    <row r="1" spans="1:26" ht="12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0.25" customHeight="1" x14ac:dyDescent="0.2">
      <c r="A2" s="165" t="s">
        <v>552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</row>
    <row r="3" spans="1:26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" customHeight="1" x14ac:dyDescent="0.2">
      <c r="A4" s="166" t="s">
        <v>578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</row>
    <row r="5" spans="1:26" ht="12.75" customHeight="1" x14ac:dyDescent="0.2">
      <c r="A5" s="167" t="s">
        <v>553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</row>
    <row r="6" spans="1:26" ht="12.7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customHeight="1" x14ac:dyDescent="0.2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" customHeight="1" x14ac:dyDescent="0.2">
      <c r="A8" s="149" t="s">
        <v>430</v>
      </c>
      <c r="B8" s="149" t="s">
        <v>554</v>
      </c>
      <c r="C8" s="149" t="s">
        <v>555</v>
      </c>
      <c r="D8" s="149" t="s">
        <v>556</v>
      </c>
      <c r="E8" s="149" t="s">
        <v>557</v>
      </c>
      <c r="F8" s="149" t="s">
        <v>558</v>
      </c>
      <c r="G8" s="149" t="s">
        <v>559</v>
      </c>
      <c r="H8" s="149" t="s">
        <v>560</v>
      </c>
      <c r="I8" s="149" t="s">
        <v>561</v>
      </c>
      <c r="J8" s="172" t="s">
        <v>562</v>
      </c>
      <c r="K8" s="173"/>
      <c r="L8" s="172" t="s">
        <v>563</v>
      </c>
      <c r="M8" s="173"/>
      <c r="N8" s="152" t="s">
        <v>564</v>
      </c>
      <c r="O8" s="153"/>
      <c r="P8" s="154"/>
      <c r="Q8" s="161" t="s">
        <v>565</v>
      </c>
      <c r="R8" s="149" t="s">
        <v>566</v>
      </c>
      <c r="S8" s="149" t="s">
        <v>567</v>
      </c>
      <c r="T8" s="149" t="s">
        <v>568</v>
      </c>
      <c r="U8" s="149" t="s">
        <v>569</v>
      </c>
      <c r="V8" s="149" t="s">
        <v>570</v>
      </c>
      <c r="W8" s="149" t="s">
        <v>571</v>
      </c>
      <c r="X8" s="149" t="s">
        <v>572</v>
      </c>
      <c r="Y8" s="149" t="s">
        <v>573</v>
      </c>
      <c r="Z8" s="149" t="s">
        <v>574</v>
      </c>
    </row>
    <row r="9" spans="1:26" ht="15" customHeight="1" x14ac:dyDescent="0.2">
      <c r="A9" s="150"/>
      <c r="B9" s="150"/>
      <c r="C9" s="150"/>
      <c r="D9" s="150"/>
      <c r="E9" s="150"/>
      <c r="F9" s="150"/>
      <c r="G9" s="150"/>
      <c r="H9" s="150"/>
      <c r="I9" s="150"/>
      <c r="J9" s="155"/>
      <c r="K9" s="174"/>
      <c r="L9" s="155"/>
      <c r="M9" s="174"/>
      <c r="N9" s="155"/>
      <c r="O9" s="156"/>
      <c r="P9" s="157"/>
      <c r="Q9" s="162"/>
      <c r="R9" s="150"/>
      <c r="S9" s="150"/>
      <c r="T9" s="150"/>
      <c r="U9" s="150"/>
      <c r="V9" s="150"/>
      <c r="W9" s="150"/>
      <c r="X9" s="150"/>
      <c r="Y9" s="150"/>
      <c r="Z9" s="150"/>
    </row>
    <row r="10" spans="1:26" ht="15" customHeight="1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5"/>
      <c r="K10" s="174"/>
      <c r="L10" s="155"/>
      <c r="M10" s="174"/>
      <c r="N10" s="155"/>
      <c r="O10" s="156"/>
      <c r="P10" s="157"/>
      <c r="Q10" s="162"/>
      <c r="R10" s="150"/>
      <c r="S10" s="150"/>
      <c r="T10" s="150"/>
      <c r="U10" s="150"/>
      <c r="V10" s="150"/>
      <c r="W10" s="150"/>
      <c r="X10" s="150"/>
      <c r="Y10" s="150"/>
      <c r="Z10" s="150"/>
    </row>
    <row r="11" spans="1:26" ht="15" customHeight="1" x14ac:dyDescent="0.2">
      <c r="A11" s="150"/>
      <c r="B11" s="150"/>
      <c r="C11" s="150"/>
      <c r="D11" s="150"/>
      <c r="E11" s="150"/>
      <c r="F11" s="150"/>
      <c r="G11" s="150"/>
      <c r="H11" s="150"/>
      <c r="I11" s="150"/>
      <c r="J11" s="155"/>
      <c r="K11" s="174"/>
      <c r="L11" s="155"/>
      <c r="M11" s="174"/>
      <c r="N11" s="155"/>
      <c r="O11" s="156"/>
      <c r="P11" s="157"/>
      <c r="Q11" s="162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6" ht="15" customHeight="1" x14ac:dyDescent="0.2">
      <c r="A12" s="150"/>
      <c r="B12" s="150"/>
      <c r="C12" s="150"/>
      <c r="D12" s="150"/>
      <c r="E12" s="150"/>
      <c r="F12" s="150"/>
      <c r="G12" s="150"/>
      <c r="H12" s="150"/>
      <c r="I12" s="150"/>
      <c r="J12" s="155"/>
      <c r="K12" s="174"/>
      <c r="L12" s="155"/>
      <c r="M12" s="174"/>
      <c r="N12" s="155"/>
      <c r="O12" s="156"/>
      <c r="P12" s="157"/>
      <c r="Q12" s="162"/>
      <c r="R12" s="150"/>
      <c r="S12" s="150"/>
      <c r="T12" s="150"/>
      <c r="U12" s="150"/>
      <c r="V12" s="150"/>
      <c r="W12" s="150"/>
      <c r="X12" s="150"/>
      <c r="Y12" s="150"/>
      <c r="Z12" s="150"/>
    </row>
    <row r="13" spans="1:26" ht="15" customHeight="1" x14ac:dyDescent="0.2">
      <c r="A13" s="150"/>
      <c r="B13" s="150"/>
      <c r="C13" s="150"/>
      <c r="D13" s="150"/>
      <c r="E13" s="150"/>
      <c r="F13" s="150"/>
      <c r="G13" s="150"/>
      <c r="H13" s="150"/>
      <c r="I13" s="150"/>
      <c r="J13" s="158"/>
      <c r="K13" s="175"/>
      <c r="L13" s="158"/>
      <c r="M13" s="175"/>
      <c r="N13" s="158"/>
      <c r="O13" s="159"/>
      <c r="P13" s="160"/>
      <c r="Q13" s="162"/>
      <c r="R13" s="150"/>
      <c r="S13" s="150"/>
      <c r="T13" s="150"/>
      <c r="U13" s="150"/>
      <c r="V13" s="150"/>
      <c r="W13" s="150"/>
      <c r="X13" s="150"/>
      <c r="Y13" s="150"/>
      <c r="Z13" s="150"/>
    </row>
    <row r="14" spans="1:26" ht="15" customHeight="1" x14ac:dyDescent="0.2">
      <c r="A14" s="150"/>
      <c r="B14" s="150"/>
      <c r="C14" s="150"/>
      <c r="D14" s="150"/>
      <c r="E14" s="150"/>
      <c r="F14" s="150"/>
      <c r="G14" s="150"/>
      <c r="H14" s="150"/>
      <c r="I14" s="150"/>
      <c r="J14" s="149" t="s">
        <v>182</v>
      </c>
      <c r="K14" s="149" t="s">
        <v>575</v>
      </c>
      <c r="L14" s="149" t="s">
        <v>182</v>
      </c>
      <c r="M14" s="149" t="s">
        <v>576</v>
      </c>
      <c r="N14" s="149" t="s">
        <v>577</v>
      </c>
      <c r="O14" s="149" t="s">
        <v>182</v>
      </c>
      <c r="P14" s="169" t="s">
        <v>576</v>
      </c>
      <c r="Q14" s="162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6" ht="15" customHeight="1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70"/>
      <c r="Q15" s="162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6" ht="15" customHeight="1" x14ac:dyDescent="0.2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70"/>
      <c r="Q16" s="162"/>
      <c r="R16" s="150"/>
      <c r="S16" s="150"/>
      <c r="T16" s="150"/>
      <c r="U16" s="150"/>
      <c r="V16" s="150"/>
      <c r="W16" s="150"/>
      <c r="X16" s="150"/>
      <c r="Y16" s="150"/>
      <c r="Z16" s="150"/>
    </row>
    <row r="17" spans="1:26" ht="15" customHeight="1" x14ac:dyDescent="0.2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70"/>
      <c r="Q17" s="162"/>
      <c r="R17" s="150"/>
      <c r="S17" s="150"/>
      <c r="T17" s="150"/>
      <c r="U17" s="150"/>
      <c r="V17" s="150"/>
      <c r="W17" s="150"/>
      <c r="X17" s="150"/>
      <c r="Y17" s="150"/>
      <c r="Z17" s="150"/>
    </row>
    <row r="18" spans="1:26" ht="15" customHeight="1" x14ac:dyDescent="0.2">
      <c r="A18" s="151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71"/>
      <c r="Q18" s="163"/>
      <c r="R18" s="151"/>
      <c r="S18" s="151"/>
      <c r="T18" s="151"/>
      <c r="U18" s="151"/>
      <c r="V18" s="151"/>
      <c r="W18" s="151"/>
      <c r="X18" s="151"/>
      <c r="Y18" s="151"/>
      <c r="Z18" s="151"/>
    </row>
    <row r="19" spans="1:26" ht="15" customHeight="1" x14ac:dyDescent="0.2">
      <c r="A19" s="99">
        <v>1</v>
      </c>
      <c r="B19" s="99">
        <v>2</v>
      </c>
      <c r="C19" s="99">
        <v>3</v>
      </c>
      <c r="D19" s="99">
        <v>4</v>
      </c>
      <c r="E19" s="99">
        <v>5</v>
      </c>
      <c r="F19" s="99">
        <v>6</v>
      </c>
      <c r="G19" s="99">
        <v>7</v>
      </c>
      <c r="H19" s="99">
        <v>8</v>
      </c>
      <c r="I19" s="99">
        <v>9</v>
      </c>
      <c r="J19" s="99">
        <v>10</v>
      </c>
      <c r="K19" s="99">
        <v>11</v>
      </c>
      <c r="L19" s="99">
        <v>12</v>
      </c>
      <c r="M19" s="99">
        <v>13</v>
      </c>
      <c r="N19" s="99">
        <v>14</v>
      </c>
      <c r="O19" s="99">
        <v>15</v>
      </c>
      <c r="P19" s="99">
        <v>16</v>
      </c>
      <c r="Q19" s="99">
        <v>17</v>
      </c>
      <c r="R19" s="99">
        <v>18</v>
      </c>
      <c r="S19" s="99">
        <v>19</v>
      </c>
      <c r="T19" s="99">
        <v>20</v>
      </c>
      <c r="U19" s="99">
        <v>21</v>
      </c>
      <c r="V19" s="99">
        <v>22</v>
      </c>
      <c r="W19" s="99">
        <v>23</v>
      </c>
      <c r="X19" s="99">
        <v>24</v>
      </c>
      <c r="Y19" s="99">
        <v>25</v>
      </c>
      <c r="Z19" s="99">
        <v>26</v>
      </c>
    </row>
    <row r="20" spans="1:26" ht="16.5" x14ac:dyDescent="0.2">
      <c r="A20" s="164" t="str">
        <f>SrcKA!E14</f>
        <v>Конъюнктурный анализ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</row>
    <row r="21" spans="1:26" ht="42.75" x14ac:dyDescent="0.2">
      <c r="A21" s="100" t="s">
        <v>358</v>
      </c>
      <c r="B21" s="89" t="str">
        <f>SrcKA!D15</f>
        <v>ТЦ_59.00.00.00_77_9729288231_09.04.2026_01_1.1</v>
      </c>
      <c r="C21" s="89" t="str">
        <f>IF((SrcKA!AI15&lt;&gt;""), SrcKA!AI15,"")</f>
        <v>Напольное покрытие кварцвинил</v>
      </c>
      <c r="D21" s="89" t="str">
        <f>IF((SrcKA!E15&lt;&gt;""), SrcKA!E15,"")</f>
        <v>Кварцвинил SPC плитка КREAFORTA дуб</v>
      </c>
      <c r="E21" s="101" t="str">
        <f>IF((SrcKA!AH15&lt;&gt;""), SrcKA!AH15,"")</f>
        <v>м2</v>
      </c>
      <c r="F21" s="101" t="str">
        <f>IF((SrcKA!G15&lt;&gt;""), SrcKA!G15,"")</f>
        <v>м2</v>
      </c>
      <c r="G21" s="102">
        <f>IF((SrcKA!I15&lt;&gt;""), SrcKA!I15,"")</f>
        <v>2780</v>
      </c>
      <c r="H21" s="102">
        <f>IF((SrcKA!H15&lt;&gt;""), SrcKA!H15,"")</f>
        <v>2278.69</v>
      </c>
      <c r="I21" s="102">
        <f>IF((SrcKA!AC15&lt;&gt;""), SrcKA!AC15,"")</f>
        <v>2278.69</v>
      </c>
      <c r="J21" s="102">
        <f>IF((SrcKA!AA15&lt;&gt;""), SrcKA!AA15,"")</f>
        <v>0</v>
      </c>
      <c r="K21" s="102">
        <f>IF((SrcKA!J15&lt;&gt;""), SrcKA!J15,"")</f>
        <v>0</v>
      </c>
      <c r="L21" s="102">
        <f>IF((SrcKA!U15&lt;&gt;""), SrcKA!U15,"")</f>
        <v>0</v>
      </c>
      <c r="M21" s="102">
        <f>IF((SrcKA!V15&lt;&gt;""), SrcKA!V15,"")</f>
        <v>0</v>
      </c>
      <c r="N21" s="89"/>
      <c r="O21" s="102"/>
      <c r="P21" s="102">
        <f>IF((SrcKA!AE15&lt;&gt;""), SrcKA!AE15,"")</f>
        <v>0</v>
      </c>
      <c r="Q21" s="102">
        <f>IF((SrcKA!K15&lt;&gt;""), SrcKA!K15,"")</f>
        <v>2278.69</v>
      </c>
      <c r="R21" s="101">
        <v>2026</v>
      </c>
      <c r="S21" s="101" t="s">
        <v>579</v>
      </c>
      <c r="T21" s="89" t="str">
        <f>IF((SrcKA!O15&lt;&gt;""), SrcKA!O15,"")</f>
        <v>ООО "Центрстройпоставка"</v>
      </c>
      <c r="U21" s="89" t="str">
        <f>IF((SrcKA!Z15&lt;&gt;""), SrcKA!Z15,"")</f>
        <v>Россия</v>
      </c>
      <c r="V21" s="89" t="str">
        <f>IF((SrcKA!R15&lt;&gt;""), SrcKA!R15,"")</f>
        <v>772901001</v>
      </c>
      <c r="W21" s="89" t="str">
        <f>IF((SrcKA!Q15&lt;&gt;""), SrcKA!Q15,"")</f>
        <v>9729288231</v>
      </c>
      <c r="X21" s="89" t="str">
        <f>IF((SrcKA!S15&lt;&gt;""), SrcKA!S15,"")</f>
        <v/>
      </c>
      <c r="Y21" s="89" t="str">
        <f>IF((SrcKA!P15&lt;&gt;""), SrcKA!P15,"")</f>
        <v>г Москва</v>
      </c>
      <c r="Z21" s="101">
        <f>IF((SrcKA!N15&lt;&gt;""), SrcKA!N15,"")</f>
        <v>2</v>
      </c>
    </row>
    <row r="22" spans="1:26" ht="45" x14ac:dyDescent="0.2">
      <c r="A22" s="103" t="s">
        <v>368</v>
      </c>
      <c r="B22" s="104" t="str">
        <f>SrcKA!D16</f>
        <v>ТЦ_59.00.00.00_50_5009056896_16.04.2026_01_1.2</v>
      </c>
      <c r="C22" s="104" t="str">
        <f>IF((SrcKA!AI16&lt;&gt;""), SrcKA!AI16,"")</f>
        <v>Напольное покрытие кварцвинил</v>
      </c>
      <c r="D22" s="104" t="str">
        <f>IF((SrcKA!E16&lt;&gt;""), SrcKA!E16,"")</f>
        <v>Кварцвинил SPC плитка КREAFORTA дуб Тукса</v>
      </c>
      <c r="E22" s="105" t="str">
        <f>IF((SrcKA!AH16&lt;&gt;""), SrcKA!AH16,"")</f>
        <v>м2</v>
      </c>
      <c r="F22" s="105" t="str">
        <f>IF((SrcKA!G16&lt;&gt;""), SrcKA!G16,"")</f>
        <v>м2</v>
      </c>
      <c r="G22" s="106">
        <f>IF((SrcKA!I16&lt;&gt;""), SrcKA!I16,"")</f>
        <v>2700</v>
      </c>
      <c r="H22" s="106">
        <f>IF((SrcKA!H16&lt;&gt;""), SrcKA!H16,"")</f>
        <v>2213.11</v>
      </c>
      <c r="I22" s="106">
        <f>IF((SrcKA!AC16&lt;&gt;""), SrcKA!AC16,"")</f>
        <v>2213.11</v>
      </c>
      <c r="J22" s="106">
        <f>IF((SrcKA!AA16&lt;&gt;""), SrcKA!AA16,"")</f>
        <v>0</v>
      </c>
      <c r="K22" s="106">
        <f>IF((SrcKA!J16&lt;&gt;""), SrcKA!J16,"")</f>
        <v>0</v>
      </c>
      <c r="L22" s="106">
        <f>IF((SrcKA!U16&lt;&gt;""), SrcKA!U16,"")</f>
        <v>0</v>
      </c>
      <c r="M22" s="106">
        <f>IF((SrcKA!V16&lt;&gt;""), SrcKA!V16,"")</f>
        <v>0</v>
      </c>
      <c r="N22" s="104"/>
      <c r="O22" s="106"/>
      <c r="P22" s="106">
        <f>IF((SrcKA!AE16&lt;&gt;""), SrcKA!AE16,"")</f>
        <v>0</v>
      </c>
      <c r="Q22" s="106">
        <f>IF((SrcKA!K16&lt;&gt;""), SrcKA!K16,"")</f>
        <v>2213.11</v>
      </c>
      <c r="R22" s="105">
        <v>2026</v>
      </c>
      <c r="S22" s="105" t="s">
        <v>579</v>
      </c>
      <c r="T22" s="104" t="str">
        <f>IF((SrcKA!O16&lt;&gt;""), SrcKA!O16,"")</f>
        <v>ООО"Стройпоставка"</v>
      </c>
      <c r="U22" s="104" t="str">
        <f>IF((SrcKA!Z16&lt;&gt;""), SrcKA!Z16,"")</f>
        <v>Россия</v>
      </c>
      <c r="V22" s="104" t="str">
        <f>IF((SrcKA!R16&lt;&gt;""), SrcKA!R16,"")</f>
        <v>500901001</v>
      </c>
      <c r="W22" s="104" t="str">
        <f>IF((SrcKA!Q16&lt;&gt;""), SrcKA!Q16,"")</f>
        <v>5009056896</v>
      </c>
      <c r="X22" s="104" t="str">
        <f>IF((SrcKA!S16&lt;&gt;""), SrcKA!S16,"")</f>
        <v/>
      </c>
      <c r="Y22" s="104" t="str">
        <f>IF((SrcKA!P16&lt;&gt;""), SrcKA!P16,"")</f>
        <v>МО г. Домодедово</v>
      </c>
      <c r="Z22" s="105">
        <f>IF((SrcKA!N16&lt;&gt;""), SrcKA!N16,"")</f>
        <v>2</v>
      </c>
    </row>
    <row r="23" spans="1:26" ht="42.75" x14ac:dyDescent="0.2">
      <c r="A23" s="100" t="s">
        <v>375</v>
      </c>
      <c r="B23" s="89" t="str">
        <f>SrcKA!D17</f>
        <v>ТЦ_59.00.00.00_77_9717052425_10.04.2026_01_1.3</v>
      </c>
      <c r="C23" s="89" t="str">
        <f>IF((SrcKA!AI17&lt;&gt;""), SrcKA!AI17,"")</f>
        <v>Напольное покрытие кварцвинил</v>
      </c>
      <c r="D23" s="89" t="str">
        <f>IF((SrcKA!E17&lt;&gt;""), SrcKA!E17,"")</f>
        <v>Кварцвинил SPC плитка КREAFORTA дуб Тукса</v>
      </c>
      <c r="E23" s="101" t="str">
        <f>IF((SrcKA!AH17&lt;&gt;""), SrcKA!AH17,"")</f>
        <v>м2</v>
      </c>
      <c r="F23" s="101" t="str">
        <f>IF((SrcKA!G17&lt;&gt;""), SrcKA!G17,"")</f>
        <v>м2</v>
      </c>
      <c r="G23" s="102">
        <f>IF((SrcKA!I17&lt;&gt;""), SrcKA!I17,"")</f>
        <v>2750</v>
      </c>
      <c r="H23" s="102">
        <f>IF((SrcKA!H17&lt;&gt;""), SrcKA!H17,"")</f>
        <v>2254.1</v>
      </c>
      <c r="I23" s="102">
        <f>IF((SrcKA!AC17&lt;&gt;""), SrcKA!AC17,"")</f>
        <v>2254.1</v>
      </c>
      <c r="J23" s="102">
        <f>IF((SrcKA!AA17&lt;&gt;""), SrcKA!AA17,"")</f>
        <v>0</v>
      </c>
      <c r="K23" s="102">
        <f>IF((SrcKA!J17&lt;&gt;""), SrcKA!J17,"")</f>
        <v>0</v>
      </c>
      <c r="L23" s="102">
        <f>IF((SrcKA!U17&lt;&gt;""), SrcKA!U17,"")</f>
        <v>0</v>
      </c>
      <c r="M23" s="102">
        <f>IF((SrcKA!V17&lt;&gt;""), SrcKA!V17,"")</f>
        <v>0</v>
      </c>
      <c r="N23" s="89"/>
      <c r="O23" s="102"/>
      <c r="P23" s="102">
        <f>IF((SrcKA!AE17&lt;&gt;""), SrcKA!AE17,"")</f>
        <v>0</v>
      </c>
      <c r="Q23" s="102">
        <f>IF((SrcKA!K17&lt;&gt;""), SrcKA!K17,"")</f>
        <v>2254.1</v>
      </c>
      <c r="R23" s="101">
        <v>2026</v>
      </c>
      <c r="S23" s="101" t="s">
        <v>579</v>
      </c>
      <c r="T23" s="89" t="str">
        <f>IF((SrcKA!O17&lt;&gt;""), SrcKA!O17,"")</f>
        <v>ООО "Сатурн Центр"</v>
      </c>
      <c r="U23" s="89" t="str">
        <f>IF((SrcKA!Z17&lt;&gt;""), SrcKA!Z17,"")</f>
        <v>Россия</v>
      </c>
      <c r="V23" s="89" t="str">
        <f>IF((SrcKA!R17&lt;&gt;""), SrcKA!R17,"")</f>
        <v>771501001</v>
      </c>
      <c r="W23" s="89" t="str">
        <f>IF((SrcKA!Q17&lt;&gt;""), SrcKA!Q17,"")</f>
        <v>9717052425</v>
      </c>
      <c r="X23" s="89" t="str">
        <f>IF((SrcKA!S17&lt;&gt;""), SrcKA!S17,"")</f>
        <v/>
      </c>
      <c r="Y23" s="89" t="str">
        <f>IF((SrcKA!P17&lt;&gt;""), SrcKA!P17,"")</f>
        <v>г. Москва</v>
      </c>
      <c r="Z23" s="101">
        <f>IF((SrcKA!N17&lt;&gt;""), SrcKA!N17,"")</f>
        <v>2</v>
      </c>
    </row>
    <row r="24" spans="1:26" ht="42.75" x14ac:dyDescent="0.2">
      <c r="A24" s="100" t="s">
        <v>381</v>
      </c>
      <c r="B24" s="89" t="str">
        <f>SrcKA!D18</f>
        <v>ТЦ_11.00.00.00_77_9729288231_09.04.2026_01_2.1</v>
      </c>
      <c r="C24" s="89" t="str">
        <f>IF((SrcKA!AI18&lt;&gt;""), SrcKA!AI18,"")</f>
        <v>Плинтус Европласт</v>
      </c>
      <c r="D24" s="89" t="str">
        <f>IF((SrcKA!E18&lt;&gt;""), SrcKA!E18,"")</f>
        <v>Плинтус Европласт 1.51.108</v>
      </c>
      <c r="E24" s="101" t="str">
        <f>IF((SrcKA!AH18&lt;&gt;""), SrcKA!AH18,"")</f>
        <v>м</v>
      </c>
      <c r="F24" s="101" t="str">
        <f>IF((SrcKA!G18&lt;&gt;""), SrcKA!G18,"")</f>
        <v>м</v>
      </c>
      <c r="G24" s="102">
        <f>IF((SrcKA!I18&lt;&gt;""), SrcKA!I18,"")</f>
        <v>1390</v>
      </c>
      <c r="H24" s="102">
        <f>IF((SrcKA!H18&lt;&gt;""), SrcKA!H18,"")</f>
        <v>1139.3399999999999</v>
      </c>
      <c r="I24" s="102">
        <f>IF((SrcKA!AC18&lt;&gt;""), SrcKA!AC18,"")</f>
        <v>1139.3399999999999</v>
      </c>
      <c r="J24" s="102">
        <f>IF((SrcKA!AA18&lt;&gt;""), SrcKA!AA18,"")</f>
        <v>0</v>
      </c>
      <c r="K24" s="102">
        <f>IF((SrcKA!J18&lt;&gt;""), SrcKA!J18,"")</f>
        <v>0</v>
      </c>
      <c r="L24" s="102">
        <f>IF((SrcKA!U18&lt;&gt;""), SrcKA!U18,"")</f>
        <v>0</v>
      </c>
      <c r="M24" s="102">
        <f>IF((SrcKA!V18&lt;&gt;""), SrcKA!V18,"")</f>
        <v>0</v>
      </c>
      <c r="N24" s="89"/>
      <c r="O24" s="102"/>
      <c r="P24" s="102">
        <f>IF((SrcKA!AE18&lt;&gt;""), SrcKA!AE18,"")</f>
        <v>0</v>
      </c>
      <c r="Q24" s="102">
        <f>IF((SrcKA!K18&lt;&gt;""), SrcKA!K18,"")</f>
        <v>1139.3399999999999</v>
      </c>
      <c r="R24" s="101">
        <v>2026</v>
      </c>
      <c r="S24" s="101" t="s">
        <v>579</v>
      </c>
      <c r="T24" s="89" t="str">
        <f>IF((SrcKA!O18&lt;&gt;""), SrcKA!O18,"")</f>
        <v>ООО "Центрстройпоставка"</v>
      </c>
      <c r="U24" s="89" t="str">
        <f>IF((SrcKA!Z18&lt;&gt;""), SrcKA!Z18,"")</f>
        <v>Россия</v>
      </c>
      <c r="V24" s="89" t="str">
        <f>IF((SrcKA!R18&lt;&gt;""), SrcKA!R18,"")</f>
        <v>772901001</v>
      </c>
      <c r="W24" s="89" t="str">
        <f>IF((SrcKA!Q18&lt;&gt;""), SrcKA!Q18,"")</f>
        <v>9729288231</v>
      </c>
      <c r="X24" s="89" t="str">
        <f>IF((SrcKA!S18&lt;&gt;""), SrcKA!S18,"")</f>
        <v/>
      </c>
      <c r="Y24" s="89" t="str">
        <f>IF((SrcKA!P18&lt;&gt;""), SrcKA!P18,"")</f>
        <v>г Москва</v>
      </c>
      <c r="Z24" s="101">
        <f>IF((SrcKA!N18&lt;&gt;""), SrcKA!N18,"")</f>
        <v>2</v>
      </c>
    </row>
    <row r="25" spans="1:26" ht="45" x14ac:dyDescent="0.2">
      <c r="A25" s="103" t="s">
        <v>385</v>
      </c>
      <c r="B25" s="104" t="str">
        <f>SrcKA!D19</f>
        <v>ТЦ_11.00.00.00_77_7707609512_03.03.2026_01_2.2</v>
      </c>
      <c r="C25" s="104" t="str">
        <f>IF((SrcKA!AI19&lt;&gt;""), SrcKA!AI19,"")</f>
        <v>Плинтус Европласт</v>
      </c>
      <c r="D25" s="104" t="str">
        <f>IF((SrcKA!E19&lt;&gt;""), SrcKA!E19,"")</f>
        <v>Плинтус Европласт 1.51.108</v>
      </c>
      <c r="E25" s="105" t="str">
        <f>IF((SrcKA!AH19&lt;&gt;""), SrcKA!AH19,"")</f>
        <v>м</v>
      </c>
      <c r="F25" s="105" t="str">
        <f>IF((SrcKA!G19&lt;&gt;""), SrcKA!G19,"")</f>
        <v>м</v>
      </c>
      <c r="G25" s="106">
        <f>IF((SrcKA!I19&lt;&gt;""), SrcKA!I19,"")</f>
        <v>1350</v>
      </c>
      <c r="H25" s="106">
        <f>IF((SrcKA!H19&lt;&gt;""), SrcKA!H19,"")</f>
        <v>1106.56</v>
      </c>
      <c r="I25" s="106">
        <f>IF((SrcKA!AC19&lt;&gt;""), SrcKA!AC19,"")</f>
        <v>1106.56</v>
      </c>
      <c r="J25" s="106">
        <f>IF((SrcKA!AA19&lt;&gt;""), SrcKA!AA19,"")</f>
        <v>0</v>
      </c>
      <c r="K25" s="106">
        <f>IF((SrcKA!J19&lt;&gt;""), SrcKA!J19,"")</f>
        <v>0</v>
      </c>
      <c r="L25" s="106">
        <f>IF((SrcKA!U19&lt;&gt;""), SrcKA!U19,"")</f>
        <v>0</v>
      </c>
      <c r="M25" s="106">
        <f>IF((SrcKA!V19&lt;&gt;""), SrcKA!V19,"")</f>
        <v>0</v>
      </c>
      <c r="N25" s="104"/>
      <c r="O25" s="106"/>
      <c r="P25" s="106">
        <f>IF((SrcKA!AE19&lt;&gt;""), SrcKA!AE19,"")</f>
        <v>0</v>
      </c>
      <c r="Q25" s="106">
        <f>IF((SrcKA!K19&lt;&gt;""), SrcKA!K19,"")</f>
        <v>1106.56</v>
      </c>
      <c r="R25" s="105">
        <v>2026</v>
      </c>
      <c r="S25" s="105" t="s">
        <v>580</v>
      </c>
      <c r="T25" s="104" t="str">
        <f>IF((SrcKA!O19&lt;&gt;""), SrcKA!O19,"")</f>
        <v>ООО "Декор"</v>
      </c>
      <c r="U25" s="104" t="str">
        <f>IF((SrcKA!Z19&lt;&gt;""), SrcKA!Z19,"")</f>
        <v>Россия</v>
      </c>
      <c r="V25" s="104" t="str">
        <f>IF((SrcKA!R19&lt;&gt;""), SrcKA!R19,"")</f>
        <v>504801001</v>
      </c>
      <c r="W25" s="104" t="str">
        <f>IF((SrcKA!Q19&lt;&gt;""), SrcKA!Q19,"")</f>
        <v>7707609512</v>
      </c>
      <c r="X25" s="104" t="str">
        <f>IF((SrcKA!S19&lt;&gt;""), SrcKA!S19,"")</f>
        <v/>
      </c>
      <c r="Y25" s="104" t="str">
        <f>IF((SrcKA!P19&lt;&gt;""), SrcKA!P19,"")</f>
        <v>МО г. Чехов</v>
      </c>
      <c r="Z25" s="105">
        <f>IF((SrcKA!N19&lt;&gt;""), SrcKA!N19,"")</f>
        <v>2</v>
      </c>
    </row>
    <row r="26" spans="1:26" ht="42.75" x14ac:dyDescent="0.2">
      <c r="A26" s="100" t="s">
        <v>390</v>
      </c>
      <c r="B26" s="89" t="str">
        <f>SrcKA!D20</f>
        <v>ТЦ_11.00.00.00_78_7802348846_16.04.2026_01_2.3</v>
      </c>
      <c r="C26" s="89" t="str">
        <f>IF((SrcKA!AI20&lt;&gt;""), SrcKA!AI20,"")</f>
        <v>Плинтус Европласт</v>
      </c>
      <c r="D26" s="89" t="str">
        <f>IF((SrcKA!E20&lt;&gt;""), SrcKA!E20,"")</f>
        <v>Плинтус Европласт 1.51.108</v>
      </c>
      <c r="E26" s="101" t="str">
        <f>IF((SrcKA!AH20&lt;&gt;""), SrcKA!AH20,"")</f>
        <v>м</v>
      </c>
      <c r="F26" s="101" t="str">
        <f>IF((SrcKA!G20&lt;&gt;""), SrcKA!G20,"")</f>
        <v>м</v>
      </c>
      <c r="G26" s="102">
        <f>IF((SrcKA!I20&lt;&gt;""), SrcKA!I20,"")</f>
        <v>1400</v>
      </c>
      <c r="H26" s="102">
        <f>IF((SrcKA!H20&lt;&gt;""), SrcKA!H20,"")</f>
        <v>1147.54</v>
      </c>
      <c r="I26" s="102">
        <f>IF((SrcKA!AC20&lt;&gt;""), SrcKA!AC20,"")</f>
        <v>1147.54</v>
      </c>
      <c r="J26" s="102">
        <f>IF((SrcKA!AA20&lt;&gt;""), SrcKA!AA20,"")</f>
        <v>0</v>
      </c>
      <c r="K26" s="102">
        <f>IF((SrcKA!J20&lt;&gt;""), SrcKA!J20,"")</f>
        <v>0</v>
      </c>
      <c r="L26" s="102">
        <f>IF((SrcKA!U20&lt;&gt;""), SrcKA!U20,"")</f>
        <v>0</v>
      </c>
      <c r="M26" s="102">
        <f>IF((SrcKA!V20&lt;&gt;""), SrcKA!V20,"")</f>
        <v>0</v>
      </c>
      <c r="N26" s="89"/>
      <c r="O26" s="102"/>
      <c r="P26" s="102">
        <f>IF((SrcKA!AE20&lt;&gt;""), SrcKA!AE20,"")</f>
        <v>0</v>
      </c>
      <c r="Q26" s="102">
        <f>IF((SrcKA!K20&lt;&gt;""), SrcKA!K20,"")</f>
        <v>1147.54</v>
      </c>
      <c r="R26" s="101">
        <v>2026</v>
      </c>
      <c r="S26" s="101" t="s">
        <v>579</v>
      </c>
      <c r="T26" s="89" t="str">
        <f>IF((SrcKA!O20&lt;&gt;""), SrcKA!O20,"")</f>
        <v>ООО "ТД Петрович"</v>
      </c>
      <c r="U26" s="89" t="str">
        <f>IF((SrcKA!Z20&lt;&gt;""), SrcKA!Z20,"")</f>
        <v>Россия</v>
      </c>
      <c r="V26" s="89" t="str">
        <f>IF((SrcKA!R20&lt;&gt;""), SrcKA!R20,"")</f>
        <v>781601001</v>
      </c>
      <c r="W26" s="89" t="str">
        <f>IF((SrcKA!Q20&lt;&gt;""), SrcKA!Q20,"")</f>
        <v>7802348846</v>
      </c>
      <c r="X26" s="89" t="str">
        <f>IF((SrcKA!S20&lt;&gt;""), SrcKA!S20,"")</f>
        <v/>
      </c>
      <c r="Y26" s="89" t="str">
        <f>IF((SrcKA!P20&lt;&gt;""), SrcKA!P20,"")</f>
        <v>МО  д. Грибки</v>
      </c>
      <c r="Z26" s="101">
        <f>IF((SrcKA!N20&lt;&gt;""), SrcKA!N20,"")</f>
        <v>2</v>
      </c>
    </row>
    <row r="29" spans="1:26" ht="14.25" customHeight="1" x14ac:dyDescent="0.2">
      <c r="A29" s="20"/>
      <c r="B29" s="20"/>
      <c r="C29" s="20"/>
      <c r="D29" s="107" t="s">
        <v>541</v>
      </c>
      <c r="E29" s="38"/>
      <c r="F29" s="38"/>
      <c r="G29" s="38"/>
      <c r="H29" s="38"/>
      <c r="I29" s="38"/>
      <c r="J29" s="38"/>
      <c r="K29" s="38"/>
      <c r="L29" s="38"/>
      <c r="M29" s="38"/>
      <c r="N29" s="17"/>
      <c r="O29" s="17"/>
      <c r="P29" s="17"/>
      <c r="Q29" s="18"/>
      <c r="R29" s="18"/>
      <c r="S29" s="18"/>
      <c r="T29" s="18"/>
      <c r="U29" s="18"/>
      <c r="V29" s="20"/>
      <c r="W29" s="20"/>
      <c r="X29" s="20"/>
      <c r="Y29" s="20"/>
      <c r="Z29" s="20"/>
    </row>
    <row r="30" spans="1:26" ht="14.25" customHeight="1" x14ac:dyDescent="0.2">
      <c r="A30" s="20"/>
      <c r="B30" s="20"/>
      <c r="C30" s="17"/>
      <c r="D30" s="17"/>
      <c r="E30" s="168" t="s">
        <v>542</v>
      </c>
      <c r="F30" s="168"/>
      <c r="G30" s="168"/>
      <c r="H30" s="168"/>
      <c r="I30" s="168"/>
      <c r="J30" s="168"/>
      <c r="K30" s="168"/>
      <c r="L30" s="168"/>
      <c r="M30" s="168"/>
      <c r="N30" s="108"/>
      <c r="O30" s="108"/>
      <c r="P30" s="108"/>
      <c r="Q30" s="17"/>
      <c r="R30" s="17"/>
      <c r="S30" s="17"/>
      <c r="T30" s="17"/>
      <c r="U30" s="17"/>
      <c r="V30" s="20"/>
      <c r="W30" s="20"/>
      <c r="X30" s="20"/>
      <c r="Y30" s="20"/>
      <c r="Z30" s="20"/>
    </row>
    <row r="31" spans="1:26" ht="14.25" customHeight="1" x14ac:dyDescent="0.2">
      <c r="A31" s="20"/>
      <c r="B31" s="20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20"/>
      <c r="W31" s="20"/>
      <c r="X31" s="20"/>
      <c r="Y31" s="20"/>
      <c r="Z31" s="20"/>
    </row>
    <row r="32" spans="1:26" ht="14.25" customHeight="1" x14ac:dyDescent="0.2">
      <c r="A32" s="20"/>
      <c r="B32" s="20"/>
      <c r="C32" s="109"/>
      <c r="D32" s="107" t="s">
        <v>543</v>
      </c>
      <c r="E32" s="38"/>
      <c r="F32" s="38"/>
      <c r="G32" s="38"/>
      <c r="H32" s="38"/>
      <c r="I32" s="38"/>
      <c r="J32" s="38"/>
      <c r="K32" s="38"/>
      <c r="L32" s="38"/>
      <c r="M32" s="38"/>
      <c r="N32" s="17"/>
      <c r="O32" s="17"/>
      <c r="P32" s="17"/>
      <c r="Q32" s="18"/>
      <c r="R32" s="18"/>
      <c r="S32" s="18"/>
      <c r="T32" s="18"/>
      <c r="U32" s="18"/>
      <c r="V32" s="20"/>
      <c r="W32" s="20"/>
      <c r="X32" s="20"/>
      <c r="Y32" s="20"/>
      <c r="Z32" s="20"/>
    </row>
    <row r="33" spans="1:26" ht="14.25" customHeight="1" x14ac:dyDescent="0.2">
      <c r="A33" s="20"/>
      <c r="B33" s="20"/>
      <c r="C33" s="17"/>
      <c r="D33" s="17"/>
      <c r="E33" s="168" t="s">
        <v>542</v>
      </c>
      <c r="F33" s="168"/>
      <c r="G33" s="168"/>
      <c r="H33" s="168"/>
      <c r="I33" s="168"/>
      <c r="J33" s="168"/>
      <c r="K33" s="168"/>
      <c r="L33" s="168"/>
      <c r="M33" s="168"/>
      <c r="N33" s="108"/>
      <c r="O33" s="108"/>
      <c r="P33" s="108"/>
      <c r="Q33" s="17"/>
      <c r="R33" s="17"/>
      <c r="S33" s="17"/>
      <c r="T33" s="17"/>
      <c r="U33" s="17"/>
      <c r="V33" s="20"/>
      <c r="W33" s="20"/>
      <c r="X33" s="20"/>
      <c r="Y33" s="20"/>
      <c r="Z33" s="20"/>
    </row>
    <row r="34" spans="1:26" ht="12.7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8.5" customHeight="1" x14ac:dyDescent="0.2">
      <c r="A35" s="20"/>
      <c r="B35" s="20"/>
      <c r="C35" s="20"/>
      <c r="D35" s="110" t="s">
        <v>581</v>
      </c>
      <c r="E35" s="38"/>
      <c r="F35" s="38"/>
      <c r="G35" s="38"/>
      <c r="H35" s="38"/>
      <c r="I35" s="38"/>
      <c r="J35" s="38"/>
      <c r="K35" s="38"/>
      <c r="L35" s="38"/>
      <c r="M35" s="38"/>
      <c r="N35" s="17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4.25" customHeight="1" x14ac:dyDescent="0.2">
      <c r="A36" s="20"/>
      <c r="B36" s="20"/>
      <c r="C36" s="20"/>
      <c r="D36" s="17"/>
      <c r="E36" s="168" t="s">
        <v>542</v>
      </c>
      <c r="F36" s="168"/>
      <c r="G36" s="168"/>
      <c r="H36" s="168"/>
      <c r="I36" s="168"/>
      <c r="J36" s="168"/>
      <c r="K36" s="168"/>
      <c r="L36" s="168"/>
      <c r="M36" s="168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</sheetData>
  <mergeCells count="36">
    <mergeCell ref="E30:M30"/>
    <mergeCell ref="E33:M33"/>
    <mergeCell ref="E36:M36"/>
    <mergeCell ref="X8:X18"/>
    <mergeCell ref="Y8:Y18"/>
    <mergeCell ref="J14:J18"/>
    <mergeCell ref="K14:K18"/>
    <mergeCell ref="L14:L18"/>
    <mergeCell ref="M14:M18"/>
    <mergeCell ref="N14:N18"/>
    <mergeCell ref="O14:O18"/>
    <mergeCell ref="P14:P18"/>
    <mergeCell ref="R8:R18"/>
    <mergeCell ref="S8:S18"/>
    <mergeCell ref="J8:K13"/>
    <mergeCell ref="L8:M13"/>
    <mergeCell ref="A20:Z20"/>
    <mergeCell ref="Z8:Z18"/>
    <mergeCell ref="A2:Z2"/>
    <mergeCell ref="A4:Z4"/>
    <mergeCell ref="A5:Z5"/>
    <mergeCell ref="A8:A18"/>
    <mergeCell ref="B8:B18"/>
    <mergeCell ref="C8:C18"/>
    <mergeCell ref="D8:D18"/>
    <mergeCell ref="E8:E18"/>
    <mergeCell ref="F8:F18"/>
    <mergeCell ref="G8:G18"/>
    <mergeCell ref="T8:T18"/>
    <mergeCell ref="U8:U18"/>
    <mergeCell ref="V8:V18"/>
    <mergeCell ref="W8:W18"/>
    <mergeCell ref="H8:H18"/>
    <mergeCell ref="I8:I18"/>
    <mergeCell ref="N8:P13"/>
    <mergeCell ref="Q8:Q18"/>
  </mergeCells>
  <pageMargins left="0.4" right="0.2" top="0.2" bottom="0.4" header="0.2" footer="0.2"/>
  <pageSetup paperSize="9" scale="32" fitToHeight="0" orientation="landscape" r:id="rId1"/>
  <headerFooter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4"/>
  <sheetViews>
    <sheetView workbookViewId="0">
      <selection activeCell="A320" sqref="A320:AX320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318</v>
      </c>
      <c r="C12" s="1">
        <v>0</v>
      </c>
      <c r="D12" s="1">
        <f>ROW(A258)</f>
        <v>258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46161</v>
      </c>
      <c r="CT12" s="1">
        <v>567</v>
      </c>
      <c r="CU12" s="1">
        <v>18</v>
      </c>
      <c r="CV12" s="1" t="s">
        <v>397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B258</f>
        <v>318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объект_(Копия)</v>
      </c>
      <c r="G18" s="3" t="str">
        <f t="shared" si="0"/>
        <v>Ремонт в пом 500 , 308,  1холл до 600тр</v>
      </c>
      <c r="H18" s="3"/>
      <c r="I18" s="3"/>
      <c r="J18" s="3"/>
      <c r="K18" s="3"/>
      <c r="L18" s="3"/>
      <c r="M18" s="3"/>
      <c r="N18" s="3"/>
      <c r="O18" s="3">
        <f t="shared" ref="O18:AT18" si="1">O258</f>
        <v>272929.24</v>
      </c>
      <c r="P18" s="3">
        <f t="shared" si="1"/>
        <v>126967.12</v>
      </c>
      <c r="Q18" s="3">
        <f t="shared" si="1"/>
        <v>1027.31</v>
      </c>
      <c r="R18" s="3">
        <f t="shared" si="1"/>
        <v>1548.22</v>
      </c>
      <c r="S18" s="3">
        <f t="shared" si="1"/>
        <v>143386.59</v>
      </c>
      <c r="T18" s="3">
        <f t="shared" si="1"/>
        <v>0</v>
      </c>
      <c r="U18" s="3">
        <f t="shared" si="1"/>
        <v>212.83942999999999</v>
      </c>
      <c r="V18" s="3">
        <f t="shared" si="1"/>
        <v>2.1574375000000003</v>
      </c>
      <c r="W18" s="3">
        <f t="shared" si="1"/>
        <v>0</v>
      </c>
      <c r="X18" s="3">
        <f t="shared" si="1"/>
        <v>130932.32</v>
      </c>
      <c r="Y18" s="3">
        <f t="shared" si="1"/>
        <v>61331.66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465601.56</v>
      </c>
      <c r="AS18" s="3">
        <f t="shared" si="1"/>
        <v>450656.02</v>
      </c>
      <c r="AT18" s="3">
        <f t="shared" si="1"/>
        <v>14945.54</v>
      </c>
      <c r="AU18" s="3">
        <f t="shared" ref="AU18:BZ18" si="2">AU258</f>
        <v>0</v>
      </c>
      <c r="AV18" s="3">
        <f t="shared" si="2"/>
        <v>126967.12</v>
      </c>
      <c r="AW18" s="3">
        <f t="shared" si="2"/>
        <v>126967.12</v>
      </c>
      <c r="AX18" s="3">
        <f t="shared" si="2"/>
        <v>0</v>
      </c>
      <c r="AY18" s="3">
        <f t="shared" si="2"/>
        <v>126967.12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408.34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CA258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DG258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EM258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FS258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ROW(A225)</f>
        <v>225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B225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O225</f>
        <v>272929.24</v>
      </c>
      <c r="P22" s="3">
        <f t="shared" si="8"/>
        <v>126967.12</v>
      </c>
      <c r="Q22" s="3">
        <f t="shared" si="8"/>
        <v>1027.31</v>
      </c>
      <c r="R22" s="3">
        <f t="shared" si="8"/>
        <v>1548.22</v>
      </c>
      <c r="S22" s="3">
        <f t="shared" si="8"/>
        <v>143386.59</v>
      </c>
      <c r="T22" s="3">
        <f t="shared" si="8"/>
        <v>0</v>
      </c>
      <c r="U22" s="3">
        <f t="shared" si="8"/>
        <v>212.83942999999999</v>
      </c>
      <c r="V22" s="3">
        <f t="shared" si="8"/>
        <v>2.1574375000000003</v>
      </c>
      <c r="W22" s="3">
        <f t="shared" si="8"/>
        <v>0</v>
      </c>
      <c r="X22" s="3">
        <f t="shared" si="8"/>
        <v>130932.32</v>
      </c>
      <c r="Y22" s="3">
        <f t="shared" si="8"/>
        <v>61331.66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465601.56</v>
      </c>
      <c r="AS22" s="3">
        <f t="shared" si="8"/>
        <v>450656.02</v>
      </c>
      <c r="AT22" s="3">
        <f t="shared" si="8"/>
        <v>14945.54</v>
      </c>
      <c r="AU22" s="3">
        <f t="shared" ref="AU22:BZ22" si="9">AU225</f>
        <v>0</v>
      </c>
      <c r="AV22" s="3">
        <f t="shared" si="9"/>
        <v>126967.12</v>
      </c>
      <c r="AW22" s="3">
        <f t="shared" si="9"/>
        <v>126967.12</v>
      </c>
      <c r="AX22" s="3">
        <f t="shared" si="9"/>
        <v>0</v>
      </c>
      <c r="AY22" s="3">
        <f t="shared" si="9"/>
        <v>126967.12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408.34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CA225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DG225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EM225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FS225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ROW(A32)</f>
        <v>32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B32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помещение 308</v>
      </c>
      <c r="H26" s="3"/>
      <c r="I26" s="3"/>
      <c r="J26" s="3"/>
      <c r="K26" s="3"/>
      <c r="L26" s="3"/>
      <c r="M26" s="3"/>
      <c r="N26" s="3"/>
      <c r="O26" s="3">
        <f t="shared" ref="O26:AT26" si="15">O32</f>
        <v>73473.11</v>
      </c>
      <c r="P26" s="3">
        <f t="shared" si="15"/>
        <v>17053.28</v>
      </c>
      <c r="Q26" s="3">
        <f t="shared" si="15"/>
        <v>151.86000000000001</v>
      </c>
      <c r="R26" s="3">
        <f t="shared" si="15"/>
        <v>219.9</v>
      </c>
      <c r="S26" s="3">
        <f t="shared" si="15"/>
        <v>56048.07</v>
      </c>
      <c r="T26" s="3">
        <f t="shared" si="15"/>
        <v>0</v>
      </c>
      <c r="U26" s="3">
        <f t="shared" si="15"/>
        <v>83.183295000000001</v>
      </c>
      <c r="V26" s="3">
        <f t="shared" si="15"/>
        <v>0.30387500000000001</v>
      </c>
      <c r="W26" s="3">
        <f t="shared" si="15"/>
        <v>0</v>
      </c>
      <c r="X26" s="3">
        <f t="shared" si="15"/>
        <v>50641.17</v>
      </c>
      <c r="Y26" s="3">
        <f t="shared" si="15"/>
        <v>23435.61</v>
      </c>
      <c r="Z26" s="3">
        <f t="shared" si="15"/>
        <v>0</v>
      </c>
      <c r="AA26" s="3">
        <f t="shared" si="15"/>
        <v>0</v>
      </c>
      <c r="AB26" s="3">
        <f t="shared" si="15"/>
        <v>73473.11</v>
      </c>
      <c r="AC26" s="3">
        <f t="shared" si="15"/>
        <v>17053.28</v>
      </c>
      <c r="AD26" s="3">
        <f t="shared" si="15"/>
        <v>151.86000000000001</v>
      </c>
      <c r="AE26" s="3">
        <f t="shared" si="15"/>
        <v>219.9</v>
      </c>
      <c r="AF26" s="3">
        <f t="shared" si="15"/>
        <v>56048.07</v>
      </c>
      <c r="AG26" s="3">
        <f t="shared" si="15"/>
        <v>0</v>
      </c>
      <c r="AH26" s="3">
        <f t="shared" si="15"/>
        <v>83.183295000000001</v>
      </c>
      <c r="AI26" s="3">
        <f t="shared" si="15"/>
        <v>0.30387500000000001</v>
      </c>
      <c r="AJ26" s="3">
        <f t="shared" si="15"/>
        <v>0</v>
      </c>
      <c r="AK26" s="3">
        <f t="shared" si="15"/>
        <v>50641.17</v>
      </c>
      <c r="AL26" s="3">
        <f t="shared" si="15"/>
        <v>23435.61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147549.89000000001</v>
      </c>
      <c r="AS26" s="3">
        <f t="shared" si="15"/>
        <v>147549.89000000001</v>
      </c>
      <c r="AT26" s="3">
        <f t="shared" si="15"/>
        <v>0</v>
      </c>
      <c r="AU26" s="3">
        <f t="shared" ref="AU26:BZ26" si="16">AU32</f>
        <v>0</v>
      </c>
      <c r="AV26" s="3">
        <f t="shared" si="16"/>
        <v>17053.28</v>
      </c>
      <c r="AW26" s="3">
        <f t="shared" si="16"/>
        <v>17053.28</v>
      </c>
      <c r="AX26" s="3">
        <f t="shared" si="16"/>
        <v>0</v>
      </c>
      <c r="AY26" s="3">
        <f t="shared" si="16"/>
        <v>17053.28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CA32</f>
        <v>147549.89000000001</v>
      </c>
      <c r="CB26" s="3">
        <f t="shared" si="17"/>
        <v>147549.89000000001</v>
      </c>
      <c r="CC26" s="3">
        <f t="shared" si="17"/>
        <v>0</v>
      </c>
      <c r="CD26" s="3">
        <f t="shared" si="17"/>
        <v>0</v>
      </c>
      <c r="CE26" s="3">
        <f t="shared" si="17"/>
        <v>17053.28</v>
      </c>
      <c r="CF26" s="3">
        <f t="shared" si="17"/>
        <v>17053.28</v>
      </c>
      <c r="CG26" s="3">
        <f t="shared" si="17"/>
        <v>0</v>
      </c>
      <c r="CH26" s="3">
        <f t="shared" si="17"/>
        <v>17053.28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DG32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EM32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FS32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ht="409.5" x14ac:dyDescent="0.2">
      <c r="A28" s="2">
        <v>17</v>
      </c>
      <c r="B28" s="2">
        <v>1</v>
      </c>
      <c r="C28" s="2">
        <f>ROW(SmtRes!A9)</f>
        <v>9</v>
      </c>
      <c r="D28" s="2">
        <f>ROW(EtalonRes!A9)</f>
        <v>9</v>
      </c>
      <c r="E28" s="2" t="s">
        <v>17</v>
      </c>
      <c r="F28" s="2" t="s">
        <v>18</v>
      </c>
      <c r="G28" s="2" t="s">
        <v>19</v>
      </c>
      <c r="H28" s="2" t="s">
        <v>20</v>
      </c>
      <c r="I28" s="2">
        <f>ROUND(221/100,7)</f>
        <v>2.21</v>
      </c>
      <c r="J28" s="2">
        <v>0</v>
      </c>
      <c r="K28" s="2">
        <f>ROUND(221/100,7)</f>
        <v>2.21</v>
      </c>
      <c r="L28" s="2"/>
      <c r="M28" s="2"/>
      <c r="N28" s="2"/>
      <c r="O28" s="2">
        <f>ROUND(CP28,2)</f>
        <v>58653.2</v>
      </c>
      <c r="P28" s="2">
        <f>SUMIF(SmtRes!AQ1:'SmtRes'!AQ9,"=1",SmtRes!DF1:'SmtRes'!DF9)</f>
        <v>2233.37</v>
      </c>
      <c r="Q28" s="2">
        <f>SUMIF(SmtRes!AQ1:'SmtRes'!AQ9,"=1",SmtRes!DG1:'SmtRes'!DG9)</f>
        <v>151.86000000000001</v>
      </c>
      <c r="R28" s="2">
        <f>SUMIF(SmtRes!AQ1:'SmtRes'!AQ9,"=1",SmtRes!DH1:'SmtRes'!DH9)</f>
        <v>219.9</v>
      </c>
      <c r="S28" s="2">
        <f>SUMIF(SmtRes!AQ1:'SmtRes'!AQ9,"=1",SmtRes!DI1:'SmtRes'!DI9)</f>
        <v>56048.07</v>
      </c>
      <c r="T28" s="2">
        <f>ROUND(CU28*I28,2)</f>
        <v>0</v>
      </c>
      <c r="U28" s="2">
        <f>SUMIF(SmtRes!AQ1:'SmtRes'!AQ9,"=1",SmtRes!CV1:'SmtRes'!CV9)</f>
        <v>83.183295000000001</v>
      </c>
      <c r="V28" s="2">
        <f>SUMIF(SmtRes!AQ1:'SmtRes'!AQ9,"=1",SmtRes!CW1:'SmtRes'!CW9)</f>
        <v>0.30387500000000001</v>
      </c>
      <c r="W28" s="2">
        <f>ROUND(CX28*I28,2)</f>
        <v>0</v>
      </c>
      <c r="X28" s="2">
        <f t="shared" ref="X28:Y30" si="21">ROUND(CY28,2)</f>
        <v>50641.17</v>
      </c>
      <c r="Y28" s="2">
        <f t="shared" si="21"/>
        <v>23435.61</v>
      </c>
      <c r="Z28" s="2"/>
      <c r="AA28" s="2">
        <v>94240533</v>
      </c>
      <c r="AB28" s="2">
        <f>ROUND((AC28+AD28+AF28),6)</f>
        <v>26157.37168</v>
      </c>
      <c r="AC28" s="2">
        <f>ROUND((SUM(SmtRes!BQ1:'SmtRes'!BQ9)),6)</f>
        <v>727.75535000000002</v>
      </c>
      <c r="AD28" s="2">
        <f>ROUND((((SUM(SmtRes!BR1:'SmtRes'!BR9))-(SUM(SmtRes!BS1:'SmtRes'!BS9)))+AE28),6)</f>
        <v>68.497624999999999</v>
      </c>
      <c r="AE28" s="2">
        <f>ROUND((SUM(SmtRes!BS1:'SmtRes'!BS9)),6)</f>
        <v>99.500500000000002</v>
      </c>
      <c r="AF28" s="2">
        <f>ROUND((SUM(SmtRes!BT1:'SmtRes'!BT9)),6)</f>
        <v>25361.118705000001</v>
      </c>
      <c r="AG28" s="2">
        <f>ROUND((AP28),6)</f>
        <v>0</v>
      </c>
      <c r="AH28" s="2">
        <f>(SUM(SmtRes!BU1:'SmtRes'!BU9))</f>
        <v>37.639499999999991</v>
      </c>
      <c r="AI28" s="2">
        <f>(SUM(SmtRes!BV1:'SmtRes'!BV9))</f>
        <v>0.13750000000000001</v>
      </c>
      <c r="AJ28" s="2">
        <f>(AS28)</f>
        <v>0</v>
      </c>
      <c r="AK28" s="2">
        <v>22915.300549999996</v>
      </c>
      <c r="AL28" s="2">
        <v>727.75535000000002</v>
      </c>
      <c r="AM28" s="2">
        <v>54.798099999999998</v>
      </c>
      <c r="AN28" s="2">
        <v>79.600400000000008</v>
      </c>
      <c r="AO28" s="2">
        <v>22053.146699999998</v>
      </c>
      <c r="AP28" s="2">
        <v>0</v>
      </c>
      <c r="AQ28" s="2">
        <v>32.729999999999997</v>
      </c>
      <c r="AR28" s="2">
        <v>0.11</v>
      </c>
      <c r="AS28" s="2">
        <v>0</v>
      </c>
      <c r="AT28" s="2">
        <v>90</v>
      </c>
      <c r="AU28" s="2">
        <v>41.65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21</v>
      </c>
      <c r="BK28" s="2"/>
      <c r="BL28" s="2"/>
      <c r="BM28" s="2">
        <v>15001</v>
      </c>
      <c r="BN28" s="2">
        <v>0</v>
      </c>
      <c r="BO28" s="2" t="s">
        <v>3</v>
      </c>
      <c r="BP28" s="2">
        <v>0</v>
      </c>
      <c r="BQ28" s="2">
        <v>2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100</v>
      </c>
      <c r="CA28" s="2">
        <v>49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7" t="s">
        <v>399</v>
      </c>
      <c r="CO28" s="2">
        <v>0</v>
      </c>
      <c r="CP28" s="2">
        <f>(P28+Q28+S28+R28)</f>
        <v>58653.200000000004</v>
      </c>
      <c r="CQ28" s="2">
        <f>SUMIF(SmtRes!AQ1:'SmtRes'!AQ9,"=1",SmtRes!AA1:'SmtRes'!AA9)</f>
        <v>76825.3</v>
      </c>
      <c r="CR28" s="2">
        <f>SUMIF(SmtRes!AQ1:'SmtRes'!AQ9,"=1",SmtRes!AB1:'SmtRes'!AB9)</f>
        <v>592.98</v>
      </c>
      <c r="CS28" s="2">
        <f>SUMIF(SmtRes!AQ1:'SmtRes'!AQ9,"=1",SmtRes!AC1:'SmtRes'!AC9)</f>
        <v>1380.3200000000002</v>
      </c>
      <c r="CT28" s="2">
        <f>SUMIF(SmtRes!AQ1:'SmtRes'!AQ9,"=1",SmtRes!AD1:'SmtRes'!AD9)</f>
        <v>673.79</v>
      </c>
      <c r="CU28" s="2">
        <f>AG28</f>
        <v>0</v>
      </c>
      <c r="CV28" s="2">
        <f>SUMIF(SmtRes!AQ1:'SmtRes'!AQ9,"=1",SmtRes!BU1:'SmtRes'!BU9)</f>
        <v>37.639499999999991</v>
      </c>
      <c r="CW28" s="2">
        <f>SUMIF(SmtRes!AQ1:'SmtRes'!AQ9,"=1",SmtRes!BV1:'SmtRes'!BV9)</f>
        <v>0.13750000000000001</v>
      </c>
      <c r="CX28" s="2">
        <f>AJ28</f>
        <v>0</v>
      </c>
      <c r="CY28" s="2">
        <f>(((S28+R28)*AT28)/100)</f>
        <v>50641.172999999995</v>
      </c>
      <c r="CZ28" s="2">
        <f>(((S28+R28)*AU28)/100)</f>
        <v>23435.609504999997</v>
      </c>
      <c r="DA28" s="2"/>
      <c r="DB28" s="2">
        <v>1</v>
      </c>
      <c r="DC28" s="2" t="s">
        <v>3</v>
      </c>
      <c r="DD28" s="2" t="s">
        <v>3</v>
      </c>
      <c r="DE28" s="2" t="s">
        <v>22</v>
      </c>
      <c r="DF28" s="2" t="s">
        <v>22</v>
      </c>
      <c r="DG28" s="2" t="s">
        <v>23</v>
      </c>
      <c r="DH28" s="2" t="s">
        <v>3</v>
      </c>
      <c r="DI28" s="2" t="s">
        <v>23</v>
      </c>
      <c r="DJ28" s="2" t="s">
        <v>22</v>
      </c>
      <c r="DK28" s="2" t="s">
        <v>3</v>
      </c>
      <c r="DL28" s="2" t="s">
        <v>24</v>
      </c>
      <c r="DM28" s="2" t="s">
        <v>25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1005</v>
      </c>
      <c r="DV28" s="2" t="s">
        <v>20</v>
      </c>
      <c r="DW28" s="2" t="s">
        <v>20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89977019</v>
      </c>
      <c r="EF28" s="2">
        <v>2</v>
      </c>
      <c r="EG28" s="2" t="s">
        <v>26</v>
      </c>
      <c r="EH28" s="2">
        <v>15</v>
      </c>
      <c r="EI28" s="2" t="s">
        <v>27</v>
      </c>
      <c r="EJ28" s="2">
        <v>1</v>
      </c>
      <c r="EK28" s="2">
        <v>15001</v>
      </c>
      <c r="EL28" s="2" t="s">
        <v>27</v>
      </c>
      <c r="EM28" s="2" t="s">
        <v>28</v>
      </c>
      <c r="EN28" s="2"/>
      <c r="EO28" s="2" t="s">
        <v>29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32.729999999999997</v>
      </c>
      <c r="EX28" s="2">
        <v>0.11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90</v>
      </c>
      <c r="FY28" s="2">
        <v>41.65</v>
      </c>
      <c r="FZ28" s="2"/>
      <c r="GA28" s="2" t="s">
        <v>3</v>
      </c>
      <c r="GB28" s="2"/>
      <c r="GC28" s="2"/>
      <c r="GD28" s="2">
        <v>1</v>
      </c>
      <c r="GE28" s="2"/>
      <c r="GF28" s="2">
        <v>1488051012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>ROUND(IF(AND(BH28=3,BI28=3,FS28&lt;&gt;0),P28,0),2)</f>
        <v>0</v>
      </c>
      <c r="GM28" s="2">
        <f>ROUND(O28+X28+Y28,2)+GX28</f>
        <v>132729.98000000001</v>
      </c>
      <c r="GN28" s="2">
        <f>IF(OR(BI28=0,BI28=1),GM28-GX28,0)</f>
        <v>132729.98000000001</v>
      </c>
      <c r="GO28" s="2">
        <f>IF(BI28=2,GM28-GX28,0)</f>
        <v>0</v>
      </c>
      <c r="GP28" s="2">
        <f>IF(BI28=4,GM28-GX28,0)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>ROUND((GT28),6)</f>
        <v>0</v>
      </c>
      <c r="GW28" s="2">
        <v>1</v>
      </c>
      <c r="GX28" s="2">
        <f>ROUND(HC28*I28,2)</f>
        <v>0</v>
      </c>
      <c r="GY28" s="2"/>
      <c r="GZ28" s="2"/>
      <c r="HA28" s="2">
        <v>0</v>
      </c>
      <c r="HB28" s="2">
        <v>0</v>
      </c>
      <c r="HC28" s="2">
        <f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30</v>
      </c>
      <c r="HO28" s="2" t="s">
        <v>31</v>
      </c>
      <c r="HP28" s="2" t="s">
        <v>27</v>
      </c>
      <c r="HQ28" s="2" t="s">
        <v>27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7</v>
      </c>
      <c r="D29" s="2"/>
      <c r="E29" s="2" t="s">
        <v>32</v>
      </c>
      <c r="F29" s="2" t="s">
        <v>33</v>
      </c>
      <c r="G29" s="2" t="s">
        <v>34</v>
      </c>
      <c r="H29" s="2" t="s">
        <v>35</v>
      </c>
      <c r="I29" s="2">
        <f>I28*J29</f>
        <v>6.6299999999999998E-2</v>
      </c>
      <c r="J29" s="2">
        <v>0.03</v>
      </c>
      <c r="K29" s="2">
        <v>0.03</v>
      </c>
      <c r="L29" s="2"/>
      <c r="M29" s="2"/>
      <c r="N29" s="2"/>
      <c r="O29" s="2">
        <f>ROUND(CP29,2)</f>
        <v>10171.4</v>
      </c>
      <c r="P29" s="2">
        <f>ROUND(CQ29*I29,2)</f>
        <v>10171.4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>ROUND(CU29*I29,2)</f>
        <v>0</v>
      </c>
      <c r="U29" s="2">
        <f>ROUND(CV29*I29,7)</f>
        <v>0</v>
      </c>
      <c r="V29" s="2">
        <f>ROUND(CW29*I29,7)</f>
        <v>0</v>
      </c>
      <c r="W29" s="2">
        <f>ROUND(CX29*I29,2)</f>
        <v>0</v>
      </c>
      <c r="X29" s="2">
        <f t="shared" si="21"/>
        <v>0</v>
      </c>
      <c r="Y29" s="2">
        <f t="shared" si="21"/>
        <v>0</v>
      </c>
      <c r="Z29" s="2"/>
      <c r="AA29" s="2">
        <v>94240533</v>
      </c>
      <c r="AB29" s="2">
        <f>ROUND((AC29+AD29+AF29),6)</f>
        <v>87665.56</v>
      </c>
      <c r="AC29" s="2">
        <f>ROUND((ES29),6)</f>
        <v>87665.56</v>
      </c>
      <c r="AD29" s="2">
        <f>ROUND((((ET29)-(EU29))+AE29),6)</f>
        <v>0</v>
      </c>
      <c r="AE29" s="2">
        <f>ROUND((EU29),6)</f>
        <v>0</v>
      </c>
      <c r="AF29" s="2">
        <f>ROUND((EV29),6)</f>
        <v>0</v>
      </c>
      <c r="AG29" s="2">
        <f>ROUND((AP29),6)</f>
        <v>0</v>
      </c>
      <c r="AH29" s="2">
        <f>(EW29)</f>
        <v>0</v>
      </c>
      <c r="AI29" s="2">
        <f>(EX29)</f>
        <v>0</v>
      </c>
      <c r="AJ29" s="2">
        <f>(AS29)</f>
        <v>0</v>
      </c>
      <c r="AK29" s="2">
        <v>87665.56</v>
      </c>
      <c r="AL29" s="2">
        <v>87665.56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100</v>
      </c>
      <c r="AU29" s="2">
        <v>49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1.75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1</v>
      </c>
      <c r="BJ29" s="2" t="s">
        <v>36</v>
      </c>
      <c r="BK29" s="2"/>
      <c r="BL29" s="2"/>
      <c r="BM29" s="2">
        <v>15001</v>
      </c>
      <c r="BN29" s="2">
        <v>0</v>
      </c>
      <c r="BO29" s="2" t="s">
        <v>33</v>
      </c>
      <c r="BP29" s="2">
        <v>1</v>
      </c>
      <c r="BQ29" s="2">
        <v>2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100</v>
      </c>
      <c r="CA29" s="2">
        <v>49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>(P29+Q29+S29+R29)</f>
        <v>10171.4</v>
      </c>
      <c r="CQ29" s="2">
        <f>ROUND(AL29*BC29,2)</f>
        <v>153414.73000000001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>AG29</f>
        <v>0</v>
      </c>
      <c r="CV29" s="2">
        <f>AH29</f>
        <v>0</v>
      </c>
      <c r="CW29" s="2">
        <f>AI29</f>
        <v>0</v>
      </c>
      <c r="CX29" s="2">
        <f>AJ29</f>
        <v>0</v>
      </c>
      <c r="CY29" s="2">
        <f>(((S29+R29)*AT29)/100)</f>
        <v>0</v>
      </c>
      <c r="CZ29" s="2">
        <f>(((S29+R29)*AU29)/100)</f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1009</v>
      </c>
      <c r="DV29" s="2" t="s">
        <v>35</v>
      </c>
      <c r="DW29" s="2" t="s">
        <v>35</v>
      </c>
      <c r="DX29" s="2">
        <v>1000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89977019</v>
      </c>
      <c r="EF29" s="2">
        <v>2</v>
      </c>
      <c r="EG29" s="2" t="s">
        <v>26</v>
      </c>
      <c r="EH29" s="2">
        <v>15</v>
      </c>
      <c r="EI29" s="2" t="s">
        <v>27</v>
      </c>
      <c r="EJ29" s="2">
        <v>1</v>
      </c>
      <c r="EK29" s="2">
        <v>15001</v>
      </c>
      <c r="EL29" s="2" t="s">
        <v>27</v>
      </c>
      <c r="EM29" s="2" t="s">
        <v>28</v>
      </c>
      <c r="EN29" s="2"/>
      <c r="EO29" s="2" t="s">
        <v>3</v>
      </c>
      <c r="EP29" s="2"/>
      <c r="EQ29" s="2">
        <v>0</v>
      </c>
      <c r="ER29" s="2">
        <v>87665.56</v>
      </c>
      <c r="ES29" s="2">
        <v>87665.56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100</v>
      </c>
      <c r="FY29" s="2">
        <v>49</v>
      </c>
      <c r="FZ29" s="2"/>
      <c r="GA29" s="2" t="s">
        <v>3</v>
      </c>
      <c r="GB29" s="2"/>
      <c r="GC29" s="2"/>
      <c r="GD29" s="2">
        <v>1</v>
      </c>
      <c r="GE29" s="2"/>
      <c r="GF29" s="2">
        <v>88817008</v>
      </c>
      <c r="GG29" s="2">
        <v>2</v>
      </c>
      <c r="GH29" s="2">
        <v>1</v>
      </c>
      <c r="GI29" s="2">
        <v>2</v>
      </c>
      <c r="GJ29" s="2">
        <v>0</v>
      </c>
      <c r="GK29" s="2">
        <v>0</v>
      </c>
      <c r="GL29" s="2">
        <f>ROUND(IF(AND(BH29=3,BI29=3,FS29&lt;&gt;0),P29,0),2)</f>
        <v>0</v>
      </c>
      <c r="GM29" s="2">
        <f>ROUND(O29+X29+Y29,2)+GX29</f>
        <v>10171.4</v>
      </c>
      <c r="GN29" s="2">
        <f>IF(OR(BI29=0,BI29=1),GM29-GX29,0)</f>
        <v>10171.4</v>
      </c>
      <c r="GO29" s="2">
        <f>IF(BI29=2,GM29-GX29,0)</f>
        <v>0</v>
      </c>
      <c r="GP29" s="2">
        <f>IF(BI29=4,GM29-GX29,0)</f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>ROUND((GT29),6)</f>
        <v>0</v>
      </c>
      <c r="GW29" s="2">
        <v>1</v>
      </c>
      <c r="GX29" s="2">
        <f>ROUND(HC29*I29,2)</f>
        <v>0</v>
      </c>
      <c r="GY29" s="2"/>
      <c r="GZ29" s="2"/>
      <c r="HA29" s="2">
        <v>0</v>
      </c>
      <c r="HB29" s="2">
        <v>0</v>
      </c>
      <c r="HC29" s="2">
        <f>GV29*GW29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30</v>
      </c>
      <c r="HO29" s="2" t="s">
        <v>31</v>
      </c>
      <c r="HP29" s="2" t="s">
        <v>27</v>
      </c>
      <c r="HQ29" s="2" t="s">
        <v>27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18</v>
      </c>
      <c r="B30" s="2">
        <v>1</v>
      </c>
      <c r="C30" s="2">
        <v>8</v>
      </c>
      <c r="D30" s="2"/>
      <c r="E30" s="2" t="s">
        <v>37</v>
      </c>
      <c r="F30" s="2" t="s">
        <v>38</v>
      </c>
      <c r="G30" s="2" t="s">
        <v>39</v>
      </c>
      <c r="H30" s="2" t="s">
        <v>40</v>
      </c>
      <c r="I30" s="2">
        <f>I28*J30</f>
        <v>44.2</v>
      </c>
      <c r="J30" s="2">
        <v>20</v>
      </c>
      <c r="K30" s="2">
        <v>20</v>
      </c>
      <c r="L30" s="2"/>
      <c r="M30" s="2"/>
      <c r="N30" s="2"/>
      <c r="O30" s="2">
        <f>ROUND(CP30,2)</f>
        <v>4648.51</v>
      </c>
      <c r="P30" s="2">
        <f>ROUND(CQ30*I30,2)</f>
        <v>4648.51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>ROUND(CU30*I30,2)</f>
        <v>0</v>
      </c>
      <c r="U30" s="2">
        <f>ROUND(CV30*I30,7)</f>
        <v>0</v>
      </c>
      <c r="V30" s="2">
        <f>ROUND(CW30*I30,7)</f>
        <v>0</v>
      </c>
      <c r="W30" s="2">
        <f>ROUND(CX30*I30,2)</f>
        <v>0</v>
      </c>
      <c r="X30" s="2">
        <f t="shared" si="21"/>
        <v>0</v>
      </c>
      <c r="Y30" s="2">
        <f t="shared" si="21"/>
        <v>0</v>
      </c>
      <c r="Z30" s="2"/>
      <c r="AA30" s="2">
        <v>94240533</v>
      </c>
      <c r="AB30" s="2">
        <f>ROUND((AC30+AD30+AF30),6)</f>
        <v>68.290000000000006</v>
      </c>
      <c r="AC30" s="2">
        <f>ROUND((ES30),6)</f>
        <v>68.290000000000006</v>
      </c>
      <c r="AD30" s="2">
        <f>ROUND((((ET30)-(EU30))+AE30),6)</f>
        <v>0</v>
      </c>
      <c r="AE30" s="2">
        <f>ROUND((EU30),6)</f>
        <v>0</v>
      </c>
      <c r="AF30" s="2">
        <f>ROUND((EV30),6)</f>
        <v>0</v>
      </c>
      <c r="AG30" s="2">
        <f>ROUND((AP30),6)</f>
        <v>0</v>
      </c>
      <c r="AH30" s="2">
        <f>(EW30)</f>
        <v>0</v>
      </c>
      <c r="AI30" s="2">
        <f>(EX30)</f>
        <v>0</v>
      </c>
      <c r="AJ30" s="2">
        <f>(AS30)</f>
        <v>0</v>
      </c>
      <c r="AK30" s="2">
        <v>68.290000000000006</v>
      </c>
      <c r="AL30" s="2">
        <v>68.290000000000006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100</v>
      </c>
      <c r="AU30" s="2">
        <v>49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1.54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1</v>
      </c>
      <c r="BJ30" s="2" t="s">
        <v>41</v>
      </c>
      <c r="BK30" s="2"/>
      <c r="BL30" s="2"/>
      <c r="BM30" s="2">
        <v>15001</v>
      </c>
      <c r="BN30" s="2">
        <v>0</v>
      </c>
      <c r="BO30" s="2" t="s">
        <v>38</v>
      </c>
      <c r="BP30" s="2">
        <v>1</v>
      </c>
      <c r="BQ30" s="2">
        <v>2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100</v>
      </c>
      <c r="CA30" s="2">
        <v>49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>(P30+Q30+S30+R30)</f>
        <v>4648.51</v>
      </c>
      <c r="CQ30" s="2">
        <f>ROUND(AL30*BC30,2)</f>
        <v>105.17</v>
      </c>
      <c r="CR30" s="2">
        <f>ROUND(AM30*BB30,2)</f>
        <v>0</v>
      </c>
      <c r="CS30" s="2">
        <f>ROUND(AN30*BS30,2)</f>
        <v>0</v>
      </c>
      <c r="CT30" s="2">
        <f>ROUND(AO30*BA30,2)</f>
        <v>0</v>
      </c>
      <c r="CU30" s="2">
        <f>AG30</f>
        <v>0</v>
      </c>
      <c r="CV30" s="2">
        <f>AH30</f>
        <v>0</v>
      </c>
      <c r="CW30" s="2">
        <f>AI30</f>
        <v>0</v>
      </c>
      <c r="CX30" s="2">
        <f>AJ30</f>
        <v>0</v>
      </c>
      <c r="CY30" s="2">
        <f>(((S30+R30)*AT30)/100)</f>
        <v>0</v>
      </c>
      <c r="CZ30" s="2">
        <f>(((S30+R30)*AU30)/100)</f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1009</v>
      </c>
      <c r="DV30" s="2" t="s">
        <v>40</v>
      </c>
      <c r="DW30" s="2" t="s">
        <v>40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89977019</v>
      </c>
      <c r="EF30" s="2">
        <v>2</v>
      </c>
      <c r="EG30" s="2" t="s">
        <v>26</v>
      </c>
      <c r="EH30" s="2">
        <v>15</v>
      </c>
      <c r="EI30" s="2" t="s">
        <v>27</v>
      </c>
      <c r="EJ30" s="2">
        <v>1</v>
      </c>
      <c r="EK30" s="2">
        <v>15001</v>
      </c>
      <c r="EL30" s="2" t="s">
        <v>27</v>
      </c>
      <c r="EM30" s="2" t="s">
        <v>28</v>
      </c>
      <c r="EN30" s="2"/>
      <c r="EO30" s="2" t="s">
        <v>3</v>
      </c>
      <c r="EP30" s="2"/>
      <c r="EQ30" s="2">
        <v>0</v>
      </c>
      <c r="ER30" s="2">
        <v>68.290000000000006</v>
      </c>
      <c r="ES30" s="2">
        <v>68.290000000000006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100</v>
      </c>
      <c r="FY30" s="2">
        <v>49</v>
      </c>
      <c r="FZ30" s="2"/>
      <c r="GA30" s="2" t="s">
        <v>3</v>
      </c>
      <c r="GB30" s="2"/>
      <c r="GC30" s="2"/>
      <c r="GD30" s="2">
        <v>1</v>
      </c>
      <c r="GE30" s="2"/>
      <c r="GF30" s="2">
        <v>1546742732</v>
      </c>
      <c r="GG30" s="2">
        <v>2</v>
      </c>
      <c r="GH30" s="2">
        <v>1</v>
      </c>
      <c r="GI30" s="2">
        <v>2</v>
      </c>
      <c r="GJ30" s="2">
        <v>0</v>
      </c>
      <c r="GK30" s="2">
        <v>0</v>
      </c>
      <c r="GL30" s="2">
        <f>ROUND(IF(AND(BH30=3,BI30=3,FS30&lt;&gt;0),P30,0),2)</f>
        <v>0</v>
      </c>
      <c r="GM30" s="2">
        <f>ROUND(O30+X30+Y30,2)+GX30</f>
        <v>4648.51</v>
      </c>
      <c r="GN30" s="2">
        <f>IF(OR(BI30=0,BI30=1),GM30-GX30,0)</f>
        <v>4648.51</v>
      </c>
      <c r="GO30" s="2">
        <f>IF(BI30=2,GM30-GX30,0)</f>
        <v>0</v>
      </c>
      <c r="GP30" s="2">
        <f>IF(BI30=4,GM30-GX30,0)</f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>ROUND((GT30),6)</f>
        <v>0</v>
      </c>
      <c r="GW30" s="2">
        <v>1</v>
      </c>
      <c r="GX30" s="2">
        <f>ROUND(HC30*I30,2)</f>
        <v>0</v>
      </c>
      <c r="GY30" s="2"/>
      <c r="GZ30" s="2"/>
      <c r="HA30" s="2">
        <v>0</v>
      </c>
      <c r="HB30" s="2">
        <v>0</v>
      </c>
      <c r="HC30" s="2">
        <f>GV30*GW30</f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30</v>
      </c>
      <c r="HO30" s="2" t="s">
        <v>31</v>
      </c>
      <c r="HP30" s="2" t="s">
        <v>27</v>
      </c>
      <c r="HQ30" s="2" t="s">
        <v>27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2" spans="1:255" x14ac:dyDescent="0.2">
      <c r="A32" s="3">
        <v>51</v>
      </c>
      <c r="B32" s="3">
        <f>B24</f>
        <v>1</v>
      </c>
      <c r="C32" s="3">
        <f>A24</f>
        <v>4</v>
      </c>
      <c r="D32" s="3">
        <f>ROW(A24)</f>
        <v>24</v>
      </c>
      <c r="E32" s="3"/>
      <c r="F32" s="3" t="str">
        <f>IF(F24&lt;&gt;"",F24,"")</f>
        <v>Новый раздел</v>
      </c>
      <c r="G32" s="3" t="str">
        <f>IF(G24&lt;&gt;"",G24,"")</f>
        <v>помещение 308</v>
      </c>
      <c r="H32" s="3">
        <v>0</v>
      </c>
      <c r="I32" s="3"/>
      <c r="J32" s="3"/>
      <c r="K32" s="3"/>
      <c r="L32" s="3"/>
      <c r="M32" s="3"/>
      <c r="N32" s="3"/>
      <c r="O32" s="3">
        <f t="shared" ref="O32:T32" si="22">ROUND(AB32,2)</f>
        <v>73473.11</v>
      </c>
      <c r="P32" s="3">
        <f t="shared" si="22"/>
        <v>17053.28</v>
      </c>
      <c r="Q32" s="3">
        <f t="shared" si="22"/>
        <v>151.86000000000001</v>
      </c>
      <c r="R32" s="3">
        <f t="shared" si="22"/>
        <v>219.9</v>
      </c>
      <c r="S32" s="3">
        <f t="shared" si="22"/>
        <v>56048.07</v>
      </c>
      <c r="T32" s="3">
        <f t="shared" si="22"/>
        <v>0</v>
      </c>
      <c r="U32" s="3">
        <f>AH32</f>
        <v>83.183295000000001</v>
      </c>
      <c r="V32" s="3">
        <f>AI32</f>
        <v>0.30387500000000001</v>
      </c>
      <c r="W32" s="3">
        <f>ROUND(AJ32,2)</f>
        <v>0</v>
      </c>
      <c r="X32" s="3">
        <f>ROUND(AK32,2)</f>
        <v>50641.17</v>
      </c>
      <c r="Y32" s="3">
        <f>ROUND(AL32,2)</f>
        <v>23435.61</v>
      </c>
      <c r="Z32" s="3"/>
      <c r="AA32" s="3"/>
      <c r="AB32" s="3">
        <f>ROUND(SUMIF(AA28:AA30,"=94240533",O28:O30),2)</f>
        <v>73473.11</v>
      </c>
      <c r="AC32" s="3">
        <f>ROUND(SUMIF(AA28:AA30,"=94240533",P28:P30),2)</f>
        <v>17053.28</v>
      </c>
      <c r="AD32" s="3">
        <f>ROUND(SUMIF(AA28:AA30,"=94240533",Q28:Q30),2)</f>
        <v>151.86000000000001</v>
      </c>
      <c r="AE32" s="3">
        <f>ROUND(SUMIF(AA28:AA30,"=94240533",R28:R30),2)</f>
        <v>219.9</v>
      </c>
      <c r="AF32" s="3">
        <f>ROUND(SUMIF(AA28:AA30,"=94240533",S28:S30),2)</f>
        <v>56048.07</v>
      </c>
      <c r="AG32" s="3">
        <f>ROUND(SUMIF(AA28:AA30,"=94240533",T28:T30),2)</f>
        <v>0</v>
      </c>
      <c r="AH32" s="3">
        <f>SUMIF(AA28:AA30,"=94240533",U28:U30)</f>
        <v>83.183295000000001</v>
      </c>
      <c r="AI32" s="3">
        <f>SUMIF(AA28:AA30,"=94240533",V28:V30)</f>
        <v>0.30387500000000001</v>
      </c>
      <c r="AJ32" s="3">
        <f>ROUND(SUMIF(AA28:AA30,"=94240533",W28:W30),2)</f>
        <v>0</v>
      </c>
      <c r="AK32" s="3">
        <f>ROUND(SUMIF(AA28:AA30,"=94240533",X28:X30),2)</f>
        <v>50641.17</v>
      </c>
      <c r="AL32" s="3">
        <f>ROUND(SUMIF(AA28:AA30,"=94240533",Y28:Y30),2)</f>
        <v>23435.61</v>
      </c>
      <c r="AM32" s="3"/>
      <c r="AN32" s="3"/>
      <c r="AO32" s="3">
        <f t="shared" ref="AO32:BD32" si="23">ROUND(BX32,2)</f>
        <v>0</v>
      </c>
      <c r="AP32" s="3">
        <f t="shared" si="23"/>
        <v>0</v>
      </c>
      <c r="AQ32" s="3">
        <f t="shared" si="23"/>
        <v>0</v>
      </c>
      <c r="AR32" s="3">
        <f t="shared" si="23"/>
        <v>147549.89000000001</v>
      </c>
      <c r="AS32" s="3">
        <f t="shared" si="23"/>
        <v>147549.89000000001</v>
      </c>
      <c r="AT32" s="3">
        <f t="shared" si="23"/>
        <v>0</v>
      </c>
      <c r="AU32" s="3">
        <f t="shared" si="23"/>
        <v>0</v>
      </c>
      <c r="AV32" s="3">
        <f t="shared" si="23"/>
        <v>17053.28</v>
      </c>
      <c r="AW32" s="3">
        <f t="shared" si="23"/>
        <v>17053.28</v>
      </c>
      <c r="AX32" s="3">
        <f t="shared" si="23"/>
        <v>0</v>
      </c>
      <c r="AY32" s="3">
        <f t="shared" si="23"/>
        <v>17053.28</v>
      </c>
      <c r="AZ32" s="3">
        <f t="shared" si="23"/>
        <v>0</v>
      </c>
      <c r="BA32" s="3">
        <f t="shared" si="23"/>
        <v>0</v>
      </c>
      <c r="BB32" s="3">
        <f t="shared" si="23"/>
        <v>0</v>
      </c>
      <c r="BC32" s="3">
        <f t="shared" si="23"/>
        <v>0</v>
      </c>
      <c r="BD32" s="3">
        <f t="shared" si="23"/>
        <v>0</v>
      </c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>
        <f>ROUND(SUMIF(AA28:AA30,"=94240533",FQ28:FQ30),2)</f>
        <v>0</v>
      </c>
      <c r="BY32" s="3">
        <f>ROUND(SUMIF(AA28:AA30,"=94240533",FR28:FR30),2)</f>
        <v>0</v>
      </c>
      <c r="BZ32" s="3">
        <f>ROUND(SUMIF(AA28:AA30,"=94240533",GL28:GL30),2)</f>
        <v>0</v>
      </c>
      <c r="CA32" s="3">
        <f>ROUND(SUMIF(AA28:AA30,"=94240533",GM28:GM30),2)</f>
        <v>147549.89000000001</v>
      </c>
      <c r="CB32" s="3">
        <f>ROUND(SUMIF(AA28:AA30,"=94240533",GN28:GN30),2)</f>
        <v>147549.89000000001</v>
      </c>
      <c r="CC32" s="3">
        <f>ROUND(SUMIF(AA28:AA30,"=94240533",GO28:GO30),2)</f>
        <v>0</v>
      </c>
      <c r="CD32" s="3">
        <f>ROUND(SUMIF(AA28:AA30,"=94240533",GP28:GP30),2)</f>
        <v>0</v>
      </c>
      <c r="CE32" s="3">
        <f>AC32-BX32</f>
        <v>17053.28</v>
      </c>
      <c r="CF32" s="3">
        <f>AC32-BY32</f>
        <v>17053.28</v>
      </c>
      <c r="CG32" s="3">
        <f>BX32-BZ32</f>
        <v>0</v>
      </c>
      <c r="CH32" s="3">
        <f>AC32-BX32-BY32+BZ32</f>
        <v>17053.28</v>
      </c>
      <c r="CI32" s="3">
        <f>BY32-BZ32</f>
        <v>0</v>
      </c>
      <c r="CJ32" s="3">
        <f>ROUND(SUMIF(AA28:AA30,"=94240533",GX28:GX30),2)</f>
        <v>0</v>
      </c>
      <c r="CK32" s="3">
        <f>ROUND(SUMIF(AA28:AA30,"=94240533",GY28:GY30),2)</f>
        <v>0</v>
      </c>
      <c r="CL32" s="3">
        <f>ROUND(SUMIF(AA28:AA30,"=94240533",GZ28:GZ30),2)</f>
        <v>0</v>
      </c>
      <c r="CM32" s="3">
        <f>ROUND(SUMIF(AA28:AA30,"=94240533",HD28:HD30),2)</f>
        <v>0</v>
      </c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>
        <v>0</v>
      </c>
    </row>
    <row r="34" spans="1:28" x14ac:dyDescent="0.2">
      <c r="A34" s="5">
        <v>50</v>
      </c>
      <c r="B34" s="5">
        <v>0</v>
      </c>
      <c r="C34" s="5">
        <v>0</v>
      </c>
      <c r="D34" s="5">
        <v>1</v>
      </c>
      <c r="E34" s="5">
        <v>201</v>
      </c>
      <c r="F34" s="5">
        <f>ROUND(Source!O32,O34)</f>
        <v>73473.11</v>
      </c>
      <c r="G34" s="5" t="s">
        <v>42</v>
      </c>
      <c r="H34" s="5" t="s">
        <v>43</v>
      </c>
      <c r="I34" s="5"/>
      <c r="J34" s="5"/>
      <c r="K34" s="5">
        <v>201</v>
      </c>
      <c r="L34" s="5">
        <v>1</v>
      </c>
      <c r="M34" s="5">
        <v>3</v>
      </c>
      <c r="N34" s="5" t="s">
        <v>3</v>
      </c>
      <c r="O34" s="5">
        <v>2</v>
      </c>
      <c r="P34" s="5"/>
      <c r="Q34" s="5"/>
      <c r="R34" s="5"/>
      <c r="S34" s="5"/>
      <c r="T34" s="5"/>
      <c r="U34" s="5"/>
      <c r="V34" s="5"/>
      <c r="W34" s="5">
        <v>73473.109999999986</v>
      </c>
      <c r="X34" s="5">
        <v>1</v>
      </c>
      <c r="Y34" s="5">
        <v>73473.109999999986</v>
      </c>
      <c r="Z34" s="5"/>
      <c r="AA34" s="5"/>
      <c r="AB34" s="5"/>
    </row>
    <row r="35" spans="1:28" x14ac:dyDescent="0.2">
      <c r="A35" s="5">
        <v>50</v>
      </c>
      <c r="B35" s="5">
        <v>0</v>
      </c>
      <c r="C35" s="5">
        <v>0</v>
      </c>
      <c r="D35" s="5">
        <v>1</v>
      </c>
      <c r="E35" s="5">
        <v>202</v>
      </c>
      <c r="F35" s="5">
        <f>ROUND(Source!P32,O35)</f>
        <v>17053.28</v>
      </c>
      <c r="G35" s="5" t="s">
        <v>44</v>
      </c>
      <c r="H35" s="5" t="s">
        <v>45</v>
      </c>
      <c r="I35" s="5"/>
      <c r="J35" s="5"/>
      <c r="K35" s="5">
        <v>202</v>
      </c>
      <c r="L35" s="5">
        <v>2</v>
      </c>
      <c r="M35" s="5">
        <v>3</v>
      </c>
      <c r="N35" s="5" t="s">
        <v>3</v>
      </c>
      <c r="O35" s="5">
        <v>2</v>
      </c>
      <c r="P35" s="5"/>
      <c r="Q35" s="5"/>
      <c r="R35" s="5"/>
      <c r="S35" s="5"/>
      <c r="T35" s="5"/>
      <c r="U35" s="5"/>
      <c r="V35" s="5"/>
      <c r="W35" s="5">
        <v>17053.28</v>
      </c>
      <c r="X35" s="5">
        <v>1</v>
      </c>
      <c r="Y35" s="5">
        <v>17053.28</v>
      </c>
      <c r="Z35" s="5"/>
      <c r="AA35" s="5"/>
      <c r="AB35" s="5"/>
    </row>
    <row r="36" spans="1:28" x14ac:dyDescent="0.2">
      <c r="A36" s="5">
        <v>50</v>
      </c>
      <c r="B36" s="5">
        <v>0</v>
      </c>
      <c r="C36" s="5">
        <v>0</v>
      </c>
      <c r="D36" s="5">
        <v>1</v>
      </c>
      <c r="E36" s="5">
        <v>222</v>
      </c>
      <c r="F36" s="5">
        <f>ROUND(Source!AO32,O36)</f>
        <v>0</v>
      </c>
      <c r="G36" s="5" t="s">
        <v>46</v>
      </c>
      <c r="H36" s="5" t="s">
        <v>47</v>
      </c>
      <c r="I36" s="5"/>
      <c r="J36" s="5"/>
      <c r="K36" s="5">
        <v>222</v>
      </c>
      <c r="L36" s="5">
        <v>3</v>
      </c>
      <c r="M36" s="5">
        <v>3</v>
      </c>
      <c r="N36" s="5" t="s">
        <v>3</v>
      </c>
      <c r="O36" s="5">
        <v>2</v>
      </c>
      <c r="P36" s="5"/>
      <c r="Q36" s="5"/>
      <c r="R36" s="5"/>
      <c r="S36" s="5"/>
      <c r="T36" s="5"/>
      <c r="U36" s="5"/>
      <c r="V36" s="5"/>
      <c r="W36" s="5">
        <v>0</v>
      </c>
      <c r="X36" s="5">
        <v>1</v>
      </c>
      <c r="Y36" s="5">
        <v>0</v>
      </c>
      <c r="Z36" s="5"/>
      <c r="AA36" s="5"/>
      <c r="AB36" s="5"/>
    </row>
    <row r="37" spans="1:28" x14ac:dyDescent="0.2">
      <c r="A37" s="5">
        <v>50</v>
      </c>
      <c r="B37" s="5">
        <v>0</v>
      </c>
      <c r="C37" s="5">
        <v>0</v>
      </c>
      <c r="D37" s="5">
        <v>1</v>
      </c>
      <c r="E37" s="5">
        <v>225</v>
      </c>
      <c r="F37" s="5">
        <f>ROUND(Source!AV32,O37)</f>
        <v>17053.28</v>
      </c>
      <c r="G37" s="5" t="s">
        <v>48</v>
      </c>
      <c r="H37" s="5" t="s">
        <v>49</v>
      </c>
      <c r="I37" s="5"/>
      <c r="J37" s="5"/>
      <c r="K37" s="5">
        <v>225</v>
      </c>
      <c r="L37" s="5">
        <v>4</v>
      </c>
      <c r="M37" s="5">
        <v>3</v>
      </c>
      <c r="N37" s="5" t="s">
        <v>3</v>
      </c>
      <c r="O37" s="5">
        <v>2</v>
      </c>
      <c r="P37" s="5"/>
      <c r="Q37" s="5"/>
      <c r="R37" s="5"/>
      <c r="S37" s="5"/>
      <c r="T37" s="5"/>
      <c r="U37" s="5"/>
      <c r="V37" s="5"/>
      <c r="W37" s="5">
        <v>17053.28</v>
      </c>
      <c r="X37" s="5">
        <v>1</v>
      </c>
      <c r="Y37" s="5">
        <v>17053.28</v>
      </c>
      <c r="Z37" s="5"/>
      <c r="AA37" s="5"/>
      <c r="AB37" s="5"/>
    </row>
    <row r="38" spans="1:28" x14ac:dyDescent="0.2">
      <c r="A38" s="5">
        <v>50</v>
      </c>
      <c r="B38" s="5">
        <v>0</v>
      </c>
      <c r="C38" s="5">
        <v>0</v>
      </c>
      <c r="D38" s="5">
        <v>1</v>
      </c>
      <c r="E38" s="5">
        <v>226</v>
      </c>
      <c r="F38" s="5">
        <f>ROUND(Source!AW32,O38)</f>
        <v>17053.28</v>
      </c>
      <c r="G38" s="5" t="s">
        <v>50</v>
      </c>
      <c r="H38" s="5" t="s">
        <v>51</v>
      </c>
      <c r="I38" s="5"/>
      <c r="J38" s="5"/>
      <c r="K38" s="5">
        <v>226</v>
      </c>
      <c r="L38" s="5">
        <v>5</v>
      </c>
      <c r="M38" s="5">
        <v>3</v>
      </c>
      <c r="N38" s="5" t="s">
        <v>3</v>
      </c>
      <c r="O38" s="5">
        <v>2</v>
      </c>
      <c r="P38" s="5"/>
      <c r="Q38" s="5"/>
      <c r="R38" s="5"/>
      <c r="S38" s="5"/>
      <c r="T38" s="5"/>
      <c r="U38" s="5"/>
      <c r="V38" s="5"/>
      <c r="W38" s="5">
        <v>17053.28</v>
      </c>
      <c r="X38" s="5">
        <v>1</v>
      </c>
      <c r="Y38" s="5">
        <v>17053.28</v>
      </c>
      <c r="Z38" s="5"/>
      <c r="AA38" s="5"/>
      <c r="AB38" s="5"/>
    </row>
    <row r="39" spans="1:28" x14ac:dyDescent="0.2">
      <c r="A39" s="5">
        <v>50</v>
      </c>
      <c r="B39" s="5">
        <v>0</v>
      </c>
      <c r="C39" s="5">
        <v>0</v>
      </c>
      <c r="D39" s="5">
        <v>1</v>
      </c>
      <c r="E39" s="5">
        <v>227</v>
      </c>
      <c r="F39" s="5">
        <f>ROUND(Source!AX32,O39)</f>
        <v>0</v>
      </c>
      <c r="G39" s="5" t="s">
        <v>52</v>
      </c>
      <c r="H39" s="5" t="s">
        <v>53</v>
      </c>
      <c r="I39" s="5"/>
      <c r="J39" s="5"/>
      <c r="K39" s="5">
        <v>227</v>
      </c>
      <c r="L39" s="5">
        <v>6</v>
      </c>
      <c r="M39" s="5">
        <v>3</v>
      </c>
      <c r="N39" s="5" t="s">
        <v>3</v>
      </c>
      <c r="O39" s="5">
        <v>2</v>
      </c>
      <c r="P39" s="5"/>
      <c r="Q39" s="5"/>
      <c r="R39" s="5"/>
      <c r="S39" s="5"/>
      <c r="T39" s="5"/>
      <c r="U39" s="5"/>
      <c r="V39" s="5"/>
      <c r="W39" s="5">
        <v>0</v>
      </c>
      <c r="X39" s="5">
        <v>1</v>
      </c>
      <c r="Y39" s="5">
        <v>0</v>
      </c>
      <c r="Z39" s="5"/>
      <c r="AA39" s="5"/>
      <c r="AB39" s="5"/>
    </row>
    <row r="40" spans="1:28" x14ac:dyDescent="0.2">
      <c r="A40" s="5">
        <v>50</v>
      </c>
      <c r="B40" s="5">
        <v>0</v>
      </c>
      <c r="C40" s="5">
        <v>0</v>
      </c>
      <c r="D40" s="5">
        <v>1</v>
      </c>
      <c r="E40" s="5">
        <v>228</v>
      </c>
      <c r="F40" s="5">
        <f>ROUND(Source!AY32,O40)</f>
        <v>17053.28</v>
      </c>
      <c r="G40" s="5" t="s">
        <v>54</v>
      </c>
      <c r="H40" s="5" t="s">
        <v>55</v>
      </c>
      <c r="I40" s="5"/>
      <c r="J40" s="5"/>
      <c r="K40" s="5">
        <v>228</v>
      </c>
      <c r="L40" s="5">
        <v>7</v>
      </c>
      <c r="M40" s="5">
        <v>3</v>
      </c>
      <c r="N40" s="5" t="s">
        <v>3</v>
      </c>
      <c r="O40" s="5">
        <v>2</v>
      </c>
      <c r="P40" s="5"/>
      <c r="Q40" s="5"/>
      <c r="R40" s="5"/>
      <c r="S40" s="5"/>
      <c r="T40" s="5"/>
      <c r="U40" s="5"/>
      <c r="V40" s="5"/>
      <c r="W40" s="5">
        <v>17053.28</v>
      </c>
      <c r="X40" s="5">
        <v>1</v>
      </c>
      <c r="Y40" s="5">
        <v>17053.28</v>
      </c>
      <c r="Z40" s="5"/>
      <c r="AA40" s="5"/>
      <c r="AB40" s="5"/>
    </row>
    <row r="41" spans="1:28" x14ac:dyDescent="0.2">
      <c r="A41" s="5">
        <v>50</v>
      </c>
      <c r="B41" s="5">
        <v>0</v>
      </c>
      <c r="C41" s="5">
        <v>0</v>
      </c>
      <c r="D41" s="5">
        <v>1</v>
      </c>
      <c r="E41" s="5">
        <v>216</v>
      </c>
      <c r="F41" s="5">
        <f>ROUND(Source!AP32,O41)</f>
        <v>0</v>
      </c>
      <c r="G41" s="5" t="s">
        <v>56</v>
      </c>
      <c r="H41" s="5" t="s">
        <v>57</v>
      </c>
      <c r="I41" s="5"/>
      <c r="J41" s="5"/>
      <c r="K41" s="5">
        <v>216</v>
      </c>
      <c r="L41" s="5">
        <v>8</v>
      </c>
      <c r="M41" s="5">
        <v>3</v>
      </c>
      <c r="N41" s="5" t="s">
        <v>3</v>
      </c>
      <c r="O41" s="5">
        <v>2</v>
      </c>
      <c r="P41" s="5"/>
      <c r="Q41" s="5"/>
      <c r="R41" s="5"/>
      <c r="S41" s="5"/>
      <c r="T41" s="5"/>
      <c r="U41" s="5"/>
      <c r="V41" s="5"/>
      <c r="W41" s="5">
        <v>0</v>
      </c>
      <c r="X41" s="5">
        <v>1</v>
      </c>
      <c r="Y41" s="5">
        <v>0</v>
      </c>
      <c r="Z41" s="5"/>
      <c r="AA41" s="5"/>
      <c r="AB41" s="5"/>
    </row>
    <row r="42" spans="1:28" x14ac:dyDescent="0.2">
      <c r="A42" s="5">
        <v>50</v>
      </c>
      <c r="B42" s="5">
        <v>0</v>
      </c>
      <c r="C42" s="5">
        <v>0</v>
      </c>
      <c r="D42" s="5">
        <v>1</v>
      </c>
      <c r="E42" s="5">
        <v>223</v>
      </c>
      <c r="F42" s="5">
        <f>ROUND(Source!AQ32,O42)</f>
        <v>0</v>
      </c>
      <c r="G42" s="5" t="s">
        <v>58</v>
      </c>
      <c r="H42" s="5" t="s">
        <v>59</v>
      </c>
      <c r="I42" s="5"/>
      <c r="J42" s="5"/>
      <c r="K42" s="5">
        <v>223</v>
      </c>
      <c r="L42" s="5">
        <v>9</v>
      </c>
      <c r="M42" s="5">
        <v>3</v>
      </c>
      <c r="N42" s="5" t="s">
        <v>3</v>
      </c>
      <c r="O42" s="5">
        <v>2</v>
      </c>
      <c r="P42" s="5"/>
      <c r="Q42" s="5"/>
      <c r="R42" s="5"/>
      <c r="S42" s="5"/>
      <c r="T42" s="5"/>
      <c r="U42" s="5"/>
      <c r="V42" s="5"/>
      <c r="W42" s="5">
        <v>0</v>
      </c>
      <c r="X42" s="5">
        <v>1</v>
      </c>
      <c r="Y42" s="5">
        <v>0</v>
      </c>
      <c r="Z42" s="5"/>
      <c r="AA42" s="5"/>
      <c r="AB42" s="5"/>
    </row>
    <row r="43" spans="1:28" x14ac:dyDescent="0.2">
      <c r="A43" s="5">
        <v>50</v>
      </c>
      <c r="B43" s="5">
        <v>0</v>
      </c>
      <c r="C43" s="5">
        <v>0</v>
      </c>
      <c r="D43" s="5">
        <v>1</v>
      </c>
      <c r="E43" s="5">
        <v>229</v>
      </c>
      <c r="F43" s="5">
        <f>ROUND(Source!AZ32,O43)</f>
        <v>0</v>
      </c>
      <c r="G43" s="5" t="s">
        <v>60</v>
      </c>
      <c r="H43" s="5" t="s">
        <v>61</v>
      </c>
      <c r="I43" s="5"/>
      <c r="J43" s="5"/>
      <c r="K43" s="5">
        <v>229</v>
      </c>
      <c r="L43" s="5">
        <v>10</v>
      </c>
      <c r="M43" s="5">
        <v>3</v>
      </c>
      <c r="N43" s="5" t="s">
        <v>3</v>
      </c>
      <c r="O43" s="5">
        <v>2</v>
      </c>
      <c r="P43" s="5"/>
      <c r="Q43" s="5"/>
      <c r="R43" s="5"/>
      <c r="S43" s="5"/>
      <c r="T43" s="5"/>
      <c r="U43" s="5"/>
      <c r="V43" s="5"/>
      <c r="W43" s="5">
        <v>0</v>
      </c>
      <c r="X43" s="5">
        <v>1</v>
      </c>
      <c r="Y43" s="5">
        <v>0</v>
      </c>
      <c r="Z43" s="5"/>
      <c r="AA43" s="5"/>
      <c r="AB43" s="5"/>
    </row>
    <row r="44" spans="1:28" x14ac:dyDescent="0.2">
      <c r="A44" s="5">
        <v>50</v>
      </c>
      <c r="B44" s="5">
        <v>0</v>
      </c>
      <c r="C44" s="5">
        <v>0</v>
      </c>
      <c r="D44" s="5">
        <v>1</v>
      </c>
      <c r="E44" s="5">
        <v>203</v>
      </c>
      <c r="F44" s="5">
        <f>ROUND(Source!Q32,O44)</f>
        <v>151.86000000000001</v>
      </c>
      <c r="G44" s="5" t="s">
        <v>62</v>
      </c>
      <c r="H44" s="5" t="s">
        <v>63</v>
      </c>
      <c r="I44" s="5"/>
      <c r="J44" s="5"/>
      <c r="K44" s="5">
        <v>203</v>
      </c>
      <c r="L44" s="5">
        <v>11</v>
      </c>
      <c r="M44" s="5">
        <v>3</v>
      </c>
      <c r="N44" s="5" t="s">
        <v>3</v>
      </c>
      <c r="O44" s="5">
        <v>2</v>
      </c>
      <c r="P44" s="5"/>
      <c r="Q44" s="5"/>
      <c r="R44" s="5"/>
      <c r="S44" s="5"/>
      <c r="T44" s="5"/>
      <c r="U44" s="5"/>
      <c r="V44" s="5"/>
      <c r="W44" s="5">
        <v>151.86000000000001</v>
      </c>
      <c r="X44" s="5">
        <v>1</v>
      </c>
      <c r="Y44" s="5">
        <v>151.86000000000001</v>
      </c>
      <c r="Z44" s="5"/>
      <c r="AA44" s="5"/>
      <c r="AB44" s="5"/>
    </row>
    <row r="45" spans="1:28" x14ac:dyDescent="0.2">
      <c r="A45" s="5">
        <v>50</v>
      </c>
      <c r="B45" s="5">
        <v>0</v>
      </c>
      <c r="C45" s="5">
        <v>0</v>
      </c>
      <c r="D45" s="5">
        <v>1</v>
      </c>
      <c r="E45" s="5">
        <v>231</v>
      </c>
      <c r="F45" s="5">
        <f>ROUND(Source!BB32,O45)</f>
        <v>0</v>
      </c>
      <c r="G45" s="5" t="s">
        <v>64</v>
      </c>
      <c r="H45" s="5" t="s">
        <v>65</v>
      </c>
      <c r="I45" s="5"/>
      <c r="J45" s="5"/>
      <c r="K45" s="5">
        <v>231</v>
      </c>
      <c r="L45" s="5">
        <v>12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0</v>
      </c>
      <c r="X45" s="5">
        <v>1</v>
      </c>
      <c r="Y45" s="5">
        <v>0</v>
      </c>
      <c r="Z45" s="5"/>
      <c r="AA45" s="5"/>
      <c r="AB45" s="5"/>
    </row>
    <row r="46" spans="1:28" x14ac:dyDescent="0.2">
      <c r="A46" s="5">
        <v>50</v>
      </c>
      <c r="B46" s="5">
        <v>0</v>
      </c>
      <c r="C46" s="5">
        <v>0</v>
      </c>
      <c r="D46" s="5">
        <v>1</v>
      </c>
      <c r="E46" s="5">
        <v>204</v>
      </c>
      <c r="F46" s="5">
        <f>ROUND(Source!R32,O46)</f>
        <v>219.9</v>
      </c>
      <c r="G46" s="5" t="s">
        <v>66</v>
      </c>
      <c r="H46" s="5" t="s">
        <v>67</v>
      </c>
      <c r="I46" s="5"/>
      <c r="J46" s="5"/>
      <c r="K46" s="5">
        <v>204</v>
      </c>
      <c r="L46" s="5">
        <v>13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219.9</v>
      </c>
      <c r="X46" s="5">
        <v>1</v>
      </c>
      <c r="Y46" s="5">
        <v>219.9</v>
      </c>
      <c r="Z46" s="5"/>
      <c r="AA46" s="5"/>
      <c r="AB46" s="5"/>
    </row>
    <row r="47" spans="1:28" x14ac:dyDescent="0.2">
      <c r="A47" s="5">
        <v>50</v>
      </c>
      <c r="B47" s="5">
        <v>0</v>
      </c>
      <c r="C47" s="5">
        <v>0</v>
      </c>
      <c r="D47" s="5">
        <v>1</v>
      </c>
      <c r="E47" s="5">
        <v>205</v>
      </c>
      <c r="F47" s="5">
        <f>ROUND(Source!S32,O47)</f>
        <v>56048.07</v>
      </c>
      <c r="G47" s="5" t="s">
        <v>68</v>
      </c>
      <c r="H47" s="5" t="s">
        <v>69</v>
      </c>
      <c r="I47" s="5"/>
      <c r="J47" s="5"/>
      <c r="K47" s="5">
        <v>205</v>
      </c>
      <c r="L47" s="5">
        <v>14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56048.07</v>
      </c>
      <c r="X47" s="5">
        <v>1</v>
      </c>
      <c r="Y47" s="5">
        <v>56048.07</v>
      </c>
      <c r="Z47" s="5"/>
      <c r="AA47" s="5"/>
      <c r="AB47" s="5"/>
    </row>
    <row r="48" spans="1:28" x14ac:dyDescent="0.2">
      <c r="A48" s="5">
        <v>50</v>
      </c>
      <c r="B48" s="5">
        <v>0</v>
      </c>
      <c r="C48" s="5">
        <v>0</v>
      </c>
      <c r="D48" s="5">
        <v>1</v>
      </c>
      <c r="E48" s="5">
        <v>232</v>
      </c>
      <c r="F48" s="5">
        <f>ROUND(Source!BC32,O48)</f>
        <v>0</v>
      </c>
      <c r="G48" s="5" t="s">
        <v>70</v>
      </c>
      <c r="H48" s="5" t="s">
        <v>71</v>
      </c>
      <c r="I48" s="5"/>
      <c r="J48" s="5"/>
      <c r="K48" s="5">
        <v>232</v>
      </c>
      <c r="L48" s="5">
        <v>15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0</v>
      </c>
      <c r="X48" s="5">
        <v>1</v>
      </c>
      <c r="Y48" s="5">
        <v>0</v>
      </c>
      <c r="Z48" s="5"/>
      <c r="AA48" s="5"/>
      <c r="AB48" s="5"/>
    </row>
    <row r="49" spans="1:206" x14ac:dyDescent="0.2">
      <c r="A49" s="5">
        <v>50</v>
      </c>
      <c r="B49" s="5">
        <v>0</v>
      </c>
      <c r="C49" s="5">
        <v>0</v>
      </c>
      <c r="D49" s="5">
        <v>1</v>
      </c>
      <c r="E49" s="5">
        <v>214</v>
      </c>
      <c r="F49" s="5">
        <f>ROUND(Source!AS32,O49)</f>
        <v>147549.89000000001</v>
      </c>
      <c r="G49" s="5" t="s">
        <v>72</v>
      </c>
      <c r="H49" s="5" t="s">
        <v>73</v>
      </c>
      <c r="I49" s="5"/>
      <c r="J49" s="5"/>
      <c r="K49" s="5">
        <v>214</v>
      </c>
      <c r="L49" s="5">
        <v>16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147549.89000000001</v>
      </c>
      <c r="X49" s="5">
        <v>1</v>
      </c>
      <c r="Y49" s="5">
        <v>147549.89000000001</v>
      </c>
      <c r="Z49" s="5"/>
      <c r="AA49" s="5"/>
      <c r="AB49" s="5"/>
    </row>
    <row r="50" spans="1:206" x14ac:dyDescent="0.2">
      <c r="A50" s="5">
        <v>50</v>
      </c>
      <c r="B50" s="5">
        <v>0</v>
      </c>
      <c r="C50" s="5">
        <v>0</v>
      </c>
      <c r="D50" s="5">
        <v>1</v>
      </c>
      <c r="E50" s="5">
        <v>215</v>
      </c>
      <c r="F50" s="5">
        <f>ROUND(Source!AT32,O50)</f>
        <v>0</v>
      </c>
      <c r="G50" s="5" t="s">
        <v>74</v>
      </c>
      <c r="H50" s="5" t="s">
        <v>75</v>
      </c>
      <c r="I50" s="5"/>
      <c r="J50" s="5"/>
      <c r="K50" s="5">
        <v>215</v>
      </c>
      <c r="L50" s="5">
        <v>17</v>
      </c>
      <c r="M50" s="5">
        <v>3</v>
      </c>
      <c r="N50" s="5" t="s">
        <v>3</v>
      </c>
      <c r="O50" s="5">
        <v>2</v>
      </c>
      <c r="P50" s="5"/>
      <c r="Q50" s="5"/>
      <c r="R50" s="5"/>
      <c r="S50" s="5"/>
      <c r="T50" s="5"/>
      <c r="U50" s="5"/>
      <c r="V50" s="5"/>
      <c r="W50" s="5">
        <v>0</v>
      </c>
      <c r="X50" s="5">
        <v>1</v>
      </c>
      <c r="Y50" s="5">
        <v>0</v>
      </c>
      <c r="Z50" s="5"/>
      <c r="AA50" s="5"/>
      <c r="AB50" s="5"/>
    </row>
    <row r="51" spans="1:206" x14ac:dyDescent="0.2">
      <c r="A51" s="5">
        <v>50</v>
      </c>
      <c r="B51" s="5">
        <v>0</v>
      </c>
      <c r="C51" s="5">
        <v>0</v>
      </c>
      <c r="D51" s="5">
        <v>1</v>
      </c>
      <c r="E51" s="5">
        <v>217</v>
      </c>
      <c r="F51" s="5">
        <f>ROUND(Source!AU32,O51)</f>
        <v>0</v>
      </c>
      <c r="G51" s="5" t="s">
        <v>76</v>
      </c>
      <c r="H51" s="5" t="s">
        <v>77</v>
      </c>
      <c r="I51" s="5"/>
      <c r="J51" s="5"/>
      <c r="K51" s="5">
        <v>217</v>
      </c>
      <c r="L51" s="5">
        <v>18</v>
      </c>
      <c r="M51" s="5">
        <v>3</v>
      </c>
      <c r="N51" s="5" t="s">
        <v>3</v>
      </c>
      <c r="O51" s="5">
        <v>2</v>
      </c>
      <c r="P51" s="5"/>
      <c r="Q51" s="5"/>
      <c r="R51" s="5"/>
      <c r="S51" s="5"/>
      <c r="T51" s="5"/>
      <c r="U51" s="5"/>
      <c r="V51" s="5"/>
      <c r="W51" s="5">
        <v>0</v>
      </c>
      <c r="X51" s="5">
        <v>1</v>
      </c>
      <c r="Y51" s="5">
        <v>0</v>
      </c>
      <c r="Z51" s="5"/>
      <c r="AA51" s="5"/>
      <c r="AB51" s="5"/>
    </row>
    <row r="52" spans="1:206" x14ac:dyDescent="0.2">
      <c r="A52" s="5">
        <v>50</v>
      </c>
      <c r="B52" s="5">
        <v>0</v>
      </c>
      <c r="C52" s="5">
        <v>0</v>
      </c>
      <c r="D52" s="5">
        <v>1</v>
      </c>
      <c r="E52" s="5">
        <v>230</v>
      </c>
      <c r="F52" s="5">
        <f>ROUND(Source!BA32,O52)</f>
        <v>0</v>
      </c>
      <c r="G52" s="5" t="s">
        <v>78</v>
      </c>
      <c r="H52" s="5" t="s">
        <v>79</v>
      </c>
      <c r="I52" s="5"/>
      <c r="J52" s="5"/>
      <c r="K52" s="5">
        <v>230</v>
      </c>
      <c r="L52" s="5">
        <v>19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06" x14ac:dyDescent="0.2">
      <c r="A53" s="5">
        <v>50</v>
      </c>
      <c r="B53" s="5">
        <v>0</v>
      </c>
      <c r="C53" s="5">
        <v>0</v>
      </c>
      <c r="D53" s="5">
        <v>1</v>
      </c>
      <c r="E53" s="5">
        <v>206</v>
      </c>
      <c r="F53" s="5">
        <f>ROUND(Source!T32,O53)</f>
        <v>0</v>
      </c>
      <c r="G53" s="5" t="s">
        <v>80</v>
      </c>
      <c r="H53" s="5" t="s">
        <v>81</v>
      </c>
      <c r="I53" s="5"/>
      <c r="J53" s="5"/>
      <c r="K53" s="5">
        <v>206</v>
      </c>
      <c r="L53" s="5">
        <v>20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/>
      <c r="AA53" s="5"/>
      <c r="AB53" s="5"/>
    </row>
    <row r="54" spans="1:206" x14ac:dyDescent="0.2">
      <c r="A54" s="5">
        <v>50</v>
      </c>
      <c r="B54" s="5">
        <v>0</v>
      </c>
      <c r="C54" s="5">
        <v>0</v>
      </c>
      <c r="D54" s="5">
        <v>1</v>
      </c>
      <c r="E54" s="5">
        <v>207</v>
      </c>
      <c r="F54" s="5">
        <f>ROUND(Source!U32,O54)</f>
        <v>83.183295000000001</v>
      </c>
      <c r="G54" s="5" t="s">
        <v>82</v>
      </c>
      <c r="H54" s="5" t="s">
        <v>83</v>
      </c>
      <c r="I54" s="5"/>
      <c r="J54" s="5"/>
      <c r="K54" s="5">
        <v>207</v>
      </c>
      <c r="L54" s="5">
        <v>21</v>
      </c>
      <c r="M54" s="5">
        <v>3</v>
      </c>
      <c r="N54" s="5" t="s">
        <v>3</v>
      </c>
      <c r="O54" s="5">
        <v>7</v>
      </c>
      <c r="P54" s="5"/>
      <c r="Q54" s="5"/>
      <c r="R54" s="5"/>
      <c r="S54" s="5"/>
      <c r="T54" s="5"/>
      <c r="U54" s="5"/>
      <c r="V54" s="5"/>
      <c r="W54" s="5">
        <v>83.183295000000001</v>
      </c>
      <c r="X54" s="5">
        <v>1</v>
      </c>
      <c r="Y54" s="5">
        <v>83.183295000000001</v>
      </c>
      <c r="Z54" s="5"/>
      <c r="AA54" s="5"/>
      <c r="AB54" s="5"/>
    </row>
    <row r="55" spans="1:206" x14ac:dyDescent="0.2">
      <c r="A55" s="5">
        <v>50</v>
      </c>
      <c r="B55" s="5">
        <v>0</v>
      </c>
      <c r="C55" s="5">
        <v>0</v>
      </c>
      <c r="D55" s="5">
        <v>1</v>
      </c>
      <c r="E55" s="5">
        <v>208</v>
      </c>
      <c r="F55" s="5">
        <f>ROUND(Source!V32,O55)</f>
        <v>0.30387500000000001</v>
      </c>
      <c r="G55" s="5" t="s">
        <v>84</v>
      </c>
      <c r="H55" s="5" t="s">
        <v>85</v>
      </c>
      <c r="I55" s="5"/>
      <c r="J55" s="5"/>
      <c r="K55" s="5">
        <v>208</v>
      </c>
      <c r="L55" s="5">
        <v>22</v>
      </c>
      <c r="M55" s="5">
        <v>3</v>
      </c>
      <c r="N55" s="5" t="s">
        <v>3</v>
      </c>
      <c r="O55" s="5">
        <v>7</v>
      </c>
      <c r="P55" s="5"/>
      <c r="Q55" s="5"/>
      <c r="R55" s="5"/>
      <c r="S55" s="5"/>
      <c r="T55" s="5"/>
      <c r="U55" s="5"/>
      <c r="V55" s="5"/>
      <c r="W55" s="5">
        <v>0.30387500000000001</v>
      </c>
      <c r="X55" s="5">
        <v>1</v>
      </c>
      <c r="Y55" s="5">
        <v>0.30387500000000001</v>
      </c>
      <c r="Z55" s="5"/>
      <c r="AA55" s="5"/>
      <c r="AB55" s="5"/>
    </row>
    <row r="56" spans="1:206" x14ac:dyDescent="0.2">
      <c r="A56" s="5">
        <v>50</v>
      </c>
      <c r="B56" s="5">
        <v>0</v>
      </c>
      <c r="C56" s="5">
        <v>0</v>
      </c>
      <c r="D56" s="5">
        <v>1</v>
      </c>
      <c r="E56" s="5">
        <v>209</v>
      </c>
      <c r="F56" s="5">
        <f>ROUND(Source!W32,O56)</f>
        <v>0</v>
      </c>
      <c r="G56" s="5" t="s">
        <v>86</v>
      </c>
      <c r="H56" s="5" t="s">
        <v>87</v>
      </c>
      <c r="I56" s="5"/>
      <c r="J56" s="5"/>
      <c r="K56" s="5">
        <v>209</v>
      </c>
      <c r="L56" s="5">
        <v>23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/>
      <c r="AA56" s="5"/>
      <c r="AB56" s="5"/>
    </row>
    <row r="57" spans="1:206" x14ac:dyDescent="0.2">
      <c r="A57" s="5">
        <v>50</v>
      </c>
      <c r="B57" s="5">
        <v>0</v>
      </c>
      <c r="C57" s="5">
        <v>0</v>
      </c>
      <c r="D57" s="5">
        <v>1</v>
      </c>
      <c r="E57" s="5">
        <v>233</v>
      </c>
      <c r="F57" s="5">
        <f>ROUND(Source!BD32,O57)</f>
        <v>0</v>
      </c>
      <c r="G57" s="5" t="s">
        <v>88</v>
      </c>
      <c r="H57" s="5" t="s">
        <v>89</v>
      </c>
      <c r="I57" s="5"/>
      <c r="J57" s="5"/>
      <c r="K57" s="5">
        <v>233</v>
      </c>
      <c r="L57" s="5">
        <v>24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0</v>
      </c>
      <c r="X57" s="5">
        <v>1</v>
      </c>
      <c r="Y57" s="5">
        <v>0</v>
      </c>
      <c r="Z57" s="5"/>
      <c r="AA57" s="5"/>
      <c r="AB57" s="5"/>
    </row>
    <row r="58" spans="1:206" x14ac:dyDescent="0.2">
      <c r="A58" s="5">
        <v>50</v>
      </c>
      <c r="B58" s="5">
        <v>0</v>
      </c>
      <c r="C58" s="5">
        <v>0</v>
      </c>
      <c r="D58" s="5">
        <v>1</v>
      </c>
      <c r="E58" s="5">
        <v>210</v>
      </c>
      <c r="F58" s="5">
        <f>ROUND(Source!X32,O58)</f>
        <v>50641.17</v>
      </c>
      <c r="G58" s="5" t="s">
        <v>90</v>
      </c>
      <c r="H58" s="5" t="s">
        <v>91</v>
      </c>
      <c r="I58" s="5"/>
      <c r="J58" s="5"/>
      <c r="K58" s="5">
        <v>210</v>
      </c>
      <c r="L58" s="5">
        <v>25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50641.17</v>
      </c>
      <c r="X58" s="5">
        <v>1</v>
      </c>
      <c r="Y58" s="5">
        <v>50641.17</v>
      </c>
      <c r="Z58" s="5"/>
      <c r="AA58" s="5"/>
      <c r="AB58" s="5"/>
    </row>
    <row r="59" spans="1:206" x14ac:dyDescent="0.2">
      <c r="A59" s="5">
        <v>50</v>
      </c>
      <c r="B59" s="5">
        <v>0</v>
      </c>
      <c r="C59" s="5">
        <v>0</v>
      </c>
      <c r="D59" s="5">
        <v>1</v>
      </c>
      <c r="E59" s="5">
        <v>211</v>
      </c>
      <c r="F59" s="5">
        <f>ROUND(Source!Y32,O59)</f>
        <v>23435.61</v>
      </c>
      <c r="G59" s="5" t="s">
        <v>92</v>
      </c>
      <c r="H59" s="5" t="s">
        <v>93</v>
      </c>
      <c r="I59" s="5"/>
      <c r="J59" s="5"/>
      <c r="K59" s="5">
        <v>211</v>
      </c>
      <c r="L59" s="5">
        <v>26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23435.61</v>
      </c>
      <c r="X59" s="5">
        <v>1</v>
      </c>
      <c r="Y59" s="5">
        <v>23435.61</v>
      </c>
      <c r="Z59" s="5"/>
      <c r="AA59" s="5"/>
      <c r="AB59" s="5"/>
    </row>
    <row r="60" spans="1:206" x14ac:dyDescent="0.2">
      <c r="A60" s="5">
        <v>50</v>
      </c>
      <c r="B60" s="5">
        <v>0</v>
      </c>
      <c r="C60" s="5">
        <v>0</v>
      </c>
      <c r="D60" s="5">
        <v>1</v>
      </c>
      <c r="E60" s="5">
        <v>224</v>
      </c>
      <c r="F60" s="5">
        <f>ROUND(Source!AR32,O60)</f>
        <v>147549.89000000001</v>
      </c>
      <c r="G60" s="5" t="s">
        <v>94</v>
      </c>
      <c r="H60" s="5" t="s">
        <v>95</v>
      </c>
      <c r="I60" s="5"/>
      <c r="J60" s="5"/>
      <c r="K60" s="5">
        <v>224</v>
      </c>
      <c r="L60" s="5">
        <v>27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147549.89000000001</v>
      </c>
      <c r="X60" s="5">
        <v>1</v>
      </c>
      <c r="Y60" s="5">
        <v>147549.89000000001</v>
      </c>
      <c r="Z60" s="5"/>
      <c r="AA60" s="5"/>
      <c r="AB60" s="5"/>
    </row>
    <row r="62" spans="1:206" x14ac:dyDescent="0.2">
      <c r="A62" s="1">
        <v>4</v>
      </c>
      <c r="B62" s="1">
        <v>1</v>
      </c>
      <c r="C62" s="1"/>
      <c r="D62" s="1">
        <f>ROW(A120)</f>
        <v>120</v>
      </c>
      <c r="E62" s="1"/>
      <c r="F62" s="1" t="s">
        <v>15</v>
      </c>
      <c r="G62" s="1" t="s">
        <v>96</v>
      </c>
      <c r="H62" s="1" t="s">
        <v>3</v>
      </c>
      <c r="I62" s="1">
        <v>0</v>
      </c>
      <c r="J62" s="1"/>
      <c r="K62" s="1">
        <v>0</v>
      </c>
      <c r="L62" s="1"/>
      <c r="M62" s="1" t="s">
        <v>3</v>
      </c>
      <c r="N62" s="1"/>
      <c r="O62" s="1"/>
      <c r="P62" s="1"/>
      <c r="Q62" s="1"/>
      <c r="R62" s="1"/>
      <c r="S62" s="1">
        <v>0</v>
      </c>
      <c r="T62" s="1"/>
      <c r="U62" s="1" t="s">
        <v>3</v>
      </c>
      <c r="V62" s="1">
        <v>0</v>
      </c>
      <c r="W62" s="1"/>
      <c r="X62" s="1"/>
      <c r="Y62" s="1"/>
      <c r="Z62" s="1"/>
      <c r="AA62" s="1"/>
      <c r="AB62" s="1" t="s">
        <v>3</v>
      </c>
      <c r="AC62" s="1" t="s">
        <v>3</v>
      </c>
      <c r="AD62" s="1" t="s">
        <v>3</v>
      </c>
      <c r="AE62" s="1" t="s">
        <v>3</v>
      </c>
      <c r="AF62" s="1" t="s">
        <v>3</v>
      </c>
      <c r="AG62" s="1" t="s">
        <v>3</v>
      </c>
      <c r="AH62" s="1"/>
      <c r="AI62" s="1"/>
      <c r="AJ62" s="1"/>
      <c r="AK62" s="1"/>
      <c r="AL62" s="1"/>
      <c r="AM62" s="1"/>
      <c r="AN62" s="1"/>
      <c r="AO62" s="1"/>
      <c r="AP62" s="1" t="s">
        <v>3</v>
      </c>
      <c r="AQ62" s="1" t="s">
        <v>3</v>
      </c>
      <c r="AR62" s="1" t="s">
        <v>3</v>
      </c>
      <c r="AS62" s="1"/>
      <c r="AT62" s="1"/>
      <c r="AU62" s="1"/>
      <c r="AV62" s="1"/>
      <c r="AW62" s="1"/>
      <c r="AX62" s="1"/>
      <c r="AY62" s="1"/>
      <c r="AZ62" s="1" t="s">
        <v>3</v>
      </c>
      <c r="BA62" s="1"/>
      <c r="BB62" s="1" t="s">
        <v>3</v>
      </c>
      <c r="BC62" s="1" t="s">
        <v>3</v>
      </c>
      <c r="BD62" s="1" t="s">
        <v>3</v>
      </c>
      <c r="BE62" s="1" t="s">
        <v>3</v>
      </c>
      <c r="BF62" s="1" t="s">
        <v>3</v>
      </c>
      <c r="BG62" s="1" t="s">
        <v>3</v>
      </c>
      <c r="BH62" s="1" t="s">
        <v>3</v>
      </c>
      <c r="BI62" s="1" t="s">
        <v>3</v>
      </c>
      <c r="BJ62" s="1" t="s">
        <v>3</v>
      </c>
      <c r="BK62" s="1" t="s">
        <v>3</v>
      </c>
      <c r="BL62" s="1" t="s">
        <v>3</v>
      </c>
      <c r="BM62" s="1" t="s">
        <v>3</v>
      </c>
      <c r="BN62" s="1" t="s">
        <v>3</v>
      </c>
      <c r="BO62" s="1" t="s">
        <v>3</v>
      </c>
      <c r="BP62" s="1" t="s">
        <v>3</v>
      </c>
      <c r="BQ62" s="1"/>
      <c r="BR62" s="1"/>
      <c r="BS62" s="1"/>
      <c r="BT62" s="1"/>
      <c r="BU62" s="1"/>
      <c r="BV62" s="1"/>
      <c r="BW62" s="1"/>
      <c r="BX62" s="1">
        <v>0</v>
      </c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>
        <v>0</v>
      </c>
    </row>
    <row r="64" spans="1:206" x14ac:dyDescent="0.2">
      <c r="A64" s="3">
        <v>52</v>
      </c>
      <c r="B64" s="3">
        <f t="shared" ref="B64:G64" si="24">B120</f>
        <v>1</v>
      </c>
      <c r="C64" s="3">
        <f t="shared" si="24"/>
        <v>4</v>
      </c>
      <c r="D64" s="3">
        <f t="shared" si="24"/>
        <v>62</v>
      </c>
      <c r="E64" s="3">
        <f t="shared" si="24"/>
        <v>0</v>
      </c>
      <c r="F64" s="3" t="str">
        <f t="shared" si="24"/>
        <v>Новый раздел</v>
      </c>
      <c r="G64" s="3" t="str">
        <f t="shared" si="24"/>
        <v>Холл</v>
      </c>
      <c r="H64" s="3"/>
      <c r="I64" s="3"/>
      <c r="J64" s="3"/>
      <c r="K64" s="3"/>
      <c r="L64" s="3"/>
      <c r="M64" s="3"/>
      <c r="N64" s="3"/>
      <c r="O64" s="3">
        <f t="shared" ref="O64:AT64" si="25">O120</f>
        <v>148922.59</v>
      </c>
      <c r="P64" s="3">
        <f t="shared" si="25"/>
        <v>98184.89</v>
      </c>
      <c r="Q64" s="3">
        <f t="shared" si="25"/>
        <v>771.01</v>
      </c>
      <c r="R64" s="3">
        <f t="shared" si="25"/>
        <v>1177.07</v>
      </c>
      <c r="S64" s="3">
        <f t="shared" si="25"/>
        <v>48789.62</v>
      </c>
      <c r="T64" s="3">
        <f t="shared" si="25"/>
        <v>0</v>
      </c>
      <c r="U64" s="3">
        <f t="shared" si="25"/>
        <v>72.444095000000004</v>
      </c>
      <c r="V64" s="3">
        <f t="shared" si="25"/>
        <v>1.6445625000000001</v>
      </c>
      <c r="W64" s="3">
        <f t="shared" si="25"/>
        <v>0</v>
      </c>
      <c r="X64" s="3">
        <f t="shared" si="25"/>
        <v>45461.01</v>
      </c>
      <c r="Y64" s="3">
        <f t="shared" si="25"/>
        <v>21777.439999999999</v>
      </c>
      <c r="Z64" s="3">
        <f t="shared" si="25"/>
        <v>0</v>
      </c>
      <c r="AA64" s="3">
        <f t="shared" si="25"/>
        <v>0</v>
      </c>
      <c r="AB64" s="3">
        <f t="shared" si="25"/>
        <v>0</v>
      </c>
      <c r="AC64" s="3">
        <f t="shared" si="25"/>
        <v>0</v>
      </c>
      <c r="AD64" s="3">
        <f t="shared" si="25"/>
        <v>0</v>
      </c>
      <c r="AE64" s="3">
        <f t="shared" si="25"/>
        <v>0</v>
      </c>
      <c r="AF64" s="3">
        <f t="shared" si="25"/>
        <v>0</v>
      </c>
      <c r="AG64" s="3">
        <f t="shared" si="25"/>
        <v>0</v>
      </c>
      <c r="AH64" s="3">
        <f t="shared" si="25"/>
        <v>0</v>
      </c>
      <c r="AI64" s="3">
        <f t="shared" si="25"/>
        <v>0</v>
      </c>
      <c r="AJ64" s="3">
        <f t="shared" si="25"/>
        <v>0</v>
      </c>
      <c r="AK64" s="3">
        <f t="shared" si="25"/>
        <v>0</v>
      </c>
      <c r="AL64" s="3">
        <f t="shared" si="25"/>
        <v>0</v>
      </c>
      <c r="AM64" s="3">
        <f t="shared" si="25"/>
        <v>0</v>
      </c>
      <c r="AN64" s="3">
        <f t="shared" si="25"/>
        <v>0</v>
      </c>
      <c r="AO64" s="3">
        <f t="shared" si="25"/>
        <v>0</v>
      </c>
      <c r="AP64" s="3">
        <f t="shared" si="25"/>
        <v>0</v>
      </c>
      <c r="AQ64" s="3">
        <f t="shared" si="25"/>
        <v>0</v>
      </c>
      <c r="AR64" s="3">
        <f t="shared" si="25"/>
        <v>216161.04</v>
      </c>
      <c r="AS64" s="3">
        <f t="shared" si="25"/>
        <v>201215.5</v>
      </c>
      <c r="AT64" s="3">
        <f t="shared" si="25"/>
        <v>14945.54</v>
      </c>
      <c r="AU64" s="3">
        <f t="shared" ref="AU64:BZ64" si="26">AU120</f>
        <v>0</v>
      </c>
      <c r="AV64" s="3">
        <f t="shared" si="26"/>
        <v>98184.89</v>
      </c>
      <c r="AW64" s="3">
        <f t="shared" si="26"/>
        <v>98184.89</v>
      </c>
      <c r="AX64" s="3">
        <f t="shared" si="26"/>
        <v>0</v>
      </c>
      <c r="AY64" s="3">
        <f t="shared" si="26"/>
        <v>98184.89</v>
      </c>
      <c r="AZ64" s="3">
        <f t="shared" si="26"/>
        <v>0</v>
      </c>
      <c r="BA64" s="3">
        <f t="shared" si="26"/>
        <v>0</v>
      </c>
      <c r="BB64" s="3">
        <f t="shared" si="26"/>
        <v>0</v>
      </c>
      <c r="BC64" s="3">
        <f t="shared" si="26"/>
        <v>0</v>
      </c>
      <c r="BD64" s="3">
        <f t="shared" si="26"/>
        <v>0</v>
      </c>
      <c r="BE64" s="3">
        <f t="shared" si="26"/>
        <v>0</v>
      </c>
      <c r="BF64" s="3">
        <f t="shared" si="26"/>
        <v>0</v>
      </c>
      <c r="BG64" s="3">
        <f t="shared" si="26"/>
        <v>0</v>
      </c>
      <c r="BH64" s="3">
        <f t="shared" si="26"/>
        <v>0</v>
      </c>
      <c r="BI64" s="3">
        <f t="shared" si="26"/>
        <v>0</v>
      </c>
      <c r="BJ64" s="3">
        <f t="shared" si="26"/>
        <v>0</v>
      </c>
      <c r="BK64" s="3">
        <f t="shared" si="26"/>
        <v>0</v>
      </c>
      <c r="BL64" s="3">
        <f t="shared" si="26"/>
        <v>0</v>
      </c>
      <c r="BM64" s="3">
        <f t="shared" si="26"/>
        <v>0</v>
      </c>
      <c r="BN64" s="3">
        <f t="shared" si="26"/>
        <v>0</v>
      </c>
      <c r="BO64" s="3">
        <f t="shared" si="26"/>
        <v>0</v>
      </c>
      <c r="BP64" s="3">
        <f t="shared" si="26"/>
        <v>0</v>
      </c>
      <c r="BQ64" s="3">
        <f t="shared" si="26"/>
        <v>0</v>
      </c>
      <c r="BR64" s="3">
        <f t="shared" si="26"/>
        <v>0</v>
      </c>
      <c r="BS64" s="3">
        <f t="shared" si="26"/>
        <v>0</v>
      </c>
      <c r="BT64" s="3">
        <f t="shared" si="26"/>
        <v>0</v>
      </c>
      <c r="BU64" s="3">
        <f t="shared" si="26"/>
        <v>0</v>
      </c>
      <c r="BV64" s="3">
        <f t="shared" si="26"/>
        <v>0</v>
      </c>
      <c r="BW64" s="3">
        <f t="shared" si="26"/>
        <v>0</v>
      </c>
      <c r="BX64" s="3">
        <f t="shared" si="26"/>
        <v>0</v>
      </c>
      <c r="BY64" s="3">
        <f t="shared" si="26"/>
        <v>0</v>
      </c>
      <c r="BZ64" s="3">
        <f t="shared" si="26"/>
        <v>0</v>
      </c>
      <c r="CA64" s="3">
        <f t="shared" ref="CA64:DF64" si="27">CA120</f>
        <v>0</v>
      </c>
      <c r="CB64" s="3">
        <f t="shared" si="27"/>
        <v>0</v>
      </c>
      <c r="CC64" s="3">
        <f t="shared" si="27"/>
        <v>0</v>
      </c>
      <c r="CD64" s="3">
        <f t="shared" si="27"/>
        <v>0</v>
      </c>
      <c r="CE64" s="3">
        <f t="shared" si="27"/>
        <v>0</v>
      </c>
      <c r="CF64" s="3">
        <f t="shared" si="27"/>
        <v>0</v>
      </c>
      <c r="CG64" s="3">
        <f t="shared" si="27"/>
        <v>0</v>
      </c>
      <c r="CH64" s="3">
        <f t="shared" si="27"/>
        <v>0</v>
      </c>
      <c r="CI64" s="3">
        <f t="shared" si="27"/>
        <v>0</v>
      </c>
      <c r="CJ64" s="3">
        <f t="shared" si="27"/>
        <v>0</v>
      </c>
      <c r="CK64" s="3">
        <f t="shared" si="27"/>
        <v>0</v>
      </c>
      <c r="CL64" s="3">
        <f t="shared" si="27"/>
        <v>0</v>
      </c>
      <c r="CM64" s="3">
        <f t="shared" si="27"/>
        <v>0</v>
      </c>
      <c r="CN64" s="3">
        <f t="shared" si="27"/>
        <v>0</v>
      </c>
      <c r="CO64" s="3">
        <f t="shared" si="27"/>
        <v>0</v>
      </c>
      <c r="CP64" s="3">
        <f t="shared" si="27"/>
        <v>0</v>
      </c>
      <c r="CQ64" s="3">
        <f t="shared" si="27"/>
        <v>0</v>
      </c>
      <c r="CR64" s="3">
        <f t="shared" si="27"/>
        <v>0</v>
      </c>
      <c r="CS64" s="3">
        <f t="shared" si="27"/>
        <v>0</v>
      </c>
      <c r="CT64" s="3">
        <f t="shared" si="27"/>
        <v>0</v>
      </c>
      <c r="CU64" s="3">
        <f t="shared" si="27"/>
        <v>0</v>
      </c>
      <c r="CV64" s="3">
        <f t="shared" si="27"/>
        <v>0</v>
      </c>
      <c r="CW64" s="3">
        <f t="shared" si="27"/>
        <v>0</v>
      </c>
      <c r="CX64" s="3">
        <f t="shared" si="27"/>
        <v>0</v>
      </c>
      <c r="CY64" s="3">
        <f t="shared" si="27"/>
        <v>0</v>
      </c>
      <c r="CZ64" s="3">
        <f t="shared" si="27"/>
        <v>0</v>
      </c>
      <c r="DA64" s="3">
        <f t="shared" si="27"/>
        <v>0</v>
      </c>
      <c r="DB64" s="3">
        <f t="shared" si="27"/>
        <v>0</v>
      </c>
      <c r="DC64" s="3">
        <f t="shared" si="27"/>
        <v>0</v>
      </c>
      <c r="DD64" s="3">
        <f t="shared" si="27"/>
        <v>0</v>
      </c>
      <c r="DE64" s="3">
        <f t="shared" si="27"/>
        <v>0</v>
      </c>
      <c r="DF64" s="3">
        <f t="shared" si="27"/>
        <v>0</v>
      </c>
      <c r="DG64" s="4">
        <f t="shared" ref="DG64:EL64" si="28">DG120</f>
        <v>0</v>
      </c>
      <c r="DH64" s="4">
        <f t="shared" si="28"/>
        <v>0</v>
      </c>
      <c r="DI64" s="4">
        <f t="shared" si="28"/>
        <v>0</v>
      </c>
      <c r="DJ64" s="4">
        <f t="shared" si="28"/>
        <v>0</v>
      </c>
      <c r="DK64" s="4">
        <f t="shared" si="28"/>
        <v>0</v>
      </c>
      <c r="DL64" s="4">
        <f t="shared" si="28"/>
        <v>0</v>
      </c>
      <c r="DM64" s="4">
        <f t="shared" si="28"/>
        <v>0</v>
      </c>
      <c r="DN64" s="4">
        <f t="shared" si="28"/>
        <v>0</v>
      </c>
      <c r="DO64" s="4">
        <f t="shared" si="28"/>
        <v>0</v>
      </c>
      <c r="DP64" s="4">
        <f t="shared" si="28"/>
        <v>0</v>
      </c>
      <c r="DQ64" s="4">
        <f t="shared" si="28"/>
        <v>0</v>
      </c>
      <c r="DR64" s="4">
        <f t="shared" si="28"/>
        <v>0</v>
      </c>
      <c r="DS64" s="4">
        <f t="shared" si="28"/>
        <v>0</v>
      </c>
      <c r="DT64" s="4">
        <f t="shared" si="28"/>
        <v>0</v>
      </c>
      <c r="DU64" s="4">
        <f t="shared" si="28"/>
        <v>0</v>
      </c>
      <c r="DV64" s="4">
        <f t="shared" si="28"/>
        <v>0</v>
      </c>
      <c r="DW64" s="4">
        <f t="shared" si="28"/>
        <v>0</v>
      </c>
      <c r="DX64" s="4">
        <f t="shared" si="28"/>
        <v>0</v>
      </c>
      <c r="DY64" s="4">
        <f t="shared" si="28"/>
        <v>0</v>
      </c>
      <c r="DZ64" s="4">
        <f t="shared" si="28"/>
        <v>0</v>
      </c>
      <c r="EA64" s="4">
        <f t="shared" si="28"/>
        <v>0</v>
      </c>
      <c r="EB64" s="4">
        <f t="shared" si="28"/>
        <v>0</v>
      </c>
      <c r="EC64" s="4">
        <f t="shared" si="28"/>
        <v>0</v>
      </c>
      <c r="ED64" s="4">
        <f t="shared" si="28"/>
        <v>0</v>
      </c>
      <c r="EE64" s="4">
        <f t="shared" si="28"/>
        <v>0</v>
      </c>
      <c r="EF64" s="4">
        <f t="shared" si="28"/>
        <v>0</v>
      </c>
      <c r="EG64" s="4">
        <f t="shared" si="28"/>
        <v>0</v>
      </c>
      <c r="EH64" s="4">
        <f t="shared" si="28"/>
        <v>0</v>
      </c>
      <c r="EI64" s="4">
        <f t="shared" si="28"/>
        <v>0</v>
      </c>
      <c r="EJ64" s="4">
        <f t="shared" si="28"/>
        <v>0</v>
      </c>
      <c r="EK64" s="4">
        <f t="shared" si="28"/>
        <v>0</v>
      </c>
      <c r="EL64" s="4">
        <f t="shared" si="28"/>
        <v>0</v>
      </c>
      <c r="EM64" s="4">
        <f t="shared" ref="EM64:FR64" si="29">EM120</f>
        <v>0</v>
      </c>
      <c r="EN64" s="4">
        <f t="shared" si="29"/>
        <v>0</v>
      </c>
      <c r="EO64" s="4">
        <f t="shared" si="29"/>
        <v>0</v>
      </c>
      <c r="EP64" s="4">
        <f t="shared" si="29"/>
        <v>0</v>
      </c>
      <c r="EQ64" s="4">
        <f t="shared" si="29"/>
        <v>0</v>
      </c>
      <c r="ER64" s="4">
        <f t="shared" si="29"/>
        <v>0</v>
      </c>
      <c r="ES64" s="4">
        <f t="shared" si="29"/>
        <v>0</v>
      </c>
      <c r="ET64" s="4">
        <f t="shared" si="29"/>
        <v>0</v>
      </c>
      <c r="EU64" s="4">
        <f t="shared" si="29"/>
        <v>0</v>
      </c>
      <c r="EV64" s="4">
        <f t="shared" si="29"/>
        <v>0</v>
      </c>
      <c r="EW64" s="4">
        <f t="shared" si="29"/>
        <v>0</v>
      </c>
      <c r="EX64" s="4">
        <f t="shared" si="29"/>
        <v>0</v>
      </c>
      <c r="EY64" s="4">
        <f t="shared" si="29"/>
        <v>0</v>
      </c>
      <c r="EZ64" s="4">
        <f t="shared" si="29"/>
        <v>0</v>
      </c>
      <c r="FA64" s="4">
        <f t="shared" si="29"/>
        <v>0</v>
      </c>
      <c r="FB64" s="4">
        <f t="shared" si="29"/>
        <v>0</v>
      </c>
      <c r="FC64" s="4">
        <f t="shared" si="29"/>
        <v>0</v>
      </c>
      <c r="FD64" s="4">
        <f t="shared" si="29"/>
        <v>0</v>
      </c>
      <c r="FE64" s="4">
        <f t="shared" si="29"/>
        <v>0</v>
      </c>
      <c r="FF64" s="4">
        <f t="shared" si="29"/>
        <v>0</v>
      </c>
      <c r="FG64" s="4">
        <f t="shared" si="29"/>
        <v>0</v>
      </c>
      <c r="FH64" s="4">
        <f t="shared" si="29"/>
        <v>0</v>
      </c>
      <c r="FI64" s="4">
        <f t="shared" si="29"/>
        <v>0</v>
      </c>
      <c r="FJ64" s="4">
        <f t="shared" si="29"/>
        <v>0</v>
      </c>
      <c r="FK64" s="4">
        <f t="shared" si="29"/>
        <v>0</v>
      </c>
      <c r="FL64" s="4">
        <f t="shared" si="29"/>
        <v>0</v>
      </c>
      <c r="FM64" s="4">
        <f t="shared" si="29"/>
        <v>0</v>
      </c>
      <c r="FN64" s="4">
        <f t="shared" si="29"/>
        <v>0</v>
      </c>
      <c r="FO64" s="4">
        <f t="shared" si="29"/>
        <v>0</v>
      </c>
      <c r="FP64" s="4">
        <f t="shared" si="29"/>
        <v>0</v>
      </c>
      <c r="FQ64" s="4">
        <f t="shared" si="29"/>
        <v>0</v>
      </c>
      <c r="FR64" s="4">
        <f t="shared" si="29"/>
        <v>0</v>
      </c>
      <c r="FS64" s="4">
        <f t="shared" ref="FS64:GX64" si="30">FS120</f>
        <v>0</v>
      </c>
      <c r="FT64" s="4">
        <f t="shared" si="30"/>
        <v>0</v>
      </c>
      <c r="FU64" s="4">
        <f t="shared" si="30"/>
        <v>0</v>
      </c>
      <c r="FV64" s="4">
        <f t="shared" si="30"/>
        <v>0</v>
      </c>
      <c r="FW64" s="4">
        <f t="shared" si="30"/>
        <v>0</v>
      </c>
      <c r="FX64" s="4">
        <f t="shared" si="30"/>
        <v>0</v>
      </c>
      <c r="FY64" s="4">
        <f t="shared" si="30"/>
        <v>0</v>
      </c>
      <c r="FZ64" s="4">
        <f t="shared" si="30"/>
        <v>0</v>
      </c>
      <c r="GA64" s="4">
        <f t="shared" si="30"/>
        <v>0</v>
      </c>
      <c r="GB64" s="4">
        <f t="shared" si="30"/>
        <v>0</v>
      </c>
      <c r="GC64" s="4">
        <f t="shared" si="30"/>
        <v>0</v>
      </c>
      <c r="GD64" s="4">
        <f t="shared" si="30"/>
        <v>0</v>
      </c>
      <c r="GE64" s="4">
        <f t="shared" si="30"/>
        <v>0</v>
      </c>
      <c r="GF64" s="4">
        <f t="shared" si="30"/>
        <v>0</v>
      </c>
      <c r="GG64" s="4">
        <f t="shared" si="30"/>
        <v>0</v>
      </c>
      <c r="GH64" s="4">
        <f t="shared" si="30"/>
        <v>0</v>
      </c>
      <c r="GI64" s="4">
        <f t="shared" si="30"/>
        <v>0</v>
      </c>
      <c r="GJ64" s="4">
        <f t="shared" si="30"/>
        <v>0</v>
      </c>
      <c r="GK64" s="4">
        <f t="shared" si="30"/>
        <v>0</v>
      </c>
      <c r="GL64" s="4">
        <f t="shared" si="30"/>
        <v>0</v>
      </c>
      <c r="GM64" s="4">
        <f t="shared" si="30"/>
        <v>0</v>
      </c>
      <c r="GN64" s="4">
        <f t="shared" si="30"/>
        <v>0</v>
      </c>
      <c r="GO64" s="4">
        <f t="shared" si="30"/>
        <v>0</v>
      </c>
      <c r="GP64" s="4">
        <f t="shared" si="30"/>
        <v>0</v>
      </c>
      <c r="GQ64" s="4">
        <f t="shared" si="30"/>
        <v>0</v>
      </c>
      <c r="GR64" s="4">
        <f t="shared" si="30"/>
        <v>0</v>
      </c>
      <c r="GS64" s="4">
        <f t="shared" si="30"/>
        <v>0</v>
      </c>
      <c r="GT64" s="4">
        <f t="shared" si="30"/>
        <v>0</v>
      </c>
      <c r="GU64" s="4">
        <f t="shared" si="30"/>
        <v>0</v>
      </c>
      <c r="GV64" s="4">
        <f t="shared" si="30"/>
        <v>0</v>
      </c>
      <c r="GW64" s="4">
        <f t="shared" si="30"/>
        <v>0</v>
      </c>
      <c r="GX64" s="4">
        <f t="shared" si="30"/>
        <v>0</v>
      </c>
    </row>
    <row r="66" spans="1:255" x14ac:dyDescent="0.2">
      <c r="A66" s="1">
        <v>5</v>
      </c>
      <c r="B66" s="1">
        <v>1</v>
      </c>
      <c r="C66" s="1"/>
      <c r="D66" s="1">
        <f>ROW(A90)</f>
        <v>90</v>
      </c>
      <c r="E66" s="1"/>
      <c r="F66" s="1" t="s">
        <v>97</v>
      </c>
      <c r="G66" s="1" t="s">
        <v>98</v>
      </c>
      <c r="H66" s="1" t="s">
        <v>3</v>
      </c>
      <c r="I66" s="1">
        <v>0</v>
      </c>
      <c r="J66" s="1"/>
      <c r="K66" s="1">
        <v>-1</v>
      </c>
      <c r="L66" s="1"/>
      <c r="M66" s="1" t="s">
        <v>3</v>
      </c>
      <c r="N66" s="1"/>
      <c r="O66" s="1"/>
      <c r="P66" s="1"/>
      <c r="Q66" s="1"/>
      <c r="R66" s="1"/>
      <c r="S66" s="1">
        <v>0</v>
      </c>
      <c r="T66" s="1"/>
      <c r="U66" s="1" t="s">
        <v>3</v>
      </c>
      <c r="V66" s="1">
        <v>0</v>
      </c>
      <c r="W66" s="1"/>
      <c r="X66" s="1"/>
      <c r="Y66" s="1"/>
      <c r="Z66" s="1"/>
      <c r="AA66" s="1"/>
      <c r="AB66" s="1" t="s">
        <v>3</v>
      </c>
      <c r="AC66" s="1" t="s">
        <v>3</v>
      </c>
      <c r="AD66" s="1" t="s">
        <v>3</v>
      </c>
      <c r="AE66" s="1" t="s">
        <v>3</v>
      </c>
      <c r="AF66" s="1" t="s">
        <v>3</v>
      </c>
      <c r="AG66" s="1" t="s">
        <v>3</v>
      </c>
      <c r="AH66" s="1"/>
      <c r="AI66" s="1"/>
      <c r="AJ66" s="1"/>
      <c r="AK66" s="1"/>
      <c r="AL66" s="1"/>
      <c r="AM66" s="1"/>
      <c r="AN66" s="1"/>
      <c r="AO66" s="1"/>
      <c r="AP66" s="1" t="s">
        <v>3</v>
      </c>
      <c r="AQ66" s="1" t="s">
        <v>3</v>
      </c>
      <c r="AR66" s="1" t="s">
        <v>3</v>
      </c>
      <c r="AS66" s="1"/>
      <c r="AT66" s="1"/>
      <c r="AU66" s="1"/>
      <c r="AV66" s="1"/>
      <c r="AW66" s="1"/>
      <c r="AX66" s="1"/>
      <c r="AY66" s="1"/>
      <c r="AZ66" s="1" t="s">
        <v>3</v>
      </c>
      <c r="BA66" s="1"/>
      <c r="BB66" s="1" t="s">
        <v>3</v>
      </c>
      <c r="BC66" s="1" t="s">
        <v>3</v>
      </c>
      <c r="BD66" s="1" t="s">
        <v>3</v>
      </c>
      <c r="BE66" s="1" t="s">
        <v>3</v>
      </c>
      <c r="BF66" s="1" t="s">
        <v>3</v>
      </c>
      <c r="BG66" s="1" t="s">
        <v>3</v>
      </c>
      <c r="BH66" s="1" t="s">
        <v>3</v>
      </c>
      <c r="BI66" s="1" t="s">
        <v>3</v>
      </c>
      <c r="BJ66" s="1" t="s">
        <v>3</v>
      </c>
      <c r="BK66" s="1" t="s">
        <v>3</v>
      </c>
      <c r="BL66" s="1" t="s">
        <v>3</v>
      </c>
      <c r="BM66" s="1" t="s">
        <v>3</v>
      </c>
      <c r="BN66" s="1" t="s">
        <v>3</v>
      </c>
      <c r="BO66" s="1" t="s">
        <v>3</v>
      </c>
      <c r="BP66" s="1" t="s">
        <v>3</v>
      </c>
      <c r="BQ66" s="1"/>
      <c r="BR66" s="1"/>
      <c r="BS66" s="1"/>
      <c r="BT66" s="1"/>
      <c r="BU66" s="1"/>
      <c r="BV66" s="1"/>
      <c r="BW66" s="1"/>
      <c r="BX66" s="1">
        <v>0</v>
      </c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>
        <v>0</v>
      </c>
    </row>
    <row r="68" spans="1:255" x14ac:dyDescent="0.2">
      <c r="A68" s="3">
        <v>52</v>
      </c>
      <c r="B68" s="3">
        <f t="shared" ref="B68:G68" si="31">B90</f>
        <v>1</v>
      </c>
      <c r="C68" s="3">
        <f t="shared" si="31"/>
        <v>5</v>
      </c>
      <c r="D68" s="3">
        <f t="shared" si="31"/>
        <v>66</v>
      </c>
      <c r="E68" s="3">
        <f t="shared" si="31"/>
        <v>0</v>
      </c>
      <c r="F68" s="3" t="str">
        <f t="shared" si="31"/>
        <v>Новый подраздел</v>
      </c>
      <c r="G68" s="3" t="str">
        <f t="shared" si="31"/>
        <v>Холл малый</v>
      </c>
      <c r="H68" s="3"/>
      <c r="I68" s="3"/>
      <c r="J68" s="3"/>
      <c r="K68" s="3"/>
      <c r="L68" s="3"/>
      <c r="M68" s="3"/>
      <c r="N68" s="3"/>
      <c r="O68" s="3">
        <f t="shared" ref="O68:AT68" si="32">O90</f>
        <v>148922.59</v>
      </c>
      <c r="P68" s="3">
        <f t="shared" si="32"/>
        <v>98184.89</v>
      </c>
      <c r="Q68" s="3">
        <f t="shared" si="32"/>
        <v>771.01</v>
      </c>
      <c r="R68" s="3">
        <f t="shared" si="32"/>
        <v>1177.07</v>
      </c>
      <c r="S68" s="3">
        <f t="shared" si="32"/>
        <v>48789.62</v>
      </c>
      <c r="T68" s="3">
        <f t="shared" si="32"/>
        <v>0</v>
      </c>
      <c r="U68" s="3">
        <f t="shared" si="32"/>
        <v>72.444095000000004</v>
      </c>
      <c r="V68" s="3">
        <f t="shared" si="32"/>
        <v>1.6445625000000001</v>
      </c>
      <c r="W68" s="3">
        <f t="shared" si="32"/>
        <v>0</v>
      </c>
      <c r="X68" s="3">
        <f t="shared" si="32"/>
        <v>45461.01</v>
      </c>
      <c r="Y68" s="3">
        <f t="shared" si="32"/>
        <v>21777.439999999999</v>
      </c>
      <c r="Z68" s="3">
        <f t="shared" si="32"/>
        <v>0</v>
      </c>
      <c r="AA68" s="3">
        <f t="shared" si="32"/>
        <v>0</v>
      </c>
      <c r="AB68" s="3">
        <f t="shared" si="32"/>
        <v>148922.59</v>
      </c>
      <c r="AC68" s="3">
        <f t="shared" si="32"/>
        <v>98184.89</v>
      </c>
      <c r="AD68" s="3">
        <f t="shared" si="32"/>
        <v>771.01</v>
      </c>
      <c r="AE68" s="3">
        <f t="shared" si="32"/>
        <v>1177.07</v>
      </c>
      <c r="AF68" s="3">
        <f t="shared" si="32"/>
        <v>48789.62</v>
      </c>
      <c r="AG68" s="3">
        <f t="shared" si="32"/>
        <v>0</v>
      </c>
      <c r="AH68" s="3">
        <f t="shared" si="32"/>
        <v>72.444095000000004</v>
      </c>
      <c r="AI68" s="3">
        <f t="shared" si="32"/>
        <v>1.6445625000000001</v>
      </c>
      <c r="AJ68" s="3">
        <f t="shared" si="32"/>
        <v>0</v>
      </c>
      <c r="AK68" s="3">
        <f t="shared" si="32"/>
        <v>45461.01</v>
      </c>
      <c r="AL68" s="3">
        <f t="shared" si="32"/>
        <v>21777.439999999999</v>
      </c>
      <c r="AM68" s="3">
        <f t="shared" si="32"/>
        <v>0</v>
      </c>
      <c r="AN68" s="3">
        <f t="shared" si="32"/>
        <v>0</v>
      </c>
      <c r="AO68" s="3">
        <f t="shared" si="32"/>
        <v>0</v>
      </c>
      <c r="AP68" s="3">
        <f t="shared" si="32"/>
        <v>0</v>
      </c>
      <c r="AQ68" s="3">
        <f t="shared" si="32"/>
        <v>0</v>
      </c>
      <c r="AR68" s="3">
        <f t="shared" si="32"/>
        <v>216161.04</v>
      </c>
      <c r="AS68" s="3">
        <f t="shared" si="32"/>
        <v>201215.5</v>
      </c>
      <c r="AT68" s="3">
        <f t="shared" si="32"/>
        <v>14945.54</v>
      </c>
      <c r="AU68" s="3">
        <f t="shared" ref="AU68:BZ68" si="33">AU90</f>
        <v>0</v>
      </c>
      <c r="AV68" s="3">
        <f t="shared" si="33"/>
        <v>98184.89</v>
      </c>
      <c r="AW68" s="3">
        <f t="shared" si="33"/>
        <v>98184.89</v>
      </c>
      <c r="AX68" s="3">
        <f t="shared" si="33"/>
        <v>0</v>
      </c>
      <c r="AY68" s="3">
        <f t="shared" si="33"/>
        <v>98184.89</v>
      </c>
      <c r="AZ68" s="3">
        <f t="shared" si="33"/>
        <v>0</v>
      </c>
      <c r="BA68" s="3">
        <f t="shared" si="33"/>
        <v>0</v>
      </c>
      <c r="BB68" s="3">
        <f t="shared" si="33"/>
        <v>0</v>
      </c>
      <c r="BC68" s="3">
        <f t="shared" si="33"/>
        <v>0</v>
      </c>
      <c r="BD68" s="3">
        <f t="shared" si="33"/>
        <v>0</v>
      </c>
      <c r="BE68" s="3">
        <f t="shared" si="33"/>
        <v>0</v>
      </c>
      <c r="BF68" s="3">
        <f t="shared" si="33"/>
        <v>0</v>
      </c>
      <c r="BG68" s="3">
        <f t="shared" si="33"/>
        <v>0</v>
      </c>
      <c r="BH68" s="3">
        <f t="shared" si="33"/>
        <v>0</v>
      </c>
      <c r="BI68" s="3">
        <f t="shared" si="33"/>
        <v>0</v>
      </c>
      <c r="BJ68" s="3">
        <f t="shared" si="33"/>
        <v>0</v>
      </c>
      <c r="BK68" s="3">
        <f t="shared" si="33"/>
        <v>0</v>
      </c>
      <c r="BL68" s="3">
        <f t="shared" si="33"/>
        <v>0</v>
      </c>
      <c r="BM68" s="3">
        <f t="shared" si="33"/>
        <v>0</v>
      </c>
      <c r="BN68" s="3">
        <f t="shared" si="33"/>
        <v>0</v>
      </c>
      <c r="BO68" s="3">
        <f t="shared" si="33"/>
        <v>0</v>
      </c>
      <c r="BP68" s="3">
        <f t="shared" si="33"/>
        <v>0</v>
      </c>
      <c r="BQ68" s="3">
        <f t="shared" si="33"/>
        <v>0</v>
      </c>
      <c r="BR68" s="3">
        <f t="shared" si="33"/>
        <v>0</v>
      </c>
      <c r="BS68" s="3">
        <f t="shared" si="33"/>
        <v>0</v>
      </c>
      <c r="BT68" s="3">
        <f t="shared" si="33"/>
        <v>0</v>
      </c>
      <c r="BU68" s="3">
        <f t="shared" si="33"/>
        <v>0</v>
      </c>
      <c r="BV68" s="3">
        <f t="shared" si="33"/>
        <v>0</v>
      </c>
      <c r="BW68" s="3">
        <f t="shared" si="33"/>
        <v>0</v>
      </c>
      <c r="BX68" s="3">
        <f t="shared" si="33"/>
        <v>0</v>
      </c>
      <c r="BY68" s="3">
        <f t="shared" si="33"/>
        <v>0</v>
      </c>
      <c r="BZ68" s="3">
        <f t="shared" si="33"/>
        <v>0</v>
      </c>
      <c r="CA68" s="3">
        <f t="shared" ref="CA68:DF68" si="34">CA90</f>
        <v>216161.04</v>
      </c>
      <c r="CB68" s="3">
        <f t="shared" si="34"/>
        <v>201215.5</v>
      </c>
      <c r="CC68" s="3">
        <f t="shared" si="34"/>
        <v>14945.54</v>
      </c>
      <c r="CD68" s="3">
        <f t="shared" si="34"/>
        <v>0</v>
      </c>
      <c r="CE68" s="3">
        <f t="shared" si="34"/>
        <v>98184.89</v>
      </c>
      <c r="CF68" s="3">
        <f t="shared" si="34"/>
        <v>98184.89</v>
      </c>
      <c r="CG68" s="3">
        <f t="shared" si="34"/>
        <v>0</v>
      </c>
      <c r="CH68" s="3">
        <f t="shared" si="34"/>
        <v>98184.89</v>
      </c>
      <c r="CI68" s="3">
        <f t="shared" si="34"/>
        <v>0</v>
      </c>
      <c r="CJ68" s="3">
        <f t="shared" si="34"/>
        <v>0</v>
      </c>
      <c r="CK68" s="3">
        <f t="shared" si="34"/>
        <v>0</v>
      </c>
      <c r="CL68" s="3">
        <f t="shared" si="34"/>
        <v>0</v>
      </c>
      <c r="CM68" s="3">
        <f t="shared" si="34"/>
        <v>0</v>
      </c>
      <c r="CN68" s="3">
        <f t="shared" si="34"/>
        <v>0</v>
      </c>
      <c r="CO68" s="3">
        <f t="shared" si="34"/>
        <v>0</v>
      </c>
      <c r="CP68" s="3">
        <f t="shared" si="34"/>
        <v>0</v>
      </c>
      <c r="CQ68" s="3">
        <f t="shared" si="34"/>
        <v>0</v>
      </c>
      <c r="CR68" s="3">
        <f t="shared" si="34"/>
        <v>0</v>
      </c>
      <c r="CS68" s="3">
        <f t="shared" si="34"/>
        <v>0</v>
      </c>
      <c r="CT68" s="3">
        <f t="shared" si="34"/>
        <v>0</v>
      </c>
      <c r="CU68" s="3">
        <f t="shared" si="34"/>
        <v>0</v>
      </c>
      <c r="CV68" s="3">
        <f t="shared" si="34"/>
        <v>0</v>
      </c>
      <c r="CW68" s="3">
        <f t="shared" si="34"/>
        <v>0</v>
      </c>
      <c r="CX68" s="3">
        <f t="shared" si="34"/>
        <v>0</v>
      </c>
      <c r="CY68" s="3">
        <f t="shared" si="34"/>
        <v>0</v>
      </c>
      <c r="CZ68" s="3">
        <f t="shared" si="34"/>
        <v>0</v>
      </c>
      <c r="DA68" s="3">
        <f t="shared" si="34"/>
        <v>0</v>
      </c>
      <c r="DB68" s="3">
        <f t="shared" si="34"/>
        <v>0</v>
      </c>
      <c r="DC68" s="3">
        <f t="shared" si="34"/>
        <v>0</v>
      </c>
      <c r="DD68" s="3">
        <f t="shared" si="34"/>
        <v>0</v>
      </c>
      <c r="DE68" s="3">
        <f t="shared" si="34"/>
        <v>0</v>
      </c>
      <c r="DF68" s="3">
        <f t="shared" si="34"/>
        <v>0</v>
      </c>
      <c r="DG68" s="4">
        <f t="shared" ref="DG68:EL68" si="35">DG90</f>
        <v>0</v>
      </c>
      <c r="DH68" s="4">
        <f t="shared" si="35"/>
        <v>0</v>
      </c>
      <c r="DI68" s="4">
        <f t="shared" si="35"/>
        <v>0</v>
      </c>
      <c r="DJ68" s="4">
        <f t="shared" si="35"/>
        <v>0</v>
      </c>
      <c r="DK68" s="4">
        <f t="shared" si="35"/>
        <v>0</v>
      </c>
      <c r="DL68" s="4">
        <f t="shared" si="35"/>
        <v>0</v>
      </c>
      <c r="DM68" s="4">
        <f t="shared" si="35"/>
        <v>0</v>
      </c>
      <c r="DN68" s="4">
        <f t="shared" si="35"/>
        <v>0</v>
      </c>
      <c r="DO68" s="4">
        <f t="shared" si="35"/>
        <v>0</v>
      </c>
      <c r="DP68" s="4">
        <f t="shared" si="35"/>
        <v>0</v>
      </c>
      <c r="DQ68" s="4">
        <f t="shared" si="35"/>
        <v>0</v>
      </c>
      <c r="DR68" s="4">
        <f t="shared" si="35"/>
        <v>0</v>
      </c>
      <c r="DS68" s="4">
        <f t="shared" si="35"/>
        <v>0</v>
      </c>
      <c r="DT68" s="4">
        <f t="shared" si="35"/>
        <v>0</v>
      </c>
      <c r="DU68" s="4">
        <f t="shared" si="35"/>
        <v>0</v>
      </c>
      <c r="DV68" s="4">
        <f t="shared" si="35"/>
        <v>0</v>
      </c>
      <c r="DW68" s="4">
        <f t="shared" si="35"/>
        <v>0</v>
      </c>
      <c r="DX68" s="4">
        <f t="shared" si="35"/>
        <v>0</v>
      </c>
      <c r="DY68" s="4">
        <f t="shared" si="35"/>
        <v>0</v>
      </c>
      <c r="DZ68" s="4">
        <f t="shared" si="35"/>
        <v>0</v>
      </c>
      <c r="EA68" s="4">
        <f t="shared" si="35"/>
        <v>0</v>
      </c>
      <c r="EB68" s="4">
        <f t="shared" si="35"/>
        <v>0</v>
      </c>
      <c r="EC68" s="4">
        <f t="shared" si="35"/>
        <v>0</v>
      </c>
      <c r="ED68" s="4">
        <f t="shared" si="35"/>
        <v>0</v>
      </c>
      <c r="EE68" s="4">
        <f t="shared" si="35"/>
        <v>0</v>
      </c>
      <c r="EF68" s="4">
        <f t="shared" si="35"/>
        <v>0</v>
      </c>
      <c r="EG68" s="4">
        <f t="shared" si="35"/>
        <v>0</v>
      </c>
      <c r="EH68" s="4">
        <f t="shared" si="35"/>
        <v>0</v>
      </c>
      <c r="EI68" s="4">
        <f t="shared" si="35"/>
        <v>0</v>
      </c>
      <c r="EJ68" s="4">
        <f t="shared" si="35"/>
        <v>0</v>
      </c>
      <c r="EK68" s="4">
        <f t="shared" si="35"/>
        <v>0</v>
      </c>
      <c r="EL68" s="4">
        <f t="shared" si="35"/>
        <v>0</v>
      </c>
      <c r="EM68" s="4">
        <f t="shared" ref="EM68:FR68" si="36">EM90</f>
        <v>0</v>
      </c>
      <c r="EN68" s="4">
        <f t="shared" si="36"/>
        <v>0</v>
      </c>
      <c r="EO68" s="4">
        <f t="shared" si="36"/>
        <v>0</v>
      </c>
      <c r="EP68" s="4">
        <f t="shared" si="36"/>
        <v>0</v>
      </c>
      <c r="EQ68" s="4">
        <f t="shared" si="36"/>
        <v>0</v>
      </c>
      <c r="ER68" s="4">
        <f t="shared" si="36"/>
        <v>0</v>
      </c>
      <c r="ES68" s="4">
        <f t="shared" si="36"/>
        <v>0</v>
      </c>
      <c r="ET68" s="4">
        <f t="shared" si="36"/>
        <v>0</v>
      </c>
      <c r="EU68" s="4">
        <f t="shared" si="36"/>
        <v>0</v>
      </c>
      <c r="EV68" s="4">
        <f t="shared" si="36"/>
        <v>0</v>
      </c>
      <c r="EW68" s="4">
        <f t="shared" si="36"/>
        <v>0</v>
      </c>
      <c r="EX68" s="4">
        <f t="shared" si="36"/>
        <v>0</v>
      </c>
      <c r="EY68" s="4">
        <f t="shared" si="36"/>
        <v>0</v>
      </c>
      <c r="EZ68" s="4">
        <f t="shared" si="36"/>
        <v>0</v>
      </c>
      <c r="FA68" s="4">
        <f t="shared" si="36"/>
        <v>0</v>
      </c>
      <c r="FB68" s="4">
        <f t="shared" si="36"/>
        <v>0</v>
      </c>
      <c r="FC68" s="4">
        <f t="shared" si="36"/>
        <v>0</v>
      </c>
      <c r="FD68" s="4">
        <f t="shared" si="36"/>
        <v>0</v>
      </c>
      <c r="FE68" s="4">
        <f t="shared" si="36"/>
        <v>0</v>
      </c>
      <c r="FF68" s="4">
        <f t="shared" si="36"/>
        <v>0</v>
      </c>
      <c r="FG68" s="4">
        <f t="shared" si="36"/>
        <v>0</v>
      </c>
      <c r="FH68" s="4">
        <f t="shared" si="36"/>
        <v>0</v>
      </c>
      <c r="FI68" s="4">
        <f t="shared" si="36"/>
        <v>0</v>
      </c>
      <c r="FJ68" s="4">
        <f t="shared" si="36"/>
        <v>0</v>
      </c>
      <c r="FK68" s="4">
        <f t="shared" si="36"/>
        <v>0</v>
      </c>
      <c r="FL68" s="4">
        <f t="shared" si="36"/>
        <v>0</v>
      </c>
      <c r="FM68" s="4">
        <f t="shared" si="36"/>
        <v>0</v>
      </c>
      <c r="FN68" s="4">
        <f t="shared" si="36"/>
        <v>0</v>
      </c>
      <c r="FO68" s="4">
        <f t="shared" si="36"/>
        <v>0</v>
      </c>
      <c r="FP68" s="4">
        <f t="shared" si="36"/>
        <v>0</v>
      </c>
      <c r="FQ68" s="4">
        <f t="shared" si="36"/>
        <v>0</v>
      </c>
      <c r="FR68" s="4">
        <f t="shared" si="36"/>
        <v>0</v>
      </c>
      <c r="FS68" s="4">
        <f t="shared" ref="FS68:GX68" si="37">FS90</f>
        <v>0</v>
      </c>
      <c r="FT68" s="4">
        <f t="shared" si="37"/>
        <v>0</v>
      </c>
      <c r="FU68" s="4">
        <f t="shared" si="37"/>
        <v>0</v>
      </c>
      <c r="FV68" s="4">
        <f t="shared" si="37"/>
        <v>0</v>
      </c>
      <c r="FW68" s="4">
        <f t="shared" si="37"/>
        <v>0</v>
      </c>
      <c r="FX68" s="4">
        <f t="shared" si="37"/>
        <v>0</v>
      </c>
      <c r="FY68" s="4">
        <f t="shared" si="37"/>
        <v>0</v>
      </c>
      <c r="FZ68" s="4">
        <f t="shared" si="37"/>
        <v>0</v>
      </c>
      <c r="GA68" s="4">
        <f t="shared" si="37"/>
        <v>0</v>
      </c>
      <c r="GB68" s="4">
        <f t="shared" si="37"/>
        <v>0</v>
      </c>
      <c r="GC68" s="4">
        <f t="shared" si="37"/>
        <v>0</v>
      </c>
      <c r="GD68" s="4">
        <f t="shared" si="37"/>
        <v>0</v>
      </c>
      <c r="GE68" s="4">
        <f t="shared" si="37"/>
        <v>0</v>
      </c>
      <c r="GF68" s="4">
        <f t="shared" si="37"/>
        <v>0</v>
      </c>
      <c r="GG68" s="4">
        <f t="shared" si="37"/>
        <v>0</v>
      </c>
      <c r="GH68" s="4">
        <f t="shared" si="37"/>
        <v>0</v>
      </c>
      <c r="GI68" s="4">
        <f t="shared" si="37"/>
        <v>0</v>
      </c>
      <c r="GJ68" s="4">
        <f t="shared" si="37"/>
        <v>0</v>
      </c>
      <c r="GK68" s="4">
        <f t="shared" si="37"/>
        <v>0</v>
      </c>
      <c r="GL68" s="4">
        <f t="shared" si="37"/>
        <v>0</v>
      </c>
      <c r="GM68" s="4">
        <f t="shared" si="37"/>
        <v>0</v>
      </c>
      <c r="GN68" s="4">
        <f t="shared" si="37"/>
        <v>0</v>
      </c>
      <c r="GO68" s="4">
        <f t="shared" si="37"/>
        <v>0</v>
      </c>
      <c r="GP68" s="4">
        <f t="shared" si="37"/>
        <v>0</v>
      </c>
      <c r="GQ68" s="4">
        <f t="shared" si="37"/>
        <v>0</v>
      </c>
      <c r="GR68" s="4">
        <f t="shared" si="37"/>
        <v>0</v>
      </c>
      <c r="GS68" s="4">
        <f t="shared" si="37"/>
        <v>0</v>
      </c>
      <c r="GT68" s="4">
        <f t="shared" si="37"/>
        <v>0</v>
      </c>
      <c r="GU68" s="4">
        <f t="shared" si="37"/>
        <v>0</v>
      </c>
      <c r="GV68" s="4">
        <f t="shared" si="37"/>
        <v>0</v>
      </c>
      <c r="GW68" s="4">
        <f t="shared" si="37"/>
        <v>0</v>
      </c>
      <c r="GX68" s="4">
        <f t="shared" si="37"/>
        <v>0</v>
      </c>
    </row>
    <row r="70" spans="1:255" ht="409.5" x14ac:dyDescent="0.2">
      <c r="A70" s="2">
        <v>17</v>
      </c>
      <c r="B70" s="2">
        <v>1</v>
      </c>
      <c r="C70" s="2">
        <f>ROW(SmtRes!A18)</f>
        <v>18</v>
      </c>
      <c r="D70" s="2">
        <f>ROW(EtalonRes!A18)</f>
        <v>18</v>
      </c>
      <c r="E70" s="2" t="s">
        <v>99</v>
      </c>
      <c r="F70" s="2" t="s">
        <v>18</v>
      </c>
      <c r="G70" s="2" t="s">
        <v>19</v>
      </c>
      <c r="H70" s="2" t="s">
        <v>20</v>
      </c>
      <c r="I70" s="2">
        <f>ROUND(72/100,7)</f>
        <v>0.72</v>
      </c>
      <c r="J70" s="2">
        <v>0</v>
      </c>
      <c r="K70" s="2">
        <f>ROUND(72/100,7)</f>
        <v>0.72</v>
      </c>
      <c r="L70" s="2"/>
      <c r="M70" s="2"/>
      <c r="N70" s="2"/>
      <c r="O70" s="2">
        <f t="shared" ref="O70:O86" si="38">ROUND(CP70,2)</f>
        <v>19108.740000000002</v>
      </c>
      <c r="P70" s="2">
        <f>SUMIF(SmtRes!AQ10:'SmtRes'!AQ18,"=1",SmtRes!DF10:'SmtRes'!DF18)</f>
        <v>727.62000000000012</v>
      </c>
      <c r="Q70" s="2">
        <f>SUMIF(SmtRes!AQ10:'SmtRes'!AQ18,"=1",SmtRes!DG10:'SmtRes'!DG18)</f>
        <v>49.47</v>
      </c>
      <c r="R70" s="2">
        <f>SUMIF(SmtRes!AQ10:'SmtRes'!AQ18,"=1",SmtRes!DH10:'SmtRes'!DH18)</f>
        <v>71.64</v>
      </c>
      <c r="S70" s="2">
        <f>SUMIF(SmtRes!AQ10:'SmtRes'!AQ18,"=1",SmtRes!DI10:'SmtRes'!DI18)</f>
        <v>18260.009999999998</v>
      </c>
      <c r="T70" s="2">
        <f t="shared" ref="T70:T88" si="39">ROUND(CU70*I70,2)</f>
        <v>0</v>
      </c>
      <c r="U70" s="2">
        <f>SUMIF(SmtRes!AQ10:'SmtRes'!AQ18,"=1",SmtRes!CV10:'SmtRes'!CV18)</f>
        <v>27.100439999999999</v>
      </c>
      <c r="V70" s="2">
        <f>SUMIF(SmtRes!AQ10:'SmtRes'!AQ18,"=1",SmtRes!CW10:'SmtRes'!CW18)</f>
        <v>9.8999999999999991E-2</v>
      </c>
      <c r="W70" s="2">
        <f t="shared" ref="W70:W88" si="40">ROUND(CX70*I70,2)</f>
        <v>0</v>
      </c>
      <c r="X70" s="2">
        <f t="shared" ref="X70:X88" si="41">ROUND(CY70,2)</f>
        <v>16498.490000000002</v>
      </c>
      <c r="Y70" s="2">
        <f t="shared" ref="Y70:Y88" si="42">ROUND(CZ70,2)</f>
        <v>7635.13</v>
      </c>
      <c r="Z70" s="2"/>
      <c r="AA70" s="2">
        <v>94240533</v>
      </c>
      <c r="AB70" s="2">
        <f t="shared" ref="AB70:AB88" si="43">ROUND((AC70+AD70+AF70),6)</f>
        <v>26157.37168</v>
      </c>
      <c r="AC70" s="2">
        <f>ROUND((SUM(SmtRes!BQ10:'SmtRes'!BQ18)),6)</f>
        <v>727.75535000000002</v>
      </c>
      <c r="AD70" s="2">
        <f>ROUND((((SUM(SmtRes!BR10:'SmtRes'!BR18))-(SUM(SmtRes!BS10:'SmtRes'!BS18)))+AE70),6)</f>
        <v>68.497624999999999</v>
      </c>
      <c r="AE70" s="2">
        <f>ROUND((SUM(SmtRes!BS10:'SmtRes'!BS18)),6)</f>
        <v>99.500500000000002</v>
      </c>
      <c r="AF70" s="2">
        <f>ROUND((SUM(SmtRes!BT10:'SmtRes'!BT18)),6)</f>
        <v>25361.118705000001</v>
      </c>
      <c r="AG70" s="2">
        <f t="shared" ref="AG70:AG88" si="44">ROUND((AP70),6)</f>
        <v>0</v>
      </c>
      <c r="AH70" s="2">
        <f>(SUM(SmtRes!BU10:'SmtRes'!BU18))</f>
        <v>37.639499999999991</v>
      </c>
      <c r="AI70" s="2">
        <f>(SUM(SmtRes!BV10:'SmtRes'!BV18))</f>
        <v>0.13750000000000001</v>
      </c>
      <c r="AJ70" s="2">
        <f t="shared" ref="AJ70:AJ88" si="45">(AS70)</f>
        <v>0</v>
      </c>
      <c r="AK70" s="2">
        <v>22915.300549999996</v>
      </c>
      <c r="AL70" s="2">
        <v>727.75535000000002</v>
      </c>
      <c r="AM70" s="2">
        <v>54.798099999999998</v>
      </c>
      <c r="AN70" s="2">
        <v>79.600400000000008</v>
      </c>
      <c r="AO70" s="2">
        <v>22053.146699999998</v>
      </c>
      <c r="AP70" s="2">
        <v>0</v>
      </c>
      <c r="AQ70" s="2">
        <v>32.729999999999997</v>
      </c>
      <c r="AR70" s="2">
        <v>0.11</v>
      </c>
      <c r="AS70" s="2">
        <v>0</v>
      </c>
      <c r="AT70" s="2">
        <v>90</v>
      </c>
      <c r="AU70" s="2">
        <v>41.65</v>
      </c>
      <c r="AV70" s="2">
        <v>1</v>
      </c>
      <c r="AW70" s="2">
        <v>1</v>
      </c>
      <c r="AX70" s="2"/>
      <c r="AY70" s="2"/>
      <c r="AZ70" s="2">
        <v>1</v>
      </c>
      <c r="BA70" s="2">
        <v>1</v>
      </c>
      <c r="BB70" s="2">
        <v>1</v>
      </c>
      <c r="BC70" s="2">
        <v>1</v>
      </c>
      <c r="BD70" s="2" t="s">
        <v>3</v>
      </c>
      <c r="BE70" s="2" t="s">
        <v>3</v>
      </c>
      <c r="BF70" s="2" t="s">
        <v>3</v>
      </c>
      <c r="BG70" s="2" t="s">
        <v>3</v>
      </c>
      <c r="BH70" s="2">
        <v>0</v>
      </c>
      <c r="BI70" s="2">
        <v>1</v>
      </c>
      <c r="BJ70" s="2" t="s">
        <v>21</v>
      </c>
      <c r="BK70" s="2"/>
      <c r="BL70" s="2"/>
      <c r="BM70" s="2">
        <v>15001</v>
      </c>
      <c r="BN70" s="2">
        <v>0</v>
      </c>
      <c r="BO70" s="2" t="s">
        <v>3</v>
      </c>
      <c r="BP70" s="2">
        <v>0</v>
      </c>
      <c r="BQ70" s="2">
        <v>2</v>
      </c>
      <c r="BR70" s="2">
        <v>0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 t="s">
        <v>3</v>
      </c>
      <c r="BZ70" s="2">
        <v>100</v>
      </c>
      <c r="CA70" s="2">
        <v>49</v>
      </c>
      <c r="CB70" s="2" t="s">
        <v>3</v>
      </c>
      <c r="CC70" s="2"/>
      <c r="CD70" s="2"/>
      <c r="CE70" s="2">
        <v>0</v>
      </c>
      <c r="CF70" s="2">
        <v>0</v>
      </c>
      <c r="CG70" s="2">
        <v>0</v>
      </c>
      <c r="CH70" s="2"/>
      <c r="CI70" s="2"/>
      <c r="CJ70" s="2"/>
      <c r="CK70" s="2"/>
      <c r="CL70" s="2"/>
      <c r="CM70" s="2">
        <v>0</v>
      </c>
      <c r="CN70" s="7" t="s">
        <v>399</v>
      </c>
      <c r="CO70" s="2">
        <v>0</v>
      </c>
      <c r="CP70" s="2">
        <f t="shared" ref="CP70:CP86" si="46">(P70+Q70+S70+R70)</f>
        <v>19108.739999999998</v>
      </c>
      <c r="CQ70" s="2">
        <f>SUMIF(SmtRes!AQ10:'SmtRes'!AQ18,"=1",SmtRes!AA10:'SmtRes'!AA18)</f>
        <v>76825.3</v>
      </c>
      <c r="CR70" s="2">
        <f>SUMIF(SmtRes!AQ10:'SmtRes'!AQ18,"=1",SmtRes!AB10:'SmtRes'!AB18)</f>
        <v>592.98</v>
      </c>
      <c r="CS70" s="2">
        <f>SUMIF(SmtRes!AQ10:'SmtRes'!AQ18,"=1",SmtRes!AC10:'SmtRes'!AC18)</f>
        <v>1380.3200000000002</v>
      </c>
      <c r="CT70" s="2">
        <f>SUMIF(SmtRes!AQ10:'SmtRes'!AQ18,"=1",SmtRes!AD10:'SmtRes'!AD18)</f>
        <v>673.79</v>
      </c>
      <c r="CU70" s="2">
        <f t="shared" ref="CU70:CU86" si="47">AG70</f>
        <v>0</v>
      </c>
      <c r="CV70" s="2">
        <f>SUMIF(SmtRes!AQ10:'SmtRes'!AQ18,"=1",SmtRes!BU10:'SmtRes'!BU18)</f>
        <v>37.639499999999991</v>
      </c>
      <c r="CW70" s="2">
        <f>SUMIF(SmtRes!AQ10:'SmtRes'!AQ18,"=1",SmtRes!BV10:'SmtRes'!BV18)</f>
        <v>0.13750000000000001</v>
      </c>
      <c r="CX70" s="2">
        <f t="shared" ref="CX70:CX86" si="48">AJ70</f>
        <v>0</v>
      </c>
      <c r="CY70" s="2">
        <f t="shared" ref="CY70:CY77" si="49">(((S70+R70)*AT70)/100)</f>
        <v>16498.484999999997</v>
      </c>
      <c r="CZ70" s="2">
        <f t="shared" ref="CZ70:CZ77" si="50">(((S70+R70)*AU70)/100)</f>
        <v>7635.1322249999994</v>
      </c>
      <c r="DA70" s="2"/>
      <c r="DB70" s="2">
        <v>2</v>
      </c>
      <c r="DC70" s="2" t="s">
        <v>3</v>
      </c>
      <c r="DD70" s="2" t="s">
        <v>3</v>
      </c>
      <c r="DE70" s="2" t="s">
        <v>22</v>
      </c>
      <c r="DF70" s="2" t="s">
        <v>22</v>
      </c>
      <c r="DG70" s="2" t="s">
        <v>23</v>
      </c>
      <c r="DH70" s="2" t="s">
        <v>3</v>
      </c>
      <c r="DI70" s="2" t="s">
        <v>23</v>
      </c>
      <c r="DJ70" s="2" t="s">
        <v>22</v>
      </c>
      <c r="DK70" s="2" t="s">
        <v>3</v>
      </c>
      <c r="DL70" s="2" t="s">
        <v>24</v>
      </c>
      <c r="DM70" s="2" t="s">
        <v>25</v>
      </c>
      <c r="DN70" s="2">
        <v>0</v>
      </c>
      <c r="DO70" s="2">
        <v>0</v>
      </c>
      <c r="DP70" s="2">
        <v>1</v>
      </c>
      <c r="DQ70" s="2">
        <v>1</v>
      </c>
      <c r="DR70" s="2"/>
      <c r="DS70" s="2"/>
      <c r="DT70" s="2"/>
      <c r="DU70" s="2">
        <v>1005</v>
      </c>
      <c r="DV70" s="2" t="s">
        <v>20</v>
      </c>
      <c r="DW70" s="2" t="s">
        <v>20</v>
      </c>
      <c r="DX70" s="2">
        <v>100</v>
      </c>
      <c r="DY70" s="2"/>
      <c r="DZ70" s="2" t="s">
        <v>3</v>
      </c>
      <c r="EA70" s="2" t="s">
        <v>3</v>
      </c>
      <c r="EB70" s="2" t="s">
        <v>3</v>
      </c>
      <c r="EC70" s="2" t="s">
        <v>3</v>
      </c>
      <c r="ED70" s="2"/>
      <c r="EE70" s="2">
        <v>89977019</v>
      </c>
      <c r="EF70" s="2">
        <v>2</v>
      </c>
      <c r="EG70" s="2" t="s">
        <v>26</v>
      </c>
      <c r="EH70" s="2">
        <v>15</v>
      </c>
      <c r="EI70" s="2" t="s">
        <v>27</v>
      </c>
      <c r="EJ70" s="2">
        <v>1</v>
      </c>
      <c r="EK70" s="2">
        <v>15001</v>
      </c>
      <c r="EL70" s="2" t="s">
        <v>27</v>
      </c>
      <c r="EM70" s="2" t="s">
        <v>28</v>
      </c>
      <c r="EN70" s="2"/>
      <c r="EO70" s="2" t="s">
        <v>29</v>
      </c>
      <c r="EP70" s="2"/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32.729999999999997</v>
      </c>
      <c r="EX70" s="2">
        <v>0.11</v>
      </c>
      <c r="EY70" s="2">
        <v>0</v>
      </c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>
        <v>0</v>
      </c>
      <c r="FR70" s="2">
        <v>0</v>
      </c>
      <c r="FS70" s="2">
        <v>0</v>
      </c>
      <c r="FT70" s="2"/>
      <c r="FU70" s="2"/>
      <c r="FV70" s="2"/>
      <c r="FW70" s="2"/>
      <c r="FX70" s="2">
        <v>90</v>
      </c>
      <c r="FY70" s="2">
        <v>41.65</v>
      </c>
      <c r="FZ70" s="2"/>
      <c r="GA70" s="2" t="s">
        <v>3</v>
      </c>
      <c r="GB70" s="2"/>
      <c r="GC70" s="2"/>
      <c r="GD70" s="2">
        <v>1</v>
      </c>
      <c r="GE70" s="2"/>
      <c r="GF70" s="2">
        <v>1488051012</v>
      </c>
      <c r="GG70" s="2">
        <v>2</v>
      </c>
      <c r="GH70" s="2">
        <v>1</v>
      </c>
      <c r="GI70" s="2">
        <v>-2</v>
      </c>
      <c r="GJ70" s="2">
        <v>0</v>
      </c>
      <c r="GK70" s="2">
        <v>0</v>
      </c>
      <c r="GL70" s="2">
        <f t="shared" ref="GL70:GL88" si="51">ROUND(IF(AND(BH70=3,BI70=3,FS70&lt;&gt;0),P70,0),2)</f>
        <v>0</v>
      </c>
      <c r="GM70" s="2">
        <f t="shared" ref="GM70:GM88" si="52">ROUND(O70+X70+Y70,2)+GX70</f>
        <v>43242.36</v>
      </c>
      <c r="GN70" s="2">
        <f t="shared" ref="GN70:GN88" si="53">IF(OR(BI70=0,BI70=1),GM70-GX70,0)</f>
        <v>43242.36</v>
      </c>
      <c r="GO70" s="2">
        <f t="shared" ref="GO70:GO88" si="54">IF(BI70=2,GM70-GX70,0)</f>
        <v>0</v>
      </c>
      <c r="GP70" s="2">
        <f t="shared" ref="GP70:GP88" si="55">IF(BI70=4,GM70-GX70,0)</f>
        <v>0</v>
      </c>
      <c r="GQ70" s="2"/>
      <c r="GR70" s="2">
        <v>0</v>
      </c>
      <c r="GS70" s="2">
        <v>3</v>
      </c>
      <c r="GT70" s="2">
        <v>0</v>
      </c>
      <c r="GU70" s="2" t="s">
        <v>3</v>
      </c>
      <c r="GV70" s="2">
        <f t="shared" ref="GV70:GV88" si="56">ROUND((GT70),6)</f>
        <v>0</v>
      </c>
      <c r="GW70" s="2">
        <v>1</v>
      </c>
      <c r="GX70" s="2">
        <f t="shared" ref="GX70:GX88" si="57">ROUND(HC70*I70,2)</f>
        <v>0</v>
      </c>
      <c r="GY70" s="2"/>
      <c r="GZ70" s="2"/>
      <c r="HA70" s="2">
        <v>0</v>
      </c>
      <c r="HB70" s="2">
        <v>0</v>
      </c>
      <c r="HC70" s="2">
        <f t="shared" ref="HC70:HC86" si="58">GV70*GW70</f>
        <v>0</v>
      </c>
      <c r="HD70" s="2"/>
      <c r="HE70" s="2" t="s">
        <v>3</v>
      </c>
      <c r="HF70" s="2" t="s">
        <v>3</v>
      </c>
      <c r="HG70" s="2"/>
      <c r="HH70" s="2"/>
      <c r="HI70" s="2"/>
      <c r="HJ70" s="2"/>
      <c r="HK70" s="2"/>
      <c r="HL70" s="2"/>
      <c r="HM70" s="2" t="s">
        <v>3</v>
      </c>
      <c r="HN70" s="2" t="s">
        <v>30</v>
      </c>
      <c r="HO70" s="2" t="s">
        <v>31</v>
      </c>
      <c r="HP70" s="2" t="s">
        <v>27</v>
      </c>
      <c r="HQ70" s="2" t="s">
        <v>27</v>
      </c>
      <c r="HR70" s="2"/>
      <c r="HS70" s="2">
        <v>0</v>
      </c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>
        <v>0</v>
      </c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1" spans="1:255" x14ac:dyDescent="0.2">
      <c r="A71" s="2">
        <v>18</v>
      </c>
      <c r="B71" s="2">
        <v>1</v>
      </c>
      <c r="C71" s="2">
        <v>16</v>
      </c>
      <c r="D71" s="2"/>
      <c r="E71" s="2" t="s">
        <v>100</v>
      </c>
      <c r="F71" s="2" t="s">
        <v>33</v>
      </c>
      <c r="G71" s="2" t="s">
        <v>34</v>
      </c>
      <c r="H71" s="2" t="s">
        <v>35</v>
      </c>
      <c r="I71" s="2">
        <f>I70*J71</f>
        <v>2.1600000000000001E-2</v>
      </c>
      <c r="J71" s="2">
        <v>3.0000000000000002E-2</v>
      </c>
      <c r="K71" s="2">
        <v>0.03</v>
      </c>
      <c r="L71" s="2"/>
      <c r="M71" s="2"/>
      <c r="N71" s="2"/>
      <c r="O71" s="2">
        <f t="shared" si="38"/>
        <v>3313.76</v>
      </c>
      <c r="P71" s="2">
        <f>ROUND(CQ71*I71,2)</f>
        <v>3313.76</v>
      </c>
      <c r="Q71" s="2">
        <f>ROUND(CR71*I71,2)</f>
        <v>0</v>
      </c>
      <c r="R71" s="2">
        <f>ROUND(CS71*I71,2)</f>
        <v>0</v>
      </c>
      <c r="S71" s="2">
        <f>ROUND(CT71*I71,2)</f>
        <v>0</v>
      </c>
      <c r="T71" s="2">
        <f t="shared" si="39"/>
        <v>0</v>
      </c>
      <c r="U71" s="2">
        <f>ROUND(CV71*I71,7)</f>
        <v>0</v>
      </c>
      <c r="V71" s="2">
        <f>ROUND(CW71*I71,7)</f>
        <v>0</v>
      </c>
      <c r="W71" s="2">
        <f t="shared" si="40"/>
        <v>0</v>
      </c>
      <c r="X71" s="2">
        <f t="shared" si="41"/>
        <v>0</v>
      </c>
      <c r="Y71" s="2">
        <f t="shared" si="42"/>
        <v>0</v>
      </c>
      <c r="Z71" s="2"/>
      <c r="AA71" s="2">
        <v>94240533</v>
      </c>
      <c r="AB71" s="2">
        <f t="shared" si="43"/>
        <v>87665.56</v>
      </c>
      <c r="AC71" s="2">
        <f>ROUND((ES71),6)</f>
        <v>87665.56</v>
      </c>
      <c r="AD71" s="2">
        <f>ROUND((((ET71)-(EU71))+AE71),6)</f>
        <v>0</v>
      </c>
      <c r="AE71" s="2">
        <f>ROUND((EU71),6)</f>
        <v>0</v>
      </c>
      <c r="AF71" s="2">
        <f>ROUND((EV71),6)</f>
        <v>0</v>
      </c>
      <c r="AG71" s="2">
        <f t="shared" si="44"/>
        <v>0</v>
      </c>
      <c r="AH71" s="2">
        <f>(EW71)</f>
        <v>0</v>
      </c>
      <c r="AI71" s="2">
        <f>(EX71)</f>
        <v>0</v>
      </c>
      <c r="AJ71" s="2">
        <f t="shared" si="45"/>
        <v>0</v>
      </c>
      <c r="AK71" s="2">
        <v>87665.56</v>
      </c>
      <c r="AL71" s="2">
        <v>87665.56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100</v>
      </c>
      <c r="AU71" s="2">
        <v>49</v>
      </c>
      <c r="AV71" s="2">
        <v>1</v>
      </c>
      <c r="AW71" s="2">
        <v>1</v>
      </c>
      <c r="AX71" s="2"/>
      <c r="AY71" s="2"/>
      <c r="AZ71" s="2">
        <v>1</v>
      </c>
      <c r="BA71" s="2">
        <v>1</v>
      </c>
      <c r="BB71" s="2">
        <v>1</v>
      </c>
      <c r="BC71" s="2">
        <v>1.75</v>
      </c>
      <c r="BD71" s="2" t="s">
        <v>3</v>
      </c>
      <c r="BE71" s="2" t="s">
        <v>3</v>
      </c>
      <c r="BF71" s="2" t="s">
        <v>3</v>
      </c>
      <c r="BG71" s="2" t="s">
        <v>3</v>
      </c>
      <c r="BH71" s="2">
        <v>3</v>
      </c>
      <c r="BI71" s="2">
        <v>1</v>
      </c>
      <c r="BJ71" s="2" t="s">
        <v>36</v>
      </c>
      <c r="BK71" s="2"/>
      <c r="BL71" s="2"/>
      <c r="BM71" s="2">
        <v>15001</v>
      </c>
      <c r="BN71" s="2">
        <v>0</v>
      </c>
      <c r="BO71" s="2" t="s">
        <v>33</v>
      </c>
      <c r="BP71" s="2">
        <v>1</v>
      </c>
      <c r="BQ71" s="2">
        <v>2</v>
      </c>
      <c r="BR71" s="2">
        <v>0</v>
      </c>
      <c r="BS71" s="2">
        <v>1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 t="s">
        <v>3</v>
      </c>
      <c r="BZ71" s="2">
        <v>100</v>
      </c>
      <c r="CA71" s="2">
        <v>49</v>
      </c>
      <c r="CB71" s="2" t="s">
        <v>3</v>
      </c>
      <c r="CC71" s="2"/>
      <c r="CD71" s="2"/>
      <c r="CE71" s="2">
        <v>0</v>
      </c>
      <c r="CF71" s="2">
        <v>0</v>
      </c>
      <c r="CG71" s="2">
        <v>0</v>
      </c>
      <c r="CH71" s="2"/>
      <c r="CI71" s="2"/>
      <c r="CJ71" s="2"/>
      <c r="CK71" s="2"/>
      <c r="CL71" s="2"/>
      <c r="CM71" s="2">
        <v>0</v>
      </c>
      <c r="CN71" s="2" t="s">
        <v>3</v>
      </c>
      <c r="CO71" s="2">
        <v>0</v>
      </c>
      <c r="CP71" s="2">
        <f t="shared" si="46"/>
        <v>3313.76</v>
      </c>
      <c r="CQ71" s="2">
        <f>ROUND(AL71*BC71,2)</f>
        <v>153414.73000000001</v>
      </c>
      <c r="CR71" s="2">
        <f>ROUND(AM71*BB71,2)</f>
        <v>0</v>
      </c>
      <c r="CS71" s="2">
        <f>ROUND(AN71*BS71,2)</f>
        <v>0</v>
      </c>
      <c r="CT71" s="2">
        <f>ROUND(AO71*BA71,2)</f>
        <v>0</v>
      </c>
      <c r="CU71" s="2">
        <f t="shared" si="47"/>
        <v>0</v>
      </c>
      <c r="CV71" s="2">
        <f>AH71</f>
        <v>0</v>
      </c>
      <c r="CW71" s="2">
        <f>AI71</f>
        <v>0</v>
      </c>
      <c r="CX71" s="2">
        <f t="shared" si="48"/>
        <v>0</v>
      </c>
      <c r="CY71" s="2">
        <f t="shared" si="49"/>
        <v>0</v>
      </c>
      <c r="CZ71" s="2">
        <f t="shared" si="50"/>
        <v>0</v>
      </c>
      <c r="DA71" s="2"/>
      <c r="DB71" s="2"/>
      <c r="DC71" s="2" t="s">
        <v>3</v>
      </c>
      <c r="DD71" s="2" t="s">
        <v>3</v>
      </c>
      <c r="DE71" s="2" t="s">
        <v>3</v>
      </c>
      <c r="DF71" s="2" t="s">
        <v>3</v>
      </c>
      <c r="DG71" s="2" t="s">
        <v>3</v>
      </c>
      <c r="DH71" s="2" t="s">
        <v>3</v>
      </c>
      <c r="DI71" s="2" t="s">
        <v>3</v>
      </c>
      <c r="DJ71" s="2" t="s">
        <v>3</v>
      </c>
      <c r="DK71" s="2" t="s">
        <v>3</v>
      </c>
      <c r="DL71" s="2" t="s">
        <v>3</v>
      </c>
      <c r="DM71" s="2" t="s">
        <v>3</v>
      </c>
      <c r="DN71" s="2">
        <v>0</v>
      </c>
      <c r="DO71" s="2">
        <v>0</v>
      </c>
      <c r="DP71" s="2">
        <v>1</v>
      </c>
      <c r="DQ71" s="2">
        <v>1</v>
      </c>
      <c r="DR71" s="2"/>
      <c r="DS71" s="2"/>
      <c r="DT71" s="2"/>
      <c r="DU71" s="2">
        <v>1009</v>
      </c>
      <c r="DV71" s="2" t="s">
        <v>35</v>
      </c>
      <c r="DW71" s="2" t="s">
        <v>35</v>
      </c>
      <c r="DX71" s="2">
        <v>1000</v>
      </c>
      <c r="DY71" s="2"/>
      <c r="DZ71" s="2" t="s">
        <v>3</v>
      </c>
      <c r="EA71" s="2" t="s">
        <v>3</v>
      </c>
      <c r="EB71" s="2" t="s">
        <v>3</v>
      </c>
      <c r="EC71" s="2" t="s">
        <v>3</v>
      </c>
      <c r="ED71" s="2"/>
      <c r="EE71" s="2">
        <v>89977019</v>
      </c>
      <c r="EF71" s="2">
        <v>2</v>
      </c>
      <c r="EG71" s="2" t="s">
        <v>26</v>
      </c>
      <c r="EH71" s="2">
        <v>15</v>
      </c>
      <c r="EI71" s="2" t="s">
        <v>27</v>
      </c>
      <c r="EJ71" s="2">
        <v>1</v>
      </c>
      <c r="EK71" s="2">
        <v>15001</v>
      </c>
      <c r="EL71" s="2" t="s">
        <v>27</v>
      </c>
      <c r="EM71" s="2" t="s">
        <v>28</v>
      </c>
      <c r="EN71" s="2"/>
      <c r="EO71" s="2" t="s">
        <v>3</v>
      </c>
      <c r="EP71" s="2"/>
      <c r="EQ71" s="2">
        <v>0</v>
      </c>
      <c r="ER71" s="2">
        <v>87665.56</v>
      </c>
      <c r="ES71" s="2">
        <v>87665.56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>
        <v>0</v>
      </c>
      <c r="FR71" s="2">
        <v>0</v>
      </c>
      <c r="FS71" s="2">
        <v>0</v>
      </c>
      <c r="FT71" s="2"/>
      <c r="FU71" s="2"/>
      <c r="FV71" s="2"/>
      <c r="FW71" s="2"/>
      <c r="FX71" s="2">
        <v>100</v>
      </c>
      <c r="FY71" s="2">
        <v>49</v>
      </c>
      <c r="FZ71" s="2"/>
      <c r="GA71" s="2" t="s">
        <v>3</v>
      </c>
      <c r="GB71" s="2"/>
      <c r="GC71" s="2"/>
      <c r="GD71" s="2">
        <v>1</v>
      </c>
      <c r="GE71" s="2"/>
      <c r="GF71" s="2">
        <v>88817008</v>
      </c>
      <c r="GG71" s="2">
        <v>2</v>
      </c>
      <c r="GH71" s="2">
        <v>1</v>
      </c>
      <c r="GI71" s="2">
        <v>2</v>
      </c>
      <c r="GJ71" s="2">
        <v>0</v>
      </c>
      <c r="GK71" s="2">
        <v>0</v>
      </c>
      <c r="GL71" s="2">
        <f t="shared" si="51"/>
        <v>0</v>
      </c>
      <c r="GM71" s="2">
        <f t="shared" si="52"/>
        <v>3313.76</v>
      </c>
      <c r="GN71" s="2">
        <f t="shared" si="53"/>
        <v>3313.76</v>
      </c>
      <c r="GO71" s="2">
        <f t="shared" si="54"/>
        <v>0</v>
      </c>
      <c r="GP71" s="2">
        <f t="shared" si="55"/>
        <v>0</v>
      </c>
      <c r="GQ71" s="2"/>
      <c r="GR71" s="2">
        <v>0</v>
      </c>
      <c r="GS71" s="2">
        <v>3</v>
      </c>
      <c r="GT71" s="2">
        <v>0</v>
      </c>
      <c r="GU71" s="2" t="s">
        <v>3</v>
      </c>
      <c r="GV71" s="2">
        <f t="shared" si="56"/>
        <v>0</v>
      </c>
      <c r="GW71" s="2">
        <v>1</v>
      </c>
      <c r="GX71" s="2">
        <f t="shared" si="57"/>
        <v>0</v>
      </c>
      <c r="GY71" s="2"/>
      <c r="GZ71" s="2"/>
      <c r="HA71" s="2">
        <v>0</v>
      </c>
      <c r="HB71" s="2">
        <v>0</v>
      </c>
      <c r="HC71" s="2">
        <f t="shared" si="58"/>
        <v>0</v>
      </c>
      <c r="HD71" s="2"/>
      <c r="HE71" s="2" t="s">
        <v>3</v>
      </c>
      <c r="HF71" s="2" t="s">
        <v>3</v>
      </c>
      <c r="HG71" s="2"/>
      <c r="HH71" s="2"/>
      <c r="HI71" s="2"/>
      <c r="HJ71" s="2"/>
      <c r="HK71" s="2"/>
      <c r="HL71" s="2"/>
      <c r="HM71" s="2" t="s">
        <v>3</v>
      </c>
      <c r="HN71" s="2" t="s">
        <v>30</v>
      </c>
      <c r="HO71" s="2" t="s">
        <v>31</v>
      </c>
      <c r="HP71" s="2" t="s">
        <v>27</v>
      </c>
      <c r="HQ71" s="2" t="s">
        <v>27</v>
      </c>
      <c r="HR71" s="2"/>
      <c r="HS71" s="2">
        <v>0</v>
      </c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>
        <v>0</v>
      </c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5" x14ac:dyDescent="0.2">
      <c r="A72" s="2">
        <v>18</v>
      </c>
      <c r="B72" s="2">
        <v>1</v>
      </c>
      <c r="C72" s="2">
        <v>17</v>
      </c>
      <c r="D72" s="2"/>
      <c r="E72" s="2" t="s">
        <v>101</v>
      </c>
      <c r="F72" s="2" t="s">
        <v>38</v>
      </c>
      <c r="G72" s="2" t="s">
        <v>39</v>
      </c>
      <c r="H72" s="2" t="s">
        <v>40</v>
      </c>
      <c r="I72" s="2">
        <f>I70*J72</f>
        <v>14.399999999999999</v>
      </c>
      <c r="J72" s="2">
        <v>20</v>
      </c>
      <c r="K72" s="2">
        <v>20</v>
      </c>
      <c r="L72" s="2"/>
      <c r="M72" s="2"/>
      <c r="N72" s="2"/>
      <c r="O72" s="2">
        <f t="shared" si="38"/>
        <v>1514.45</v>
      </c>
      <c r="P72" s="2">
        <f>ROUND(CQ72*I72,2)</f>
        <v>1514.45</v>
      </c>
      <c r="Q72" s="2">
        <f>ROUND(CR72*I72,2)</f>
        <v>0</v>
      </c>
      <c r="R72" s="2">
        <f>ROUND(CS72*I72,2)</f>
        <v>0</v>
      </c>
      <c r="S72" s="2">
        <f>ROUND(CT72*I72,2)</f>
        <v>0</v>
      </c>
      <c r="T72" s="2">
        <f t="shared" si="39"/>
        <v>0</v>
      </c>
      <c r="U72" s="2">
        <f>ROUND(CV72*I72,7)</f>
        <v>0</v>
      </c>
      <c r="V72" s="2">
        <f>ROUND(CW72*I72,7)</f>
        <v>0</v>
      </c>
      <c r="W72" s="2">
        <f t="shared" si="40"/>
        <v>0</v>
      </c>
      <c r="X72" s="2">
        <f t="shared" si="41"/>
        <v>0</v>
      </c>
      <c r="Y72" s="2">
        <f t="shared" si="42"/>
        <v>0</v>
      </c>
      <c r="Z72" s="2"/>
      <c r="AA72" s="2">
        <v>94240533</v>
      </c>
      <c r="AB72" s="2">
        <f t="shared" si="43"/>
        <v>68.290000000000006</v>
      </c>
      <c r="AC72" s="2">
        <f>ROUND((ES72),6)</f>
        <v>68.290000000000006</v>
      </c>
      <c r="AD72" s="2">
        <f>ROUND((((ET72)-(EU72))+AE72),6)</f>
        <v>0</v>
      </c>
      <c r="AE72" s="2">
        <f>ROUND((EU72),6)</f>
        <v>0</v>
      </c>
      <c r="AF72" s="2">
        <f>ROUND((EV72),6)</f>
        <v>0</v>
      </c>
      <c r="AG72" s="2">
        <f t="shared" si="44"/>
        <v>0</v>
      </c>
      <c r="AH72" s="2">
        <f>(EW72)</f>
        <v>0</v>
      </c>
      <c r="AI72" s="2">
        <f>(EX72)</f>
        <v>0</v>
      </c>
      <c r="AJ72" s="2">
        <f t="shared" si="45"/>
        <v>0</v>
      </c>
      <c r="AK72" s="2">
        <v>68.290000000000006</v>
      </c>
      <c r="AL72" s="2">
        <v>68.290000000000006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100</v>
      </c>
      <c r="AU72" s="2">
        <v>49</v>
      </c>
      <c r="AV72" s="2">
        <v>1</v>
      </c>
      <c r="AW72" s="2">
        <v>1</v>
      </c>
      <c r="AX72" s="2"/>
      <c r="AY72" s="2"/>
      <c r="AZ72" s="2">
        <v>1</v>
      </c>
      <c r="BA72" s="2">
        <v>1</v>
      </c>
      <c r="BB72" s="2">
        <v>1</v>
      </c>
      <c r="BC72" s="2">
        <v>1.54</v>
      </c>
      <c r="BD72" s="2" t="s">
        <v>3</v>
      </c>
      <c r="BE72" s="2" t="s">
        <v>3</v>
      </c>
      <c r="BF72" s="2" t="s">
        <v>3</v>
      </c>
      <c r="BG72" s="2" t="s">
        <v>3</v>
      </c>
      <c r="BH72" s="2">
        <v>3</v>
      </c>
      <c r="BI72" s="2">
        <v>1</v>
      </c>
      <c r="BJ72" s="2" t="s">
        <v>41</v>
      </c>
      <c r="BK72" s="2"/>
      <c r="BL72" s="2"/>
      <c r="BM72" s="2">
        <v>15001</v>
      </c>
      <c r="BN72" s="2">
        <v>0</v>
      </c>
      <c r="BO72" s="2" t="s">
        <v>38</v>
      </c>
      <c r="BP72" s="2">
        <v>1</v>
      </c>
      <c r="BQ72" s="2">
        <v>2</v>
      </c>
      <c r="BR72" s="2">
        <v>0</v>
      </c>
      <c r="BS72" s="2">
        <v>1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 t="s">
        <v>3</v>
      </c>
      <c r="BZ72" s="2">
        <v>100</v>
      </c>
      <c r="CA72" s="2">
        <v>49</v>
      </c>
      <c r="CB72" s="2" t="s">
        <v>3</v>
      </c>
      <c r="CC72" s="2"/>
      <c r="CD72" s="2"/>
      <c r="CE72" s="2">
        <v>0</v>
      </c>
      <c r="CF72" s="2">
        <v>0</v>
      </c>
      <c r="CG72" s="2">
        <v>0</v>
      </c>
      <c r="CH72" s="2"/>
      <c r="CI72" s="2"/>
      <c r="CJ72" s="2"/>
      <c r="CK72" s="2"/>
      <c r="CL72" s="2"/>
      <c r="CM72" s="2">
        <v>0</v>
      </c>
      <c r="CN72" s="2" t="s">
        <v>3</v>
      </c>
      <c r="CO72" s="2">
        <v>0</v>
      </c>
      <c r="CP72" s="2">
        <f t="shared" si="46"/>
        <v>1514.45</v>
      </c>
      <c r="CQ72" s="2">
        <f>ROUND(AL72*BC72,2)</f>
        <v>105.17</v>
      </c>
      <c r="CR72" s="2">
        <f>ROUND(AM72*BB72,2)</f>
        <v>0</v>
      </c>
      <c r="CS72" s="2">
        <f>ROUND(AN72*BS72,2)</f>
        <v>0</v>
      </c>
      <c r="CT72" s="2">
        <f>ROUND(AO72*BA72,2)</f>
        <v>0</v>
      </c>
      <c r="CU72" s="2">
        <f t="shared" si="47"/>
        <v>0</v>
      </c>
      <c r="CV72" s="2">
        <f>AH72</f>
        <v>0</v>
      </c>
      <c r="CW72" s="2">
        <f>AI72</f>
        <v>0</v>
      </c>
      <c r="CX72" s="2">
        <f t="shared" si="48"/>
        <v>0</v>
      </c>
      <c r="CY72" s="2">
        <f t="shared" si="49"/>
        <v>0</v>
      </c>
      <c r="CZ72" s="2">
        <f t="shared" si="50"/>
        <v>0</v>
      </c>
      <c r="DA72" s="2"/>
      <c r="DB72" s="2"/>
      <c r="DC72" s="2" t="s">
        <v>3</v>
      </c>
      <c r="DD72" s="2" t="s">
        <v>3</v>
      </c>
      <c r="DE72" s="2" t="s">
        <v>3</v>
      </c>
      <c r="DF72" s="2" t="s">
        <v>3</v>
      </c>
      <c r="DG72" s="2" t="s">
        <v>3</v>
      </c>
      <c r="DH72" s="2" t="s">
        <v>3</v>
      </c>
      <c r="DI72" s="2" t="s">
        <v>3</v>
      </c>
      <c r="DJ72" s="2" t="s">
        <v>3</v>
      </c>
      <c r="DK72" s="2" t="s">
        <v>3</v>
      </c>
      <c r="DL72" s="2" t="s">
        <v>3</v>
      </c>
      <c r="DM72" s="2" t="s">
        <v>3</v>
      </c>
      <c r="DN72" s="2">
        <v>0</v>
      </c>
      <c r="DO72" s="2">
        <v>0</v>
      </c>
      <c r="DP72" s="2">
        <v>1</v>
      </c>
      <c r="DQ72" s="2">
        <v>1</v>
      </c>
      <c r="DR72" s="2"/>
      <c r="DS72" s="2"/>
      <c r="DT72" s="2"/>
      <c r="DU72" s="2">
        <v>1009</v>
      </c>
      <c r="DV72" s="2" t="s">
        <v>40</v>
      </c>
      <c r="DW72" s="2" t="s">
        <v>40</v>
      </c>
      <c r="DX72" s="2">
        <v>1</v>
      </c>
      <c r="DY72" s="2"/>
      <c r="DZ72" s="2" t="s">
        <v>3</v>
      </c>
      <c r="EA72" s="2" t="s">
        <v>3</v>
      </c>
      <c r="EB72" s="2" t="s">
        <v>3</v>
      </c>
      <c r="EC72" s="2" t="s">
        <v>3</v>
      </c>
      <c r="ED72" s="2"/>
      <c r="EE72" s="2">
        <v>89977019</v>
      </c>
      <c r="EF72" s="2">
        <v>2</v>
      </c>
      <c r="EG72" s="2" t="s">
        <v>26</v>
      </c>
      <c r="EH72" s="2">
        <v>15</v>
      </c>
      <c r="EI72" s="2" t="s">
        <v>27</v>
      </c>
      <c r="EJ72" s="2">
        <v>1</v>
      </c>
      <c r="EK72" s="2">
        <v>15001</v>
      </c>
      <c r="EL72" s="2" t="s">
        <v>27</v>
      </c>
      <c r="EM72" s="2" t="s">
        <v>28</v>
      </c>
      <c r="EN72" s="2"/>
      <c r="EO72" s="2" t="s">
        <v>3</v>
      </c>
      <c r="EP72" s="2"/>
      <c r="EQ72" s="2">
        <v>0</v>
      </c>
      <c r="ER72" s="2">
        <v>68.290000000000006</v>
      </c>
      <c r="ES72" s="2">
        <v>68.290000000000006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>
        <v>0</v>
      </c>
      <c r="FR72" s="2">
        <v>0</v>
      </c>
      <c r="FS72" s="2">
        <v>0</v>
      </c>
      <c r="FT72" s="2"/>
      <c r="FU72" s="2"/>
      <c r="FV72" s="2"/>
      <c r="FW72" s="2"/>
      <c r="FX72" s="2">
        <v>100</v>
      </c>
      <c r="FY72" s="2">
        <v>49</v>
      </c>
      <c r="FZ72" s="2"/>
      <c r="GA72" s="2" t="s">
        <v>3</v>
      </c>
      <c r="GB72" s="2"/>
      <c r="GC72" s="2"/>
      <c r="GD72" s="2">
        <v>1</v>
      </c>
      <c r="GE72" s="2"/>
      <c r="GF72" s="2">
        <v>1546742732</v>
      </c>
      <c r="GG72" s="2">
        <v>2</v>
      </c>
      <c r="GH72" s="2">
        <v>1</v>
      </c>
      <c r="GI72" s="2">
        <v>2</v>
      </c>
      <c r="GJ72" s="2">
        <v>0</v>
      </c>
      <c r="GK72" s="2">
        <v>0</v>
      </c>
      <c r="GL72" s="2">
        <f t="shared" si="51"/>
        <v>0</v>
      </c>
      <c r="GM72" s="2">
        <f t="shared" si="52"/>
        <v>1514.45</v>
      </c>
      <c r="GN72" s="2">
        <f t="shared" si="53"/>
        <v>1514.45</v>
      </c>
      <c r="GO72" s="2">
        <f t="shared" si="54"/>
        <v>0</v>
      </c>
      <c r="GP72" s="2">
        <f t="shared" si="55"/>
        <v>0</v>
      </c>
      <c r="GQ72" s="2"/>
      <c r="GR72" s="2">
        <v>0</v>
      </c>
      <c r="GS72" s="2">
        <v>3</v>
      </c>
      <c r="GT72" s="2">
        <v>0</v>
      </c>
      <c r="GU72" s="2" t="s">
        <v>3</v>
      </c>
      <c r="GV72" s="2">
        <f t="shared" si="56"/>
        <v>0</v>
      </c>
      <c r="GW72" s="2">
        <v>1</v>
      </c>
      <c r="GX72" s="2">
        <f t="shared" si="57"/>
        <v>0</v>
      </c>
      <c r="GY72" s="2"/>
      <c r="GZ72" s="2"/>
      <c r="HA72" s="2">
        <v>0</v>
      </c>
      <c r="HB72" s="2">
        <v>0</v>
      </c>
      <c r="HC72" s="2">
        <f t="shared" si="58"/>
        <v>0</v>
      </c>
      <c r="HD72" s="2"/>
      <c r="HE72" s="2" t="s">
        <v>3</v>
      </c>
      <c r="HF72" s="2" t="s">
        <v>3</v>
      </c>
      <c r="HG72" s="2"/>
      <c r="HH72" s="2"/>
      <c r="HI72" s="2"/>
      <c r="HJ72" s="2"/>
      <c r="HK72" s="2"/>
      <c r="HL72" s="2"/>
      <c r="HM72" s="2" t="s">
        <v>3</v>
      </c>
      <c r="HN72" s="2" t="s">
        <v>30</v>
      </c>
      <c r="HO72" s="2" t="s">
        <v>31</v>
      </c>
      <c r="HP72" s="2" t="s">
        <v>27</v>
      </c>
      <c r="HQ72" s="2" t="s">
        <v>27</v>
      </c>
      <c r="HR72" s="2"/>
      <c r="HS72" s="2">
        <v>0</v>
      </c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>
        <v>0</v>
      </c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5" x14ac:dyDescent="0.2">
      <c r="A73" s="2">
        <v>17</v>
      </c>
      <c r="B73" s="2">
        <v>1</v>
      </c>
      <c r="C73" s="2">
        <f>ROW(SmtRes!A20)</f>
        <v>20</v>
      </c>
      <c r="D73" s="2">
        <f>ROW(EtalonRes!A20)</f>
        <v>20</v>
      </c>
      <c r="E73" s="2" t="s">
        <v>102</v>
      </c>
      <c r="F73" s="2" t="s">
        <v>103</v>
      </c>
      <c r="G73" s="2" t="s">
        <v>104</v>
      </c>
      <c r="H73" s="2" t="s">
        <v>105</v>
      </c>
      <c r="I73" s="2">
        <f>ROUND(15/100,7)</f>
        <v>0.15</v>
      </c>
      <c r="J73" s="2">
        <v>0</v>
      </c>
      <c r="K73" s="2">
        <f>ROUND(15/100,7)</f>
        <v>0.15</v>
      </c>
      <c r="L73" s="2"/>
      <c r="M73" s="2"/>
      <c r="N73" s="2"/>
      <c r="O73" s="2">
        <f t="shared" si="38"/>
        <v>336.29</v>
      </c>
      <c r="P73" s="2">
        <f>SUMIF(SmtRes!AQ19:'SmtRes'!AQ20,"=1",SmtRes!DF19:'SmtRes'!DF20)</f>
        <v>0</v>
      </c>
      <c r="Q73" s="2">
        <f>SUMIF(SmtRes!AQ19:'SmtRes'!AQ20,"=1",SmtRes!DG19:'SmtRes'!DG20)</f>
        <v>0</v>
      </c>
      <c r="R73" s="2">
        <f>SUMIF(SmtRes!AQ19:'SmtRes'!AQ20,"=1",SmtRes!DH19:'SmtRes'!DH20)</f>
        <v>0</v>
      </c>
      <c r="S73" s="2">
        <f>SUMIF(SmtRes!AQ19:'SmtRes'!AQ20,"=1",SmtRes!DI19:'SmtRes'!DI20)</f>
        <v>336.29</v>
      </c>
      <c r="T73" s="2">
        <f t="shared" si="39"/>
        <v>0</v>
      </c>
      <c r="U73" s="2">
        <f>SUMIF(SmtRes!AQ19:'SmtRes'!AQ20,"=1",SmtRes!CV19:'SmtRes'!CV20)</f>
        <v>0.5655</v>
      </c>
      <c r="V73" s="2">
        <f>SUMIF(SmtRes!AQ19:'SmtRes'!AQ20,"=1",SmtRes!CW19:'SmtRes'!CW20)</f>
        <v>0</v>
      </c>
      <c r="W73" s="2">
        <f t="shared" si="40"/>
        <v>0</v>
      </c>
      <c r="X73" s="2">
        <f t="shared" si="41"/>
        <v>299.3</v>
      </c>
      <c r="Y73" s="2">
        <f t="shared" si="42"/>
        <v>164.78</v>
      </c>
      <c r="Z73" s="2"/>
      <c r="AA73" s="2">
        <v>94240533</v>
      </c>
      <c r="AB73" s="2">
        <f t="shared" si="43"/>
        <v>2241.9436000000001</v>
      </c>
      <c r="AC73" s="2">
        <f>ROUND((0),6)</f>
        <v>0</v>
      </c>
      <c r="AD73" s="2">
        <f>ROUND((((0)-(0))+AE73),6)</f>
        <v>0</v>
      </c>
      <c r="AE73" s="2">
        <f>ROUND((0),6)</f>
        <v>0</v>
      </c>
      <c r="AF73" s="2">
        <f>ROUND((SUM(SmtRes!BT19:'SmtRes'!BT20)),6)</f>
        <v>2241.9436000000001</v>
      </c>
      <c r="AG73" s="2">
        <f t="shared" si="44"/>
        <v>0</v>
      </c>
      <c r="AH73" s="2">
        <f>(SUM(SmtRes!BU19:'SmtRes'!BU20))</f>
        <v>3.77</v>
      </c>
      <c r="AI73" s="2">
        <f>(0)</f>
        <v>0</v>
      </c>
      <c r="AJ73" s="2">
        <f t="shared" si="45"/>
        <v>0</v>
      </c>
      <c r="AK73" s="2">
        <v>2241.9435999999996</v>
      </c>
      <c r="AL73" s="2">
        <v>0</v>
      </c>
      <c r="AM73" s="2">
        <v>0</v>
      </c>
      <c r="AN73" s="2">
        <v>0</v>
      </c>
      <c r="AO73" s="2">
        <v>2241.9435999999996</v>
      </c>
      <c r="AP73" s="2">
        <v>0</v>
      </c>
      <c r="AQ73" s="2">
        <v>3.77</v>
      </c>
      <c r="AR73" s="2">
        <v>0</v>
      </c>
      <c r="AS73" s="2">
        <v>0</v>
      </c>
      <c r="AT73" s="2">
        <v>89</v>
      </c>
      <c r="AU73" s="2">
        <v>49</v>
      </c>
      <c r="AV73" s="2">
        <v>1</v>
      </c>
      <c r="AW73" s="2">
        <v>1</v>
      </c>
      <c r="AX73" s="2"/>
      <c r="AY73" s="2"/>
      <c r="AZ73" s="2">
        <v>1</v>
      </c>
      <c r="BA73" s="2">
        <v>1</v>
      </c>
      <c r="BB73" s="2">
        <v>1</v>
      </c>
      <c r="BC73" s="2">
        <v>1</v>
      </c>
      <c r="BD73" s="2" t="s">
        <v>3</v>
      </c>
      <c r="BE73" s="2" t="s">
        <v>3</v>
      </c>
      <c r="BF73" s="2" t="s">
        <v>3</v>
      </c>
      <c r="BG73" s="2" t="s">
        <v>3</v>
      </c>
      <c r="BH73" s="2">
        <v>0</v>
      </c>
      <c r="BI73" s="2">
        <v>1</v>
      </c>
      <c r="BJ73" s="2" t="s">
        <v>106</v>
      </c>
      <c r="BK73" s="2"/>
      <c r="BL73" s="2"/>
      <c r="BM73" s="2">
        <v>57001</v>
      </c>
      <c r="BN73" s="2">
        <v>0</v>
      </c>
      <c r="BO73" s="2" t="s">
        <v>3</v>
      </c>
      <c r="BP73" s="2">
        <v>0</v>
      </c>
      <c r="BQ73" s="2">
        <v>6</v>
      </c>
      <c r="BR73" s="2">
        <v>0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 t="s">
        <v>3</v>
      </c>
      <c r="BZ73" s="2">
        <v>89</v>
      </c>
      <c r="CA73" s="2">
        <v>49</v>
      </c>
      <c r="CB73" s="2" t="s">
        <v>3</v>
      </c>
      <c r="CC73" s="2"/>
      <c r="CD73" s="2"/>
      <c r="CE73" s="2">
        <v>0</v>
      </c>
      <c r="CF73" s="2">
        <v>0</v>
      </c>
      <c r="CG73" s="2">
        <v>0</v>
      </c>
      <c r="CH73" s="2"/>
      <c r="CI73" s="2"/>
      <c r="CJ73" s="2"/>
      <c r="CK73" s="2"/>
      <c r="CL73" s="2"/>
      <c r="CM73" s="2">
        <v>0</v>
      </c>
      <c r="CN73" s="2" t="s">
        <v>3</v>
      </c>
      <c r="CO73" s="2">
        <v>0</v>
      </c>
      <c r="CP73" s="2">
        <f t="shared" si="46"/>
        <v>336.29</v>
      </c>
      <c r="CQ73" s="2">
        <f>SUMIF(SmtRes!AQ19:'SmtRes'!AQ20,"=1",SmtRes!AA19:'SmtRes'!AA20)</f>
        <v>0</v>
      </c>
      <c r="CR73" s="2">
        <f>SUMIF(SmtRes!AQ19:'SmtRes'!AQ20,"=1",SmtRes!AB19:'SmtRes'!AB20)</f>
        <v>0</v>
      </c>
      <c r="CS73" s="2">
        <f>SUMIF(SmtRes!AQ19:'SmtRes'!AQ20,"=1",SmtRes!AC19:'SmtRes'!AC20)</f>
        <v>0</v>
      </c>
      <c r="CT73" s="2">
        <f>SUMIF(SmtRes!AQ19:'SmtRes'!AQ20,"=1",SmtRes!AD19:'SmtRes'!AD20)</f>
        <v>594.67999999999995</v>
      </c>
      <c r="CU73" s="2">
        <f t="shared" si="47"/>
        <v>0</v>
      </c>
      <c r="CV73" s="2">
        <f>SUMIF(SmtRes!AQ19:'SmtRes'!AQ20,"=1",SmtRes!BU19:'SmtRes'!BU20)</f>
        <v>3.77</v>
      </c>
      <c r="CW73" s="2">
        <f>SUMIF(SmtRes!AQ19:'SmtRes'!AQ20,"=1",SmtRes!BV19:'SmtRes'!BV20)</f>
        <v>0</v>
      </c>
      <c r="CX73" s="2">
        <f t="shared" si="48"/>
        <v>0</v>
      </c>
      <c r="CY73" s="2">
        <f t="shared" si="49"/>
        <v>299.29810000000003</v>
      </c>
      <c r="CZ73" s="2">
        <f t="shared" si="50"/>
        <v>164.78210000000001</v>
      </c>
      <c r="DA73" s="2"/>
      <c r="DB73" s="2"/>
      <c r="DC73" s="2" t="s">
        <v>3</v>
      </c>
      <c r="DD73" s="2" t="s">
        <v>3</v>
      </c>
      <c r="DE73" s="2" t="s">
        <v>3</v>
      </c>
      <c r="DF73" s="2" t="s">
        <v>3</v>
      </c>
      <c r="DG73" s="2" t="s">
        <v>3</v>
      </c>
      <c r="DH73" s="2" t="s">
        <v>3</v>
      </c>
      <c r="DI73" s="2" t="s">
        <v>3</v>
      </c>
      <c r="DJ73" s="2" t="s">
        <v>3</v>
      </c>
      <c r="DK73" s="2" t="s">
        <v>3</v>
      </c>
      <c r="DL73" s="2" t="s">
        <v>3</v>
      </c>
      <c r="DM73" s="2" t="s">
        <v>3</v>
      </c>
      <c r="DN73" s="2">
        <v>0</v>
      </c>
      <c r="DO73" s="2">
        <v>0</v>
      </c>
      <c r="DP73" s="2">
        <v>1</v>
      </c>
      <c r="DQ73" s="2">
        <v>1</v>
      </c>
      <c r="DR73" s="2"/>
      <c r="DS73" s="2"/>
      <c r="DT73" s="2"/>
      <c r="DU73" s="2">
        <v>1003</v>
      </c>
      <c r="DV73" s="2" t="s">
        <v>105</v>
      </c>
      <c r="DW73" s="2" t="s">
        <v>105</v>
      </c>
      <c r="DX73" s="2">
        <v>100</v>
      </c>
      <c r="DY73" s="2"/>
      <c r="DZ73" s="2" t="s">
        <v>3</v>
      </c>
      <c r="EA73" s="2" t="s">
        <v>3</v>
      </c>
      <c r="EB73" s="2" t="s">
        <v>3</v>
      </c>
      <c r="EC73" s="2" t="s">
        <v>3</v>
      </c>
      <c r="ED73" s="2"/>
      <c r="EE73" s="2">
        <v>89977071</v>
      </c>
      <c r="EF73" s="2">
        <v>6</v>
      </c>
      <c r="EG73" s="2" t="s">
        <v>107</v>
      </c>
      <c r="EH73" s="2">
        <v>11</v>
      </c>
      <c r="EI73" s="2" t="s">
        <v>108</v>
      </c>
      <c r="EJ73" s="2">
        <v>1</v>
      </c>
      <c r="EK73" s="2">
        <v>57001</v>
      </c>
      <c r="EL73" s="2" t="s">
        <v>108</v>
      </c>
      <c r="EM73" s="2" t="s">
        <v>109</v>
      </c>
      <c r="EN73" s="2"/>
      <c r="EO73" s="2" t="s">
        <v>3</v>
      </c>
      <c r="EP73" s="2"/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3.77</v>
      </c>
      <c r="EX73" s="2">
        <v>0</v>
      </c>
      <c r="EY73" s="2">
        <v>0</v>
      </c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>
        <v>0</v>
      </c>
      <c r="FR73" s="2">
        <v>0</v>
      </c>
      <c r="FS73" s="2">
        <v>0</v>
      </c>
      <c r="FT73" s="2"/>
      <c r="FU73" s="2"/>
      <c r="FV73" s="2"/>
      <c r="FW73" s="2"/>
      <c r="FX73" s="2">
        <v>89</v>
      </c>
      <c r="FY73" s="2">
        <v>49</v>
      </c>
      <c r="FZ73" s="2"/>
      <c r="GA73" s="2" t="s">
        <v>3</v>
      </c>
      <c r="GB73" s="2"/>
      <c r="GC73" s="2"/>
      <c r="GD73" s="2">
        <v>1</v>
      </c>
      <c r="GE73" s="2"/>
      <c r="GF73" s="2">
        <v>1372317352</v>
      </c>
      <c r="GG73" s="2">
        <v>2</v>
      </c>
      <c r="GH73" s="2">
        <v>1</v>
      </c>
      <c r="GI73" s="2">
        <v>-2</v>
      </c>
      <c r="GJ73" s="2">
        <v>0</v>
      </c>
      <c r="GK73" s="2">
        <v>0</v>
      </c>
      <c r="GL73" s="2">
        <f t="shared" si="51"/>
        <v>0</v>
      </c>
      <c r="GM73" s="2">
        <f t="shared" si="52"/>
        <v>800.37</v>
      </c>
      <c r="GN73" s="2">
        <f t="shared" si="53"/>
        <v>800.37</v>
      </c>
      <c r="GO73" s="2">
        <f t="shared" si="54"/>
        <v>0</v>
      </c>
      <c r="GP73" s="2">
        <f t="shared" si="55"/>
        <v>0</v>
      </c>
      <c r="GQ73" s="2"/>
      <c r="GR73" s="2">
        <v>0</v>
      </c>
      <c r="GS73" s="2">
        <v>0</v>
      </c>
      <c r="GT73" s="2">
        <v>0</v>
      </c>
      <c r="GU73" s="2" t="s">
        <v>3</v>
      </c>
      <c r="GV73" s="2">
        <f t="shared" si="56"/>
        <v>0</v>
      </c>
      <c r="GW73" s="2">
        <v>1</v>
      </c>
      <c r="GX73" s="2">
        <f t="shared" si="57"/>
        <v>0</v>
      </c>
      <c r="GY73" s="2"/>
      <c r="GZ73" s="2"/>
      <c r="HA73" s="2">
        <v>0</v>
      </c>
      <c r="HB73" s="2">
        <v>0</v>
      </c>
      <c r="HC73" s="2">
        <f t="shared" si="58"/>
        <v>0</v>
      </c>
      <c r="HD73" s="2"/>
      <c r="HE73" s="2" t="s">
        <v>3</v>
      </c>
      <c r="HF73" s="2" t="s">
        <v>3</v>
      </c>
      <c r="HG73" s="2"/>
      <c r="HH73" s="2"/>
      <c r="HI73" s="2"/>
      <c r="HJ73" s="2"/>
      <c r="HK73" s="2"/>
      <c r="HL73" s="2"/>
      <c r="HM73" s="2" t="s">
        <v>3</v>
      </c>
      <c r="HN73" s="2" t="s">
        <v>110</v>
      </c>
      <c r="HO73" s="2" t="s">
        <v>111</v>
      </c>
      <c r="HP73" s="2" t="s">
        <v>108</v>
      </c>
      <c r="HQ73" s="2" t="s">
        <v>108</v>
      </c>
      <c r="HR73" s="2"/>
      <c r="HS73" s="2">
        <v>0</v>
      </c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>
        <v>0</v>
      </c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5" x14ac:dyDescent="0.2">
      <c r="A74" s="2">
        <v>18</v>
      </c>
      <c r="B74" s="2">
        <v>1</v>
      </c>
      <c r="C74" s="2">
        <v>20</v>
      </c>
      <c r="D74" s="2"/>
      <c r="E74" s="2" t="s">
        <v>112</v>
      </c>
      <c r="F74" s="2" t="s">
        <v>113</v>
      </c>
      <c r="G74" s="2" t="s">
        <v>114</v>
      </c>
      <c r="H74" s="2" t="s">
        <v>35</v>
      </c>
      <c r="I74" s="2">
        <f>I73*J74</f>
        <v>1.6500000000000001E-2</v>
      </c>
      <c r="J74" s="2">
        <v>0.11000000000000001</v>
      </c>
      <c r="K74" s="2">
        <v>0.11</v>
      </c>
      <c r="L74" s="2"/>
      <c r="M74" s="2"/>
      <c r="N74" s="2"/>
      <c r="O74" s="2">
        <f t="shared" si="38"/>
        <v>0</v>
      </c>
      <c r="P74" s="2">
        <f>ROUND(CQ74*I74,2)</f>
        <v>0</v>
      </c>
      <c r="Q74" s="2">
        <f>ROUND(CR74*I74,2)</f>
        <v>0</v>
      </c>
      <c r="R74" s="2">
        <f>ROUND(CS74*I74,2)</f>
        <v>0</v>
      </c>
      <c r="S74" s="2">
        <f>ROUND(CT74*I74,2)</f>
        <v>0</v>
      </c>
      <c r="T74" s="2">
        <f t="shared" si="39"/>
        <v>0</v>
      </c>
      <c r="U74" s="2">
        <f>ROUND(CV74*I74,7)</f>
        <v>0</v>
      </c>
      <c r="V74" s="2">
        <f>ROUND(CW74*I74,7)</f>
        <v>0</v>
      </c>
      <c r="W74" s="2">
        <f t="shared" si="40"/>
        <v>0</v>
      </c>
      <c r="X74" s="2">
        <f t="shared" si="41"/>
        <v>0</v>
      </c>
      <c r="Y74" s="2">
        <f t="shared" si="42"/>
        <v>0</v>
      </c>
      <c r="Z74" s="2"/>
      <c r="AA74" s="2">
        <v>94240533</v>
      </c>
      <c r="AB74" s="2">
        <f t="shared" si="43"/>
        <v>0</v>
      </c>
      <c r="AC74" s="2">
        <f>ROUND((ES74),6)</f>
        <v>0</v>
      </c>
      <c r="AD74" s="2">
        <f>ROUND((((ET74)-(EU74))+AE74),6)</f>
        <v>0</v>
      </c>
      <c r="AE74" s="2">
        <f>ROUND((EU74),6)</f>
        <v>0</v>
      </c>
      <c r="AF74" s="2">
        <f>ROUND((EV74),6)</f>
        <v>0</v>
      </c>
      <c r="AG74" s="2">
        <f t="shared" si="44"/>
        <v>0</v>
      </c>
      <c r="AH74" s="2">
        <f>(EW74)</f>
        <v>0</v>
      </c>
      <c r="AI74" s="2">
        <f>(EX74)</f>
        <v>0</v>
      </c>
      <c r="AJ74" s="2">
        <f t="shared" si="45"/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89</v>
      </c>
      <c r="AU74" s="2">
        <v>49</v>
      </c>
      <c r="AV74" s="2">
        <v>1</v>
      </c>
      <c r="AW74" s="2">
        <v>1</v>
      </c>
      <c r="AX74" s="2"/>
      <c r="AY74" s="2"/>
      <c r="AZ74" s="2">
        <v>1</v>
      </c>
      <c r="BA74" s="2">
        <v>1</v>
      </c>
      <c r="BB74" s="2">
        <v>1</v>
      </c>
      <c r="BC74" s="2">
        <v>1</v>
      </c>
      <c r="BD74" s="2" t="s">
        <v>3</v>
      </c>
      <c r="BE74" s="2" t="s">
        <v>3</v>
      </c>
      <c r="BF74" s="2" t="s">
        <v>3</v>
      </c>
      <c r="BG74" s="2" t="s">
        <v>3</v>
      </c>
      <c r="BH74" s="2">
        <v>3</v>
      </c>
      <c r="BI74" s="2">
        <v>1</v>
      </c>
      <c r="BJ74" s="2" t="s">
        <v>3</v>
      </c>
      <c r="BK74" s="2"/>
      <c r="BL74" s="2"/>
      <c r="BM74" s="2">
        <v>57001</v>
      </c>
      <c r="BN74" s="2">
        <v>0</v>
      </c>
      <c r="BO74" s="2" t="s">
        <v>3</v>
      </c>
      <c r="BP74" s="2">
        <v>0</v>
      </c>
      <c r="BQ74" s="2">
        <v>6</v>
      </c>
      <c r="BR74" s="2">
        <v>0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 t="s">
        <v>3</v>
      </c>
      <c r="BZ74" s="2">
        <v>89</v>
      </c>
      <c r="CA74" s="2">
        <v>49</v>
      </c>
      <c r="CB74" s="2" t="s">
        <v>3</v>
      </c>
      <c r="CC74" s="2"/>
      <c r="CD74" s="2"/>
      <c r="CE74" s="2">
        <v>0</v>
      </c>
      <c r="CF74" s="2">
        <v>0</v>
      </c>
      <c r="CG74" s="2">
        <v>0</v>
      </c>
      <c r="CH74" s="2"/>
      <c r="CI74" s="2"/>
      <c r="CJ74" s="2"/>
      <c r="CK74" s="2"/>
      <c r="CL74" s="2"/>
      <c r="CM74" s="2">
        <v>0</v>
      </c>
      <c r="CN74" s="2" t="s">
        <v>3</v>
      </c>
      <c r="CO74" s="2">
        <v>0</v>
      </c>
      <c r="CP74" s="2">
        <f t="shared" si="46"/>
        <v>0</v>
      </c>
      <c r="CQ74" s="2">
        <f>ROUND(AL74*BC74,2)</f>
        <v>0</v>
      </c>
      <c r="CR74" s="2">
        <f>ROUND(AM74*BB74,2)</f>
        <v>0</v>
      </c>
      <c r="CS74" s="2">
        <f>ROUND(AN74*BS74,2)</f>
        <v>0</v>
      </c>
      <c r="CT74" s="2">
        <f>ROUND(AO74*BA74,2)</f>
        <v>0</v>
      </c>
      <c r="CU74" s="2">
        <f t="shared" si="47"/>
        <v>0</v>
      </c>
      <c r="CV74" s="2">
        <f>AH74</f>
        <v>0</v>
      </c>
      <c r="CW74" s="2">
        <f>AI74</f>
        <v>0</v>
      </c>
      <c r="CX74" s="2">
        <f t="shared" si="48"/>
        <v>0</v>
      </c>
      <c r="CY74" s="2">
        <f t="shared" si="49"/>
        <v>0</v>
      </c>
      <c r="CZ74" s="2">
        <f t="shared" si="50"/>
        <v>0</v>
      </c>
      <c r="DA74" s="2"/>
      <c r="DB74" s="2"/>
      <c r="DC74" s="2" t="s">
        <v>3</v>
      </c>
      <c r="DD74" s="2" t="s">
        <v>3</v>
      </c>
      <c r="DE74" s="2" t="s">
        <v>3</v>
      </c>
      <c r="DF74" s="2" t="s">
        <v>3</v>
      </c>
      <c r="DG74" s="2" t="s">
        <v>3</v>
      </c>
      <c r="DH74" s="2" t="s">
        <v>3</v>
      </c>
      <c r="DI74" s="2" t="s">
        <v>3</v>
      </c>
      <c r="DJ74" s="2" t="s">
        <v>3</v>
      </c>
      <c r="DK74" s="2" t="s">
        <v>3</v>
      </c>
      <c r="DL74" s="2" t="s">
        <v>3</v>
      </c>
      <c r="DM74" s="2" t="s">
        <v>3</v>
      </c>
      <c r="DN74" s="2">
        <v>0</v>
      </c>
      <c r="DO74" s="2">
        <v>0</v>
      </c>
      <c r="DP74" s="2">
        <v>1</v>
      </c>
      <c r="DQ74" s="2">
        <v>1</v>
      </c>
      <c r="DR74" s="2"/>
      <c r="DS74" s="2"/>
      <c r="DT74" s="2"/>
      <c r="DU74" s="2">
        <v>1009</v>
      </c>
      <c r="DV74" s="2" t="s">
        <v>35</v>
      </c>
      <c r="DW74" s="2" t="s">
        <v>35</v>
      </c>
      <c r="DX74" s="2">
        <v>1000</v>
      </c>
      <c r="DY74" s="2"/>
      <c r="DZ74" s="2" t="s">
        <v>3</v>
      </c>
      <c r="EA74" s="2" t="s">
        <v>3</v>
      </c>
      <c r="EB74" s="2" t="s">
        <v>3</v>
      </c>
      <c r="EC74" s="2" t="s">
        <v>3</v>
      </c>
      <c r="ED74" s="2"/>
      <c r="EE74" s="2">
        <v>89977071</v>
      </c>
      <c r="EF74" s="2">
        <v>6</v>
      </c>
      <c r="EG74" s="2" t="s">
        <v>107</v>
      </c>
      <c r="EH74" s="2">
        <v>11</v>
      </c>
      <c r="EI74" s="2" t="s">
        <v>108</v>
      </c>
      <c r="EJ74" s="2">
        <v>1</v>
      </c>
      <c r="EK74" s="2">
        <v>57001</v>
      </c>
      <c r="EL74" s="2" t="s">
        <v>108</v>
      </c>
      <c r="EM74" s="2" t="s">
        <v>109</v>
      </c>
      <c r="EN74" s="2"/>
      <c r="EO74" s="2" t="s">
        <v>3</v>
      </c>
      <c r="EP74" s="2"/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>
        <v>0</v>
      </c>
      <c r="FR74" s="2">
        <v>0</v>
      </c>
      <c r="FS74" s="2">
        <v>0</v>
      </c>
      <c r="FT74" s="2"/>
      <c r="FU74" s="2"/>
      <c r="FV74" s="2"/>
      <c r="FW74" s="2"/>
      <c r="FX74" s="2">
        <v>89</v>
      </c>
      <c r="FY74" s="2">
        <v>49</v>
      </c>
      <c r="FZ74" s="2"/>
      <c r="GA74" s="2" t="s">
        <v>3</v>
      </c>
      <c r="GB74" s="2"/>
      <c r="GC74" s="2"/>
      <c r="GD74" s="2">
        <v>1</v>
      </c>
      <c r="GE74" s="2"/>
      <c r="GF74" s="2">
        <v>2102561428</v>
      </c>
      <c r="GG74" s="2">
        <v>2</v>
      </c>
      <c r="GH74" s="2">
        <v>1</v>
      </c>
      <c r="GI74" s="2">
        <v>-2</v>
      </c>
      <c r="GJ74" s="2">
        <v>0</v>
      </c>
      <c r="GK74" s="2">
        <v>0</v>
      </c>
      <c r="GL74" s="2">
        <f t="shared" si="51"/>
        <v>0</v>
      </c>
      <c r="GM74" s="2">
        <f t="shared" si="52"/>
        <v>0</v>
      </c>
      <c r="GN74" s="2">
        <f t="shared" si="53"/>
        <v>0</v>
      </c>
      <c r="GO74" s="2">
        <f t="shared" si="54"/>
        <v>0</v>
      </c>
      <c r="GP74" s="2">
        <f t="shared" si="55"/>
        <v>0</v>
      </c>
      <c r="GQ74" s="2"/>
      <c r="GR74" s="2">
        <v>0</v>
      </c>
      <c r="GS74" s="2">
        <v>0</v>
      </c>
      <c r="GT74" s="2">
        <v>0</v>
      </c>
      <c r="GU74" s="2" t="s">
        <v>3</v>
      </c>
      <c r="GV74" s="2">
        <f t="shared" si="56"/>
        <v>0</v>
      </c>
      <c r="GW74" s="2">
        <v>1</v>
      </c>
      <c r="GX74" s="2">
        <f t="shared" si="57"/>
        <v>0</v>
      </c>
      <c r="GY74" s="2"/>
      <c r="GZ74" s="2"/>
      <c r="HA74" s="2">
        <v>0</v>
      </c>
      <c r="HB74" s="2">
        <v>0</v>
      </c>
      <c r="HC74" s="2">
        <f t="shared" si="58"/>
        <v>0</v>
      </c>
      <c r="HD74" s="2"/>
      <c r="HE74" s="2" t="s">
        <v>3</v>
      </c>
      <c r="HF74" s="2" t="s">
        <v>3</v>
      </c>
      <c r="HG74" s="2"/>
      <c r="HH74" s="2"/>
      <c r="HI74" s="2"/>
      <c r="HJ74" s="2"/>
      <c r="HK74" s="2"/>
      <c r="HL74" s="2"/>
      <c r="HM74" s="2" t="s">
        <v>3</v>
      </c>
      <c r="HN74" s="2" t="s">
        <v>110</v>
      </c>
      <c r="HO74" s="2" t="s">
        <v>111</v>
      </c>
      <c r="HP74" s="2" t="s">
        <v>108</v>
      </c>
      <c r="HQ74" s="2" t="s">
        <v>108</v>
      </c>
      <c r="HR74" s="2"/>
      <c r="HS74" s="2">
        <v>0</v>
      </c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>
        <v>0</v>
      </c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5" x14ac:dyDescent="0.2">
      <c r="A75" s="2">
        <v>17</v>
      </c>
      <c r="B75" s="2">
        <v>1</v>
      </c>
      <c r="C75" s="2">
        <f>ROW(SmtRes!A24)</f>
        <v>24</v>
      </c>
      <c r="D75" s="2">
        <f>ROW(EtalonRes!A24)</f>
        <v>24</v>
      </c>
      <c r="E75" s="2" t="s">
        <v>115</v>
      </c>
      <c r="F75" s="2" t="s">
        <v>116</v>
      </c>
      <c r="G75" s="2" t="s">
        <v>117</v>
      </c>
      <c r="H75" s="2" t="s">
        <v>20</v>
      </c>
      <c r="I75" s="2">
        <f>ROUND(22/100,7)</f>
        <v>0.22</v>
      </c>
      <c r="J75" s="2">
        <v>0</v>
      </c>
      <c r="K75" s="2">
        <f>ROUND(22/100,7)</f>
        <v>0.22</v>
      </c>
      <c r="L75" s="2"/>
      <c r="M75" s="2"/>
      <c r="N75" s="2"/>
      <c r="O75" s="2">
        <f t="shared" si="38"/>
        <v>1510.4</v>
      </c>
      <c r="P75" s="2">
        <f>SUMIF(SmtRes!AQ21:'SmtRes'!AQ24,"=1",SmtRes!DF21:'SmtRes'!DF24)</f>
        <v>0</v>
      </c>
      <c r="Q75" s="2">
        <f>SUMIF(SmtRes!AQ21:'SmtRes'!AQ24,"=1",SmtRes!DG21:'SmtRes'!DG24)</f>
        <v>1.68</v>
      </c>
      <c r="R75" s="2">
        <f>SUMIF(SmtRes!AQ21:'SmtRes'!AQ24,"=1",SmtRes!DH21:'SmtRes'!DH24)</f>
        <v>18.57</v>
      </c>
      <c r="S75" s="2">
        <f>SUMIF(SmtRes!AQ21:'SmtRes'!AQ24,"=1",SmtRes!DI21:'SmtRes'!DI24)</f>
        <v>1490.15</v>
      </c>
      <c r="T75" s="2">
        <f t="shared" si="39"/>
        <v>0</v>
      </c>
      <c r="U75" s="2">
        <f>SUMIF(SmtRes!AQ21:'SmtRes'!AQ24,"=1",SmtRes!CV21:'SmtRes'!CV24)</f>
        <v>2.5057999999999998</v>
      </c>
      <c r="V75" s="2">
        <f>SUMIF(SmtRes!AQ21:'SmtRes'!AQ24,"=1",SmtRes!CW21:'SmtRes'!CW24)</f>
        <v>2.86E-2</v>
      </c>
      <c r="W75" s="2">
        <f t="shared" si="40"/>
        <v>0</v>
      </c>
      <c r="X75" s="2">
        <f t="shared" si="41"/>
        <v>1342.76</v>
      </c>
      <c r="Y75" s="2">
        <f t="shared" si="42"/>
        <v>739.27</v>
      </c>
      <c r="Z75" s="2"/>
      <c r="AA75" s="2">
        <v>94240533</v>
      </c>
      <c r="AB75" s="2">
        <f t="shared" si="43"/>
        <v>6778.2568000000001</v>
      </c>
      <c r="AC75" s="2">
        <f>ROUND((0),6)</f>
        <v>0</v>
      </c>
      <c r="AD75" s="2">
        <f>ROUND((((SUM(SmtRes!BR21:'SmtRes'!BR24))-(SUM(SmtRes!BS21:'SmtRes'!BS24)))+AE75),6)</f>
        <v>4.8516000000000004</v>
      </c>
      <c r="AE75" s="2">
        <f>ROUND((SUM(SmtRes!BS21:'SmtRes'!BS24)),6)</f>
        <v>84.401200000000003</v>
      </c>
      <c r="AF75" s="2">
        <f>ROUND((SUM(SmtRes!BT21:'SmtRes'!BT24)),6)</f>
        <v>6773.4052000000001</v>
      </c>
      <c r="AG75" s="2">
        <f t="shared" si="44"/>
        <v>0</v>
      </c>
      <c r="AH75" s="2">
        <f>(SUM(SmtRes!BU21:'SmtRes'!BU24))</f>
        <v>11.39</v>
      </c>
      <c r="AI75" s="2">
        <f>(SUM(SmtRes!BV21:'SmtRes'!BV24))</f>
        <v>0.13</v>
      </c>
      <c r="AJ75" s="2">
        <f t="shared" si="45"/>
        <v>0</v>
      </c>
      <c r="AK75" s="2">
        <v>6862.6580000000004</v>
      </c>
      <c r="AL75" s="2">
        <v>0</v>
      </c>
      <c r="AM75" s="2">
        <v>4.8516000000000004</v>
      </c>
      <c r="AN75" s="2">
        <v>84.401200000000003</v>
      </c>
      <c r="AO75" s="2">
        <v>6773.4052000000001</v>
      </c>
      <c r="AP75" s="2">
        <v>0</v>
      </c>
      <c r="AQ75" s="2">
        <v>11.39</v>
      </c>
      <c r="AR75" s="2">
        <v>0.13</v>
      </c>
      <c r="AS75" s="2">
        <v>0</v>
      </c>
      <c r="AT75" s="2">
        <v>89</v>
      </c>
      <c r="AU75" s="2">
        <v>49</v>
      </c>
      <c r="AV75" s="2">
        <v>1</v>
      </c>
      <c r="AW75" s="2">
        <v>1</v>
      </c>
      <c r="AX75" s="2"/>
      <c r="AY75" s="2"/>
      <c r="AZ75" s="2">
        <v>1</v>
      </c>
      <c r="BA75" s="2">
        <v>1</v>
      </c>
      <c r="BB75" s="2">
        <v>1</v>
      </c>
      <c r="BC75" s="2">
        <v>1</v>
      </c>
      <c r="BD75" s="2" t="s">
        <v>3</v>
      </c>
      <c r="BE75" s="2" t="s">
        <v>3</v>
      </c>
      <c r="BF75" s="2" t="s">
        <v>3</v>
      </c>
      <c r="BG75" s="2" t="s">
        <v>3</v>
      </c>
      <c r="BH75" s="2">
        <v>0</v>
      </c>
      <c r="BI75" s="2">
        <v>1</v>
      </c>
      <c r="BJ75" s="2" t="s">
        <v>118</v>
      </c>
      <c r="BK75" s="2"/>
      <c r="BL75" s="2"/>
      <c r="BM75" s="2">
        <v>57001</v>
      </c>
      <c r="BN75" s="2">
        <v>0</v>
      </c>
      <c r="BO75" s="2" t="s">
        <v>3</v>
      </c>
      <c r="BP75" s="2">
        <v>0</v>
      </c>
      <c r="BQ75" s="2">
        <v>6</v>
      </c>
      <c r="BR75" s="2">
        <v>0</v>
      </c>
      <c r="BS75" s="2">
        <v>1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 t="s">
        <v>3</v>
      </c>
      <c r="BZ75" s="2">
        <v>89</v>
      </c>
      <c r="CA75" s="2">
        <v>49</v>
      </c>
      <c r="CB75" s="2" t="s">
        <v>3</v>
      </c>
      <c r="CC75" s="2"/>
      <c r="CD75" s="2"/>
      <c r="CE75" s="2">
        <v>0</v>
      </c>
      <c r="CF75" s="2">
        <v>0</v>
      </c>
      <c r="CG75" s="2">
        <v>0</v>
      </c>
      <c r="CH75" s="2"/>
      <c r="CI75" s="2"/>
      <c r="CJ75" s="2"/>
      <c r="CK75" s="2"/>
      <c r="CL75" s="2"/>
      <c r="CM75" s="2">
        <v>0</v>
      </c>
      <c r="CN75" s="2" t="s">
        <v>3</v>
      </c>
      <c r="CO75" s="2">
        <v>0</v>
      </c>
      <c r="CP75" s="2">
        <f t="shared" si="46"/>
        <v>1510.4</v>
      </c>
      <c r="CQ75" s="2">
        <f>SUMIF(SmtRes!AQ21:'SmtRes'!AQ24,"=1",SmtRes!AA21:'SmtRes'!AA24)</f>
        <v>0</v>
      </c>
      <c r="CR75" s="2">
        <f>SUMIF(SmtRes!AQ21:'SmtRes'!AQ24,"=1",SmtRes!AB21:'SmtRes'!AB24)</f>
        <v>58.59</v>
      </c>
      <c r="CS75" s="2">
        <f>SUMIF(SmtRes!AQ21:'SmtRes'!AQ24,"=1",SmtRes!AC21:'SmtRes'!AC24)</f>
        <v>649.24</v>
      </c>
      <c r="CT75" s="2">
        <f>SUMIF(SmtRes!AQ21:'SmtRes'!AQ24,"=1",SmtRes!AD21:'SmtRes'!AD24)</f>
        <v>594.67999999999995</v>
      </c>
      <c r="CU75" s="2">
        <f t="shared" si="47"/>
        <v>0</v>
      </c>
      <c r="CV75" s="2">
        <f>SUMIF(SmtRes!AQ21:'SmtRes'!AQ24,"=1",SmtRes!BU21:'SmtRes'!BU24)</f>
        <v>11.39</v>
      </c>
      <c r="CW75" s="2">
        <f>SUMIF(SmtRes!AQ21:'SmtRes'!AQ24,"=1",SmtRes!BV21:'SmtRes'!BV24)</f>
        <v>0.13</v>
      </c>
      <c r="CX75" s="2">
        <f t="shared" si="48"/>
        <v>0</v>
      </c>
      <c r="CY75" s="2">
        <f t="shared" si="49"/>
        <v>1342.7608000000002</v>
      </c>
      <c r="CZ75" s="2">
        <f t="shared" si="50"/>
        <v>739.27279999999996</v>
      </c>
      <c r="DA75" s="2"/>
      <c r="DB75" s="2"/>
      <c r="DC75" s="2" t="s">
        <v>3</v>
      </c>
      <c r="DD75" s="2" t="s">
        <v>3</v>
      </c>
      <c r="DE75" s="2" t="s">
        <v>3</v>
      </c>
      <c r="DF75" s="2" t="s">
        <v>3</v>
      </c>
      <c r="DG75" s="2" t="s">
        <v>3</v>
      </c>
      <c r="DH75" s="2" t="s">
        <v>3</v>
      </c>
      <c r="DI75" s="2" t="s">
        <v>3</v>
      </c>
      <c r="DJ75" s="2" t="s">
        <v>3</v>
      </c>
      <c r="DK75" s="2" t="s">
        <v>3</v>
      </c>
      <c r="DL75" s="2" t="s">
        <v>3</v>
      </c>
      <c r="DM75" s="2" t="s">
        <v>3</v>
      </c>
      <c r="DN75" s="2">
        <v>0</v>
      </c>
      <c r="DO75" s="2">
        <v>0</v>
      </c>
      <c r="DP75" s="2">
        <v>1</v>
      </c>
      <c r="DQ75" s="2">
        <v>1</v>
      </c>
      <c r="DR75" s="2"/>
      <c r="DS75" s="2"/>
      <c r="DT75" s="2"/>
      <c r="DU75" s="2">
        <v>1005</v>
      </c>
      <c r="DV75" s="2" t="s">
        <v>20</v>
      </c>
      <c r="DW75" s="2" t="s">
        <v>20</v>
      </c>
      <c r="DX75" s="2">
        <v>100</v>
      </c>
      <c r="DY75" s="2"/>
      <c r="DZ75" s="2" t="s">
        <v>3</v>
      </c>
      <c r="EA75" s="2" t="s">
        <v>3</v>
      </c>
      <c r="EB75" s="2" t="s">
        <v>3</v>
      </c>
      <c r="EC75" s="2" t="s">
        <v>3</v>
      </c>
      <c r="ED75" s="2"/>
      <c r="EE75" s="2">
        <v>89977071</v>
      </c>
      <c r="EF75" s="2">
        <v>6</v>
      </c>
      <c r="EG75" s="2" t="s">
        <v>107</v>
      </c>
      <c r="EH75" s="2">
        <v>11</v>
      </c>
      <c r="EI75" s="2" t="s">
        <v>108</v>
      </c>
      <c r="EJ75" s="2">
        <v>1</v>
      </c>
      <c r="EK75" s="2">
        <v>57001</v>
      </c>
      <c r="EL75" s="2" t="s">
        <v>108</v>
      </c>
      <c r="EM75" s="2" t="s">
        <v>109</v>
      </c>
      <c r="EN75" s="2"/>
      <c r="EO75" s="2" t="s">
        <v>3</v>
      </c>
      <c r="EP75" s="2"/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11.39</v>
      </c>
      <c r="EX75" s="2">
        <v>0.13</v>
      </c>
      <c r="EY75" s="2">
        <v>0</v>
      </c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>
        <v>0</v>
      </c>
      <c r="FR75" s="2">
        <v>0</v>
      </c>
      <c r="FS75" s="2">
        <v>0</v>
      </c>
      <c r="FT75" s="2"/>
      <c r="FU75" s="2"/>
      <c r="FV75" s="2"/>
      <c r="FW75" s="2"/>
      <c r="FX75" s="2">
        <v>89</v>
      </c>
      <c r="FY75" s="2">
        <v>49</v>
      </c>
      <c r="FZ75" s="2"/>
      <c r="GA75" s="2" t="s">
        <v>3</v>
      </c>
      <c r="GB75" s="2"/>
      <c r="GC75" s="2"/>
      <c r="GD75" s="2">
        <v>1</v>
      </c>
      <c r="GE75" s="2"/>
      <c r="GF75" s="2">
        <v>1369999118</v>
      </c>
      <c r="GG75" s="2">
        <v>2</v>
      </c>
      <c r="GH75" s="2">
        <v>1</v>
      </c>
      <c r="GI75" s="2">
        <v>-2</v>
      </c>
      <c r="GJ75" s="2">
        <v>0</v>
      </c>
      <c r="GK75" s="2">
        <v>0</v>
      </c>
      <c r="GL75" s="2">
        <f t="shared" si="51"/>
        <v>0</v>
      </c>
      <c r="GM75" s="2">
        <f t="shared" si="52"/>
        <v>3592.43</v>
      </c>
      <c r="GN75" s="2">
        <f t="shared" si="53"/>
        <v>3592.43</v>
      </c>
      <c r="GO75" s="2">
        <f t="shared" si="54"/>
        <v>0</v>
      </c>
      <c r="GP75" s="2">
        <f t="shared" si="55"/>
        <v>0</v>
      </c>
      <c r="GQ75" s="2"/>
      <c r="GR75" s="2">
        <v>0</v>
      </c>
      <c r="GS75" s="2">
        <v>0</v>
      </c>
      <c r="GT75" s="2">
        <v>0</v>
      </c>
      <c r="GU75" s="2" t="s">
        <v>3</v>
      </c>
      <c r="GV75" s="2">
        <f t="shared" si="56"/>
        <v>0</v>
      </c>
      <c r="GW75" s="2">
        <v>1</v>
      </c>
      <c r="GX75" s="2">
        <f t="shared" si="57"/>
        <v>0</v>
      </c>
      <c r="GY75" s="2"/>
      <c r="GZ75" s="2"/>
      <c r="HA75" s="2">
        <v>0</v>
      </c>
      <c r="HB75" s="2">
        <v>0</v>
      </c>
      <c r="HC75" s="2">
        <f t="shared" si="58"/>
        <v>0</v>
      </c>
      <c r="HD75" s="2"/>
      <c r="HE75" s="2" t="s">
        <v>3</v>
      </c>
      <c r="HF75" s="2" t="s">
        <v>3</v>
      </c>
      <c r="HG75" s="2"/>
      <c r="HH75" s="2"/>
      <c r="HI75" s="2"/>
      <c r="HJ75" s="2"/>
      <c r="HK75" s="2"/>
      <c r="HL75" s="2"/>
      <c r="HM75" s="2" t="s">
        <v>3</v>
      </c>
      <c r="HN75" s="2" t="s">
        <v>110</v>
      </c>
      <c r="HO75" s="2" t="s">
        <v>111</v>
      </c>
      <c r="HP75" s="2" t="s">
        <v>108</v>
      </c>
      <c r="HQ75" s="2" t="s">
        <v>108</v>
      </c>
      <c r="HR75" s="2"/>
      <c r="HS75" s="2">
        <v>0</v>
      </c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>
        <v>0</v>
      </c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5" x14ac:dyDescent="0.2">
      <c r="A76" s="2">
        <v>18</v>
      </c>
      <c r="B76" s="2">
        <v>1</v>
      </c>
      <c r="C76" s="2">
        <v>24</v>
      </c>
      <c r="D76" s="2"/>
      <c r="E76" s="2" t="s">
        <v>119</v>
      </c>
      <c r="F76" s="2" t="s">
        <v>113</v>
      </c>
      <c r="G76" s="2" t="s">
        <v>114</v>
      </c>
      <c r="H76" s="2" t="s">
        <v>35</v>
      </c>
      <c r="I76" s="2">
        <f>I75*J76</f>
        <v>0.10340000000000001</v>
      </c>
      <c r="J76" s="2">
        <v>0.47000000000000003</v>
      </c>
      <c r="K76" s="2">
        <v>0.47</v>
      </c>
      <c r="L76" s="2"/>
      <c r="M76" s="2"/>
      <c r="N76" s="2"/>
      <c r="O76" s="2">
        <f t="shared" si="38"/>
        <v>0</v>
      </c>
      <c r="P76" s="2">
        <f>ROUND(CQ76*I76,2)</f>
        <v>0</v>
      </c>
      <c r="Q76" s="2">
        <f>ROUND(CR76*I76,2)</f>
        <v>0</v>
      </c>
      <c r="R76" s="2">
        <f>ROUND(CS76*I76,2)</f>
        <v>0</v>
      </c>
      <c r="S76" s="2">
        <f>ROUND(CT76*I76,2)</f>
        <v>0</v>
      </c>
      <c r="T76" s="2">
        <f t="shared" si="39"/>
        <v>0</v>
      </c>
      <c r="U76" s="2">
        <f>ROUND(CV76*I76,7)</f>
        <v>0</v>
      </c>
      <c r="V76" s="2">
        <f>ROUND(CW76*I76,7)</f>
        <v>0</v>
      </c>
      <c r="W76" s="2">
        <f t="shared" si="40"/>
        <v>0</v>
      </c>
      <c r="X76" s="2">
        <f t="shared" si="41"/>
        <v>0</v>
      </c>
      <c r="Y76" s="2">
        <f t="shared" si="42"/>
        <v>0</v>
      </c>
      <c r="Z76" s="2"/>
      <c r="AA76" s="2">
        <v>94240533</v>
      </c>
      <c r="AB76" s="2">
        <f t="shared" si="43"/>
        <v>0</v>
      </c>
      <c r="AC76" s="2">
        <f>ROUND((ES76),6)</f>
        <v>0</v>
      </c>
      <c r="AD76" s="2">
        <f>ROUND((((ET76)-(EU76))+AE76),6)</f>
        <v>0</v>
      </c>
      <c r="AE76" s="2">
        <f>ROUND((EU76),6)</f>
        <v>0</v>
      </c>
      <c r="AF76" s="2">
        <f>ROUND((EV76),6)</f>
        <v>0</v>
      </c>
      <c r="AG76" s="2">
        <f t="shared" si="44"/>
        <v>0</v>
      </c>
      <c r="AH76" s="2">
        <f>(EW76)</f>
        <v>0</v>
      </c>
      <c r="AI76" s="2">
        <f>(EX76)</f>
        <v>0</v>
      </c>
      <c r="AJ76" s="2">
        <f t="shared" si="45"/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89</v>
      </c>
      <c r="AU76" s="2">
        <v>49</v>
      </c>
      <c r="AV76" s="2">
        <v>1</v>
      </c>
      <c r="AW76" s="2">
        <v>1</v>
      </c>
      <c r="AX76" s="2"/>
      <c r="AY76" s="2"/>
      <c r="AZ76" s="2">
        <v>1</v>
      </c>
      <c r="BA76" s="2">
        <v>1</v>
      </c>
      <c r="BB76" s="2">
        <v>1</v>
      </c>
      <c r="BC76" s="2">
        <v>1</v>
      </c>
      <c r="BD76" s="2" t="s">
        <v>3</v>
      </c>
      <c r="BE76" s="2" t="s">
        <v>3</v>
      </c>
      <c r="BF76" s="2" t="s">
        <v>3</v>
      </c>
      <c r="BG76" s="2" t="s">
        <v>3</v>
      </c>
      <c r="BH76" s="2">
        <v>3</v>
      </c>
      <c r="BI76" s="2">
        <v>1</v>
      </c>
      <c r="BJ76" s="2" t="s">
        <v>3</v>
      </c>
      <c r="BK76" s="2"/>
      <c r="BL76" s="2"/>
      <c r="BM76" s="2">
        <v>57001</v>
      </c>
      <c r="BN76" s="2">
        <v>0</v>
      </c>
      <c r="BO76" s="2" t="s">
        <v>3</v>
      </c>
      <c r="BP76" s="2">
        <v>0</v>
      </c>
      <c r="BQ76" s="2">
        <v>6</v>
      </c>
      <c r="BR76" s="2">
        <v>0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 t="s">
        <v>3</v>
      </c>
      <c r="BZ76" s="2">
        <v>89</v>
      </c>
      <c r="CA76" s="2">
        <v>49</v>
      </c>
      <c r="CB76" s="2" t="s">
        <v>3</v>
      </c>
      <c r="CC76" s="2"/>
      <c r="CD76" s="2"/>
      <c r="CE76" s="2">
        <v>0</v>
      </c>
      <c r="CF76" s="2">
        <v>0</v>
      </c>
      <c r="CG76" s="2">
        <v>0</v>
      </c>
      <c r="CH76" s="2"/>
      <c r="CI76" s="2"/>
      <c r="CJ76" s="2"/>
      <c r="CK76" s="2"/>
      <c r="CL76" s="2"/>
      <c r="CM76" s="2">
        <v>0</v>
      </c>
      <c r="CN76" s="2" t="s">
        <v>3</v>
      </c>
      <c r="CO76" s="2">
        <v>0</v>
      </c>
      <c r="CP76" s="2">
        <f t="shared" si="46"/>
        <v>0</v>
      </c>
      <c r="CQ76" s="2">
        <f>ROUND(AL76*BC76,2)</f>
        <v>0</v>
      </c>
      <c r="CR76" s="2">
        <f>ROUND(AM76*BB76,2)</f>
        <v>0</v>
      </c>
      <c r="CS76" s="2">
        <f>ROUND(AN76*BS76,2)</f>
        <v>0</v>
      </c>
      <c r="CT76" s="2">
        <f>ROUND(AO76*BA76,2)</f>
        <v>0</v>
      </c>
      <c r="CU76" s="2">
        <f t="shared" si="47"/>
        <v>0</v>
      </c>
      <c r="CV76" s="2">
        <f>AH76</f>
        <v>0</v>
      </c>
      <c r="CW76" s="2">
        <f>AI76</f>
        <v>0</v>
      </c>
      <c r="CX76" s="2">
        <f t="shared" si="48"/>
        <v>0</v>
      </c>
      <c r="CY76" s="2">
        <f t="shared" si="49"/>
        <v>0</v>
      </c>
      <c r="CZ76" s="2">
        <f t="shared" si="50"/>
        <v>0</v>
      </c>
      <c r="DA76" s="2"/>
      <c r="DB76" s="2"/>
      <c r="DC76" s="2" t="s">
        <v>3</v>
      </c>
      <c r="DD76" s="2" t="s">
        <v>3</v>
      </c>
      <c r="DE76" s="2" t="s">
        <v>3</v>
      </c>
      <c r="DF76" s="2" t="s">
        <v>3</v>
      </c>
      <c r="DG76" s="2" t="s">
        <v>3</v>
      </c>
      <c r="DH76" s="2" t="s">
        <v>3</v>
      </c>
      <c r="DI76" s="2" t="s">
        <v>3</v>
      </c>
      <c r="DJ76" s="2" t="s">
        <v>3</v>
      </c>
      <c r="DK76" s="2" t="s">
        <v>3</v>
      </c>
      <c r="DL76" s="2" t="s">
        <v>3</v>
      </c>
      <c r="DM76" s="2" t="s">
        <v>3</v>
      </c>
      <c r="DN76" s="2">
        <v>0</v>
      </c>
      <c r="DO76" s="2">
        <v>0</v>
      </c>
      <c r="DP76" s="2">
        <v>1</v>
      </c>
      <c r="DQ76" s="2">
        <v>1</v>
      </c>
      <c r="DR76" s="2"/>
      <c r="DS76" s="2"/>
      <c r="DT76" s="2"/>
      <c r="DU76" s="2">
        <v>1009</v>
      </c>
      <c r="DV76" s="2" t="s">
        <v>35</v>
      </c>
      <c r="DW76" s="2" t="s">
        <v>35</v>
      </c>
      <c r="DX76" s="2">
        <v>1000</v>
      </c>
      <c r="DY76" s="2"/>
      <c r="DZ76" s="2" t="s">
        <v>3</v>
      </c>
      <c r="EA76" s="2" t="s">
        <v>3</v>
      </c>
      <c r="EB76" s="2" t="s">
        <v>3</v>
      </c>
      <c r="EC76" s="2" t="s">
        <v>3</v>
      </c>
      <c r="ED76" s="2"/>
      <c r="EE76" s="2">
        <v>89977071</v>
      </c>
      <c r="EF76" s="2">
        <v>6</v>
      </c>
      <c r="EG76" s="2" t="s">
        <v>107</v>
      </c>
      <c r="EH76" s="2">
        <v>11</v>
      </c>
      <c r="EI76" s="2" t="s">
        <v>108</v>
      </c>
      <c r="EJ76" s="2">
        <v>1</v>
      </c>
      <c r="EK76" s="2">
        <v>57001</v>
      </c>
      <c r="EL76" s="2" t="s">
        <v>108</v>
      </c>
      <c r="EM76" s="2" t="s">
        <v>109</v>
      </c>
      <c r="EN76" s="2"/>
      <c r="EO76" s="2" t="s">
        <v>3</v>
      </c>
      <c r="EP76" s="2"/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>
        <v>0</v>
      </c>
      <c r="FR76" s="2">
        <v>0</v>
      </c>
      <c r="FS76" s="2">
        <v>0</v>
      </c>
      <c r="FT76" s="2"/>
      <c r="FU76" s="2"/>
      <c r="FV76" s="2"/>
      <c r="FW76" s="2"/>
      <c r="FX76" s="2">
        <v>89</v>
      </c>
      <c r="FY76" s="2">
        <v>49</v>
      </c>
      <c r="FZ76" s="2"/>
      <c r="GA76" s="2" t="s">
        <v>3</v>
      </c>
      <c r="GB76" s="2"/>
      <c r="GC76" s="2"/>
      <c r="GD76" s="2">
        <v>1</v>
      </c>
      <c r="GE76" s="2"/>
      <c r="GF76" s="2">
        <v>2102561428</v>
      </c>
      <c r="GG76" s="2">
        <v>2</v>
      </c>
      <c r="GH76" s="2">
        <v>1</v>
      </c>
      <c r="GI76" s="2">
        <v>-2</v>
      </c>
      <c r="GJ76" s="2">
        <v>0</v>
      </c>
      <c r="GK76" s="2">
        <v>0</v>
      </c>
      <c r="GL76" s="2">
        <f t="shared" si="51"/>
        <v>0</v>
      </c>
      <c r="GM76" s="2">
        <f t="shared" si="52"/>
        <v>0</v>
      </c>
      <c r="GN76" s="2">
        <f t="shared" si="53"/>
        <v>0</v>
      </c>
      <c r="GO76" s="2">
        <f t="shared" si="54"/>
        <v>0</v>
      </c>
      <c r="GP76" s="2">
        <f t="shared" si="55"/>
        <v>0</v>
      </c>
      <c r="GQ76" s="2"/>
      <c r="GR76" s="2">
        <v>0</v>
      </c>
      <c r="GS76" s="2">
        <v>0</v>
      </c>
      <c r="GT76" s="2">
        <v>0</v>
      </c>
      <c r="GU76" s="2" t="s">
        <v>3</v>
      </c>
      <c r="GV76" s="2">
        <f t="shared" si="56"/>
        <v>0</v>
      </c>
      <c r="GW76" s="2">
        <v>1</v>
      </c>
      <c r="GX76" s="2">
        <f t="shared" si="57"/>
        <v>0</v>
      </c>
      <c r="GY76" s="2"/>
      <c r="GZ76" s="2"/>
      <c r="HA76" s="2">
        <v>0</v>
      </c>
      <c r="HB76" s="2">
        <v>0</v>
      </c>
      <c r="HC76" s="2">
        <f t="shared" si="58"/>
        <v>0</v>
      </c>
      <c r="HD76" s="2"/>
      <c r="HE76" s="2" t="s">
        <v>3</v>
      </c>
      <c r="HF76" s="2" t="s">
        <v>3</v>
      </c>
      <c r="HG76" s="2"/>
      <c r="HH76" s="2"/>
      <c r="HI76" s="2"/>
      <c r="HJ76" s="2"/>
      <c r="HK76" s="2"/>
      <c r="HL76" s="2"/>
      <c r="HM76" s="2" t="s">
        <v>3</v>
      </c>
      <c r="HN76" s="2" t="s">
        <v>110</v>
      </c>
      <c r="HO76" s="2" t="s">
        <v>111</v>
      </c>
      <c r="HP76" s="2" t="s">
        <v>108</v>
      </c>
      <c r="HQ76" s="2" t="s">
        <v>108</v>
      </c>
      <c r="HR76" s="2"/>
      <c r="HS76" s="2">
        <v>0</v>
      </c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>
        <v>0</v>
      </c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5" ht="409.5" x14ac:dyDescent="0.2">
      <c r="A77" s="2">
        <v>17</v>
      </c>
      <c r="B77" s="2">
        <v>1</v>
      </c>
      <c r="C77" s="2">
        <f>ROW(SmtRes!A30)</f>
        <v>30</v>
      </c>
      <c r="D77" s="2">
        <f>ROW(EtalonRes!A30)</f>
        <v>30</v>
      </c>
      <c r="E77" s="2" t="s">
        <v>120</v>
      </c>
      <c r="F77" s="2" t="s">
        <v>121</v>
      </c>
      <c r="G77" s="2" t="s">
        <v>122</v>
      </c>
      <c r="H77" s="2" t="s">
        <v>20</v>
      </c>
      <c r="I77" s="2">
        <f>ROUND(22/100,7)</f>
        <v>0.22</v>
      </c>
      <c r="J77" s="2">
        <v>0</v>
      </c>
      <c r="K77" s="2">
        <f>ROUND(22/100,7)</f>
        <v>0.22</v>
      </c>
      <c r="L77" s="2"/>
      <c r="M77" s="2"/>
      <c r="N77" s="2"/>
      <c r="O77" s="2">
        <f t="shared" si="38"/>
        <v>4102.93</v>
      </c>
      <c r="P77" s="2">
        <f>SUMIF(SmtRes!AQ25:'SmtRes'!AQ30,"=1",SmtRes!DF25:'SmtRes'!DF30)</f>
        <v>363.83</v>
      </c>
      <c r="Q77" s="2">
        <f>SUMIF(SmtRes!AQ25:'SmtRes'!AQ30,"=1",SmtRes!DG25:'SmtRes'!DG30)</f>
        <v>14.99</v>
      </c>
      <c r="R77" s="2">
        <f>SUMIF(SmtRes!AQ25:'SmtRes'!AQ30,"=1",SmtRes!DH25:'SmtRes'!DH30)</f>
        <v>20.100000000000001</v>
      </c>
      <c r="S77" s="2">
        <f>SUMIF(SmtRes!AQ25:'SmtRes'!AQ30,"=1",SmtRes!DI25:'SmtRes'!DI30)</f>
        <v>3704.01</v>
      </c>
      <c r="T77" s="2">
        <f t="shared" si="39"/>
        <v>0</v>
      </c>
      <c r="U77" s="2">
        <f>SUMIF(SmtRes!AQ25:'SmtRes'!AQ30,"=1",SmtRes!CV25:'SmtRes'!CV30)</f>
        <v>5.7051499999999997</v>
      </c>
      <c r="V77" s="2">
        <f>SUMIF(SmtRes!AQ25:'SmtRes'!AQ30,"=1",SmtRes!CW25:'SmtRes'!CW30)</f>
        <v>2.75E-2</v>
      </c>
      <c r="W77" s="2">
        <f t="shared" si="40"/>
        <v>0</v>
      </c>
      <c r="X77" s="2">
        <f t="shared" si="41"/>
        <v>3753.9</v>
      </c>
      <c r="Y77" s="2">
        <f t="shared" si="42"/>
        <v>2057.5700000000002</v>
      </c>
      <c r="Z77" s="2"/>
      <c r="AA77" s="2">
        <v>94240533</v>
      </c>
      <c r="AB77" s="2">
        <f t="shared" si="43"/>
        <v>18046.331819999999</v>
      </c>
      <c r="AC77" s="2">
        <f>ROUND((SUM(SmtRes!BQ25:'SmtRes'!BQ30)),6)</f>
        <v>1141.80052</v>
      </c>
      <c r="AD77" s="2">
        <f>ROUND((((SUM(SmtRes!BR25:'SmtRes'!BR30))-(SUM(SmtRes!BS25:'SmtRes'!BS30)))+AE77),6)</f>
        <v>68.114999999999995</v>
      </c>
      <c r="AE77" s="2">
        <f>ROUND((SUM(SmtRes!BS25:'SmtRes'!BS30)),6)</f>
        <v>91.385000000000005</v>
      </c>
      <c r="AF77" s="2">
        <f>ROUND((SUM(SmtRes!BT25:'SmtRes'!BT30)),6)</f>
        <v>16836.416300000001</v>
      </c>
      <c r="AG77" s="2">
        <f t="shared" si="44"/>
        <v>0</v>
      </c>
      <c r="AH77" s="2">
        <f>(SUM(SmtRes!BU25:'SmtRes'!BU30))</f>
        <v>25.932499999999997</v>
      </c>
      <c r="AI77" s="2">
        <f>(SUM(SmtRes!BV25:'SmtRes'!BV30))</f>
        <v>0.125</v>
      </c>
      <c r="AJ77" s="2">
        <f t="shared" si="45"/>
        <v>0</v>
      </c>
      <c r="AK77" s="2">
        <v>15909.76252</v>
      </c>
      <c r="AL77" s="2">
        <v>1141.80052</v>
      </c>
      <c r="AM77" s="2">
        <v>54.491999999999997</v>
      </c>
      <c r="AN77" s="2">
        <v>73.108000000000004</v>
      </c>
      <c r="AO77" s="2">
        <v>14640.362000000001</v>
      </c>
      <c r="AP77" s="2">
        <v>0</v>
      </c>
      <c r="AQ77" s="2">
        <v>22.55</v>
      </c>
      <c r="AR77" s="2">
        <v>0.1</v>
      </c>
      <c r="AS77" s="2">
        <v>0</v>
      </c>
      <c r="AT77" s="2">
        <v>100.8</v>
      </c>
      <c r="AU77" s="2">
        <v>55.25</v>
      </c>
      <c r="AV77" s="2">
        <v>1</v>
      </c>
      <c r="AW77" s="2">
        <v>1</v>
      </c>
      <c r="AX77" s="2"/>
      <c r="AY77" s="2"/>
      <c r="AZ77" s="2">
        <v>1</v>
      </c>
      <c r="BA77" s="2">
        <v>1</v>
      </c>
      <c r="BB77" s="2">
        <v>1</v>
      </c>
      <c r="BC77" s="2">
        <v>1</v>
      </c>
      <c r="BD77" s="2" t="s">
        <v>3</v>
      </c>
      <c r="BE77" s="2" t="s">
        <v>3</v>
      </c>
      <c r="BF77" s="2" t="s">
        <v>3</v>
      </c>
      <c r="BG77" s="2" t="s">
        <v>3</v>
      </c>
      <c r="BH77" s="2">
        <v>0</v>
      </c>
      <c r="BI77" s="2">
        <v>1</v>
      </c>
      <c r="BJ77" s="2" t="s">
        <v>123</v>
      </c>
      <c r="BK77" s="2"/>
      <c r="BL77" s="2"/>
      <c r="BM77" s="2">
        <v>11001</v>
      </c>
      <c r="BN77" s="2">
        <v>0</v>
      </c>
      <c r="BO77" s="2" t="s">
        <v>3</v>
      </c>
      <c r="BP77" s="2">
        <v>0</v>
      </c>
      <c r="BQ77" s="2">
        <v>2</v>
      </c>
      <c r="BR77" s="2">
        <v>0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 t="s">
        <v>3</v>
      </c>
      <c r="BZ77" s="2">
        <v>112</v>
      </c>
      <c r="CA77" s="2">
        <v>65</v>
      </c>
      <c r="CB77" s="2" t="s">
        <v>3</v>
      </c>
      <c r="CC77" s="2"/>
      <c r="CD77" s="2"/>
      <c r="CE77" s="2">
        <v>0</v>
      </c>
      <c r="CF77" s="2">
        <v>0</v>
      </c>
      <c r="CG77" s="2">
        <v>0</v>
      </c>
      <c r="CH77" s="2"/>
      <c r="CI77" s="2"/>
      <c r="CJ77" s="2"/>
      <c r="CK77" s="2"/>
      <c r="CL77" s="2"/>
      <c r="CM77" s="2">
        <v>0</v>
      </c>
      <c r="CN77" s="7" t="s">
        <v>399</v>
      </c>
      <c r="CO77" s="2">
        <v>0</v>
      </c>
      <c r="CP77" s="2">
        <f t="shared" si="46"/>
        <v>4102.93</v>
      </c>
      <c r="CQ77" s="2">
        <f>SUMIF(SmtRes!AQ25:'SmtRes'!AQ30,"=1",SmtRes!AA25:'SmtRes'!AA30)</f>
        <v>164.04</v>
      </c>
      <c r="CR77" s="2">
        <f>SUMIF(SmtRes!AQ25:'SmtRes'!AQ30,"=1",SmtRes!AB25:'SmtRes'!AB30)</f>
        <v>544.91999999999996</v>
      </c>
      <c r="CS77" s="2">
        <f>SUMIF(SmtRes!AQ25:'SmtRes'!AQ30,"=1",SmtRes!AC25:'SmtRes'!AC30)</f>
        <v>731.08</v>
      </c>
      <c r="CT77" s="2">
        <f>SUMIF(SmtRes!AQ25:'SmtRes'!AQ30,"=1",SmtRes!AD25:'SmtRes'!AD30)</f>
        <v>649.24</v>
      </c>
      <c r="CU77" s="2">
        <f t="shared" si="47"/>
        <v>0</v>
      </c>
      <c r="CV77" s="2">
        <f>SUMIF(SmtRes!AQ25:'SmtRes'!AQ30,"=1",SmtRes!BU25:'SmtRes'!BU30)</f>
        <v>25.932499999999997</v>
      </c>
      <c r="CW77" s="2">
        <f>SUMIF(SmtRes!AQ25:'SmtRes'!AQ30,"=1",SmtRes!BV25:'SmtRes'!BV30)</f>
        <v>0.125</v>
      </c>
      <c r="CX77" s="2">
        <f t="shared" si="48"/>
        <v>0</v>
      </c>
      <c r="CY77" s="2">
        <f t="shared" si="49"/>
        <v>3753.9028800000001</v>
      </c>
      <c r="CZ77" s="2">
        <f t="shared" si="50"/>
        <v>2057.5707750000001</v>
      </c>
      <c r="DA77" s="2"/>
      <c r="DB77" s="2"/>
      <c r="DC77" s="2" t="s">
        <v>3</v>
      </c>
      <c r="DD77" s="2" t="s">
        <v>3</v>
      </c>
      <c r="DE77" s="2" t="s">
        <v>22</v>
      </c>
      <c r="DF77" s="2" t="s">
        <v>22</v>
      </c>
      <c r="DG77" s="2" t="s">
        <v>23</v>
      </c>
      <c r="DH77" s="2" t="s">
        <v>3</v>
      </c>
      <c r="DI77" s="2" t="s">
        <v>23</v>
      </c>
      <c r="DJ77" s="2" t="s">
        <v>22</v>
      </c>
      <c r="DK77" s="2" t="s">
        <v>3</v>
      </c>
      <c r="DL77" s="2" t="s">
        <v>24</v>
      </c>
      <c r="DM77" s="2" t="s">
        <v>25</v>
      </c>
      <c r="DN77" s="2">
        <v>0</v>
      </c>
      <c r="DO77" s="2">
        <v>0</v>
      </c>
      <c r="DP77" s="2">
        <v>1</v>
      </c>
      <c r="DQ77" s="2">
        <v>1</v>
      </c>
      <c r="DR77" s="2"/>
      <c r="DS77" s="2"/>
      <c r="DT77" s="2"/>
      <c r="DU77" s="2">
        <v>1005</v>
      </c>
      <c r="DV77" s="2" t="s">
        <v>20</v>
      </c>
      <c r="DW77" s="2" t="s">
        <v>20</v>
      </c>
      <c r="DX77" s="2">
        <v>100</v>
      </c>
      <c r="DY77" s="2"/>
      <c r="DZ77" s="2" t="s">
        <v>3</v>
      </c>
      <c r="EA77" s="2" t="s">
        <v>3</v>
      </c>
      <c r="EB77" s="2" t="s">
        <v>3</v>
      </c>
      <c r="EC77" s="2" t="s">
        <v>3</v>
      </c>
      <c r="ED77" s="2"/>
      <c r="EE77" s="2">
        <v>89976994</v>
      </c>
      <c r="EF77" s="2">
        <v>2</v>
      </c>
      <c r="EG77" s="2" t="s">
        <v>26</v>
      </c>
      <c r="EH77" s="2">
        <v>11</v>
      </c>
      <c r="EI77" s="2" t="s">
        <v>108</v>
      </c>
      <c r="EJ77" s="2">
        <v>1</v>
      </c>
      <c r="EK77" s="2">
        <v>11001</v>
      </c>
      <c r="EL77" s="2" t="s">
        <v>108</v>
      </c>
      <c r="EM77" s="2" t="s">
        <v>124</v>
      </c>
      <c r="EN77" s="2"/>
      <c r="EO77" s="2" t="s">
        <v>29</v>
      </c>
      <c r="EP77" s="2"/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22.55</v>
      </c>
      <c r="EX77" s="2">
        <v>0.1</v>
      </c>
      <c r="EY77" s="2">
        <v>0</v>
      </c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>
        <v>0</v>
      </c>
      <c r="FR77" s="2">
        <v>0</v>
      </c>
      <c r="FS77" s="2">
        <v>0</v>
      </c>
      <c r="FT77" s="2"/>
      <c r="FU77" s="2"/>
      <c r="FV77" s="2"/>
      <c r="FW77" s="2"/>
      <c r="FX77" s="2">
        <v>100.8</v>
      </c>
      <c r="FY77" s="2">
        <v>55.25</v>
      </c>
      <c r="FZ77" s="2"/>
      <c r="GA77" s="2" t="s">
        <v>3</v>
      </c>
      <c r="GB77" s="2"/>
      <c r="GC77" s="2"/>
      <c r="GD77" s="2">
        <v>1</v>
      </c>
      <c r="GE77" s="2"/>
      <c r="GF77" s="2">
        <v>-968032864</v>
      </c>
      <c r="GG77" s="2">
        <v>2</v>
      </c>
      <c r="GH77" s="2">
        <v>1</v>
      </c>
      <c r="GI77" s="2">
        <v>-2</v>
      </c>
      <c r="GJ77" s="2">
        <v>0</v>
      </c>
      <c r="GK77" s="2">
        <v>0</v>
      </c>
      <c r="GL77" s="2">
        <f t="shared" si="51"/>
        <v>0</v>
      </c>
      <c r="GM77" s="2">
        <f t="shared" si="52"/>
        <v>9914.4</v>
      </c>
      <c r="GN77" s="2">
        <f t="shared" si="53"/>
        <v>9914.4</v>
      </c>
      <c r="GO77" s="2">
        <f t="shared" si="54"/>
        <v>0</v>
      </c>
      <c r="GP77" s="2">
        <f t="shared" si="55"/>
        <v>0</v>
      </c>
      <c r="GQ77" s="2"/>
      <c r="GR77" s="2">
        <v>0</v>
      </c>
      <c r="GS77" s="2">
        <v>0</v>
      </c>
      <c r="GT77" s="2">
        <v>0</v>
      </c>
      <c r="GU77" s="2" t="s">
        <v>3</v>
      </c>
      <c r="GV77" s="2">
        <f t="shared" si="56"/>
        <v>0</v>
      </c>
      <c r="GW77" s="2">
        <v>1</v>
      </c>
      <c r="GX77" s="2">
        <f t="shared" si="57"/>
        <v>0</v>
      </c>
      <c r="GY77" s="2"/>
      <c r="GZ77" s="2"/>
      <c r="HA77" s="2">
        <v>0</v>
      </c>
      <c r="HB77" s="2">
        <v>0</v>
      </c>
      <c r="HC77" s="2">
        <f t="shared" si="58"/>
        <v>0</v>
      </c>
      <c r="HD77" s="2"/>
      <c r="HE77" s="2" t="s">
        <v>3</v>
      </c>
      <c r="HF77" s="2" t="s">
        <v>3</v>
      </c>
      <c r="HG77" s="2"/>
      <c r="HH77" s="2"/>
      <c r="HI77" s="2"/>
      <c r="HJ77" s="2"/>
      <c r="HK77" s="2"/>
      <c r="HL77" s="2"/>
      <c r="HM77" s="2" t="s">
        <v>3</v>
      </c>
      <c r="HN77" s="2" t="s">
        <v>125</v>
      </c>
      <c r="HO77" s="2" t="s">
        <v>126</v>
      </c>
      <c r="HP77" s="2" t="s">
        <v>108</v>
      </c>
      <c r="HQ77" s="2" t="s">
        <v>108</v>
      </c>
      <c r="HR77" s="2"/>
      <c r="HS77" s="2">
        <v>0</v>
      </c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>
        <v>0</v>
      </c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x14ac:dyDescent="0.2">
      <c r="A78" s="2">
        <v>18</v>
      </c>
      <c r="B78" s="2">
        <v>1</v>
      </c>
      <c r="C78" s="2">
        <v>30</v>
      </c>
      <c r="D78" s="2"/>
      <c r="E78" s="2" t="s">
        <v>127</v>
      </c>
      <c r="F78" s="2" t="s">
        <v>128</v>
      </c>
      <c r="G78" s="2" t="s">
        <v>129</v>
      </c>
      <c r="H78" s="2" t="s">
        <v>130</v>
      </c>
      <c r="I78" s="2">
        <f>I77*J78</f>
        <v>22.59</v>
      </c>
      <c r="J78" s="2">
        <v>102.68181818181819</v>
      </c>
      <c r="K78" s="2">
        <v>102.6818182</v>
      </c>
      <c r="L78" s="2"/>
      <c r="M78" s="2"/>
      <c r="N78" s="2"/>
      <c r="O78" s="2">
        <f t="shared" si="38"/>
        <v>49994.15</v>
      </c>
      <c r="P78" s="2">
        <f>ROUND(CQ78*I78,2)</f>
        <v>49994.15</v>
      </c>
      <c r="Q78" s="2">
        <f>ROUND(CR78*I78,2)</f>
        <v>0</v>
      </c>
      <c r="R78" s="2">
        <f>ROUND(CS78*I78,2)</f>
        <v>0</v>
      </c>
      <c r="S78" s="2">
        <f>ROUND(CT78*I78,2)</f>
        <v>0</v>
      </c>
      <c r="T78" s="2">
        <f t="shared" si="39"/>
        <v>0</v>
      </c>
      <c r="U78" s="2">
        <f>ROUND(CV78*I78,7)</f>
        <v>0</v>
      </c>
      <c r="V78" s="2">
        <f>ROUND(CW78*I78,7)</f>
        <v>0</v>
      </c>
      <c r="W78" s="2">
        <f t="shared" si="40"/>
        <v>0</v>
      </c>
      <c r="X78" s="2">
        <f t="shared" si="41"/>
        <v>0</v>
      </c>
      <c r="Y78" s="2">
        <f t="shared" si="42"/>
        <v>0</v>
      </c>
      <c r="Z78" s="2"/>
      <c r="AA78" s="2">
        <v>94240533</v>
      </c>
      <c r="AB78" s="2">
        <f t="shared" si="43"/>
        <v>2213.11</v>
      </c>
      <c r="AC78" s="2">
        <f>ROUND((ES78),6)</f>
        <v>2213.11</v>
      </c>
      <c r="AD78" s="2">
        <f>ROUND((ET78),6)</f>
        <v>0</v>
      </c>
      <c r="AE78" s="2">
        <f>ROUND((EU78),6)</f>
        <v>0</v>
      </c>
      <c r="AF78" s="2">
        <f>ROUND((EV78),6)</f>
        <v>0</v>
      </c>
      <c r="AG78" s="2">
        <f t="shared" si="44"/>
        <v>0</v>
      </c>
      <c r="AH78" s="2">
        <f>(EW78)</f>
        <v>0</v>
      </c>
      <c r="AI78" s="2">
        <f>(EX78)</f>
        <v>0</v>
      </c>
      <c r="AJ78" s="2">
        <f t="shared" si="45"/>
        <v>0</v>
      </c>
      <c r="AK78" s="2">
        <v>2213.11</v>
      </c>
      <c r="AL78" s="2">
        <v>2213.11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1</v>
      </c>
      <c r="AW78" s="2">
        <v>1</v>
      </c>
      <c r="AX78" s="2"/>
      <c r="AY78" s="2"/>
      <c r="AZ78" s="2">
        <v>1</v>
      </c>
      <c r="BA78" s="2">
        <v>1</v>
      </c>
      <c r="BB78" s="2">
        <v>1</v>
      </c>
      <c r="BC78" s="2">
        <v>1</v>
      </c>
      <c r="BD78" s="2" t="s">
        <v>3</v>
      </c>
      <c r="BE78" s="2" t="s">
        <v>3</v>
      </c>
      <c r="BF78" s="2" t="s">
        <v>3</v>
      </c>
      <c r="BG78" s="2" t="s">
        <v>3</v>
      </c>
      <c r="BH78" s="2">
        <v>3</v>
      </c>
      <c r="BI78" s="2">
        <v>1</v>
      </c>
      <c r="BJ78" s="2" t="s">
        <v>128</v>
      </c>
      <c r="BK78" s="2"/>
      <c r="BL78" s="2"/>
      <c r="BM78" s="2">
        <v>900</v>
      </c>
      <c r="BN78" s="2">
        <v>0</v>
      </c>
      <c r="BO78" s="2" t="s">
        <v>3</v>
      </c>
      <c r="BP78" s="2">
        <v>0</v>
      </c>
      <c r="BQ78" s="2">
        <v>90</v>
      </c>
      <c r="BR78" s="2">
        <v>0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 t="s">
        <v>3</v>
      </c>
      <c r="BZ78" s="2">
        <v>112</v>
      </c>
      <c r="CA78" s="2">
        <v>65</v>
      </c>
      <c r="CB78" s="2" t="s">
        <v>3</v>
      </c>
      <c r="CC78" s="2"/>
      <c r="CD78" s="2"/>
      <c r="CE78" s="2">
        <v>0</v>
      </c>
      <c r="CF78" s="2">
        <v>0</v>
      </c>
      <c r="CG78" s="2">
        <v>0</v>
      </c>
      <c r="CH78" s="2"/>
      <c r="CI78" s="2"/>
      <c r="CJ78" s="2"/>
      <c r="CK78" s="2"/>
      <c r="CL78" s="2"/>
      <c r="CM78" s="2">
        <v>0</v>
      </c>
      <c r="CN78" s="2" t="s">
        <v>3</v>
      </c>
      <c r="CO78" s="2">
        <v>0</v>
      </c>
      <c r="CP78" s="2">
        <f t="shared" si="46"/>
        <v>49994.15</v>
      </c>
      <c r="CQ78" s="2">
        <f>ROUND(AL78,2)</f>
        <v>2213.11</v>
      </c>
      <c r="CR78" s="2">
        <f>ROUND(AM78,2)</f>
        <v>0</v>
      </c>
      <c r="CS78" s="2">
        <f>ROUND(AN78*BS78,2)</f>
        <v>0</v>
      </c>
      <c r="CT78" s="2">
        <f>ROUND(AO78*BA78,2)</f>
        <v>0</v>
      </c>
      <c r="CU78" s="2">
        <f t="shared" si="47"/>
        <v>0</v>
      </c>
      <c r="CV78" s="2">
        <f>AH78</f>
        <v>0</v>
      </c>
      <c r="CW78" s="2">
        <f>AI78</f>
        <v>0</v>
      </c>
      <c r="CX78" s="2">
        <f t="shared" si="48"/>
        <v>0</v>
      </c>
      <c r="CY78" s="2">
        <f>0</f>
        <v>0</v>
      </c>
      <c r="CZ78" s="2">
        <f>0</f>
        <v>0</v>
      </c>
      <c r="DA78" s="2"/>
      <c r="DB78" s="2"/>
      <c r="DC78" s="2" t="s">
        <v>3</v>
      </c>
      <c r="DD78" s="2" t="s">
        <v>3</v>
      </c>
      <c r="DE78" s="2" t="s">
        <v>3</v>
      </c>
      <c r="DF78" s="2" t="s">
        <v>3</v>
      </c>
      <c r="DG78" s="2" t="s">
        <v>3</v>
      </c>
      <c r="DH78" s="2" t="s">
        <v>3</v>
      </c>
      <c r="DI78" s="2" t="s">
        <v>3</v>
      </c>
      <c r="DJ78" s="2" t="s">
        <v>3</v>
      </c>
      <c r="DK78" s="2" t="s">
        <v>3</v>
      </c>
      <c r="DL78" s="2" t="s">
        <v>3</v>
      </c>
      <c r="DM78" s="2" t="s">
        <v>3</v>
      </c>
      <c r="DN78" s="2">
        <v>0</v>
      </c>
      <c r="DO78" s="2">
        <v>0</v>
      </c>
      <c r="DP78" s="2">
        <v>1</v>
      </c>
      <c r="DQ78" s="2">
        <v>1</v>
      </c>
      <c r="DR78" s="2"/>
      <c r="DS78" s="2"/>
      <c r="DT78" s="2"/>
      <c r="DU78" s="2">
        <v>1005</v>
      </c>
      <c r="DV78" s="2" t="s">
        <v>130</v>
      </c>
      <c r="DW78" s="2" t="s">
        <v>130</v>
      </c>
      <c r="DX78" s="2">
        <v>1</v>
      </c>
      <c r="DY78" s="2"/>
      <c r="DZ78" s="2" t="s">
        <v>3</v>
      </c>
      <c r="EA78" s="2" t="s">
        <v>3</v>
      </c>
      <c r="EB78" s="2" t="s">
        <v>3</v>
      </c>
      <c r="EC78" s="2" t="s">
        <v>3</v>
      </c>
      <c r="ED78" s="2"/>
      <c r="EE78" s="2">
        <v>89977453</v>
      </c>
      <c r="EF78" s="2">
        <v>90</v>
      </c>
      <c r="EG78" s="2" t="s">
        <v>131</v>
      </c>
      <c r="EH78" s="2">
        <v>0</v>
      </c>
      <c r="EI78" s="2" t="s">
        <v>3</v>
      </c>
      <c r="EJ78" s="2">
        <v>1</v>
      </c>
      <c r="EK78" s="2">
        <v>900</v>
      </c>
      <c r="EL78" s="2" t="s">
        <v>131</v>
      </c>
      <c r="EM78" s="2" t="s">
        <v>132</v>
      </c>
      <c r="EN78" s="2"/>
      <c r="EO78" s="2" t="s">
        <v>3</v>
      </c>
      <c r="EP78" s="2"/>
      <c r="EQ78" s="2">
        <v>16</v>
      </c>
      <c r="ER78" s="2">
        <v>0</v>
      </c>
      <c r="ES78" s="2">
        <v>2213.11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/>
      <c r="EZ78" s="2">
        <v>5</v>
      </c>
      <c r="FA78" s="2"/>
      <c r="FB78" s="2"/>
      <c r="FC78" s="2">
        <v>0</v>
      </c>
      <c r="FD78" s="2">
        <v>18</v>
      </c>
      <c r="FE78" s="2"/>
      <c r="FF78" s="2">
        <v>2213.11</v>
      </c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>
        <v>0</v>
      </c>
      <c r="FR78" s="2">
        <v>0</v>
      </c>
      <c r="FS78" s="2">
        <v>0</v>
      </c>
      <c r="FT78" s="2"/>
      <c r="FU78" s="2"/>
      <c r="FV78" s="2"/>
      <c r="FW78" s="2"/>
      <c r="FX78" s="2">
        <v>112</v>
      </c>
      <c r="FY78" s="2">
        <v>65</v>
      </c>
      <c r="FZ78" s="2"/>
      <c r="GA78" s="2" t="s">
        <v>3</v>
      </c>
      <c r="GB78" s="2"/>
      <c r="GC78" s="2"/>
      <c r="GD78" s="2">
        <v>1</v>
      </c>
      <c r="GE78" s="2"/>
      <c r="GF78" s="2">
        <v>1559775362</v>
      </c>
      <c r="GG78" s="2">
        <v>2</v>
      </c>
      <c r="GH78" s="2">
        <v>3</v>
      </c>
      <c r="GI78" s="2">
        <v>-2</v>
      </c>
      <c r="GJ78" s="2">
        <v>0</v>
      </c>
      <c r="GK78" s="2">
        <v>0</v>
      </c>
      <c r="GL78" s="2">
        <f t="shared" si="51"/>
        <v>0</v>
      </c>
      <c r="GM78" s="2">
        <f t="shared" si="52"/>
        <v>49994.15</v>
      </c>
      <c r="GN78" s="2">
        <f t="shared" si="53"/>
        <v>49994.15</v>
      </c>
      <c r="GO78" s="2">
        <f t="shared" si="54"/>
        <v>0</v>
      </c>
      <c r="GP78" s="2">
        <f t="shared" si="55"/>
        <v>0</v>
      </c>
      <c r="GQ78" s="2"/>
      <c r="GR78" s="2">
        <v>1</v>
      </c>
      <c r="GS78" s="2">
        <v>1</v>
      </c>
      <c r="GT78" s="2">
        <v>0</v>
      </c>
      <c r="GU78" s="2" t="s">
        <v>3</v>
      </c>
      <c r="GV78" s="2">
        <f t="shared" si="56"/>
        <v>0</v>
      </c>
      <c r="GW78" s="2">
        <v>1</v>
      </c>
      <c r="GX78" s="2">
        <f t="shared" si="57"/>
        <v>0</v>
      </c>
      <c r="GY78" s="2"/>
      <c r="GZ78" s="2"/>
      <c r="HA78" s="2">
        <v>0</v>
      </c>
      <c r="HB78" s="2">
        <v>0</v>
      </c>
      <c r="HC78" s="2">
        <f t="shared" si="58"/>
        <v>0</v>
      </c>
      <c r="HD78" s="2"/>
      <c r="HE78" s="2" t="s">
        <v>3</v>
      </c>
      <c r="HF78" s="2" t="s">
        <v>3</v>
      </c>
      <c r="HG78" s="2">
        <f>ROUND(ROUND(AL78,2)*I78,2)</f>
        <v>49994.15</v>
      </c>
      <c r="HH78" s="2"/>
      <c r="HI78" s="2"/>
      <c r="HJ78" s="2"/>
      <c r="HK78" s="2"/>
      <c r="HL78" s="2"/>
      <c r="HM78" s="2" t="s">
        <v>3</v>
      </c>
      <c r="HN78" s="2" t="s">
        <v>3</v>
      </c>
      <c r="HO78" s="2" t="s">
        <v>3</v>
      </c>
      <c r="HP78" s="2" t="s">
        <v>3</v>
      </c>
      <c r="HQ78" s="2" t="s">
        <v>3</v>
      </c>
      <c r="HR78" s="2"/>
      <c r="HS78" s="2">
        <v>0</v>
      </c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>
        <v>0</v>
      </c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5" ht="409.5" x14ac:dyDescent="0.2">
      <c r="A79" s="2">
        <v>17</v>
      </c>
      <c r="B79" s="2">
        <v>1</v>
      </c>
      <c r="C79" s="2">
        <f>ROW(SmtRes!A36)</f>
        <v>36</v>
      </c>
      <c r="D79" s="2">
        <f>ROW(EtalonRes!A36)</f>
        <v>36</v>
      </c>
      <c r="E79" s="2" t="s">
        <v>133</v>
      </c>
      <c r="F79" s="2" t="s">
        <v>134</v>
      </c>
      <c r="G79" s="2" t="s">
        <v>135</v>
      </c>
      <c r="H79" s="2" t="s">
        <v>105</v>
      </c>
      <c r="I79" s="2">
        <f>ROUND(15/100,7)</f>
        <v>0.15</v>
      </c>
      <c r="J79" s="2">
        <v>0</v>
      </c>
      <c r="K79" s="2">
        <f>ROUND(15/100,7)</f>
        <v>0.15</v>
      </c>
      <c r="L79" s="2"/>
      <c r="M79" s="2"/>
      <c r="N79" s="2"/>
      <c r="O79" s="2">
        <f t="shared" si="38"/>
        <v>577.95000000000005</v>
      </c>
      <c r="P79" s="2">
        <f>SUMIF(SmtRes!AQ31:'SmtRes'!AQ36,"=1",SmtRes!DF31:'SmtRes'!DF36)</f>
        <v>0</v>
      </c>
      <c r="Q79" s="2">
        <f>SUMIF(SmtRes!AQ31:'SmtRes'!AQ36,"=1",SmtRes!DG31:'SmtRes'!DG36)</f>
        <v>0</v>
      </c>
      <c r="R79" s="2">
        <f>SUMIF(SmtRes!AQ31:'SmtRes'!AQ36,"=1",SmtRes!DH31:'SmtRes'!DH36)</f>
        <v>0</v>
      </c>
      <c r="S79" s="2">
        <f>SUMIF(SmtRes!AQ31:'SmtRes'!AQ36,"=1",SmtRes!DI31:'SmtRes'!DI36)</f>
        <v>577.95000000000005</v>
      </c>
      <c r="T79" s="2">
        <f t="shared" si="39"/>
        <v>0</v>
      </c>
      <c r="U79" s="2">
        <f>SUMIF(SmtRes!AQ31:'SmtRes'!AQ36,"=1",SmtRes!CV31:'SmtRes'!CV36)</f>
        <v>1.554225</v>
      </c>
      <c r="V79" s="2">
        <f>SUMIF(SmtRes!AQ31:'SmtRes'!AQ36,"=1",SmtRes!CW31:'SmtRes'!CW36)</f>
        <v>6.5624999999999998E-3</v>
      </c>
      <c r="W79" s="2">
        <f t="shared" si="40"/>
        <v>0</v>
      </c>
      <c r="X79" s="2">
        <f t="shared" si="41"/>
        <v>582.57000000000005</v>
      </c>
      <c r="Y79" s="2">
        <f t="shared" si="42"/>
        <v>319.32</v>
      </c>
      <c r="Z79" s="2"/>
      <c r="AA79" s="2">
        <v>94240533</v>
      </c>
      <c r="AB79" s="2">
        <f t="shared" si="43"/>
        <v>3853.0273900000002</v>
      </c>
      <c r="AC79" s="2">
        <f>ROUND((0),6)</f>
        <v>0</v>
      </c>
      <c r="AD79" s="2">
        <f>ROUND((((0)-(0))+AE79),6)</f>
        <v>0</v>
      </c>
      <c r="AE79" s="2">
        <f>ROUND((0),6)</f>
        <v>0</v>
      </c>
      <c r="AF79" s="2">
        <f>ROUND((SUM(SmtRes!BT31:'SmtRes'!BT36)),6)</f>
        <v>3853.0273900000002</v>
      </c>
      <c r="AG79" s="2">
        <f t="shared" si="44"/>
        <v>0</v>
      </c>
      <c r="AH79" s="2">
        <f>(SUM(SmtRes!BU31:'SmtRes'!BU36))</f>
        <v>10.361499999999999</v>
      </c>
      <c r="AI79" s="2">
        <f>(SUM(SmtRes!BV31:'SmtRes'!BV36))</f>
        <v>4.3749999999999997E-2</v>
      </c>
      <c r="AJ79" s="2">
        <f t="shared" si="45"/>
        <v>0</v>
      </c>
      <c r="AK79" s="2">
        <v>3350.4585999999999</v>
      </c>
      <c r="AL79" s="2">
        <v>0</v>
      </c>
      <c r="AM79" s="2">
        <v>0</v>
      </c>
      <c r="AN79" s="2">
        <v>0</v>
      </c>
      <c r="AO79" s="2">
        <v>3350.4585999999999</v>
      </c>
      <c r="AP79" s="2">
        <v>0</v>
      </c>
      <c r="AQ79" s="2">
        <v>9.01</v>
      </c>
      <c r="AR79" s="2">
        <v>3.4999999999999996E-2</v>
      </c>
      <c r="AS79" s="2">
        <v>0</v>
      </c>
      <c r="AT79" s="2">
        <v>100.8</v>
      </c>
      <c r="AU79" s="2">
        <v>55.25</v>
      </c>
      <c r="AV79" s="2">
        <v>1</v>
      </c>
      <c r="AW79" s="2">
        <v>1</v>
      </c>
      <c r="AX79" s="2"/>
      <c r="AY79" s="2"/>
      <c r="AZ79" s="2">
        <v>1</v>
      </c>
      <c r="BA79" s="2">
        <v>1</v>
      </c>
      <c r="BB79" s="2">
        <v>1</v>
      </c>
      <c r="BC79" s="2">
        <v>1</v>
      </c>
      <c r="BD79" s="2" t="s">
        <v>3</v>
      </c>
      <c r="BE79" s="2" t="s">
        <v>3</v>
      </c>
      <c r="BF79" s="2" t="s">
        <v>3</v>
      </c>
      <c r="BG79" s="2" t="s">
        <v>3</v>
      </c>
      <c r="BH79" s="2">
        <v>0</v>
      </c>
      <c r="BI79" s="2">
        <v>1</v>
      </c>
      <c r="BJ79" s="2" t="s">
        <v>136</v>
      </c>
      <c r="BK79" s="2"/>
      <c r="BL79" s="2"/>
      <c r="BM79" s="2">
        <v>11001</v>
      </c>
      <c r="BN79" s="2">
        <v>0</v>
      </c>
      <c r="BO79" s="2" t="s">
        <v>3</v>
      </c>
      <c r="BP79" s="2">
        <v>0</v>
      </c>
      <c r="BQ79" s="2">
        <v>2</v>
      </c>
      <c r="BR79" s="2">
        <v>0</v>
      </c>
      <c r="BS79" s="2">
        <v>1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 t="s">
        <v>3</v>
      </c>
      <c r="BZ79" s="2">
        <v>112</v>
      </c>
      <c r="CA79" s="2">
        <v>65</v>
      </c>
      <c r="CB79" s="2" t="s">
        <v>3</v>
      </c>
      <c r="CC79" s="2"/>
      <c r="CD79" s="2"/>
      <c r="CE79" s="2">
        <v>0</v>
      </c>
      <c r="CF79" s="2">
        <v>0</v>
      </c>
      <c r="CG79" s="2">
        <v>0</v>
      </c>
      <c r="CH79" s="2"/>
      <c r="CI79" s="2"/>
      <c r="CJ79" s="2"/>
      <c r="CK79" s="2"/>
      <c r="CL79" s="2"/>
      <c r="CM79" s="2">
        <v>0</v>
      </c>
      <c r="CN79" s="7" t="s">
        <v>399</v>
      </c>
      <c r="CO79" s="2">
        <v>0</v>
      </c>
      <c r="CP79" s="2">
        <f t="shared" si="46"/>
        <v>577.95000000000005</v>
      </c>
      <c r="CQ79" s="2">
        <f>SUMIF(SmtRes!AQ31:'SmtRes'!AQ36,"=1",SmtRes!AA31:'SmtRes'!AA36)</f>
        <v>0</v>
      </c>
      <c r="CR79" s="2">
        <f>SUMIF(SmtRes!AQ31:'SmtRes'!AQ36,"=1",SmtRes!AB31:'SmtRes'!AB36)</f>
        <v>0</v>
      </c>
      <c r="CS79" s="2">
        <f>SUMIF(SmtRes!AQ31:'SmtRes'!AQ36,"=1",SmtRes!AC31:'SmtRes'!AC36)</f>
        <v>0</v>
      </c>
      <c r="CT79" s="2">
        <f>SUMIF(SmtRes!AQ31:'SmtRes'!AQ36,"=1",SmtRes!AD31:'SmtRes'!AD36)</f>
        <v>371.86</v>
      </c>
      <c r="CU79" s="2">
        <f t="shared" si="47"/>
        <v>0</v>
      </c>
      <c r="CV79" s="2">
        <f>SUMIF(SmtRes!AQ31:'SmtRes'!AQ36,"=1",SmtRes!BU31:'SmtRes'!BU36)</f>
        <v>10.361499999999999</v>
      </c>
      <c r="CW79" s="2">
        <f>SUMIF(SmtRes!AQ31:'SmtRes'!AQ36,"=1",SmtRes!BV31:'SmtRes'!BV36)</f>
        <v>4.3749999999999997E-2</v>
      </c>
      <c r="CX79" s="2">
        <f t="shared" si="48"/>
        <v>0</v>
      </c>
      <c r="CY79" s="2">
        <f>(((S79+R79)*AT79)/100)</f>
        <v>582.57360000000006</v>
      </c>
      <c r="CZ79" s="2">
        <f>(((S79+R79)*AU79)/100)</f>
        <v>319.31737500000003</v>
      </c>
      <c r="DA79" s="2"/>
      <c r="DB79" s="2">
        <v>3</v>
      </c>
      <c r="DC79" s="2" t="s">
        <v>3</v>
      </c>
      <c r="DD79" s="2" t="s">
        <v>3</v>
      </c>
      <c r="DE79" s="2" t="s">
        <v>22</v>
      </c>
      <c r="DF79" s="2" t="s">
        <v>22</v>
      </c>
      <c r="DG79" s="2" t="s">
        <v>23</v>
      </c>
      <c r="DH79" s="2" t="s">
        <v>3</v>
      </c>
      <c r="DI79" s="2" t="s">
        <v>23</v>
      </c>
      <c r="DJ79" s="2" t="s">
        <v>22</v>
      </c>
      <c r="DK79" s="2" t="s">
        <v>3</v>
      </c>
      <c r="DL79" s="2" t="s">
        <v>24</v>
      </c>
      <c r="DM79" s="2" t="s">
        <v>25</v>
      </c>
      <c r="DN79" s="2">
        <v>0</v>
      </c>
      <c r="DO79" s="2">
        <v>0</v>
      </c>
      <c r="DP79" s="2">
        <v>1</v>
      </c>
      <c r="DQ79" s="2">
        <v>1</v>
      </c>
      <c r="DR79" s="2"/>
      <c r="DS79" s="2"/>
      <c r="DT79" s="2"/>
      <c r="DU79" s="2">
        <v>1003</v>
      </c>
      <c r="DV79" s="2" t="s">
        <v>105</v>
      </c>
      <c r="DW79" s="2" t="s">
        <v>105</v>
      </c>
      <c r="DX79" s="2">
        <v>100</v>
      </c>
      <c r="DY79" s="2"/>
      <c r="DZ79" s="2" t="s">
        <v>3</v>
      </c>
      <c r="EA79" s="2" t="s">
        <v>3</v>
      </c>
      <c r="EB79" s="2" t="s">
        <v>3</v>
      </c>
      <c r="EC79" s="2" t="s">
        <v>3</v>
      </c>
      <c r="ED79" s="2"/>
      <c r="EE79" s="2">
        <v>89976994</v>
      </c>
      <c r="EF79" s="2">
        <v>2</v>
      </c>
      <c r="EG79" s="2" t="s">
        <v>26</v>
      </c>
      <c r="EH79" s="2">
        <v>11</v>
      </c>
      <c r="EI79" s="2" t="s">
        <v>108</v>
      </c>
      <c r="EJ79" s="2">
        <v>1</v>
      </c>
      <c r="EK79" s="2">
        <v>11001</v>
      </c>
      <c r="EL79" s="2" t="s">
        <v>108</v>
      </c>
      <c r="EM79" s="2" t="s">
        <v>124</v>
      </c>
      <c r="EN79" s="2"/>
      <c r="EO79" s="2" t="s">
        <v>29</v>
      </c>
      <c r="EP79" s="2"/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9.01</v>
      </c>
      <c r="EX79" s="2">
        <v>0.04</v>
      </c>
      <c r="EY79" s="2">
        <v>0</v>
      </c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>
        <v>0</v>
      </c>
      <c r="FR79" s="2">
        <v>0</v>
      </c>
      <c r="FS79" s="2">
        <v>0</v>
      </c>
      <c r="FT79" s="2"/>
      <c r="FU79" s="2"/>
      <c r="FV79" s="2"/>
      <c r="FW79" s="2"/>
      <c r="FX79" s="2">
        <v>100.8</v>
      </c>
      <c r="FY79" s="2">
        <v>55.25</v>
      </c>
      <c r="FZ79" s="2"/>
      <c r="GA79" s="2" t="s">
        <v>3</v>
      </c>
      <c r="GB79" s="2"/>
      <c r="GC79" s="2"/>
      <c r="GD79" s="2">
        <v>1</v>
      </c>
      <c r="GE79" s="2"/>
      <c r="GF79" s="2">
        <v>-103173114</v>
      </c>
      <c r="GG79" s="2">
        <v>2</v>
      </c>
      <c r="GH79" s="2">
        <v>1</v>
      </c>
      <c r="GI79" s="2">
        <v>-2</v>
      </c>
      <c r="GJ79" s="2">
        <v>0</v>
      </c>
      <c r="GK79" s="2">
        <v>0</v>
      </c>
      <c r="GL79" s="2">
        <f t="shared" si="51"/>
        <v>0</v>
      </c>
      <c r="GM79" s="2">
        <f t="shared" si="52"/>
        <v>1479.84</v>
      </c>
      <c r="GN79" s="2">
        <f t="shared" si="53"/>
        <v>1479.84</v>
      </c>
      <c r="GO79" s="2">
        <f t="shared" si="54"/>
        <v>0</v>
      </c>
      <c r="GP79" s="2">
        <f t="shared" si="55"/>
        <v>0</v>
      </c>
      <c r="GQ79" s="2"/>
      <c r="GR79" s="2">
        <v>0</v>
      </c>
      <c r="GS79" s="2">
        <v>3</v>
      </c>
      <c r="GT79" s="2">
        <v>0</v>
      </c>
      <c r="GU79" s="2" t="s">
        <v>3</v>
      </c>
      <c r="GV79" s="2">
        <f t="shared" si="56"/>
        <v>0</v>
      </c>
      <c r="GW79" s="2">
        <v>1</v>
      </c>
      <c r="GX79" s="2">
        <f t="shared" si="57"/>
        <v>0</v>
      </c>
      <c r="GY79" s="2"/>
      <c r="GZ79" s="2"/>
      <c r="HA79" s="2">
        <v>0</v>
      </c>
      <c r="HB79" s="2">
        <v>0</v>
      </c>
      <c r="HC79" s="2">
        <f t="shared" si="58"/>
        <v>0</v>
      </c>
      <c r="HD79" s="2"/>
      <c r="HE79" s="2" t="s">
        <v>3</v>
      </c>
      <c r="HF79" s="2" t="s">
        <v>3</v>
      </c>
      <c r="HG79" s="2"/>
      <c r="HH79" s="2"/>
      <c r="HI79" s="2"/>
      <c r="HJ79" s="2"/>
      <c r="HK79" s="2"/>
      <c r="HL79" s="2"/>
      <c r="HM79" s="2" t="s">
        <v>3</v>
      </c>
      <c r="HN79" s="2" t="s">
        <v>125</v>
      </c>
      <c r="HO79" s="2" t="s">
        <v>126</v>
      </c>
      <c r="HP79" s="2" t="s">
        <v>108</v>
      </c>
      <c r="HQ79" s="2" t="s">
        <v>108</v>
      </c>
      <c r="HR79" s="2"/>
      <c r="HS79" s="2">
        <v>0</v>
      </c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>
        <v>0</v>
      </c>
      <c r="IL79" s="2"/>
      <c r="IM79" s="2"/>
      <c r="IN79" s="2"/>
      <c r="IO79" s="2"/>
      <c r="IP79" s="2"/>
      <c r="IQ79" s="2"/>
      <c r="IR79" s="2"/>
      <c r="IS79" s="2"/>
      <c r="IT79" s="2"/>
      <c r="IU79" s="2"/>
    </row>
    <row r="80" spans="1:255" x14ac:dyDescent="0.2">
      <c r="A80" s="2">
        <v>18</v>
      </c>
      <c r="B80" s="2">
        <v>1</v>
      </c>
      <c r="C80" s="2">
        <v>36</v>
      </c>
      <c r="D80" s="2"/>
      <c r="E80" s="2" t="s">
        <v>137</v>
      </c>
      <c r="F80" s="2" t="s">
        <v>138</v>
      </c>
      <c r="G80" s="2" t="s">
        <v>139</v>
      </c>
      <c r="H80" s="2" t="s">
        <v>140</v>
      </c>
      <c r="I80" s="2">
        <f>I79*J80</f>
        <v>15.149999999999999</v>
      </c>
      <c r="J80" s="2">
        <v>101</v>
      </c>
      <c r="K80" s="2">
        <v>101</v>
      </c>
      <c r="L80" s="2"/>
      <c r="M80" s="2"/>
      <c r="N80" s="2"/>
      <c r="O80" s="2">
        <f t="shared" si="38"/>
        <v>16764.38</v>
      </c>
      <c r="P80" s="2">
        <f>ROUND(CQ80*I80,2)</f>
        <v>16764.38</v>
      </c>
      <c r="Q80" s="2">
        <f>ROUND(CR80*I80,2)</f>
        <v>0</v>
      </c>
      <c r="R80" s="2">
        <f>ROUND(CS80*I80,2)</f>
        <v>0</v>
      </c>
      <c r="S80" s="2">
        <f>ROUND(CT80*I80,2)</f>
        <v>0</v>
      </c>
      <c r="T80" s="2">
        <f t="shared" si="39"/>
        <v>0</v>
      </c>
      <c r="U80" s="2">
        <f>ROUND(CV80*I80,7)</f>
        <v>0</v>
      </c>
      <c r="V80" s="2">
        <f>ROUND(CW80*I80,7)</f>
        <v>0</v>
      </c>
      <c r="W80" s="2">
        <f t="shared" si="40"/>
        <v>0</v>
      </c>
      <c r="X80" s="2">
        <f t="shared" si="41"/>
        <v>0</v>
      </c>
      <c r="Y80" s="2">
        <f t="shared" si="42"/>
        <v>0</v>
      </c>
      <c r="Z80" s="2"/>
      <c r="AA80" s="2">
        <v>94240533</v>
      </c>
      <c r="AB80" s="2">
        <f t="shared" si="43"/>
        <v>1106.56</v>
      </c>
      <c r="AC80" s="2">
        <f>ROUND((ES80),6)</f>
        <v>1106.56</v>
      </c>
      <c r="AD80" s="2">
        <f>ROUND((ET80),6)</f>
        <v>0</v>
      </c>
      <c r="AE80" s="2">
        <f>ROUND((EU80),6)</f>
        <v>0</v>
      </c>
      <c r="AF80" s="2">
        <f>ROUND((EV80),6)</f>
        <v>0</v>
      </c>
      <c r="AG80" s="2">
        <f t="shared" si="44"/>
        <v>0</v>
      </c>
      <c r="AH80" s="2">
        <f>(EW80)</f>
        <v>0</v>
      </c>
      <c r="AI80" s="2">
        <f>(EX80)</f>
        <v>0</v>
      </c>
      <c r="AJ80" s="2">
        <f t="shared" si="45"/>
        <v>0</v>
      </c>
      <c r="AK80" s="2">
        <v>1106.56</v>
      </c>
      <c r="AL80" s="2">
        <v>1106.56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1</v>
      </c>
      <c r="AW80" s="2">
        <v>1</v>
      </c>
      <c r="AX80" s="2"/>
      <c r="AY80" s="2"/>
      <c r="AZ80" s="2">
        <v>1</v>
      </c>
      <c r="BA80" s="2">
        <v>1</v>
      </c>
      <c r="BB80" s="2">
        <v>1</v>
      </c>
      <c r="BC80" s="2">
        <v>1</v>
      </c>
      <c r="BD80" s="2" t="s">
        <v>3</v>
      </c>
      <c r="BE80" s="2" t="s">
        <v>3</v>
      </c>
      <c r="BF80" s="2" t="s">
        <v>3</v>
      </c>
      <c r="BG80" s="2" t="s">
        <v>3</v>
      </c>
      <c r="BH80" s="2">
        <v>3</v>
      </c>
      <c r="BI80" s="2">
        <v>1</v>
      </c>
      <c r="BJ80" s="2" t="s">
        <v>138</v>
      </c>
      <c r="BK80" s="2"/>
      <c r="BL80" s="2"/>
      <c r="BM80" s="2">
        <v>900</v>
      </c>
      <c r="BN80" s="2">
        <v>0</v>
      </c>
      <c r="BO80" s="2" t="s">
        <v>3</v>
      </c>
      <c r="BP80" s="2">
        <v>0</v>
      </c>
      <c r="BQ80" s="2">
        <v>90</v>
      </c>
      <c r="BR80" s="2">
        <v>0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 t="s">
        <v>3</v>
      </c>
      <c r="BZ80" s="2">
        <v>112</v>
      </c>
      <c r="CA80" s="2">
        <v>65</v>
      </c>
      <c r="CB80" s="2" t="s">
        <v>3</v>
      </c>
      <c r="CC80" s="2"/>
      <c r="CD80" s="2"/>
      <c r="CE80" s="2">
        <v>0</v>
      </c>
      <c r="CF80" s="2">
        <v>0</v>
      </c>
      <c r="CG80" s="2">
        <v>0</v>
      </c>
      <c r="CH80" s="2"/>
      <c r="CI80" s="2"/>
      <c r="CJ80" s="2"/>
      <c r="CK80" s="2"/>
      <c r="CL80" s="2"/>
      <c r="CM80" s="2">
        <v>0</v>
      </c>
      <c r="CN80" s="2" t="s">
        <v>3</v>
      </c>
      <c r="CO80" s="2">
        <v>0</v>
      </c>
      <c r="CP80" s="2">
        <f t="shared" si="46"/>
        <v>16764.38</v>
      </c>
      <c r="CQ80" s="2">
        <f>ROUND(AL80,2)</f>
        <v>1106.56</v>
      </c>
      <c r="CR80" s="2">
        <f>ROUND(AM80,2)</f>
        <v>0</v>
      </c>
      <c r="CS80" s="2">
        <f>ROUND(AN80*BS80,2)</f>
        <v>0</v>
      </c>
      <c r="CT80" s="2">
        <f>ROUND(AO80*BA80,2)</f>
        <v>0</v>
      </c>
      <c r="CU80" s="2">
        <f t="shared" si="47"/>
        <v>0</v>
      </c>
      <c r="CV80" s="2">
        <f>AH80</f>
        <v>0</v>
      </c>
      <c r="CW80" s="2">
        <f>AI80</f>
        <v>0</v>
      </c>
      <c r="CX80" s="2">
        <f t="shared" si="48"/>
        <v>0</v>
      </c>
      <c r="CY80" s="2">
        <f>0</f>
        <v>0</v>
      </c>
      <c r="CZ80" s="2">
        <f>0</f>
        <v>0</v>
      </c>
      <c r="DA80" s="2"/>
      <c r="DB80" s="2"/>
      <c r="DC80" s="2" t="s">
        <v>3</v>
      </c>
      <c r="DD80" s="2" t="s">
        <v>3</v>
      </c>
      <c r="DE80" s="2" t="s">
        <v>3</v>
      </c>
      <c r="DF80" s="2" t="s">
        <v>3</v>
      </c>
      <c r="DG80" s="2" t="s">
        <v>3</v>
      </c>
      <c r="DH80" s="2" t="s">
        <v>3</v>
      </c>
      <c r="DI80" s="2" t="s">
        <v>3</v>
      </c>
      <c r="DJ80" s="2" t="s">
        <v>3</v>
      </c>
      <c r="DK80" s="2" t="s">
        <v>3</v>
      </c>
      <c r="DL80" s="2" t="s">
        <v>3</v>
      </c>
      <c r="DM80" s="2" t="s">
        <v>3</v>
      </c>
      <c r="DN80" s="2">
        <v>0</v>
      </c>
      <c r="DO80" s="2">
        <v>0</v>
      </c>
      <c r="DP80" s="2">
        <v>1</v>
      </c>
      <c r="DQ80" s="2">
        <v>1</v>
      </c>
      <c r="DR80" s="2"/>
      <c r="DS80" s="2"/>
      <c r="DT80" s="2"/>
      <c r="DU80" s="2">
        <v>1003</v>
      </c>
      <c r="DV80" s="2" t="s">
        <v>140</v>
      </c>
      <c r="DW80" s="2" t="s">
        <v>140</v>
      </c>
      <c r="DX80" s="2">
        <v>1</v>
      </c>
      <c r="DY80" s="2"/>
      <c r="DZ80" s="2" t="s">
        <v>3</v>
      </c>
      <c r="EA80" s="2" t="s">
        <v>3</v>
      </c>
      <c r="EB80" s="2" t="s">
        <v>3</v>
      </c>
      <c r="EC80" s="2" t="s">
        <v>3</v>
      </c>
      <c r="ED80" s="2"/>
      <c r="EE80" s="2">
        <v>89977453</v>
      </c>
      <c r="EF80" s="2">
        <v>90</v>
      </c>
      <c r="EG80" s="2" t="s">
        <v>131</v>
      </c>
      <c r="EH80" s="2">
        <v>0</v>
      </c>
      <c r="EI80" s="2" t="s">
        <v>3</v>
      </c>
      <c r="EJ80" s="2">
        <v>1</v>
      </c>
      <c r="EK80" s="2">
        <v>900</v>
      </c>
      <c r="EL80" s="2" t="s">
        <v>131</v>
      </c>
      <c r="EM80" s="2" t="s">
        <v>132</v>
      </c>
      <c r="EN80" s="2"/>
      <c r="EO80" s="2" t="s">
        <v>3</v>
      </c>
      <c r="EP80" s="2"/>
      <c r="EQ80" s="2">
        <v>16</v>
      </c>
      <c r="ER80" s="2">
        <v>0</v>
      </c>
      <c r="ES80" s="2">
        <v>1106.56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/>
      <c r="EZ80" s="2">
        <v>5</v>
      </c>
      <c r="FA80" s="2"/>
      <c r="FB80" s="2"/>
      <c r="FC80" s="2">
        <v>0</v>
      </c>
      <c r="FD80" s="2">
        <v>18</v>
      </c>
      <c r="FE80" s="2"/>
      <c r="FF80" s="2">
        <v>1106.56</v>
      </c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>
        <v>0</v>
      </c>
      <c r="FR80" s="2">
        <v>0</v>
      </c>
      <c r="FS80" s="2">
        <v>0</v>
      </c>
      <c r="FT80" s="2"/>
      <c r="FU80" s="2"/>
      <c r="FV80" s="2"/>
      <c r="FW80" s="2"/>
      <c r="FX80" s="2">
        <v>112</v>
      </c>
      <c r="FY80" s="2">
        <v>65</v>
      </c>
      <c r="FZ80" s="2"/>
      <c r="GA80" s="2" t="s">
        <v>3</v>
      </c>
      <c r="GB80" s="2"/>
      <c r="GC80" s="2"/>
      <c r="GD80" s="2">
        <v>1</v>
      </c>
      <c r="GE80" s="2"/>
      <c r="GF80" s="2">
        <v>-1228778196</v>
      </c>
      <c r="GG80" s="2">
        <v>2</v>
      </c>
      <c r="GH80" s="2">
        <v>3</v>
      </c>
      <c r="GI80" s="2">
        <v>-2</v>
      </c>
      <c r="GJ80" s="2">
        <v>0</v>
      </c>
      <c r="GK80" s="2">
        <v>0</v>
      </c>
      <c r="GL80" s="2">
        <f t="shared" si="51"/>
        <v>0</v>
      </c>
      <c r="GM80" s="2">
        <f t="shared" si="52"/>
        <v>16764.38</v>
      </c>
      <c r="GN80" s="2">
        <f t="shared" si="53"/>
        <v>16764.38</v>
      </c>
      <c r="GO80" s="2">
        <f t="shared" si="54"/>
        <v>0</v>
      </c>
      <c r="GP80" s="2">
        <f t="shared" si="55"/>
        <v>0</v>
      </c>
      <c r="GQ80" s="2"/>
      <c r="GR80" s="2">
        <v>1</v>
      </c>
      <c r="GS80" s="2">
        <v>1</v>
      </c>
      <c r="GT80" s="2">
        <v>0</v>
      </c>
      <c r="GU80" s="2" t="s">
        <v>3</v>
      </c>
      <c r="GV80" s="2">
        <f t="shared" si="56"/>
        <v>0</v>
      </c>
      <c r="GW80" s="2">
        <v>1</v>
      </c>
      <c r="GX80" s="2">
        <f t="shared" si="57"/>
        <v>0</v>
      </c>
      <c r="GY80" s="2"/>
      <c r="GZ80" s="2"/>
      <c r="HA80" s="2">
        <v>0</v>
      </c>
      <c r="HB80" s="2">
        <v>0</v>
      </c>
      <c r="HC80" s="2">
        <f t="shared" si="58"/>
        <v>0</v>
      </c>
      <c r="HD80" s="2"/>
      <c r="HE80" s="2" t="s">
        <v>3</v>
      </c>
      <c r="HF80" s="2" t="s">
        <v>3</v>
      </c>
      <c r="HG80" s="2">
        <f>ROUND(ROUND(AL80,2)*I80,2)</f>
        <v>16764.38</v>
      </c>
      <c r="HH80" s="2"/>
      <c r="HI80" s="2"/>
      <c r="HJ80" s="2"/>
      <c r="HK80" s="2"/>
      <c r="HL80" s="2"/>
      <c r="HM80" s="2" t="s">
        <v>3</v>
      </c>
      <c r="HN80" s="2" t="s">
        <v>3</v>
      </c>
      <c r="HO80" s="2" t="s">
        <v>3</v>
      </c>
      <c r="HP80" s="2" t="s">
        <v>3</v>
      </c>
      <c r="HQ80" s="2" t="s">
        <v>3</v>
      </c>
      <c r="HR80" s="2"/>
      <c r="HS80" s="2">
        <v>0</v>
      </c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>
        <v>0</v>
      </c>
      <c r="IL80" s="2"/>
      <c r="IM80" s="2"/>
      <c r="IN80" s="2"/>
      <c r="IO80" s="2"/>
      <c r="IP80" s="2"/>
      <c r="IQ80" s="2"/>
      <c r="IR80" s="2"/>
      <c r="IS80" s="2"/>
      <c r="IT80" s="2"/>
      <c r="IU80" s="2"/>
    </row>
    <row r="81" spans="1:255" x14ac:dyDescent="0.2">
      <c r="A81" s="2">
        <v>17</v>
      </c>
      <c r="B81" s="2">
        <v>1</v>
      </c>
      <c r="C81" s="2">
        <f>ROW(SmtRes!A38)</f>
        <v>38</v>
      </c>
      <c r="D81" s="2">
        <f>ROW(EtalonRes!A38)</f>
        <v>38</v>
      </c>
      <c r="E81" s="2" t="s">
        <v>141</v>
      </c>
      <c r="F81" s="2" t="s">
        <v>142</v>
      </c>
      <c r="G81" s="2" t="s">
        <v>143</v>
      </c>
      <c r="H81" s="2" t="s">
        <v>20</v>
      </c>
      <c r="I81" s="2">
        <f>ROUND(22/100,7)</f>
        <v>0.22</v>
      </c>
      <c r="J81" s="2">
        <v>0</v>
      </c>
      <c r="K81" s="2">
        <f>ROUND(22/100,7)</f>
        <v>0.22</v>
      </c>
      <c r="L81" s="2"/>
      <c r="M81" s="2"/>
      <c r="N81" s="2"/>
      <c r="O81" s="2">
        <f t="shared" si="38"/>
        <v>4887.71</v>
      </c>
      <c r="P81" s="2">
        <f>SUMIF(SmtRes!AQ37:'SmtRes'!AQ38,"=1",SmtRes!DF37:'SmtRes'!DF38)</f>
        <v>0</v>
      </c>
      <c r="Q81" s="2">
        <f>SUMIF(SmtRes!AQ37:'SmtRes'!AQ38,"=1",SmtRes!DG37:'SmtRes'!DG38)</f>
        <v>0</v>
      </c>
      <c r="R81" s="2">
        <f>SUMIF(SmtRes!AQ37:'SmtRes'!AQ38,"=1",SmtRes!DH37:'SmtRes'!DH38)</f>
        <v>0</v>
      </c>
      <c r="S81" s="2">
        <f>SUMIF(SmtRes!AQ37:'SmtRes'!AQ38,"=1",SmtRes!DI37:'SmtRes'!DI38)</f>
        <v>4887.71</v>
      </c>
      <c r="T81" s="2">
        <f t="shared" si="39"/>
        <v>0</v>
      </c>
      <c r="U81" s="2">
        <f>SUMIF(SmtRes!AQ37:'SmtRes'!AQ38,"=1",SmtRes!CV37:'SmtRes'!CV38)</f>
        <v>7.5922000000000001</v>
      </c>
      <c r="V81" s="2">
        <f>SUMIF(SmtRes!AQ37:'SmtRes'!AQ38,"=1",SmtRes!CW37:'SmtRes'!CW38)</f>
        <v>0</v>
      </c>
      <c r="W81" s="2">
        <f t="shared" si="40"/>
        <v>0</v>
      </c>
      <c r="X81" s="2">
        <f t="shared" si="41"/>
        <v>4398.9399999999996</v>
      </c>
      <c r="Y81" s="2">
        <f t="shared" si="42"/>
        <v>2199.4699999999998</v>
      </c>
      <c r="Z81" s="2"/>
      <c r="AA81" s="2">
        <v>94240533</v>
      </c>
      <c r="AB81" s="2">
        <f t="shared" si="43"/>
        <v>22216.8478</v>
      </c>
      <c r="AC81" s="2">
        <f>ROUND((0),6)</f>
        <v>0</v>
      </c>
      <c r="AD81" s="2">
        <f>ROUND((((0)-(0))+AE81),6)</f>
        <v>0</v>
      </c>
      <c r="AE81" s="2">
        <f>ROUND((0),6)</f>
        <v>0</v>
      </c>
      <c r="AF81" s="2">
        <f>ROUND((SUM(SmtRes!BT37:'SmtRes'!BT38)),6)</f>
        <v>22216.8478</v>
      </c>
      <c r="AG81" s="2">
        <f t="shared" si="44"/>
        <v>0</v>
      </c>
      <c r="AH81" s="2">
        <f>(SUM(SmtRes!BU37:'SmtRes'!BU38))</f>
        <v>34.51</v>
      </c>
      <c r="AI81" s="2">
        <f>(0)</f>
        <v>0</v>
      </c>
      <c r="AJ81" s="2">
        <f t="shared" si="45"/>
        <v>0</v>
      </c>
      <c r="AK81" s="2">
        <v>22216.8478</v>
      </c>
      <c r="AL81" s="2">
        <v>0</v>
      </c>
      <c r="AM81" s="2">
        <v>0</v>
      </c>
      <c r="AN81" s="2">
        <v>0</v>
      </c>
      <c r="AO81" s="2">
        <v>22216.8478</v>
      </c>
      <c r="AP81" s="2">
        <v>0</v>
      </c>
      <c r="AQ81" s="2">
        <v>34.51</v>
      </c>
      <c r="AR81" s="2">
        <v>0</v>
      </c>
      <c r="AS81" s="2">
        <v>0</v>
      </c>
      <c r="AT81" s="2">
        <v>90</v>
      </c>
      <c r="AU81" s="2">
        <v>45</v>
      </c>
      <c r="AV81" s="2">
        <v>1</v>
      </c>
      <c r="AW81" s="2">
        <v>1</v>
      </c>
      <c r="AX81" s="2"/>
      <c r="AY81" s="2"/>
      <c r="AZ81" s="2">
        <v>1</v>
      </c>
      <c r="BA81" s="2">
        <v>1</v>
      </c>
      <c r="BB81" s="2">
        <v>1</v>
      </c>
      <c r="BC81" s="2">
        <v>1</v>
      </c>
      <c r="BD81" s="2" t="s">
        <v>3</v>
      </c>
      <c r="BE81" s="2" t="s">
        <v>3</v>
      </c>
      <c r="BF81" s="2" t="s">
        <v>3</v>
      </c>
      <c r="BG81" s="2" t="s">
        <v>3</v>
      </c>
      <c r="BH81" s="2">
        <v>0</v>
      </c>
      <c r="BI81" s="2">
        <v>1</v>
      </c>
      <c r="BJ81" s="2" t="s">
        <v>144</v>
      </c>
      <c r="BK81" s="2"/>
      <c r="BL81" s="2"/>
      <c r="BM81" s="2">
        <v>63001</v>
      </c>
      <c r="BN81" s="2">
        <v>0</v>
      </c>
      <c r="BO81" s="2" t="s">
        <v>3</v>
      </c>
      <c r="BP81" s="2">
        <v>0</v>
      </c>
      <c r="BQ81" s="2">
        <v>6</v>
      </c>
      <c r="BR81" s="2">
        <v>0</v>
      </c>
      <c r="BS81" s="2">
        <v>1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 t="s">
        <v>3</v>
      </c>
      <c r="BZ81" s="2">
        <v>90</v>
      </c>
      <c r="CA81" s="2">
        <v>45</v>
      </c>
      <c r="CB81" s="2" t="s">
        <v>3</v>
      </c>
      <c r="CC81" s="2"/>
      <c r="CD81" s="2"/>
      <c r="CE81" s="2">
        <v>0</v>
      </c>
      <c r="CF81" s="2">
        <v>0</v>
      </c>
      <c r="CG81" s="2">
        <v>0</v>
      </c>
      <c r="CH81" s="2"/>
      <c r="CI81" s="2"/>
      <c r="CJ81" s="2"/>
      <c r="CK81" s="2"/>
      <c r="CL81" s="2"/>
      <c r="CM81" s="2">
        <v>0</v>
      </c>
      <c r="CN81" s="2" t="s">
        <v>3</v>
      </c>
      <c r="CO81" s="2">
        <v>0</v>
      </c>
      <c r="CP81" s="2">
        <f t="shared" si="46"/>
        <v>4887.71</v>
      </c>
      <c r="CQ81" s="2">
        <f>SUMIF(SmtRes!AQ37:'SmtRes'!AQ38,"=1",SmtRes!AA37:'SmtRes'!AA38)</f>
        <v>0</v>
      </c>
      <c r="CR81" s="2">
        <f>SUMIF(SmtRes!AQ37:'SmtRes'!AQ38,"=1",SmtRes!AB37:'SmtRes'!AB38)</f>
        <v>0</v>
      </c>
      <c r="CS81" s="2">
        <f>SUMIF(SmtRes!AQ37:'SmtRes'!AQ38,"=1",SmtRes!AC37:'SmtRes'!AC38)</f>
        <v>0</v>
      </c>
      <c r="CT81" s="2">
        <f>SUMIF(SmtRes!AQ37:'SmtRes'!AQ38,"=1",SmtRes!AD37:'SmtRes'!AD38)</f>
        <v>643.78</v>
      </c>
      <c r="CU81" s="2">
        <f t="shared" si="47"/>
        <v>0</v>
      </c>
      <c r="CV81" s="2">
        <f>SUMIF(SmtRes!AQ37:'SmtRes'!AQ38,"=1",SmtRes!BU37:'SmtRes'!BU38)</f>
        <v>34.51</v>
      </c>
      <c r="CW81" s="2">
        <f>SUMIF(SmtRes!AQ37:'SmtRes'!AQ38,"=1",SmtRes!BV37:'SmtRes'!BV38)</f>
        <v>0</v>
      </c>
      <c r="CX81" s="2">
        <f t="shared" si="48"/>
        <v>0</v>
      </c>
      <c r="CY81" s="2">
        <f t="shared" ref="CY81:CY86" si="59">(((S81+R81)*AT81)/100)</f>
        <v>4398.9390000000003</v>
      </c>
      <c r="CZ81" s="2">
        <f t="shared" ref="CZ81:CZ86" si="60">(((S81+R81)*AU81)/100)</f>
        <v>2199.4695000000002</v>
      </c>
      <c r="DA81" s="2"/>
      <c r="DB81" s="2"/>
      <c r="DC81" s="2" t="s">
        <v>3</v>
      </c>
      <c r="DD81" s="2" t="s">
        <v>3</v>
      </c>
      <c r="DE81" s="2" t="s">
        <v>3</v>
      </c>
      <c r="DF81" s="2" t="s">
        <v>3</v>
      </c>
      <c r="DG81" s="2" t="s">
        <v>3</v>
      </c>
      <c r="DH81" s="2" t="s">
        <v>3</v>
      </c>
      <c r="DI81" s="2" t="s">
        <v>3</v>
      </c>
      <c r="DJ81" s="2" t="s">
        <v>3</v>
      </c>
      <c r="DK81" s="2" t="s">
        <v>3</v>
      </c>
      <c r="DL81" s="2" t="s">
        <v>3</v>
      </c>
      <c r="DM81" s="2" t="s">
        <v>3</v>
      </c>
      <c r="DN81" s="2">
        <v>0</v>
      </c>
      <c r="DO81" s="2">
        <v>0</v>
      </c>
      <c r="DP81" s="2">
        <v>1</v>
      </c>
      <c r="DQ81" s="2">
        <v>1</v>
      </c>
      <c r="DR81" s="2"/>
      <c r="DS81" s="2"/>
      <c r="DT81" s="2"/>
      <c r="DU81" s="2">
        <v>1005</v>
      </c>
      <c r="DV81" s="2" t="s">
        <v>20</v>
      </c>
      <c r="DW81" s="2" t="s">
        <v>20</v>
      </c>
      <c r="DX81" s="2">
        <v>100</v>
      </c>
      <c r="DY81" s="2"/>
      <c r="DZ81" s="2" t="s">
        <v>3</v>
      </c>
      <c r="EA81" s="2" t="s">
        <v>3</v>
      </c>
      <c r="EB81" s="2" t="s">
        <v>3</v>
      </c>
      <c r="EC81" s="2" t="s">
        <v>3</v>
      </c>
      <c r="ED81" s="2"/>
      <c r="EE81" s="2">
        <v>89977077</v>
      </c>
      <c r="EF81" s="2">
        <v>6</v>
      </c>
      <c r="EG81" s="2" t="s">
        <v>107</v>
      </c>
      <c r="EH81" s="2">
        <v>97</v>
      </c>
      <c r="EI81" s="2" t="s">
        <v>145</v>
      </c>
      <c r="EJ81" s="2">
        <v>1</v>
      </c>
      <c r="EK81" s="2">
        <v>63001</v>
      </c>
      <c r="EL81" s="2" t="s">
        <v>146</v>
      </c>
      <c r="EM81" s="2" t="s">
        <v>147</v>
      </c>
      <c r="EN81" s="2"/>
      <c r="EO81" s="2" t="s">
        <v>3</v>
      </c>
      <c r="EP81" s="2"/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34.51</v>
      </c>
      <c r="EX81" s="2">
        <v>0</v>
      </c>
      <c r="EY81" s="2">
        <v>0</v>
      </c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>
        <v>0</v>
      </c>
      <c r="FR81" s="2">
        <v>0</v>
      </c>
      <c r="FS81" s="2">
        <v>0</v>
      </c>
      <c r="FT81" s="2"/>
      <c r="FU81" s="2"/>
      <c r="FV81" s="2"/>
      <c r="FW81" s="2"/>
      <c r="FX81" s="2">
        <v>90</v>
      </c>
      <c r="FY81" s="2">
        <v>45</v>
      </c>
      <c r="FZ81" s="2"/>
      <c r="GA81" s="2" t="s">
        <v>3</v>
      </c>
      <c r="GB81" s="2"/>
      <c r="GC81" s="2"/>
      <c r="GD81" s="2">
        <v>1</v>
      </c>
      <c r="GE81" s="2"/>
      <c r="GF81" s="2">
        <v>-604421283</v>
      </c>
      <c r="GG81" s="2">
        <v>2</v>
      </c>
      <c r="GH81" s="2">
        <v>1</v>
      </c>
      <c r="GI81" s="2">
        <v>-2</v>
      </c>
      <c r="GJ81" s="2">
        <v>0</v>
      </c>
      <c r="GK81" s="2">
        <v>0</v>
      </c>
      <c r="GL81" s="2">
        <f t="shared" si="51"/>
        <v>0</v>
      </c>
      <c r="GM81" s="2">
        <f t="shared" si="52"/>
        <v>11486.12</v>
      </c>
      <c r="GN81" s="2">
        <f t="shared" si="53"/>
        <v>11486.12</v>
      </c>
      <c r="GO81" s="2">
        <f t="shared" si="54"/>
        <v>0</v>
      </c>
      <c r="GP81" s="2">
        <f t="shared" si="55"/>
        <v>0</v>
      </c>
      <c r="GQ81" s="2"/>
      <c r="GR81" s="2">
        <v>0</v>
      </c>
      <c r="GS81" s="2">
        <v>0</v>
      </c>
      <c r="GT81" s="2">
        <v>0</v>
      </c>
      <c r="GU81" s="2" t="s">
        <v>3</v>
      </c>
      <c r="GV81" s="2">
        <f t="shared" si="56"/>
        <v>0</v>
      </c>
      <c r="GW81" s="2">
        <v>1</v>
      </c>
      <c r="GX81" s="2">
        <f t="shared" si="57"/>
        <v>0</v>
      </c>
      <c r="GY81" s="2"/>
      <c r="GZ81" s="2"/>
      <c r="HA81" s="2">
        <v>0</v>
      </c>
      <c r="HB81" s="2">
        <v>0</v>
      </c>
      <c r="HC81" s="2">
        <f t="shared" si="58"/>
        <v>0</v>
      </c>
      <c r="HD81" s="2"/>
      <c r="HE81" s="2" t="s">
        <v>3</v>
      </c>
      <c r="HF81" s="2" t="s">
        <v>3</v>
      </c>
      <c r="HG81" s="2"/>
      <c r="HH81" s="2"/>
      <c r="HI81" s="2"/>
      <c r="HJ81" s="2"/>
      <c r="HK81" s="2"/>
      <c r="HL81" s="2"/>
      <c r="HM81" s="2" t="s">
        <v>3</v>
      </c>
      <c r="HN81" s="2" t="s">
        <v>148</v>
      </c>
      <c r="HO81" s="2" t="s">
        <v>149</v>
      </c>
      <c r="HP81" s="2" t="s">
        <v>146</v>
      </c>
      <c r="HQ81" s="2" t="s">
        <v>146</v>
      </c>
      <c r="HR81" s="2"/>
      <c r="HS81" s="2">
        <v>0</v>
      </c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>
        <v>0</v>
      </c>
      <c r="IL81" s="2"/>
      <c r="IM81" s="2"/>
      <c r="IN81" s="2"/>
      <c r="IO81" s="2"/>
      <c r="IP81" s="2"/>
      <c r="IQ81" s="2"/>
      <c r="IR81" s="2"/>
      <c r="IS81" s="2"/>
      <c r="IT81" s="2"/>
      <c r="IU81" s="2"/>
    </row>
    <row r="82" spans="1:255" x14ac:dyDescent="0.2">
      <c r="A82" s="2">
        <v>18</v>
      </c>
      <c r="B82" s="2">
        <v>1</v>
      </c>
      <c r="C82" s="2">
        <v>38</v>
      </c>
      <c r="D82" s="2"/>
      <c r="E82" s="2" t="s">
        <v>150</v>
      </c>
      <c r="F82" s="2" t="s">
        <v>151</v>
      </c>
      <c r="G82" s="2" t="s">
        <v>152</v>
      </c>
      <c r="H82" s="2" t="s">
        <v>35</v>
      </c>
      <c r="I82" s="2">
        <f>I81*J82</f>
        <v>7.8320000000000001E-2</v>
      </c>
      <c r="J82" s="2">
        <v>0.35599999999999998</v>
      </c>
      <c r="K82" s="2">
        <v>0.35599999999999998</v>
      </c>
      <c r="L82" s="2"/>
      <c r="M82" s="2"/>
      <c r="N82" s="2"/>
      <c r="O82" s="2">
        <f t="shared" si="38"/>
        <v>0</v>
      </c>
      <c r="P82" s="2">
        <f>ROUND(CQ82*I82,2)</f>
        <v>0</v>
      </c>
      <c r="Q82" s="2">
        <f>ROUND(CR82*I82,2)</f>
        <v>0</v>
      </c>
      <c r="R82" s="2">
        <f>ROUND(CS82*I82,2)</f>
        <v>0</v>
      </c>
      <c r="S82" s="2">
        <f>ROUND(CT82*I82,2)</f>
        <v>0</v>
      </c>
      <c r="T82" s="2">
        <f t="shared" si="39"/>
        <v>0</v>
      </c>
      <c r="U82" s="2">
        <f>ROUND(CV82*I82,7)</f>
        <v>0</v>
      </c>
      <c r="V82" s="2">
        <f>ROUND(CW82*I82,7)</f>
        <v>0</v>
      </c>
      <c r="W82" s="2">
        <f t="shared" si="40"/>
        <v>0</v>
      </c>
      <c r="X82" s="2">
        <f t="shared" si="41"/>
        <v>0</v>
      </c>
      <c r="Y82" s="2">
        <f t="shared" si="42"/>
        <v>0</v>
      </c>
      <c r="Z82" s="2"/>
      <c r="AA82" s="2">
        <v>94240533</v>
      </c>
      <c r="AB82" s="2">
        <f t="shared" si="43"/>
        <v>0</v>
      </c>
      <c r="AC82" s="2">
        <f>ROUND((ES82),6)</f>
        <v>0</v>
      </c>
      <c r="AD82" s="2">
        <f>ROUND((((ET82)-(EU82))+AE82),6)</f>
        <v>0</v>
      </c>
      <c r="AE82" s="2">
        <f>ROUND((EU82),6)</f>
        <v>0</v>
      </c>
      <c r="AF82" s="2">
        <f>ROUND((EV82),6)</f>
        <v>0</v>
      </c>
      <c r="AG82" s="2">
        <f t="shared" si="44"/>
        <v>0</v>
      </c>
      <c r="AH82" s="2">
        <f>(EW82)</f>
        <v>0</v>
      </c>
      <c r="AI82" s="2">
        <f>(EX82)</f>
        <v>0</v>
      </c>
      <c r="AJ82" s="2">
        <f t="shared" si="45"/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90</v>
      </c>
      <c r="AU82" s="2">
        <v>45</v>
      </c>
      <c r="AV82" s="2">
        <v>1</v>
      </c>
      <c r="AW82" s="2">
        <v>1</v>
      </c>
      <c r="AX82" s="2"/>
      <c r="AY82" s="2"/>
      <c r="AZ82" s="2">
        <v>1</v>
      </c>
      <c r="BA82" s="2">
        <v>1</v>
      </c>
      <c r="BB82" s="2">
        <v>1</v>
      </c>
      <c r="BC82" s="2">
        <v>1</v>
      </c>
      <c r="BD82" s="2" t="s">
        <v>3</v>
      </c>
      <c r="BE82" s="2" t="s">
        <v>3</v>
      </c>
      <c r="BF82" s="2" t="s">
        <v>3</v>
      </c>
      <c r="BG82" s="2" t="s">
        <v>3</v>
      </c>
      <c r="BH82" s="2">
        <v>3</v>
      </c>
      <c r="BI82" s="2">
        <v>1</v>
      </c>
      <c r="BJ82" s="2" t="s">
        <v>3</v>
      </c>
      <c r="BK82" s="2"/>
      <c r="BL82" s="2"/>
      <c r="BM82" s="2">
        <v>63001</v>
      </c>
      <c r="BN82" s="2">
        <v>0</v>
      </c>
      <c r="BO82" s="2" t="s">
        <v>3</v>
      </c>
      <c r="BP82" s="2">
        <v>0</v>
      </c>
      <c r="BQ82" s="2">
        <v>6</v>
      </c>
      <c r="BR82" s="2">
        <v>0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 t="s">
        <v>3</v>
      </c>
      <c r="BZ82" s="2">
        <v>90</v>
      </c>
      <c r="CA82" s="2">
        <v>45</v>
      </c>
      <c r="CB82" s="2" t="s">
        <v>3</v>
      </c>
      <c r="CC82" s="2"/>
      <c r="CD82" s="2"/>
      <c r="CE82" s="2">
        <v>0</v>
      </c>
      <c r="CF82" s="2">
        <v>0</v>
      </c>
      <c r="CG82" s="2">
        <v>0</v>
      </c>
      <c r="CH82" s="2"/>
      <c r="CI82" s="2"/>
      <c r="CJ82" s="2"/>
      <c r="CK82" s="2"/>
      <c r="CL82" s="2"/>
      <c r="CM82" s="2">
        <v>0</v>
      </c>
      <c r="CN82" s="2" t="s">
        <v>3</v>
      </c>
      <c r="CO82" s="2">
        <v>0</v>
      </c>
      <c r="CP82" s="2">
        <f t="shared" si="46"/>
        <v>0</v>
      </c>
      <c r="CQ82" s="2">
        <f>ROUND(AL82*BC82,2)</f>
        <v>0</v>
      </c>
      <c r="CR82" s="2">
        <f>ROUND(AM82*BB82,2)</f>
        <v>0</v>
      </c>
      <c r="CS82" s="2">
        <f>ROUND(AN82*BS82,2)</f>
        <v>0</v>
      </c>
      <c r="CT82" s="2">
        <f>ROUND(AO82*BA82,2)</f>
        <v>0</v>
      </c>
      <c r="CU82" s="2">
        <f t="shared" si="47"/>
        <v>0</v>
      </c>
      <c r="CV82" s="2">
        <f>AH82</f>
        <v>0</v>
      </c>
      <c r="CW82" s="2">
        <f>AI82</f>
        <v>0</v>
      </c>
      <c r="CX82" s="2">
        <f t="shared" si="48"/>
        <v>0</v>
      </c>
      <c r="CY82" s="2">
        <f t="shared" si="59"/>
        <v>0</v>
      </c>
      <c r="CZ82" s="2">
        <f t="shared" si="60"/>
        <v>0</v>
      </c>
      <c r="DA82" s="2"/>
      <c r="DB82" s="2"/>
      <c r="DC82" s="2" t="s">
        <v>3</v>
      </c>
      <c r="DD82" s="2" t="s">
        <v>3</v>
      </c>
      <c r="DE82" s="2" t="s">
        <v>3</v>
      </c>
      <c r="DF82" s="2" t="s">
        <v>3</v>
      </c>
      <c r="DG82" s="2" t="s">
        <v>3</v>
      </c>
      <c r="DH82" s="2" t="s">
        <v>3</v>
      </c>
      <c r="DI82" s="2" t="s">
        <v>3</v>
      </c>
      <c r="DJ82" s="2" t="s">
        <v>3</v>
      </c>
      <c r="DK82" s="2" t="s">
        <v>3</v>
      </c>
      <c r="DL82" s="2" t="s">
        <v>3</v>
      </c>
      <c r="DM82" s="2" t="s">
        <v>3</v>
      </c>
      <c r="DN82" s="2">
        <v>0</v>
      </c>
      <c r="DO82" s="2">
        <v>0</v>
      </c>
      <c r="DP82" s="2">
        <v>1</v>
      </c>
      <c r="DQ82" s="2">
        <v>1</v>
      </c>
      <c r="DR82" s="2"/>
      <c r="DS82" s="2"/>
      <c r="DT82" s="2"/>
      <c r="DU82" s="2">
        <v>1009</v>
      </c>
      <c r="DV82" s="2" t="s">
        <v>35</v>
      </c>
      <c r="DW82" s="2" t="s">
        <v>35</v>
      </c>
      <c r="DX82" s="2">
        <v>1000</v>
      </c>
      <c r="DY82" s="2"/>
      <c r="DZ82" s="2" t="s">
        <v>3</v>
      </c>
      <c r="EA82" s="2" t="s">
        <v>3</v>
      </c>
      <c r="EB82" s="2" t="s">
        <v>3</v>
      </c>
      <c r="EC82" s="2" t="s">
        <v>3</v>
      </c>
      <c r="ED82" s="2"/>
      <c r="EE82" s="2">
        <v>89977077</v>
      </c>
      <c r="EF82" s="2">
        <v>6</v>
      </c>
      <c r="EG82" s="2" t="s">
        <v>107</v>
      </c>
      <c r="EH82" s="2">
        <v>97</v>
      </c>
      <c r="EI82" s="2" t="s">
        <v>145</v>
      </c>
      <c r="EJ82" s="2">
        <v>1</v>
      </c>
      <c r="EK82" s="2">
        <v>63001</v>
      </c>
      <c r="EL82" s="2" t="s">
        <v>146</v>
      </c>
      <c r="EM82" s="2" t="s">
        <v>147</v>
      </c>
      <c r="EN82" s="2"/>
      <c r="EO82" s="2" t="s">
        <v>3</v>
      </c>
      <c r="EP82" s="2"/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>
        <v>0</v>
      </c>
      <c r="FR82" s="2">
        <v>0</v>
      </c>
      <c r="FS82" s="2">
        <v>0</v>
      </c>
      <c r="FT82" s="2"/>
      <c r="FU82" s="2"/>
      <c r="FV82" s="2"/>
      <c r="FW82" s="2"/>
      <c r="FX82" s="2">
        <v>90</v>
      </c>
      <c r="FY82" s="2">
        <v>45</v>
      </c>
      <c r="FZ82" s="2"/>
      <c r="GA82" s="2" t="s">
        <v>3</v>
      </c>
      <c r="GB82" s="2"/>
      <c r="GC82" s="2"/>
      <c r="GD82" s="2">
        <v>1</v>
      </c>
      <c r="GE82" s="2"/>
      <c r="GF82" s="2">
        <v>-1296435862</v>
      </c>
      <c r="GG82" s="2">
        <v>2</v>
      </c>
      <c r="GH82" s="2">
        <v>1</v>
      </c>
      <c r="GI82" s="2">
        <v>-2</v>
      </c>
      <c r="GJ82" s="2">
        <v>0</v>
      </c>
      <c r="GK82" s="2">
        <v>0</v>
      </c>
      <c r="GL82" s="2">
        <f t="shared" si="51"/>
        <v>0</v>
      </c>
      <c r="GM82" s="2">
        <f t="shared" si="52"/>
        <v>0</v>
      </c>
      <c r="GN82" s="2">
        <f t="shared" si="53"/>
        <v>0</v>
      </c>
      <c r="GO82" s="2">
        <f t="shared" si="54"/>
        <v>0</v>
      </c>
      <c r="GP82" s="2">
        <f t="shared" si="55"/>
        <v>0</v>
      </c>
      <c r="GQ82" s="2"/>
      <c r="GR82" s="2">
        <v>0</v>
      </c>
      <c r="GS82" s="2">
        <v>0</v>
      </c>
      <c r="GT82" s="2">
        <v>0</v>
      </c>
      <c r="GU82" s="2" t="s">
        <v>3</v>
      </c>
      <c r="GV82" s="2">
        <f t="shared" si="56"/>
        <v>0</v>
      </c>
      <c r="GW82" s="2">
        <v>1</v>
      </c>
      <c r="GX82" s="2">
        <f t="shared" si="57"/>
        <v>0</v>
      </c>
      <c r="GY82" s="2"/>
      <c r="GZ82" s="2"/>
      <c r="HA82" s="2">
        <v>0</v>
      </c>
      <c r="HB82" s="2">
        <v>0</v>
      </c>
      <c r="HC82" s="2">
        <f t="shared" si="58"/>
        <v>0</v>
      </c>
      <c r="HD82" s="2"/>
      <c r="HE82" s="2" t="s">
        <v>3</v>
      </c>
      <c r="HF82" s="2" t="s">
        <v>3</v>
      </c>
      <c r="HG82" s="2"/>
      <c r="HH82" s="2"/>
      <c r="HI82" s="2"/>
      <c r="HJ82" s="2"/>
      <c r="HK82" s="2"/>
      <c r="HL82" s="2"/>
      <c r="HM82" s="2" t="s">
        <v>3</v>
      </c>
      <c r="HN82" s="2" t="s">
        <v>148</v>
      </c>
      <c r="HO82" s="2" t="s">
        <v>149</v>
      </c>
      <c r="HP82" s="2" t="s">
        <v>146</v>
      </c>
      <c r="HQ82" s="2" t="s">
        <v>146</v>
      </c>
      <c r="HR82" s="2"/>
      <c r="HS82" s="2">
        <v>0</v>
      </c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>
        <v>0</v>
      </c>
      <c r="IL82" s="2"/>
      <c r="IM82" s="2"/>
      <c r="IN82" s="2"/>
      <c r="IO82" s="2"/>
      <c r="IP82" s="2"/>
      <c r="IQ82" s="2"/>
      <c r="IR82" s="2"/>
      <c r="IS82" s="2"/>
      <c r="IT82" s="2"/>
      <c r="IU82" s="2"/>
    </row>
    <row r="83" spans="1:255" x14ac:dyDescent="0.2">
      <c r="A83" s="2">
        <v>17</v>
      </c>
      <c r="B83" s="2">
        <v>1</v>
      </c>
      <c r="C83" s="2">
        <f>ROW(SmtRes!A41)</f>
        <v>41</v>
      </c>
      <c r="D83" s="2">
        <f>ROW(EtalonRes!A41)</f>
        <v>41</v>
      </c>
      <c r="E83" s="2" t="s">
        <v>153</v>
      </c>
      <c r="F83" s="2" t="s">
        <v>154</v>
      </c>
      <c r="G83" s="2" t="s">
        <v>155</v>
      </c>
      <c r="H83" s="2" t="s">
        <v>156</v>
      </c>
      <c r="I83" s="2">
        <f>ROUND(4/100,7)</f>
        <v>0.04</v>
      </c>
      <c r="J83" s="2">
        <v>0</v>
      </c>
      <c r="K83" s="2">
        <f>ROUND(4/100,7)</f>
        <v>0.04</v>
      </c>
      <c r="L83" s="2"/>
      <c r="M83" s="2"/>
      <c r="N83" s="2"/>
      <c r="O83" s="2">
        <f t="shared" si="38"/>
        <v>439.54</v>
      </c>
      <c r="P83" s="2">
        <f>SUMIF(SmtRes!AQ39:'SmtRes'!AQ41,"=1",SmtRes!DF39:'SmtRes'!DF41)</f>
        <v>0</v>
      </c>
      <c r="Q83" s="2">
        <f>SUMIF(SmtRes!AQ39:'SmtRes'!AQ41,"=1",SmtRes!DG39:'SmtRes'!DG41)</f>
        <v>0.19</v>
      </c>
      <c r="R83" s="2">
        <f>SUMIF(SmtRes!AQ39:'SmtRes'!AQ41,"=1",SmtRes!DH39:'SmtRes'!DH41)</f>
        <v>2.08</v>
      </c>
      <c r="S83" s="2">
        <f>SUMIF(SmtRes!AQ39:'SmtRes'!AQ41,"=1",SmtRes!DI39:'SmtRes'!DI41)</f>
        <v>437.27</v>
      </c>
      <c r="T83" s="2">
        <f t="shared" si="39"/>
        <v>0</v>
      </c>
      <c r="U83" s="2">
        <f>SUMIF(SmtRes!AQ39:'SmtRes'!AQ41,"=1",SmtRes!CV39:'SmtRes'!CV41)</f>
        <v>0.71560000000000001</v>
      </c>
      <c r="V83" s="2">
        <f>SUMIF(SmtRes!AQ39:'SmtRes'!AQ41,"=1",SmtRes!CW39:'SmtRes'!CW41)</f>
        <v>3.2000000000000002E-3</v>
      </c>
      <c r="W83" s="2">
        <f t="shared" si="40"/>
        <v>0</v>
      </c>
      <c r="X83" s="2">
        <f t="shared" si="41"/>
        <v>399.81</v>
      </c>
      <c r="Y83" s="2">
        <f t="shared" si="42"/>
        <v>210.89</v>
      </c>
      <c r="Z83" s="2"/>
      <c r="AA83" s="2">
        <v>94240533</v>
      </c>
      <c r="AB83" s="2">
        <f t="shared" si="43"/>
        <v>10934.670099999999</v>
      </c>
      <c r="AC83" s="2">
        <f>ROUND((0),6)</f>
        <v>0</v>
      </c>
      <c r="AD83" s="2">
        <f>ROUND((((SUM(SmtRes!BR39:'SmtRes'!BR41))-(SUM(SmtRes!BS39:'SmtRes'!BS41)))+AE83),6)</f>
        <v>2.9855999999999998</v>
      </c>
      <c r="AE83" s="2">
        <f>ROUND((SUM(SmtRes!BS39:'SmtRes'!BS41)),6)</f>
        <v>51.9392</v>
      </c>
      <c r="AF83" s="2">
        <f>ROUND((SUM(SmtRes!BT39:'SmtRes'!BT41)),6)</f>
        <v>10931.684499999999</v>
      </c>
      <c r="AG83" s="2">
        <f t="shared" si="44"/>
        <v>0</v>
      </c>
      <c r="AH83" s="2">
        <f>(SUM(SmtRes!BU39:'SmtRes'!BU41))</f>
        <v>17.89</v>
      </c>
      <c r="AI83" s="2">
        <f>(SUM(SmtRes!BV39:'SmtRes'!BV41))</f>
        <v>0.08</v>
      </c>
      <c r="AJ83" s="2">
        <f t="shared" si="45"/>
        <v>0</v>
      </c>
      <c r="AK83" s="2">
        <v>10986.6093</v>
      </c>
      <c r="AL83" s="2">
        <v>0</v>
      </c>
      <c r="AM83" s="2">
        <v>2.9856000000000003</v>
      </c>
      <c r="AN83" s="2">
        <v>51.9392</v>
      </c>
      <c r="AO83" s="2">
        <v>10931.684499999999</v>
      </c>
      <c r="AP83" s="2">
        <v>0</v>
      </c>
      <c r="AQ83" s="2">
        <v>17.89</v>
      </c>
      <c r="AR83" s="2">
        <v>0.08</v>
      </c>
      <c r="AS83" s="2">
        <v>0</v>
      </c>
      <c r="AT83" s="2">
        <v>91</v>
      </c>
      <c r="AU83" s="2">
        <v>48</v>
      </c>
      <c r="AV83" s="2">
        <v>1</v>
      </c>
      <c r="AW83" s="2">
        <v>1</v>
      </c>
      <c r="AX83" s="2"/>
      <c r="AY83" s="2"/>
      <c r="AZ83" s="2">
        <v>1</v>
      </c>
      <c r="BA83" s="2">
        <v>1</v>
      </c>
      <c r="BB83" s="2">
        <v>1</v>
      </c>
      <c r="BC83" s="2">
        <v>1</v>
      </c>
      <c r="BD83" s="2" t="s">
        <v>3</v>
      </c>
      <c r="BE83" s="2" t="s">
        <v>3</v>
      </c>
      <c r="BF83" s="2" t="s">
        <v>3</v>
      </c>
      <c r="BG83" s="2" t="s">
        <v>3</v>
      </c>
      <c r="BH83" s="2">
        <v>0</v>
      </c>
      <c r="BI83" s="2">
        <v>1</v>
      </c>
      <c r="BJ83" s="2" t="s">
        <v>157</v>
      </c>
      <c r="BK83" s="2"/>
      <c r="BL83" s="2"/>
      <c r="BM83" s="2">
        <v>67001</v>
      </c>
      <c r="BN83" s="2">
        <v>0</v>
      </c>
      <c r="BO83" s="2" t="s">
        <v>3</v>
      </c>
      <c r="BP83" s="2">
        <v>0</v>
      </c>
      <c r="BQ83" s="2">
        <v>6</v>
      </c>
      <c r="BR83" s="2">
        <v>0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 t="s">
        <v>3</v>
      </c>
      <c r="BZ83" s="2">
        <v>91</v>
      </c>
      <c r="CA83" s="2">
        <v>48</v>
      </c>
      <c r="CB83" s="2" t="s">
        <v>3</v>
      </c>
      <c r="CC83" s="2"/>
      <c r="CD83" s="2"/>
      <c r="CE83" s="2">
        <v>0</v>
      </c>
      <c r="CF83" s="2">
        <v>0</v>
      </c>
      <c r="CG83" s="2">
        <v>0</v>
      </c>
      <c r="CH83" s="2"/>
      <c r="CI83" s="2"/>
      <c r="CJ83" s="2"/>
      <c r="CK83" s="2"/>
      <c r="CL83" s="2"/>
      <c r="CM83" s="2">
        <v>0</v>
      </c>
      <c r="CN83" s="2" t="s">
        <v>3</v>
      </c>
      <c r="CO83" s="2">
        <v>0</v>
      </c>
      <c r="CP83" s="2">
        <f t="shared" si="46"/>
        <v>439.53999999999996</v>
      </c>
      <c r="CQ83" s="2">
        <f>SUMIF(SmtRes!AQ39:'SmtRes'!AQ41,"=1",SmtRes!AA39:'SmtRes'!AA41)</f>
        <v>0</v>
      </c>
      <c r="CR83" s="2">
        <f>SUMIF(SmtRes!AQ39:'SmtRes'!AQ41,"=1",SmtRes!AB39:'SmtRes'!AB41)</f>
        <v>58.59</v>
      </c>
      <c r="CS83" s="2">
        <f>SUMIF(SmtRes!AQ39:'SmtRes'!AQ41,"=1",SmtRes!AC39:'SmtRes'!AC41)</f>
        <v>649.24</v>
      </c>
      <c r="CT83" s="2">
        <f>SUMIF(SmtRes!AQ39:'SmtRes'!AQ41,"=1",SmtRes!AD39:'SmtRes'!AD41)</f>
        <v>611.04999999999995</v>
      </c>
      <c r="CU83" s="2">
        <f t="shared" si="47"/>
        <v>0</v>
      </c>
      <c r="CV83" s="2">
        <f>SUMIF(SmtRes!AQ39:'SmtRes'!AQ41,"=1",SmtRes!BU39:'SmtRes'!BU41)</f>
        <v>17.89</v>
      </c>
      <c r="CW83" s="2">
        <f>SUMIF(SmtRes!AQ39:'SmtRes'!AQ41,"=1",SmtRes!BV39:'SmtRes'!BV41)</f>
        <v>0.08</v>
      </c>
      <c r="CX83" s="2">
        <f t="shared" si="48"/>
        <v>0</v>
      </c>
      <c r="CY83" s="2">
        <f t="shared" si="59"/>
        <v>399.80849999999998</v>
      </c>
      <c r="CZ83" s="2">
        <f t="shared" si="60"/>
        <v>210.88800000000001</v>
      </c>
      <c r="DA83" s="2"/>
      <c r="DB83" s="2"/>
      <c r="DC83" s="2" t="s">
        <v>3</v>
      </c>
      <c r="DD83" s="2" t="s">
        <v>3</v>
      </c>
      <c r="DE83" s="2" t="s">
        <v>3</v>
      </c>
      <c r="DF83" s="2" t="s">
        <v>3</v>
      </c>
      <c r="DG83" s="2" t="s">
        <v>3</v>
      </c>
      <c r="DH83" s="2" t="s">
        <v>3</v>
      </c>
      <c r="DI83" s="2" t="s">
        <v>3</v>
      </c>
      <c r="DJ83" s="2" t="s">
        <v>3</v>
      </c>
      <c r="DK83" s="2" t="s">
        <v>3</v>
      </c>
      <c r="DL83" s="2" t="s">
        <v>3</v>
      </c>
      <c r="DM83" s="2" t="s">
        <v>3</v>
      </c>
      <c r="DN83" s="2">
        <v>0</v>
      </c>
      <c r="DO83" s="2">
        <v>0</v>
      </c>
      <c r="DP83" s="2">
        <v>1</v>
      </c>
      <c r="DQ83" s="2">
        <v>1</v>
      </c>
      <c r="DR83" s="2"/>
      <c r="DS83" s="2"/>
      <c r="DT83" s="2"/>
      <c r="DU83" s="2">
        <v>1013</v>
      </c>
      <c r="DV83" s="2" t="s">
        <v>156</v>
      </c>
      <c r="DW83" s="2" t="s">
        <v>156</v>
      </c>
      <c r="DX83" s="2">
        <v>1</v>
      </c>
      <c r="DY83" s="2"/>
      <c r="DZ83" s="2" t="s">
        <v>3</v>
      </c>
      <c r="EA83" s="2" t="s">
        <v>3</v>
      </c>
      <c r="EB83" s="2" t="s">
        <v>3</v>
      </c>
      <c r="EC83" s="2" t="s">
        <v>3</v>
      </c>
      <c r="ED83" s="2"/>
      <c r="EE83" s="2">
        <v>89977117</v>
      </c>
      <c r="EF83" s="2">
        <v>6</v>
      </c>
      <c r="EG83" s="2" t="s">
        <v>107</v>
      </c>
      <c r="EH83" s="2">
        <v>101</v>
      </c>
      <c r="EI83" s="2" t="s">
        <v>158</v>
      </c>
      <c r="EJ83" s="2">
        <v>1</v>
      </c>
      <c r="EK83" s="2">
        <v>67001</v>
      </c>
      <c r="EL83" s="2" t="s">
        <v>158</v>
      </c>
      <c r="EM83" s="2" t="s">
        <v>159</v>
      </c>
      <c r="EN83" s="2"/>
      <c r="EO83" s="2" t="s">
        <v>3</v>
      </c>
      <c r="EP83" s="2"/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17.89</v>
      </c>
      <c r="EX83" s="2">
        <v>0.08</v>
      </c>
      <c r="EY83" s="2">
        <v>0</v>
      </c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>
        <v>0</v>
      </c>
      <c r="FR83" s="2">
        <v>0</v>
      </c>
      <c r="FS83" s="2">
        <v>0</v>
      </c>
      <c r="FT83" s="2"/>
      <c r="FU83" s="2"/>
      <c r="FV83" s="2"/>
      <c r="FW83" s="2"/>
      <c r="FX83" s="2">
        <v>91</v>
      </c>
      <c r="FY83" s="2">
        <v>48</v>
      </c>
      <c r="FZ83" s="2"/>
      <c r="GA83" s="2" t="s">
        <v>3</v>
      </c>
      <c r="GB83" s="2"/>
      <c r="GC83" s="2"/>
      <c r="GD83" s="2">
        <v>1</v>
      </c>
      <c r="GE83" s="2"/>
      <c r="GF83" s="2">
        <v>371120822</v>
      </c>
      <c r="GG83" s="2">
        <v>2</v>
      </c>
      <c r="GH83" s="2">
        <v>1</v>
      </c>
      <c r="GI83" s="2">
        <v>-2</v>
      </c>
      <c r="GJ83" s="2">
        <v>0</v>
      </c>
      <c r="GK83" s="2">
        <v>0</v>
      </c>
      <c r="GL83" s="2">
        <f t="shared" si="51"/>
        <v>0</v>
      </c>
      <c r="GM83" s="2">
        <f t="shared" si="52"/>
        <v>1050.24</v>
      </c>
      <c r="GN83" s="2">
        <f t="shared" si="53"/>
        <v>1050.24</v>
      </c>
      <c r="GO83" s="2">
        <f t="shared" si="54"/>
        <v>0</v>
      </c>
      <c r="GP83" s="2">
        <f t="shared" si="55"/>
        <v>0</v>
      </c>
      <c r="GQ83" s="2"/>
      <c r="GR83" s="2">
        <v>0</v>
      </c>
      <c r="GS83" s="2">
        <v>0</v>
      </c>
      <c r="GT83" s="2">
        <v>0</v>
      </c>
      <c r="GU83" s="2" t="s">
        <v>3</v>
      </c>
      <c r="GV83" s="2">
        <f t="shared" si="56"/>
        <v>0</v>
      </c>
      <c r="GW83" s="2">
        <v>1</v>
      </c>
      <c r="GX83" s="2">
        <f t="shared" si="57"/>
        <v>0</v>
      </c>
      <c r="GY83" s="2"/>
      <c r="GZ83" s="2"/>
      <c r="HA83" s="2">
        <v>0</v>
      </c>
      <c r="HB83" s="2">
        <v>0</v>
      </c>
      <c r="HC83" s="2">
        <f t="shared" si="58"/>
        <v>0</v>
      </c>
      <c r="HD83" s="2"/>
      <c r="HE83" s="2" t="s">
        <v>3</v>
      </c>
      <c r="HF83" s="2" t="s">
        <v>3</v>
      </c>
      <c r="HG83" s="2"/>
      <c r="HH83" s="2"/>
      <c r="HI83" s="2"/>
      <c r="HJ83" s="2"/>
      <c r="HK83" s="2"/>
      <c r="HL83" s="2"/>
      <c r="HM83" s="2" t="s">
        <v>3</v>
      </c>
      <c r="HN83" s="2" t="s">
        <v>160</v>
      </c>
      <c r="HO83" s="2" t="s">
        <v>161</v>
      </c>
      <c r="HP83" s="2" t="s">
        <v>158</v>
      </c>
      <c r="HQ83" s="2" t="s">
        <v>158</v>
      </c>
      <c r="HR83" s="2"/>
      <c r="HS83" s="2">
        <v>0</v>
      </c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>
        <v>0</v>
      </c>
      <c r="IL83" s="2"/>
      <c r="IM83" s="2"/>
      <c r="IN83" s="2"/>
      <c r="IO83" s="2"/>
      <c r="IP83" s="2"/>
      <c r="IQ83" s="2"/>
      <c r="IR83" s="2"/>
      <c r="IS83" s="2"/>
      <c r="IT83" s="2"/>
      <c r="IU83" s="2"/>
    </row>
    <row r="84" spans="1:255" ht="409.5" x14ac:dyDescent="0.2">
      <c r="A84" s="2">
        <v>17</v>
      </c>
      <c r="B84" s="2">
        <v>1</v>
      </c>
      <c r="C84" s="2">
        <f>ROW(SmtRes!A47)</f>
        <v>47</v>
      </c>
      <c r="D84" s="2">
        <f>ROW(EtalonRes!A47)</f>
        <v>47</v>
      </c>
      <c r="E84" s="2" t="s">
        <v>162</v>
      </c>
      <c r="F84" s="2" t="s">
        <v>163</v>
      </c>
      <c r="G84" s="2" t="s">
        <v>164</v>
      </c>
      <c r="H84" s="2" t="s">
        <v>20</v>
      </c>
      <c r="I84" s="2">
        <f>ROUND(22/100,7)</f>
        <v>0.22</v>
      </c>
      <c r="J84" s="2">
        <v>0</v>
      </c>
      <c r="K84" s="2">
        <f>ROUND(22/100,7)</f>
        <v>0.22</v>
      </c>
      <c r="L84" s="2"/>
      <c r="M84" s="2"/>
      <c r="N84" s="2"/>
      <c r="O84" s="2">
        <f t="shared" si="38"/>
        <v>20286.29</v>
      </c>
      <c r="P84" s="2">
        <f>SUMIF(SmtRes!AQ42:'SmtRes'!AQ47,"=1",SmtRes!DF42:'SmtRes'!DF47)</f>
        <v>4.24</v>
      </c>
      <c r="Q84" s="2">
        <f>SUMIF(SmtRes!AQ42:'SmtRes'!AQ47,"=1",SmtRes!DG42:'SmtRes'!DG47)</f>
        <v>698.58</v>
      </c>
      <c r="R84" s="2">
        <f>SUMIF(SmtRes!AQ42:'SmtRes'!AQ47,"=1",SmtRes!DH42:'SmtRes'!DH47)</f>
        <v>1056.49</v>
      </c>
      <c r="S84" s="2">
        <f>SUMIF(SmtRes!AQ42:'SmtRes'!AQ47,"=1",SmtRes!DI42:'SmtRes'!DI47)</f>
        <v>18526.98</v>
      </c>
      <c r="T84" s="2">
        <f t="shared" si="39"/>
        <v>0</v>
      </c>
      <c r="U84" s="2">
        <f>SUMIF(SmtRes!AQ42:'SmtRes'!AQ47,"=1",SmtRes!CV42:'SmtRes'!CV47)</f>
        <v>25.92238</v>
      </c>
      <c r="V84" s="2">
        <f>SUMIF(SmtRes!AQ42:'SmtRes'!AQ47,"=1",SmtRes!CW42:'SmtRes'!CW47)</f>
        <v>1.4685000000000001</v>
      </c>
      <c r="W84" s="2">
        <f t="shared" si="40"/>
        <v>0</v>
      </c>
      <c r="X84" s="2">
        <f t="shared" si="41"/>
        <v>17625.12</v>
      </c>
      <c r="Y84" s="2">
        <f t="shared" si="42"/>
        <v>8156.52</v>
      </c>
      <c r="Z84" s="2"/>
      <c r="AA84" s="2">
        <v>94240533</v>
      </c>
      <c r="AB84" s="2">
        <f t="shared" si="43"/>
        <v>87387.937030000001</v>
      </c>
      <c r="AC84" s="2">
        <f>ROUND((SUM(SmtRes!BQ42:'SmtRes'!BQ47)),6)</f>
        <v>19.251439999999999</v>
      </c>
      <c r="AD84" s="2">
        <f>ROUND((((SUM(SmtRes!BR42:'SmtRes'!BR47))-(SUM(SmtRes!BS42:'SmtRes'!BS47)))+AE84),6)</f>
        <v>3155.1210000000001</v>
      </c>
      <c r="AE84" s="2">
        <f>ROUND((SUM(SmtRes!BS42:'SmtRes'!BS47)),6)</f>
        <v>4802.2110000000002</v>
      </c>
      <c r="AF84" s="2">
        <f>ROUND((SUM(SmtRes!BT42:'SmtRes'!BT47)),6)</f>
        <v>84213.564589999994</v>
      </c>
      <c r="AG84" s="2">
        <f t="shared" si="44"/>
        <v>0</v>
      </c>
      <c r="AH84" s="2">
        <f>(SUM(SmtRes!BU42:'SmtRes'!BU47))</f>
        <v>117.82899999999998</v>
      </c>
      <c r="AI84" s="2">
        <f>(SUM(SmtRes!BV42:'SmtRes'!BV47))</f>
        <v>6.6749999999999998</v>
      </c>
      <c r="AJ84" s="2">
        <f t="shared" si="45"/>
        <v>0</v>
      </c>
      <c r="AK84" s="2">
        <v>79614.303640000013</v>
      </c>
      <c r="AL84" s="2">
        <v>19.251439999999999</v>
      </c>
      <c r="AM84" s="2">
        <v>2524.0967999999998</v>
      </c>
      <c r="AN84" s="2">
        <v>3841.7688000000003</v>
      </c>
      <c r="AO84" s="2">
        <v>73229.186600000001</v>
      </c>
      <c r="AP84" s="2">
        <v>0</v>
      </c>
      <c r="AQ84" s="2">
        <v>102.46</v>
      </c>
      <c r="AR84" s="2">
        <v>5.34</v>
      </c>
      <c r="AS84" s="2">
        <v>0</v>
      </c>
      <c r="AT84" s="2">
        <v>90</v>
      </c>
      <c r="AU84" s="2">
        <v>41.65</v>
      </c>
      <c r="AV84" s="2">
        <v>1</v>
      </c>
      <c r="AW84" s="2">
        <v>1</v>
      </c>
      <c r="AX84" s="2"/>
      <c r="AY84" s="2"/>
      <c r="AZ84" s="2">
        <v>1</v>
      </c>
      <c r="BA84" s="2">
        <v>1</v>
      </c>
      <c r="BB84" s="2">
        <v>1</v>
      </c>
      <c r="BC84" s="2">
        <v>1</v>
      </c>
      <c r="BD84" s="2" t="s">
        <v>3</v>
      </c>
      <c r="BE84" s="2" t="s">
        <v>3</v>
      </c>
      <c r="BF84" s="2" t="s">
        <v>3</v>
      </c>
      <c r="BG84" s="2" t="s">
        <v>3</v>
      </c>
      <c r="BH84" s="2">
        <v>0</v>
      </c>
      <c r="BI84" s="2">
        <v>1</v>
      </c>
      <c r="BJ84" s="2" t="s">
        <v>165</v>
      </c>
      <c r="BK84" s="2"/>
      <c r="BL84" s="2"/>
      <c r="BM84" s="2">
        <v>15001</v>
      </c>
      <c r="BN84" s="2">
        <v>0</v>
      </c>
      <c r="BO84" s="2" t="s">
        <v>3</v>
      </c>
      <c r="BP84" s="2">
        <v>0</v>
      </c>
      <c r="BQ84" s="2">
        <v>2</v>
      </c>
      <c r="BR84" s="2">
        <v>0</v>
      </c>
      <c r="BS84" s="2">
        <v>1</v>
      </c>
      <c r="BT84" s="2">
        <v>1</v>
      </c>
      <c r="BU84" s="2">
        <v>1</v>
      </c>
      <c r="BV84" s="2">
        <v>1</v>
      </c>
      <c r="BW84" s="2">
        <v>1</v>
      </c>
      <c r="BX84" s="2">
        <v>1</v>
      </c>
      <c r="BY84" s="2" t="s">
        <v>3</v>
      </c>
      <c r="BZ84" s="2">
        <v>100</v>
      </c>
      <c r="CA84" s="2">
        <v>49</v>
      </c>
      <c r="CB84" s="2" t="s">
        <v>3</v>
      </c>
      <c r="CC84" s="2"/>
      <c r="CD84" s="2"/>
      <c r="CE84" s="2">
        <v>0</v>
      </c>
      <c r="CF84" s="2">
        <v>0</v>
      </c>
      <c r="CG84" s="2">
        <v>0</v>
      </c>
      <c r="CH84" s="2"/>
      <c r="CI84" s="2"/>
      <c r="CJ84" s="2"/>
      <c r="CK84" s="2"/>
      <c r="CL84" s="2"/>
      <c r="CM84" s="2">
        <v>0</v>
      </c>
      <c r="CN84" s="7" t="s">
        <v>399</v>
      </c>
      <c r="CO84" s="2">
        <v>0</v>
      </c>
      <c r="CP84" s="2">
        <f t="shared" si="46"/>
        <v>20286.29</v>
      </c>
      <c r="CQ84" s="2">
        <f>SUMIF(SmtRes!AQ42:'SmtRes'!AQ47,"=1",SmtRes!AA42:'SmtRes'!AA47)</f>
        <v>6.92</v>
      </c>
      <c r="CR84" s="2">
        <f>SUMIF(SmtRes!AQ42:'SmtRes'!AQ47,"=1",SmtRes!AB42:'SmtRes'!AB47)</f>
        <v>603.51</v>
      </c>
      <c r="CS84" s="2">
        <f>SUMIF(SmtRes!AQ42:'SmtRes'!AQ47,"=1",SmtRes!AC42:'SmtRes'!AC47)</f>
        <v>1380.3200000000002</v>
      </c>
      <c r="CT84" s="2">
        <f>SUMIF(SmtRes!AQ42:'SmtRes'!AQ47,"=1",SmtRes!AD42:'SmtRes'!AD47)</f>
        <v>714.71</v>
      </c>
      <c r="CU84" s="2">
        <f t="shared" si="47"/>
        <v>0</v>
      </c>
      <c r="CV84" s="2">
        <f>SUMIF(SmtRes!AQ42:'SmtRes'!AQ47,"=1",SmtRes!BU42:'SmtRes'!BU47)</f>
        <v>117.82899999999998</v>
      </c>
      <c r="CW84" s="2">
        <f>SUMIF(SmtRes!AQ42:'SmtRes'!AQ47,"=1",SmtRes!BV42:'SmtRes'!BV47)</f>
        <v>6.6749999999999998</v>
      </c>
      <c r="CX84" s="2">
        <f t="shared" si="48"/>
        <v>0</v>
      </c>
      <c r="CY84" s="2">
        <f t="shared" si="59"/>
        <v>17625.123</v>
      </c>
      <c r="CZ84" s="2">
        <f t="shared" si="60"/>
        <v>8156.5152550000003</v>
      </c>
      <c r="DA84" s="2"/>
      <c r="DB84" s="2">
        <v>4</v>
      </c>
      <c r="DC84" s="2" t="s">
        <v>3</v>
      </c>
      <c r="DD84" s="2" t="s">
        <v>3</v>
      </c>
      <c r="DE84" s="2" t="s">
        <v>22</v>
      </c>
      <c r="DF84" s="2" t="s">
        <v>22</v>
      </c>
      <c r="DG84" s="2" t="s">
        <v>23</v>
      </c>
      <c r="DH84" s="2" t="s">
        <v>3</v>
      </c>
      <c r="DI84" s="2" t="s">
        <v>23</v>
      </c>
      <c r="DJ84" s="2" t="s">
        <v>22</v>
      </c>
      <c r="DK84" s="2" t="s">
        <v>3</v>
      </c>
      <c r="DL84" s="2" t="s">
        <v>24</v>
      </c>
      <c r="DM84" s="2" t="s">
        <v>25</v>
      </c>
      <c r="DN84" s="2">
        <v>0</v>
      </c>
      <c r="DO84" s="2">
        <v>0</v>
      </c>
      <c r="DP84" s="2">
        <v>1</v>
      </c>
      <c r="DQ84" s="2">
        <v>1</v>
      </c>
      <c r="DR84" s="2"/>
      <c r="DS84" s="2"/>
      <c r="DT84" s="2"/>
      <c r="DU84" s="2">
        <v>1005</v>
      </c>
      <c r="DV84" s="2" t="s">
        <v>20</v>
      </c>
      <c r="DW84" s="2" t="s">
        <v>20</v>
      </c>
      <c r="DX84" s="2">
        <v>100</v>
      </c>
      <c r="DY84" s="2"/>
      <c r="DZ84" s="2" t="s">
        <v>3</v>
      </c>
      <c r="EA84" s="2" t="s">
        <v>3</v>
      </c>
      <c r="EB84" s="2" t="s">
        <v>3</v>
      </c>
      <c r="EC84" s="2" t="s">
        <v>3</v>
      </c>
      <c r="ED84" s="2"/>
      <c r="EE84" s="2">
        <v>89977019</v>
      </c>
      <c r="EF84" s="2">
        <v>2</v>
      </c>
      <c r="EG84" s="2" t="s">
        <v>26</v>
      </c>
      <c r="EH84" s="2">
        <v>15</v>
      </c>
      <c r="EI84" s="2" t="s">
        <v>27</v>
      </c>
      <c r="EJ84" s="2">
        <v>1</v>
      </c>
      <c r="EK84" s="2">
        <v>15001</v>
      </c>
      <c r="EL84" s="2" t="s">
        <v>27</v>
      </c>
      <c r="EM84" s="2" t="s">
        <v>28</v>
      </c>
      <c r="EN84" s="2"/>
      <c r="EO84" s="2" t="s">
        <v>29</v>
      </c>
      <c r="EP84" s="2"/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102.46</v>
      </c>
      <c r="EX84" s="2">
        <v>5.34</v>
      </c>
      <c r="EY84" s="2">
        <v>0</v>
      </c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>
        <v>0</v>
      </c>
      <c r="FR84" s="2">
        <v>0</v>
      </c>
      <c r="FS84" s="2">
        <v>0</v>
      </c>
      <c r="FT84" s="2"/>
      <c r="FU84" s="2"/>
      <c r="FV84" s="2"/>
      <c r="FW84" s="2"/>
      <c r="FX84" s="2">
        <v>90</v>
      </c>
      <c r="FY84" s="2">
        <v>41.65</v>
      </c>
      <c r="FZ84" s="2"/>
      <c r="GA84" s="2" t="s">
        <v>3</v>
      </c>
      <c r="GB84" s="2"/>
      <c r="GC84" s="2"/>
      <c r="GD84" s="2">
        <v>1</v>
      </c>
      <c r="GE84" s="2"/>
      <c r="GF84" s="2">
        <v>-1348862777</v>
      </c>
      <c r="GG84" s="2">
        <v>2</v>
      </c>
      <c r="GH84" s="2">
        <v>1</v>
      </c>
      <c r="GI84" s="2">
        <v>-2</v>
      </c>
      <c r="GJ84" s="2">
        <v>0</v>
      </c>
      <c r="GK84" s="2">
        <v>0</v>
      </c>
      <c r="GL84" s="2">
        <f t="shared" si="51"/>
        <v>0</v>
      </c>
      <c r="GM84" s="2">
        <f t="shared" si="52"/>
        <v>46067.93</v>
      </c>
      <c r="GN84" s="2">
        <f t="shared" si="53"/>
        <v>46067.93</v>
      </c>
      <c r="GO84" s="2">
        <f t="shared" si="54"/>
        <v>0</v>
      </c>
      <c r="GP84" s="2">
        <f t="shared" si="55"/>
        <v>0</v>
      </c>
      <c r="GQ84" s="2"/>
      <c r="GR84" s="2">
        <v>0</v>
      </c>
      <c r="GS84" s="2">
        <v>0</v>
      </c>
      <c r="GT84" s="2">
        <v>0</v>
      </c>
      <c r="GU84" s="2" t="s">
        <v>3</v>
      </c>
      <c r="GV84" s="2">
        <f t="shared" si="56"/>
        <v>0</v>
      </c>
      <c r="GW84" s="2">
        <v>1</v>
      </c>
      <c r="GX84" s="2">
        <f t="shared" si="57"/>
        <v>0</v>
      </c>
      <c r="GY84" s="2"/>
      <c r="GZ84" s="2"/>
      <c r="HA84" s="2">
        <v>0</v>
      </c>
      <c r="HB84" s="2">
        <v>0</v>
      </c>
      <c r="HC84" s="2">
        <f t="shared" si="58"/>
        <v>0</v>
      </c>
      <c r="HD84" s="2"/>
      <c r="HE84" s="2" t="s">
        <v>3</v>
      </c>
      <c r="HF84" s="2" t="s">
        <v>3</v>
      </c>
      <c r="HG84" s="2"/>
      <c r="HH84" s="2"/>
      <c r="HI84" s="2"/>
      <c r="HJ84" s="2"/>
      <c r="HK84" s="2"/>
      <c r="HL84" s="2"/>
      <c r="HM84" s="2" t="s">
        <v>3</v>
      </c>
      <c r="HN84" s="2" t="s">
        <v>30</v>
      </c>
      <c r="HO84" s="2" t="s">
        <v>31</v>
      </c>
      <c r="HP84" s="2" t="s">
        <v>27</v>
      </c>
      <c r="HQ84" s="2" t="s">
        <v>27</v>
      </c>
      <c r="HR84" s="2"/>
      <c r="HS84" s="2">
        <v>0</v>
      </c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>
        <v>0</v>
      </c>
      <c r="IL84" s="2"/>
      <c r="IM84" s="2"/>
      <c r="IN84" s="2"/>
      <c r="IO84" s="2"/>
      <c r="IP84" s="2"/>
      <c r="IQ84" s="2"/>
      <c r="IR84" s="2"/>
      <c r="IS84" s="2"/>
      <c r="IT84" s="2"/>
      <c r="IU84" s="2"/>
    </row>
    <row r="85" spans="1:255" x14ac:dyDescent="0.2">
      <c r="A85" s="2">
        <v>18</v>
      </c>
      <c r="B85" s="2">
        <v>1</v>
      </c>
      <c r="C85" s="2">
        <v>46</v>
      </c>
      <c r="D85" s="2"/>
      <c r="E85" s="2" t="s">
        <v>166</v>
      </c>
      <c r="F85" s="2" t="s">
        <v>167</v>
      </c>
      <c r="G85" s="2" t="s">
        <v>168</v>
      </c>
      <c r="H85" s="2" t="s">
        <v>130</v>
      </c>
      <c r="I85" s="2">
        <f>I84*J85</f>
        <v>22.66</v>
      </c>
      <c r="J85" s="2">
        <v>103</v>
      </c>
      <c r="K85" s="2">
        <v>103</v>
      </c>
      <c r="L85" s="2"/>
      <c r="M85" s="2"/>
      <c r="N85" s="2"/>
      <c r="O85" s="2">
        <f t="shared" si="38"/>
        <v>11995.07</v>
      </c>
      <c r="P85" s="2">
        <f>ROUND(CQ85*I85,2)</f>
        <v>11995.07</v>
      </c>
      <c r="Q85" s="2">
        <f>ROUND(CR85*I85,2)</f>
        <v>0</v>
      </c>
      <c r="R85" s="2">
        <f>ROUND(CS85*I85,2)</f>
        <v>0</v>
      </c>
      <c r="S85" s="2">
        <f>ROUND(CT85*I85,2)</f>
        <v>0</v>
      </c>
      <c r="T85" s="2">
        <f t="shared" si="39"/>
        <v>0</v>
      </c>
      <c r="U85" s="2">
        <f>ROUND(CV85*I85,7)</f>
        <v>0</v>
      </c>
      <c r="V85" s="2">
        <f>ROUND(CW85*I85,7)</f>
        <v>0</v>
      </c>
      <c r="W85" s="2">
        <f t="shared" si="40"/>
        <v>0</v>
      </c>
      <c r="X85" s="2">
        <f t="shared" si="41"/>
        <v>0</v>
      </c>
      <c r="Y85" s="2">
        <f t="shared" si="42"/>
        <v>0</v>
      </c>
      <c r="Z85" s="2"/>
      <c r="AA85" s="2">
        <v>94240533</v>
      </c>
      <c r="AB85" s="2">
        <f t="shared" si="43"/>
        <v>468.45</v>
      </c>
      <c r="AC85" s="2">
        <f>ROUND((ES85),6)</f>
        <v>468.45</v>
      </c>
      <c r="AD85" s="2">
        <f>ROUND((((ET85)-(EU85))+AE85),6)</f>
        <v>0</v>
      </c>
      <c r="AE85" s="2">
        <f>ROUND((EU85),6)</f>
        <v>0</v>
      </c>
      <c r="AF85" s="2">
        <f>ROUND((EV85),6)</f>
        <v>0</v>
      </c>
      <c r="AG85" s="2">
        <f t="shared" si="44"/>
        <v>0</v>
      </c>
      <c r="AH85" s="2">
        <f>(EW85)</f>
        <v>0</v>
      </c>
      <c r="AI85" s="2">
        <f>(EX85)</f>
        <v>0</v>
      </c>
      <c r="AJ85" s="2">
        <f t="shared" si="45"/>
        <v>0</v>
      </c>
      <c r="AK85" s="2">
        <v>468.45</v>
      </c>
      <c r="AL85" s="2">
        <v>468.45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100</v>
      </c>
      <c r="AU85" s="2">
        <v>49</v>
      </c>
      <c r="AV85" s="2">
        <v>1</v>
      </c>
      <c r="AW85" s="2">
        <v>1</v>
      </c>
      <c r="AX85" s="2"/>
      <c r="AY85" s="2"/>
      <c r="AZ85" s="2">
        <v>1</v>
      </c>
      <c r="BA85" s="2">
        <v>1</v>
      </c>
      <c r="BB85" s="2">
        <v>1</v>
      </c>
      <c r="BC85" s="2">
        <v>1.1299999999999999</v>
      </c>
      <c r="BD85" s="2" t="s">
        <v>3</v>
      </c>
      <c r="BE85" s="2" t="s">
        <v>3</v>
      </c>
      <c r="BF85" s="2" t="s">
        <v>3</v>
      </c>
      <c r="BG85" s="2" t="s">
        <v>3</v>
      </c>
      <c r="BH85" s="2">
        <v>3</v>
      </c>
      <c r="BI85" s="2">
        <v>1</v>
      </c>
      <c r="BJ85" s="2" t="s">
        <v>169</v>
      </c>
      <c r="BK85" s="2"/>
      <c r="BL85" s="2"/>
      <c r="BM85" s="2">
        <v>15001</v>
      </c>
      <c r="BN85" s="2">
        <v>0</v>
      </c>
      <c r="BO85" s="2" t="s">
        <v>167</v>
      </c>
      <c r="BP85" s="2">
        <v>1</v>
      </c>
      <c r="BQ85" s="2">
        <v>2</v>
      </c>
      <c r="BR85" s="2">
        <v>0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 t="s">
        <v>3</v>
      </c>
      <c r="BZ85" s="2">
        <v>100</v>
      </c>
      <c r="CA85" s="2">
        <v>49</v>
      </c>
      <c r="CB85" s="2" t="s">
        <v>3</v>
      </c>
      <c r="CC85" s="2"/>
      <c r="CD85" s="2"/>
      <c r="CE85" s="2">
        <v>0</v>
      </c>
      <c r="CF85" s="2">
        <v>0</v>
      </c>
      <c r="CG85" s="2">
        <v>0</v>
      </c>
      <c r="CH85" s="2"/>
      <c r="CI85" s="2"/>
      <c r="CJ85" s="2"/>
      <c r="CK85" s="2"/>
      <c r="CL85" s="2"/>
      <c r="CM85" s="2">
        <v>0</v>
      </c>
      <c r="CN85" s="2" t="s">
        <v>3</v>
      </c>
      <c r="CO85" s="2">
        <v>0</v>
      </c>
      <c r="CP85" s="2">
        <f t="shared" si="46"/>
        <v>11995.07</v>
      </c>
      <c r="CQ85" s="2">
        <f>ROUND(AL85*BC85,2)</f>
        <v>529.35</v>
      </c>
      <c r="CR85" s="2">
        <f>ROUND(AM85*BB85,2)</f>
        <v>0</v>
      </c>
      <c r="CS85" s="2">
        <f>ROUND(AN85*BS85,2)</f>
        <v>0</v>
      </c>
      <c r="CT85" s="2">
        <f>ROUND(AO85*BA85,2)</f>
        <v>0</v>
      </c>
      <c r="CU85" s="2">
        <f t="shared" si="47"/>
        <v>0</v>
      </c>
      <c r="CV85" s="2">
        <f>AH85</f>
        <v>0</v>
      </c>
      <c r="CW85" s="2">
        <f>AI85</f>
        <v>0</v>
      </c>
      <c r="CX85" s="2">
        <f t="shared" si="48"/>
        <v>0</v>
      </c>
      <c r="CY85" s="2">
        <f t="shared" si="59"/>
        <v>0</v>
      </c>
      <c r="CZ85" s="2">
        <f t="shared" si="60"/>
        <v>0</v>
      </c>
      <c r="DA85" s="2"/>
      <c r="DB85" s="2"/>
      <c r="DC85" s="2" t="s">
        <v>3</v>
      </c>
      <c r="DD85" s="2" t="s">
        <v>3</v>
      </c>
      <c r="DE85" s="2" t="s">
        <v>3</v>
      </c>
      <c r="DF85" s="2" t="s">
        <v>3</v>
      </c>
      <c r="DG85" s="2" t="s">
        <v>3</v>
      </c>
      <c r="DH85" s="2" t="s">
        <v>3</v>
      </c>
      <c r="DI85" s="2" t="s">
        <v>3</v>
      </c>
      <c r="DJ85" s="2" t="s">
        <v>3</v>
      </c>
      <c r="DK85" s="2" t="s">
        <v>3</v>
      </c>
      <c r="DL85" s="2" t="s">
        <v>3</v>
      </c>
      <c r="DM85" s="2" t="s">
        <v>3</v>
      </c>
      <c r="DN85" s="2">
        <v>0</v>
      </c>
      <c r="DO85" s="2">
        <v>0</v>
      </c>
      <c r="DP85" s="2">
        <v>1</v>
      </c>
      <c r="DQ85" s="2">
        <v>1</v>
      </c>
      <c r="DR85" s="2"/>
      <c r="DS85" s="2"/>
      <c r="DT85" s="2"/>
      <c r="DU85" s="2">
        <v>1005</v>
      </c>
      <c r="DV85" s="2" t="s">
        <v>130</v>
      </c>
      <c r="DW85" s="2" t="s">
        <v>130</v>
      </c>
      <c r="DX85" s="2">
        <v>1</v>
      </c>
      <c r="DY85" s="2"/>
      <c r="DZ85" s="2" t="s">
        <v>3</v>
      </c>
      <c r="EA85" s="2" t="s">
        <v>3</v>
      </c>
      <c r="EB85" s="2" t="s">
        <v>3</v>
      </c>
      <c r="EC85" s="2" t="s">
        <v>3</v>
      </c>
      <c r="ED85" s="2"/>
      <c r="EE85" s="2">
        <v>89977019</v>
      </c>
      <c r="EF85" s="2">
        <v>2</v>
      </c>
      <c r="EG85" s="2" t="s">
        <v>26</v>
      </c>
      <c r="EH85" s="2">
        <v>15</v>
      </c>
      <c r="EI85" s="2" t="s">
        <v>27</v>
      </c>
      <c r="EJ85" s="2">
        <v>1</v>
      </c>
      <c r="EK85" s="2">
        <v>15001</v>
      </c>
      <c r="EL85" s="2" t="s">
        <v>27</v>
      </c>
      <c r="EM85" s="2" t="s">
        <v>28</v>
      </c>
      <c r="EN85" s="2"/>
      <c r="EO85" s="2" t="s">
        <v>3</v>
      </c>
      <c r="EP85" s="2"/>
      <c r="EQ85" s="2">
        <v>0</v>
      </c>
      <c r="ER85" s="2">
        <v>468.45</v>
      </c>
      <c r="ES85" s="2">
        <v>468.45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>
        <v>0</v>
      </c>
      <c r="FR85" s="2">
        <v>0</v>
      </c>
      <c r="FS85" s="2">
        <v>0</v>
      </c>
      <c r="FT85" s="2"/>
      <c r="FU85" s="2"/>
      <c r="FV85" s="2"/>
      <c r="FW85" s="2"/>
      <c r="FX85" s="2">
        <v>100</v>
      </c>
      <c r="FY85" s="2">
        <v>49</v>
      </c>
      <c r="FZ85" s="2"/>
      <c r="GA85" s="2" t="s">
        <v>3</v>
      </c>
      <c r="GB85" s="2"/>
      <c r="GC85" s="2"/>
      <c r="GD85" s="2">
        <v>1</v>
      </c>
      <c r="GE85" s="2"/>
      <c r="GF85" s="2">
        <v>-677450604</v>
      </c>
      <c r="GG85" s="2">
        <v>2</v>
      </c>
      <c r="GH85" s="2">
        <v>1</v>
      </c>
      <c r="GI85" s="2">
        <v>2</v>
      </c>
      <c r="GJ85" s="2">
        <v>0</v>
      </c>
      <c r="GK85" s="2">
        <v>0</v>
      </c>
      <c r="GL85" s="2">
        <f t="shared" si="51"/>
        <v>0</v>
      </c>
      <c r="GM85" s="2">
        <f t="shared" si="52"/>
        <v>11995.07</v>
      </c>
      <c r="GN85" s="2">
        <f t="shared" si="53"/>
        <v>11995.07</v>
      </c>
      <c r="GO85" s="2">
        <f t="shared" si="54"/>
        <v>0</v>
      </c>
      <c r="GP85" s="2">
        <f t="shared" si="55"/>
        <v>0</v>
      </c>
      <c r="GQ85" s="2"/>
      <c r="GR85" s="2">
        <v>0</v>
      </c>
      <c r="GS85" s="2">
        <v>0</v>
      </c>
      <c r="GT85" s="2">
        <v>0</v>
      </c>
      <c r="GU85" s="2" t="s">
        <v>3</v>
      </c>
      <c r="GV85" s="2">
        <f t="shared" si="56"/>
        <v>0</v>
      </c>
      <c r="GW85" s="2">
        <v>1</v>
      </c>
      <c r="GX85" s="2">
        <f t="shared" si="57"/>
        <v>0</v>
      </c>
      <c r="GY85" s="2"/>
      <c r="GZ85" s="2"/>
      <c r="HA85" s="2">
        <v>0</v>
      </c>
      <c r="HB85" s="2">
        <v>0</v>
      </c>
      <c r="HC85" s="2">
        <f t="shared" si="58"/>
        <v>0</v>
      </c>
      <c r="HD85" s="2"/>
      <c r="HE85" s="2" t="s">
        <v>3</v>
      </c>
      <c r="HF85" s="2" t="s">
        <v>3</v>
      </c>
      <c r="HG85" s="2"/>
      <c r="HH85" s="2"/>
      <c r="HI85" s="2"/>
      <c r="HJ85" s="2"/>
      <c r="HK85" s="2"/>
      <c r="HL85" s="2"/>
      <c r="HM85" s="2" t="s">
        <v>3</v>
      </c>
      <c r="HN85" s="2" t="s">
        <v>30</v>
      </c>
      <c r="HO85" s="2" t="s">
        <v>31</v>
      </c>
      <c r="HP85" s="2" t="s">
        <v>27</v>
      </c>
      <c r="HQ85" s="2" t="s">
        <v>27</v>
      </c>
      <c r="HR85" s="2"/>
      <c r="HS85" s="2">
        <v>0</v>
      </c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>
        <v>0</v>
      </c>
      <c r="IL85" s="2"/>
      <c r="IM85" s="2"/>
      <c r="IN85" s="2"/>
      <c r="IO85" s="2"/>
      <c r="IP85" s="2"/>
      <c r="IQ85" s="2"/>
      <c r="IR85" s="2"/>
      <c r="IS85" s="2"/>
      <c r="IT85" s="2"/>
      <c r="IU85" s="2"/>
    </row>
    <row r="86" spans="1:255" x14ac:dyDescent="0.2">
      <c r="A86" s="2">
        <v>17</v>
      </c>
      <c r="B86" s="2">
        <v>1</v>
      </c>
      <c r="C86" s="2">
        <f>ROW(SmtRes!A53)</f>
        <v>53</v>
      </c>
      <c r="D86" s="2">
        <f>ROW(EtalonRes!A52)</f>
        <v>52</v>
      </c>
      <c r="E86" s="2" t="s">
        <v>170</v>
      </c>
      <c r="F86" s="2" t="s">
        <v>171</v>
      </c>
      <c r="G86" s="2" t="s">
        <v>172</v>
      </c>
      <c r="H86" s="2" t="s">
        <v>156</v>
      </c>
      <c r="I86" s="2">
        <f>ROUND(4/100,7)</f>
        <v>0.04</v>
      </c>
      <c r="J86" s="2">
        <v>0</v>
      </c>
      <c r="K86" s="2">
        <f>ROUND(4/100,7)</f>
        <v>0.04</v>
      </c>
      <c r="L86" s="2"/>
      <c r="M86" s="2"/>
      <c r="N86" s="2"/>
      <c r="O86" s="2">
        <f t="shared" si="38"/>
        <v>583.54</v>
      </c>
      <c r="P86" s="2">
        <f>SUMIF(SmtRes!AQ48:'SmtRes'!AQ53,"=1",SmtRes!DF48:'SmtRes'!DF53)</f>
        <v>0</v>
      </c>
      <c r="Q86" s="2">
        <f>SUMIF(SmtRes!AQ48:'SmtRes'!AQ53,"=1",SmtRes!DG48:'SmtRes'!DG53)</f>
        <v>6.1</v>
      </c>
      <c r="R86" s="2">
        <f>SUMIF(SmtRes!AQ48:'SmtRes'!AQ53,"=1",SmtRes!DH48:'SmtRes'!DH53)</f>
        <v>8.19</v>
      </c>
      <c r="S86" s="2">
        <f>SUMIF(SmtRes!AQ48:'SmtRes'!AQ53,"=1",SmtRes!DI48:'SmtRes'!DI53)</f>
        <v>569.25</v>
      </c>
      <c r="T86" s="2">
        <f t="shared" si="39"/>
        <v>0</v>
      </c>
      <c r="U86" s="2">
        <f>SUMIF(SmtRes!AQ48:'SmtRes'!AQ53,"=1",SmtRes!CV48:'SmtRes'!CV53)</f>
        <v>0.78279999999999994</v>
      </c>
      <c r="V86" s="2">
        <f>SUMIF(SmtRes!AQ48:'SmtRes'!AQ53,"=1",SmtRes!CW48:'SmtRes'!CW53)</f>
        <v>1.12E-2</v>
      </c>
      <c r="W86" s="2">
        <f t="shared" si="40"/>
        <v>0</v>
      </c>
      <c r="X86" s="2">
        <f t="shared" si="41"/>
        <v>560.12</v>
      </c>
      <c r="Y86" s="2">
        <f t="shared" si="42"/>
        <v>294.49</v>
      </c>
      <c r="Z86" s="2"/>
      <c r="AA86" s="2">
        <v>94240533</v>
      </c>
      <c r="AB86" s="2">
        <f t="shared" si="43"/>
        <v>14383.7582</v>
      </c>
      <c r="AC86" s="2">
        <f>ROUND((0),6)</f>
        <v>0</v>
      </c>
      <c r="AD86" s="2">
        <f>ROUND((((SUM(SmtRes!BR48:'SmtRes'!BR53))-(SUM(SmtRes!BS48:'SmtRes'!BS53)))+AE86),6)</f>
        <v>152.57759999999999</v>
      </c>
      <c r="AE86" s="2">
        <f>ROUND((SUM(SmtRes!BS48:'SmtRes'!BS53)),6)</f>
        <v>204.70240000000001</v>
      </c>
      <c r="AF86" s="2">
        <f>ROUND((SUM(SmtRes!BT48:'SmtRes'!BT53)),6)</f>
        <v>14231.1806</v>
      </c>
      <c r="AG86" s="2">
        <f t="shared" si="44"/>
        <v>0</v>
      </c>
      <c r="AH86" s="2">
        <f>(SUM(SmtRes!BU48:'SmtRes'!BU53))</f>
        <v>19.57</v>
      </c>
      <c r="AI86" s="2">
        <f>(SUM(SmtRes!BV48:'SmtRes'!BV53))</f>
        <v>0.28000000000000003</v>
      </c>
      <c r="AJ86" s="2">
        <f t="shared" si="45"/>
        <v>0</v>
      </c>
      <c r="AK86" s="2">
        <v>14588.4606</v>
      </c>
      <c r="AL86" s="2">
        <v>0</v>
      </c>
      <c r="AM86" s="2">
        <v>152.57759999999999</v>
      </c>
      <c r="AN86" s="2">
        <v>204.70240000000004</v>
      </c>
      <c r="AO86" s="2">
        <v>14231.1806</v>
      </c>
      <c r="AP86" s="2">
        <v>0</v>
      </c>
      <c r="AQ86" s="2">
        <v>19.57</v>
      </c>
      <c r="AR86" s="2">
        <v>0.28000000000000003</v>
      </c>
      <c r="AS86" s="2">
        <v>0</v>
      </c>
      <c r="AT86" s="2">
        <v>97</v>
      </c>
      <c r="AU86" s="2">
        <v>51</v>
      </c>
      <c r="AV86" s="2">
        <v>1</v>
      </c>
      <c r="AW86" s="2">
        <v>1</v>
      </c>
      <c r="AX86" s="2"/>
      <c r="AY86" s="2"/>
      <c r="AZ86" s="2">
        <v>1</v>
      </c>
      <c r="BA86" s="2">
        <v>1</v>
      </c>
      <c r="BB86" s="2">
        <v>1</v>
      </c>
      <c r="BC86" s="2">
        <v>1</v>
      </c>
      <c r="BD86" s="2" t="s">
        <v>3</v>
      </c>
      <c r="BE86" s="2" t="s">
        <v>3</v>
      </c>
      <c r="BF86" s="2" t="s">
        <v>3</v>
      </c>
      <c r="BG86" s="2" t="s">
        <v>3</v>
      </c>
      <c r="BH86" s="2">
        <v>0</v>
      </c>
      <c r="BI86" s="2">
        <v>2</v>
      </c>
      <c r="BJ86" s="2" t="s">
        <v>173</v>
      </c>
      <c r="BK86" s="2"/>
      <c r="BL86" s="2"/>
      <c r="BM86" s="2">
        <v>108001</v>
      </c>
      <c r="BN86" s="2">
        <v>0</v>
      </c>
      <c r="BO86" s="2" t="s">
        <v>3</v>
      </c>
      <c r="BP86" s="2">
        <v>0</v>
      </c>
      <c r="BQ86" s="2">
        <v>3</v>
      </c>
      <c r="BR86" s="2">
        <v>0</v>
      </c>
      <c r="BS86" s="2">
        <v>1</v>
      </c>
      <c r="BT86" s="2">
        <v>1</v>
      </c>
      <c r="BU86" s="2">
        <v>1</v>
      </c>
      <c r="BV86" s="2">
        <v>1</v>
      </c>
      <c r="BW86" s="2">
        <v>1</v>
      </c>
      <c r="BX86" s="2">
        <v>1</v>
      </c>
      <c r="BY86" s="2" t="s">
        <v>3</v>
      </c>
      <c r="BZ86" s="2">
        <v>97</v>
      </c>
      <c r="CA86" s="2">
        <v>51</v>
      </c>
      <c r="CB86" s="2" t="s">
        <v>3</v>
      </c>
      <c r="CC86" s="2"/>
      <c r="CD86" s="2"/>
      <c r="CE86" s="2">
        <v>0</v>
      </c>
      <c r="CF86" s="2">
        <v>0</v>
      </c>
      <c r="CG86" s="2">
        <v>0</v>
      </c>
      <c r="CH86" s="2"/>
      <c r="CI86" s="2"/>
      <c r="CJ86" s="2"/>
      <c r="CK86" s="2"/>
      <c r="CL86" s="2"/>
      <c r="CM86" s="2">
        <v>0</v>
      </c>
      <c r="CN86" s="2" t="s">
        <v>3</v>
      </c>
      <c r="CO86" s="2">
        <v>0</v>
      </c>
      <c r="CP86" s="2">
        <f t="shared" si="46"/>
        <v>583.54000000000008</v>
      </c>
      <c r="CQ86" s="2">
        <f>SUMIF(SmtRes!AQ48:'SmtRes'!AQ53,"=1",SmtRes!AA48:'SmtRes'!AA53)</f>
        <v>0</v>
      </c>
      <c r="CR86" s="2">
        <f>SUMIF(SmtRes!AQ48:'SmtRes'!AQ53,"=1",SmtRes!AB48:'SmtRes'!AB53)</f>
        <v>544.91999999999996</v>
      </c>
      <c r="CS86" s="2">
        <f>SUMIF(SmtRes!AQ48:'SmtRes'!AQ53,"=1",SmtRes!AC48:'SmtRes'!AC53)</f>
        <v>731.08</v>
      </c>
      <c r="CT86" s="2">
        <f>SUMIF(SmtRes!AQ48:'SmtRes'!AQ53,"=1",SmtRes!AD48:'SmtRes'!AD53)</f>
        <v>1276.6600000000001</v>
      </c>
      <c r="CU86" s="2">
        <f t="shared" si="47"/>
        <v>0</v>
      </c>
      <c r="CV86" s="2">
        <f>SUMIF(SmtRes!AQ48:'SmtRes'!AQ53,"=1",SmtRes!BU48:'SmtRes'!BU53)</f>
        <v>19.57</v>
      </c>
      <c r="CW86" s="2">
        <f>SUMIF(SmtRes!AQ48:'SmtRes'!AQ53,"=1",SmtRes!BV48:'SmtRes'!BV53)</f>
        <v>0.28000000000000003</v>
      </c>
      <c r="CX86" s="2">
        <f t="shared" si="48"/>
        <v>0</v>
      </c>
      <c r="CY86" s="2">
        <f t="shared" si="59"/>
        <v>560.11680000000013</v>
      </c>
      <c r="CZ86" s="2">
        <f t="shared" si="60"/>
        <v>294.49440000000004</v>
      </c>
      <c r="DA86" s="2"/>
      <c r="DB86" s="2"/>
      <c r="DC86" s="2" t="s">
        <v>3</v>
      </c>
      <c r="DD86" s="2" t="s">
        <v>3</v>
      </c>
      <c r="DE86" s="2" t="s">
        <v>3</v>
      </c>
      <c r="DF86" s="2" t="s">
        <v>3</v>
      </c>
      <c r="DG86" s="2" t="s">
        <v>3</v>
      </c>
      <c r="DH86" s="2" t="s">
        <v>3</v>
      </c>
      <c r="DI86" s="2" t="s">
        <v>3</v>
      </c>
      <c r="DJ86" s="2" t="s">
        <v>3</v>
      </c>
      <c r="DK86" s="2" t="s">
        <v>3</v>
      </c>
      <c r="DL86" s="2" t="s">
        <v>3</v>
      </c>
      <c r="DM86" s="2" t="s">
        <v>3</v>
      </c>
      <c r="DN86" s="2">
        <v>0</v>
      </c>
      <c r="DO86" s="2">
        <v>0</v>
      </c>
      <c r="DP86" s="2">
        <v>1</v>
      </c>
      <c r="DQ86" s="2">
        <v>1</v>
      </c>
      <c r="DR86" s="2"/>
      <c r="DS86" s="2"/>
      <c r="DT86" s="2"/>
      <c r="DU86" s="2">
        <v>1013</v>
      </c>
      <c r="DV86" s="2" t="s">
        <v>156</v>
      </c>
      <c r="DW86" s="2" t="s">
        <v>156</v>
      </c>
      <c r="DX86" s="2">
        <v>1</v>
      </c>
      <c r="DY86" s="2"/>
      <c r="DZ86" s="2" t="s">
        <v>3</v>
      </c>
      <c r="EA86" s="2" t="s">
        <v>3</v>
      </c>
      <c r="EB86" s="2" t="s">
        <v>3</v>
      </c>
      <c r="EC86" s="2" t="s">
        <v>3</v>
      </c>
      <c r="ED86" s="2"/>
      <c r="EE86" s="2">
        <v>89976869</v>
      </c>
      <c r="EF86" s="2">
        <v>3</v>
      </c>
      <c r="EG86" s="2" t="s">
        <v>174</v>
      </c>
      <c r="EH86" s="2">
        <v>0</v>
      </c>
      <c r="EI86" s="2" t="s">
        <v>3</v>
      </c>
      <c r="EJ86" s="2">
        <v>2</v>
      </c>
      <c r="EK86" s="2">
        <v>108001</v>
      </c>
      <c r="EL86" s="2" t="s">
        <v>175</v>
      </c>
      <c r="EM86" s="2" t="s">
        <v>176</v>
      </c>
      <c r="EN86" s="2"/>
      <c r="EO86" s="2" t="s">
        <v>3</v>
      </c>
      <c r="EP86" s="2"/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19.57</v>
      </c>
      <c r="EX86" s="2">
        <v>0.28000000000000003</v>
      </c>
      <c r="EY86" s="2">
        <v>0</v>
      </c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>
        <v>0</v>
      </c>
      <c r="FR86" s="2">
        <v>0</v>
      </c>
      <c r="FS86" s="2">
        <v>0</v>
      </c>
      <c r="FT86" s="2"/>
      <c r="FU86" s="2"/>
      <c r="FV86" s="2"/>
      <c r="FW86" s="2"/>
      <c r="FX86" s="2">
        <v>97</v>
      </c>
      <c r="FY86" s="2">
        <v>51</v>
      </c>
      <c r="FZ86" s="2"/>
      <c r="GA86" s="2" t="s">
        <v>3</v>
      </c>
      <c r="GB86" s="2"/>
      <c r="GC86" s="2"/>
      <c r="GD86" s="2">
        <v>1</v>
      </c>
      <c r="GE86" s="2"/>
      <c r="GF86" s="2">
        <v>442130039</v>
      </c>
      <c r="GG86" s="2">
        <v>2</v>
      </c>
      <c r="GH86" s="2">
        <v>1</v>
      </c>
      <c r="GI86" s="2">
        <v>-2</v>
      </c>
      <c r="GJ86" s="2">
        <v>0</v>
      </c>
      <c r="GK86" s="2">
        <v>0</v>
      </c>
      <c r="GL86" s="2">
        <f t="shared" si="51"/>
        <v>0</v>
      </c>
      <c r="GM86" s="2">
        <f t="shared" si="52"/>
        <v>1438.15</v>
      </c>
      <c r="GN86" s="2">
        <f t="shared" si="53"/>
        <v>0</v>
      </c>
      <c r="GO86" s="2">
        <f t="shared" si="54"/>
        <v>1438.15</v>
      </c>
      <c r="GP86" s="2">
        <f t="shared" si="55"/>
        <v>0</v>
      </c>
      <c r="GQ86" s="2"/>
      <c r="GR86" s="2">
        <v>0</v>
      </c>
      <c r="GS86" s="2">
        <v>0</v>
      </c>
      <c r="GT86" s="2">
        <v>0</v>
      </c>
      <c r="GU86" s="2" t="s">
        <v>3</v>
      </c>
      <c r="GV86" s="2">
        <f t="shared" si="56"/>
        <v>0</v>
      </c>
      <c r="GW86" s="2">
        <v>1</v>
      </c>
      <c r="GX86" s="2">
        <f t="shared" si="57"/>
        <v>0</v>
      </c>
      <c r="GY86" s="2"/>
      <c r="GZ86" s="2"/>
      <c r="HA86" s="2">
        <v>0</v>
      </c>
      <c r="HB86" s="2">
        <v>0</v>
      </c>
      <c r="HC86" s="2">
        <f t="shared" si="58"/>
        <v>0</v>
      </c>
      <c r="HD86" s="2"/>
      <c r="HE86" s="2" t="s">
        <v>3</v>
      </c>
      <c r="HF86" s="2" t="s">
        <v>3</v>
      </c>
      <c r="HG86" s="2"/>
      <c r="HH86" s="2"/>
      <c r="HI86" s="2"/>
      <c r="HJ86" s="2"/>
      <c r="HK86" s="2"/>
      <c r="HL86" s="2"/>
      <c r="HM86" s="2" t="s">
        <v>3</v>
      </c>
      <c r="HN86" s="2" t="s">
        <v>177</v>
      </c>
      <c r="HO86" s="2" t="s">
        <v>178</v>
      </c>
      <c r="HP86" s="2" t="s">
        <v>175</v>
      </c>
      <c r="HQ86" s="2" t="s">
        <v>175</v>
      </c>
      <c r="HR86" s="2"/>
      <c r="HS86" s="2">
        <v>0</v>
      </c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>
        <v>0</v>
      </c>
      <c r="IL86" s="2"/>
      <c r="IM86" s="2"/>
      <c r="IN86" s="2"/>
      <c r="IO86" s="2"/>
      <c r="IP86" s="2"/>
      <c r="IQ86" s="2"/>
      <c r="IR86" s="2"/>
      <c r="IS86" s="2"/>
      <c r="IT86" s="2"/>
      <c r="IU86" s="2"/>
    </row>
    <row r="87" spans="1:255" x14ac:dyDescent="0.2">
      <c r="A87" s="2">
        <v>18</v>
      </c>
      <c r="B87" s="2">
        <v>1</v>
      </c>
      <c r="C87" s="2">
        <v>53</v>
      </c>
      <c r="D87" s="2"/>
      <c r="E87" s="2" t="s">
        <v>179</v>
      </c>
      <c r="F87" s="2" t="s">
        <v>180</v>
      </c>
      <c r="G87" s="2" t="s">
        <v>181</v>
      </c>
      <c r="H87" s="2" t="s">
        <v>182</v>
      </c>
      <c r="I87" s="2">
        <f>J87</f>
        <v>2</v>
      </c>
      <c r="J87" s="2">
        <v>2</v>
      </c>
      <c r="K87" s="2">
        <v>2</v>
      </c>
      <c r="L87" s="2"/>
      <c r="M87" s="2"/>
      <c r="N87" s="2"/>
      <c r="O87" s="2">
        <f>ROUND(P87,2)</f>
        <v>11.39</v>
      </c>
      <c r="P87" s="2">
        <f>ROUND(ROUND(ROUND(SUMIF(SmtRes!AQ48:'SmtRes'!AQ53,"=1",SmtRes!CU48:'SmtRes'!CU53),2),2)*I87/100,2)</f>
        <v>11.39</v>
      </c>
      <c r="Q87" s="2">
        <f>ROUND(CR87*I87,2)</f>
        <v>0</v>
      </c>
      <c r="R87" s="2">
        <f>ROUND(CS87*I87,2)</f>
        <v>0</v>
      </c>
      <c r="S87" s="2">
        <f>ROUND(CT87*I87,2)</f>
        <v>0</v>
      </c>
      <c r="T87" s="2">
        <f t="shared" si="39"/>
        <v>0</v>
      </c>
      <c r="U87" s="2">
        <f>ROUND(CV87*I87,7)</f>
        <v>0</v>
      </c>
      <c r="V87" s="2">
        <f>ROUND(CW87*I87,7)</f>
        <v>0</v>
      </c>
      <c r="W87" s="2">
        <f t="shared" si="40"/>
        <v>0</v>
      </c>
      <c r="X87" s="2">
        <f t="shared" si="41"/>
        <v>0</v>
      </c>
      <c r="Y87" s="2">
        <f t="shared" si="42"/>
        <v>0</v>
      </c>
      <c r="Z87" s="2"/>
      <c r="AA87" s="2">
        <v>94240533</v>
      </c>
      <c r="AB87" s="2">
        <f t="shared" si="43"/>
        <v>0</v>
      </c>
      <c r="AC87" s="2">
        <f>ROUND((ES87),6)</f>
        <v>0</v>
      </c>
      <c r="AD87" s="2">
        <f>ROUND((((ET87)-(EU87))+AE87),6)</f>
        <v>0</v>
      </c>
      <c r="AE87" s="2">
        <f>ROUND((EU87),6)</f>
        <v>0</v>
      </c>
      <c r="AF87" s="2">
        <f>ROUND((EV87),6)</f>
        <v>0</v>
      </c>
      <c r="AG87" s="2">
        <f t="shared" si="44"/>
        <v>0</v>
      </c>
      <c r="AH87" s="2">
        <f>(EW87)</f>
        <v>0</v>
      </c>
      <c r="AI87" s="2">
        <f>(EX87)</f>
        <v>0</v>
      </c>
      <c r="AJ87" s="2">
        <f t="shared" si="45"/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97</v>
      </c>
      <c r="AU87" s="2">
        <v>51</v>
      </c>
      <c r="AV87" s="2">
        <v>1</v>
      </c>
      <c r="AW87" s="2">
        <v>1</v>
      </c>
      <c r="AX87" s="2"/>
      <c r="AY87" s="2"/>
      <c r="AZ87" s="2">
        <v>1</v>
      </c>
      <c r="BA87" s="2">
        <v>1</v>
      </c>
      <c r="BB87" s="2">
        <v>1</v>
      </c>
      <c r="BC87" s="2">
        <v>1</v>
      </c>
      <c r="BD87" s="2" t="s">
        <v>3</v>
      </c>
      <c r="BE87" s="2" t="s">
        <v>3</v>
      </c>
      <c r="BF87" s="2" t="s">
        <v>3</v>
      </c>
      <c r="BG87" s="2" t="s">
        <v>3</v>
      </c>
      <c r="BH87" s="2">
        <v>3</v>
      </c>
      <c r="BI87" s="2">
        <v>2</v>
      </c>
      <c r="BJ87" s="2" t="s">
        <v>3</v>
      </c>
      <c r="BK87" s="2"/>
      <c r="BL87" s="2"/>
      <c r="BM87" s="2">
        <v>108001</v>
      </c>
      <c r="BN87" s="2">
        <v>0</v>
      </c>
      <c r="BO87" s="2" t="s">
        <v>3</v>
      </c>
      <c r="BP87" s="2">
        <v>0</v>
      </c>
      <c r="BQ87" s="2">
        <v>3</v>
      </c>
      <c r="BR87" s="2">
        <v>0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 t="s">
        <v>3</v>
      </c>
      <c r="BZ87" s="2">
        <v>97</v>
      </c>
      <c r="CA87" s="2">
        <v>51</v>
      </c>
      <c r="CB87" s="2" t="s">
        <v>3</v>
      </c>
      <c r="CC87" s="2"/>
      <c r="CD87" s="2"/>
      <c r="CE87" s="2">
        <v>0</v>
      </c>
      <c r="CF87" s="2">
        <v>0</v>
      </c>
      <c r="CG87" s="2">
        <v>0</v>
      </c>
      <c r="CH87" s="2"/>
      <c r="CI87" s="2"/>
      <c r="CJ87" s="2"/>
      <c r="CK87" s="2"/>
      <c r="CL87" s="2"/>
      <c r="CM87" s="2">
        <v>0</v>
      </c>
      <c r="CN87" s="2" t="s">
        <v>3</v>
      </c>
      <c r="CO87" s="2">
        <v>0</v>
      </c>
      <c r="CP87" s="2">
        <f>0</f>
        <v>0</v>
      </c>
      <c r="CQ87" s="2">
        <f>0</f>
        <v>0</v>
      </c>
      <c r="CR87" s="2">
        <f>0</f>
        <v>0</v>
      </c>
      <c r="CS87" s="2">
        <f>0</f>
        <v>0</v>
      </c>
      <c r="CT87" s="2">
        <f>0</f>
        <v>0</v>
      </c>
      <c r="CU87" s="2">
        <f>0</f>
        <v>0</v>
      </c>
      <c r="CV87" s="2">
        <f>0</f>
        <v>0</v>
      </c>
      <c r="CW87" s="2">
        <f>0</f>
        <v>0</v>
      </c>
      <c r="CX87" s="2">
        <f>0</f>
        <v>0</v>
      </c>
      <c r="CY87" s="2">
        <f>0</f>
        <v>0</v>
      </c>
      <c r="CZ87" s="2">
        <f>0</f>
        <v>0</v>
      </c>
      <c r="DA87" s="2"/>
      <c r="DB87" s="2"/>
      <c r="DC87" s="2" t="s">
        <v>3</v>
      </c>
      <c r="DD87" s="2" t="s">
        <v>3</v>
      </c>
      <c r="DE87" s="2" t="s">
        <v>3</v>
      </c>
      <c r="DF87" s="2" t="s">
        <v>3</v>
      </c>
      <c r="DG87" s="2" t="s">
        <v>3</v>
      </c>
      <c r="DH87" s="2" t="s">
        <v>3</v>
      </c>
      <c r="DI87" s="2" t="s">
        <v>3</v>
      </c>
      <c r="DJ87" s="2" t="s">
        <v>3</v>
      </c>
      <c r="DK87" s="2" t="s">
        <v>3</v>
      </c>
      <c r="DL87" s="2" t="s">
        <v>3</v>
      </c>
      <c r="DM87" s="2" t="s">
        <v>3</v>
      </c>
      <c r="DN87" s="2">
        <v>0</v>
      </c>
      <c r="DO87" s="2">
        <v>0</v>
      </c>
      <c r="DP87" s="2">
        <v>1</v>
      </c>
      <c r="DQ87" s="2">
        <v>1</v>
      </c>
      <c r="DR87" s="2"/>
      <c r="DS87" s="2"/>
      <c r="DT87" s="2"/>
      <c r="DU87" s="2">
        <v>1013</v>
      </c>
      <c r="DV87" s="2" t="s">
        <v>182</v>
      </c>
      <c r="DW87" s="2" t="s">
        <v>182</v>
      </c>
      <c r="DX87" s="2">
        <v>1</v>
      </c>
      <c r="DY87" s="2"/>
      <c r="DZ87" s="2" t="s">
        <v>3</v>
      </c>
      <c r="EA87" s="2" t="s">
        <v>3</v>
      </c>
      <c r="EB87" s="2" t="s">
        <v>3</v>
      </c>
      <c r="EC87" s="2" t="s">
        <v>3</v>
      </c>
      <c r="ED87" s="2"/>
      <c r="EE87" s="2">
        <v>89976869</v>
      </c>
      <c r="EF87" s="2">
        <v>3</v>
      </c>
      <c r="EG87" s="2" t="s">
        <v>174</v>
      </c>
      <c r="EH87" s="2">
        <v>0</v>
      </c>
      <c r="EI87" s="2" t="s">
        <v>3</v>
      </c>
      <c r="EJ87" s="2">
        <v>2</v>
      </c>
      <c r="EK87" s="2">
        <v>108001</v>
      </c>
      <c r="EL87" s="2" t="s">
        <v>175</v>
      </c>
      <c r="EM87" s="2" t="s">
        <v>176</v>
      </c>
      <c r="EN87" s="2"/>
      <c r="EO87" s="2" t="s">
        <v>3</v>
      </c>
      <c r="EP87" s="2"/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>
        <v>0</v>
      </c>
      <c r="FR87" s="2">
        <v>0</v>
      </c>
      <c r="FS87" s="2">
        <v>0</v>
      </c>
      <c r="FT87" s="2"/>
      <c r="FU87" s="2"/>
      <c r="FV87" s="2"/>
      <c r="FW87" s="2"/>
      <c r="FX87" s="2">
        <v>97</v>
      </c>
      <c r="FY87" s="2">
        <v>51</v>
      </c>
      <c r="FZ87" s="2"/>
      <c r="GA87" s="2" t="s">
        <v>3</v>
      </c>
      <c r="GB87" s="2"/>
      <c r="GC87" s="2"/>
      <c r="GD87" s="2">
        <v>1</v>
      </c>
      <c r="GE87" s="2"/>
      <c r="GF87" s="2">
        <v>274903907</v>
      </c>
      <c r="GG87" s="2">
        <v>2</v>
      </c>
      <c r="GH87" s="2">
        <v>1</v>
      </c>
      <c r="GI87" s="2">
        <v>-2</v>
      </c>
      <c r="GJ87" s="2">
        <v>0</v>
      </c>
      <c r="GK87" s="2">
        <v>0</v>
      </c>
      <c r="GL87" s="2">
        <f t="shared" si="51"/>
        <v>0</v>
      </c>
      <c r="GM87" s="2">
        <f t="shared" si="52"/>
        <v>11.39</v>
      </c>
      <c r="GN87" s="2">
        <f t="shared" si="53"/>
        <v>0</v>
      </c>
      <c r="GO87" s="2">
        <f t="shared" si="54"/>
        <v>11.39</v>
      </c>
      <c r="GP87" s="2">
        <f t="shared" si="55"/>
        <v>0</v>
      </c>
      <c r="GQ87" s="2"/>
      <c r="GR87" s="2">
        <v>0</v>
      </c>
      <c r="GS87" s="2">
        <v>0</v>
      </c>
      <c r="GT87" s="2">
        <v>0</v>
      </c>
      <c r="GU87" s="2" t="s">
        <v>3</v>
      </c>
      <c r="GV87" s="2">
        <f t="shared" si="56"/>
        <v>0</v>
      </c>
      <c r="GW87" s="2">
        <v>1</v>
      </c>
      <c r="GX87" s="2">
        <f t="shared" si="57"/>
        <v>0</v>
      </c>
      <c r="GY87" s="2"/>
      <c r="GZ87" s="2"/>
      <c r="HA87" s="2">
        <v>0</v>
      </c>
      <c r="HB87" s="2">
        <v>0</v>
      </c>
      <c r="HC87" s="2">
        <f>0</f>
        <v>0</v>
      </c>
      <c r="HD87" s="2"/>
      <c r="HE87" s="2" t="s">
        <v>3</v>
      </c>
      <c r="HF87" s="2" t="s">
        <v>3</v>
      </c>
      <c r="HG87" s="2"/>
      <c r="HH87" s="2"/>
      <c r="HI87" s="2"/>
      <c r="HJ87" s="2"/>
      <c r="HK87" s="2"/>
      <c r="HL87" s="2"/>
      <c r="HM87" s="2" t="s">
        <v>3</v>
      </c>
      <c r="HN87" s="2" t="s">
        <v>177</v>
      </c>
      <c r="HO87" s="2" t="s">
        <v>178</v>
      </c>
      <c r="HP87" s="2" t="s">
        <v>175</v>
      </c>
      <c r="HQ87" s="2" t="s">
        <v>175</v>
      </c>
      <c r="HR87" s="2"/>
      <c r="HS87" s="2">
        <v>0</v>
      </c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>
        <v>0</v>
      </c>
      <c r="IL87" s="2"/>
      <c r="IM87" s="2"/>
      <c r="IN87" s="2"/>
      <c r="IO87" s="2"/>
      <c r="IP87" s="2"/>
      <c r="IQ87" s="2"/>
      <c r="IR87" s="2"/>
      <c r="IS87" s="2"/>
      <c r="IT87" s="2"/>
      <c r="IU87" s="2"/>
    </row>
    <row r="88" spans="1:255" x14ac:dyDescent="0.2">
      <c r="A88" s="2">
        <v>18</v>
      </c>
      <c r="B88" s="2">
        <v>1</v>
      </c>
      <c r="C88" s="2">
        <v>52</v>
      </c>
      <c r="D88" s="2"/>
      <c r="E88" s="2" t="s">
        <v>183</v>
      </c>
      <c r="F88" s="2" t="s">
        <v>184</v>
      </c>
      <c r="G88" s="2" t="s">
        <v>400</v>
      </c>
      <c r="H88" s="2" t="s">
        <v>185</v>
      </c>
      <c r="I88" s="2">
        <f>I86*J88</f>
        <v>4</v>
      </c>
      <c r="J88" s="2">
        <v>100</v>
      </c>
      <c r="K88" s="2">
        <v>100</v>
      </c>
      <c r="L88" s="2"/>
      <c r="M88" s="2"/>
      <c r="N88" s="2"/>
      <c r="O88" s="2">
        <f>ROUND(CP88,2)</f>
        <v>13496</v>
      </c>
      <c r="P88" s="2">
        <f>ROUND(CQ88*I88,2)</f>
        <v>13496</v>
      </c>
      <c r="Q88" s="2">
        <f>ROUND(CR88*I88,2)</f>
        <v>0</v>
      </c>
      <c r="R88" s="2">
        <f>ROUND(CS88*I88,2)</f>
        <v>0</v>
      </c>
      <c r="S88" s="2">
        <f>ROUND(CT88*I88,2)</f>
        <v>0</v>
      </c>
      <c r="T88" s="2">
        <f t="shared" si="39"/>
        <v>0</v>
      </c>
      <c r="U88" s="2">
        <f>ROUND(CV88*I88,7)</f>
        <v>0</v>
      </c>
      <c r="V88" s="2">
        <f>ROUND(CW88*I88,7)</f>
        <v>0</v>
      </c>
      <c r="W88" s="2">
        <f t="shared" si="40"/>
        <v>0</v>
      </c>
      <c r="X88" s="2">
        <f t="shared" si="41"/>
        <v>0</v>
      </c>
      <c r="Y88" s="2">
        <f t="shared" si="42"/>
        <v>0</v>
      </c>
      <c r="Z88" s="2"/>
      <c r="AA88" s="2">
        <v>94240533</v>
      </c>
      <c r="AB88" s="2">
        <f t="shared" si="43"/>
        <v>2279.73</v>
      </c>
      <c r="AC88" s="2">
        <f>ROUND((ES88),6)</f>
        <v>2279.73</v>
      </c>
      <c r="AD88" s="2">
        <f>ROUND((((ET88)-(EU88))+AE88),6)</f>
        <v>0</v>
      </c>
      <c r="AE88" s="2">
        <f>ROUND((EU88),6)</f>
        <v>0</v>
      </c>
      <c r="AF88" s="2">
        <f>ROUND((EV88),6)</f>
        <v>0</v>
      </c>
      <c r="AG88" s="2">
        <f t="shared" si="44"/>
        <v>0</v>
      </c>
      <c r="AH88" s="2">
        <f>(EW88)</f>
        <v>0</v>
      </c>
      <c r="AI88" s="2">
        <f>(EX88)</f>
        <v>0</v>
      </c>
      <c r="AJ88" s="2">
        <f t="shared" si="45"/>
        <v>0</v>
      </c>
      <c r="AK88" s="2">
        <v>2279.73</v>
      </c>
      <c r="AL88" s="2">
        <v>2279.73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97</v>
      </c>
      <c r="AU88" s="2">
        <v>51</v>
      </c>
      <c r="AV88" s="2">
        <v>1</v>
      </c>
      <c r="AW88" s="2">
        <v>1</v>
      </c>
      <c r="AX88" s="2"/>
      <c r="AY88" s="2"/>
      <c r="AZ88" s="2">
        <v>1</v>
      </c>
      <c r="BA88" s="2">
        <v>1</v>
      </c>
      <c r="BB88" s="2">
        <v>1</v>
      </c>
      <c r="BC88" s="2">
        <v>1.48</v>
      </c>
      <c r="BD88" s="2" t="s">
        <v>3</v>
      </c>
      <c r="BE88" s="2" t="s">
        <v>3</v>
      </c>
      <c r="BF88" s="2" t="s">
        <v>3</v>
      </c>
      <c r="BG88" s="2" t="s">
        <v>3</v>
      </c>
      <c r="BH88" s="2">
        <v>3</v>
      </c>
      <c r="BI88" s="2">
        <v>2</v>
      </c>
      <c r="BJ88" s="2" t="s">
        <v>186</v>
      </c>
      <c r="BK88" s="2"/>
      <c r="BL88" s="2"/>
      <c r="BM88" s="2">
        <v>108001</v>
      </c>
      <c r="BN88" s="2">
        <v>0</v>
      </c>
      <c r="BO88" s="2" t="s">
        <v>184</v>
      </c>
      <c r="BP88" s="2">
        <v>1</v>
      </c>
      <c r="BQ88" s="2">
        <v>3</v>
      </c>
      <c r="BR88" s="2">
        <v>0</v>
      </c>
      <c r="BS88" s="2">
        <v>1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 t="s">
        <v>3</v>
      </c>
      <c r="BZ88" s="2">
        <v>97</v>
      </c>
      <c r="CA88" s="2">
        <v>51</v>
      </c>
      <c r="CB88" s="2" t="s">
        <v>3</v>
      </c>
      <c r="CC88" s="2"/>
      <c r="CD88" s="2"/>
      <c r="CE88" s="2">
        <v>0</v>
      </c>
      <c r="CF88" s="2">
        <v>0</v>
      </c>
      <c r="CG88" s="2">
        <v>0</v>
      </c>
      <c r="CH88" s="2"/>
      <c r="CI88" s="2"/>
      <c r="CJ88" s="2"/>
      <c r="CK88" s="2"/>
      <c r="CL88" s="2"/>
      <c r="CM88" s="2">
        <v>0</v>
      </c>
      <c r="CN88" s="2" t="s">
        <v>3</v>
      </c>
      <c r="CO88" s="2">
        <v>0</v>
      </c>
      <c r="CP88" s="2">
        <f>(P88+Q88+S88+R88)</f>
        <v>13496</v>
      </c>
      <c r="CQ88" s="2">
        <f>ROUND(AL88*BC88,2)</f>
        <v>3374</v>
      </c>
      <c r="CR88" s="2">
        <f>ROUND(AM88*BB88,2)</f>
        <v>0</v>
      </c>
      <c r="CS88" s="2">
        <f>ROUND(AN88*BS88,2)</f>
        <v>0</v>
      </c>
      <c r="CT88" s="2">
        <f>ROUND(AO88*BA88,2)</f>
        <v>0</v>
      </c>
      <c r="CU88" s="2">
        <f>AG88</f>
        <v>0</v>
      </c>
      <c r="CV88" s="2">
        <f>AH88</f>
        <v>0</v>
      </c>
      <c r="CW88" s="2">
        <f>AI88</f>
        <v>0</v>
      </c>
      <c r="CX88" s="2">
        <f>AJ88</f>
        <v>0</v>
      </c>
      <c r="CY88" s="2">
        <f>(((S88+R88)*AT88)/100)</f>
        <v>0</v>
      </c>
      <c r="CZ88" s="2">
        <f>(((S88+R88)*AU88)/100)</f>
        <v>0</v>
      </c>
      <c r="DA88" s="2"/>
      <c r="DB88" s="2"/>
      <c r="DC88" s="2" t="s">
        <v>3</v>
      </c>
      <c r="DD88" s="2" t="s">
        <v>3</v>
      </c>
      <c r="DE88" s="2" t="s">
        <v>3</v>
      </c>
      <c r="DF88" s="2" t="s">
        <v>3</v>
      </c>
      <c r="DG88" s="2" t="s">
        <v>3</v>
      </c>
      <c r="DH88" s="2" t="s">
        <v>3</v>
      </c>
      <c r="DI88" s="2" t="s">
        <v>3</v>
      </c>
      <c r="DJ88" s="2" t="s">
        <v>3</v>
      </c>
      <c r="DK88" s="2" t="s">
        <v>3</v>
      </c>
      <c r="DL88" s="2" t="s">
        <v>3</v>
      </c>
      <c r="DM88" s="2" t="s">
        <v>3</v>
      </c>
      <c r="DN88" s="2">
        <v>0</v>
      </c>
      <c r="DO88" s="2">
        <v>0</v>
      </c>
      <c r="DP88" s="2">
        <v>1</v>
      </c>
      <c r="DQ88" s="2">
        <v>1</v>
      </c>
      <c r="DR88" s="2"/>
      <c r="DS88" s="2"/>
      <c r="DT88" s="2"/>
      <c r="DU88" s="2">
        <v>1013</v>
      </c>
      <c r="DV88" s="2" t="s">
        <v>185</v>
      </c>
      <c r="DW88" s="2" t="s">
        <v>185</v>
      </c>
      <c r="DX88" s="2">
        <v>1</v>
      </c>
      <c r="DY88" s="2"/>
      <c r="DZ88" s="2" t="s">
        <v>3</v>
      </c>
      <c r="EA88" s="2" t="s">
        <v>3</v>
      </c>
      <c r="EB88" s="2" t="s">
        <v>3</v>
      </c>
      <c r="EC88" s="2" t="s">
        <v>3</v>
      </c>
      <c r="ED88" s="2"/>
      <c r="EE88" s="2">
        <v>89976869</v>
      </c>
      <c r="EF88" s="2">
        <v>3</v>
      </c>
      <c r="EG88" s="2" t="s">
        <v>174</v>
      </c>
      <c r="EH88" s="2">
        <v>0</v>
      </c>
      <c r="EI88" s="2" t="s">
        <v>3</v>
      </c>
      <c r="EJ88" s="2">
        <v>2</v>
      </c>
      <c r="EK88" s="2">
        <v>108001</v>
      </c>
      <c r="EL88" s="2" t="s">
        <v>175</v>
      </c>
      <c r="EM88" s="2" t="s">
        <v>176</v>
      </c>
      <c r="EN88" s="2"/>
      <c r="EO88" s="2" t="s">
        <v>3</v>
      </c>
      <c r="EP88" s="2"/>
      <c r="EQ88" s="2">
        <v>0</v>
      </c>
      <c r="ER88" s="2">
        <v>2279.73</v>
      </c>
      <c r="ES88" s="2">
        <v>2279.73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>
        <v>0</v>
      </c>
      <c r="FR88" s="2">
        <v>0</v>
      </c>
      <c r="FS88" s="2">
        <v>0</v>
      </c>
      <c r="FT88" s="2"/>
      <c r="FU88" s="2"/>
      <c r="FV88" s="2"/>
      <c r="FW88" s="2"/>
      <c r="FX88" s="2">
        <v>97</v>
      </c>
      <c r="FY88" s="2">
        <v>51</v>
      </c>
      <c r="FZ88" s="2"/>
      <c r="GA88" s="2" t="s">
        <v>3</v>
      </c>
      <c r="GB88" s="2"/>
      <c r="GC88" s="2"/>
      <c r="GD88" s="2">
        <v>1</v>
      </c>
      <c r="GE88" s="2"/>
      <c r="GF88" s="2">
        <v>2142080712</v>
      </c>
      <c r="GG88" s="2">
        <v>2</v>
      </c>
      <c r="GH88" s="2">
        <v>1</v>
      </c>
      <c r="GI88" s="2">
        <v>2</v>
      </c>
      <c r="GJ88" s="2">
        <v>0</v>
      </c>
      <c r="GK88" s="2">
        <v>0</v>
      </c>
      <c r="GL88" s="2">
        <f t="shared" si="51"/>
        <v>0</v>
      </c>
      <c r="GM88" s="2">
        <f t="shared" si="52"/>
        <v>13496</v>
      </c>
      <c r="GN88" s="2">
        <f t="shared" si="53"/>
        <v>0</v>
      </c>
      <c r="GO88" s="2">
        <f t="shared" si="54"/>
        <v>13496</v>
      </c>
      <c r="GP88" s="2">
        <f t="shared" si="55"/>
        <v>0</v>
      </c>
      <c r="GQ88" s="2"/>
      <c r="GR88" s="2">
        <v>0</v>
      </c>
      <c r="GS88" s="2">
        <v>0</v>
      </c>
      <c r="GT88" s="2">
        <v>0</v>
      </c>
      <c r="GU88" s="2" t="s">
        <v>3</v>
      </c>
      <c r="GV88" s="2">
        <f t="shared" si="56"/>
        <v>0</v>
      </c>
      <c r="GW88" s="2">
        <v>1</v>
      </c>
      <c r="GX88" s="2">
        <f t="shared" si="57"/>
        <v>0</v>
      </c>
      <c r="GY88" s="2"/>
      <c r="GZ88" s="2"/>
      <c r="HA88" s="2">
        <v>0</v>
      </c>
      <c r="HB88" s="2">
        <v>0</v>
      </c>
      <c r="HC88" s="2">
        <f>GV88*GW88</f>
        <v>0</v>
      </c>
      <c r="HD88" s="2"/>
      <c r="HE88" s="2" t="s">
        <v>3</v>
      </c>
      <c r="HF88" s="2" t="s">
        <v>3</v>
      </c>
      <c r="HG88" s="2"/>
      <c r="HH88" s="2"/>
      <c r="HI88" s="2"/>
      <c r="HJ88" s="2"/>
      <c r="HK88" s="2"/>
      <c r="HL88" s="2"/>
      <c r="HM88" s="2" t="s">
        <v>3</v>
      </c>
      <c r="HN88" s="2" t="s">
        <v>177</v>
      </c>
      <c r="HO88" s="2" t="s">
        <v>178</v>
      </c>
      <c r="HP88" s="2" t="s">
        <v>175</v>
      </c>
      <c r="HQ88" s="2" t="s">
        <v>175</v>
      </c>
      <c r="HR88" s="2"/>
      <c r="HS88" s="2">
        <v>0</v>
      </c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>
        <v>0</v>
      </c>
      <c r="IL88" s="2"/>
      <c r="IM88" s="2"/>
      <c r="IN88" s="2"/>
      <c r="IO88" s="2"/>
      <c r="IP88" s="2"/>
      <c r="IQ88" s="2"/>
      <c r="IR88" s="2"/>
      <c r="IS88" s="2"/>
      <c r="IT88" s="2"/>
      <c r="IU88" s="2"/>
    </row>
    <row r="90" spans="1:255" x14ac:dyDescent="0.2">
      <c r="A90" s="3">
        <v>51</v>
      </c>
      <c r="B90" s="3">
        <f>B66</f>
        <v>1</v>
      </c>
      <c r="C90" s="3">
        <f>A66</f>
        <v>5</v>
      </c>
      <c r="D90" s="3">
        <f>ROW(A66)</f>
        <v>66</v>
      </c>
      <c r="E90" s="3"/>
      <c r="F90" s="3" t="str">
        <f>IF(F66&lt;&gt;"",F66,"")</f>
        <v>Новый подраздел</v>
      </c>
      <c r="G90" s="3" t="str">
        <f>IF(G66&lt;&gt;"",G66,"")</f>
        <v>Холл малый</v>
      </c>
      <c r="H90" s="3">
        <v>0</v>
      </c>
      <c r="I90" s="3"/>
      <c r="J90" s="3"/>
      <c r="K90" s="3"/>
      <c r="L90" s="3"/>
      <c r="M90" s="3"/>
      <c r="N90" s="3"/>
      <c r="O90" s="3">
        <f t="shared" ref="O90:T90" si="61">ROUND(AB90,2)</f>
        <v>148922.59</v>
      </c>
      <c r="P90" s="3">
        <f t="shared" si="61"/>
        <v>98184.89</v>
      </c>
      <c r="Q90" s="3">
        <f t="shared" si="61"/>
        <v>771.01</v>
      </c>
      <c r="R90" s="3">
        <f t="shared" si="61"/>
        <v>1177.07</v>
      </c>
      <c r="S90" s="3">
        <f t="shared" si="61"/>
        <v>48789.62</v>
      </c>
      <c r="T90" s="3">
        <f t="shared" si="61"/>
        <v>0</v>
      </c>
      <c r="U90" s="3">
        <f>AH90</f>
        <v>72.444095000000004</v>
      </c>
      <c r="V90" s="3">
        <f>AI90</f>
        <v>1.6445625000000001</v>
      </c>
      <c r="W90" s="3">
        <f>ROUND(AJ90,2)</f>
        <v>0</v>
      </c>
      <c r="X90" s="3">
        <f>ROUND(AK90,2)</f>
        <v>45461.01</v>
      </c>
      <c r="Y90" s="3">
        <f>ROUND(AL90,2)</f>
        <v>21777.439999999999</v>
      </c>
      <c r="Z90" s="3"/>
      <c r="AA90" s="3"/>
      <c r="AB90" s="3">
        <f>ROUND(SUMIF(AA70:AA88,"=94240533",O70:O88),2)</f>
        <v>148922.59</v>
      </c>
      <c r="AC90" s="3">
        <f>ROUND(SUMIF(AA70:AA88,"=94240533",P70:P88),2)</f>
        <v>98184.89</v>
      </c>
      <c r="AD90" s="3">
        <f>ROUND(SUMIF(AA70:AA88,"=94240533",Q70:Q88),2)</f>
        <v>771.01</v>
      </c>
      <c r="AE90" s="3">
        <f>ROUND(SUMIF(AA70:AA88,"=94240533",R70:R88),2)</f>
        <v>1177.07</v>
      </c>
      <c r="AF90" s="3">
        <f>ROUND(SUMIF(AA70:AA88,"=94240533",S70:S88),2)</f>
        <v>48789.62</v>
      </c>
      <c r="AG90" s="3">
        <f>ROUND(SUMIF(AA70:AA88,"=94240533",T70:T88),2)</f>
        <v>0</v>
      </c>
      <c r="AH90" s="3">
        <f>SUMIF(AA70:AA88,"=94240533",U70:U88)</f>
        <v>72.444095000000004</v>
      </c>
      <c r="AI90" s="3">
        <f>SUMIF(AA70:AA88,"=94240533",V70:V88)</f>
        <v>1.6445625000000001</v>
      </c>
      <c r="AJ90" s="3">
        <f>ROUND(SUMIF(AA70:AA88,"=94240533",W70:W88),2)</f>
        <v>0</v>
      </c>
      <c r="AK90" s="3">
        <f>ROUND(SUMIF(AA70:AA88,"=94240533",X70:X88),2)</f>
        <v>45461.01</v>
      </c>
      <c r="AL90" s="3">
        <f>ROUND(SUMIF(AA70:AA88,"=94240533",Y70:Y88),2)</f>
        <v>21777.439999999999</v>
      </c>
      <c r="AM90" s="3"/>
      <c r="AN90" s="3"/>
      <c r="AO90" s="3">
        <f t="shared" ref="AO90:BD90" si="62">ROUND(BX90,2)</f>
        <v>0</v>
      </c>
      <c r="AP90" s="3">
        <f t="shared" si="62"/>
        <v>0</v>
      </c>
      <c r="AQ90" s="3">
        <f t="shared" si="62"/>
        <v>0</v>
      </c>
      <c r="AR90" s="3">
        <f t="shared" si="62"/>
        <v>216161.04</v>
      </c>
      <c r="AS90" s="3">
        <f t="shared" si="62"/>
        <v>201215.5</v>
      </c>
      <c r="AT90" s="3">
        <f t="shared" si="62"/>
        <v>14945.54</v>
      </c>
      <c r="AU90" s="3">
        <f t="shared" si="62"/>
        <v>0</v>
      </c>
      <c r="AV90" s="3">
        <f t="shared" si="62"/>
        <v>98184.89</v>
      </c>
      <c r="AW90" s="3">
        <f t="shared" si="62"/>
        <v>98184.89</v>
      </c>
      <c r="AX90" s="3">
        <f t="shared" si="62"/>
        <v>0</v>
      </c>
      <c r="AY90" s="3">
        <f t="shared" si="62"/>
        <v>98184.89</v>
      </c>
      <c r="AZ90" s="3">
        <f t="shared" si="62"/>
        <v>0</v>
      </c>
      <c r="BA90" s="3">
        <f t="shared" si="62"/>
        <v>0</v>
      </c>
      <c r="BB90" s="3">
        <f t="shared" si="62"/>
        <v>0</v>
      </c>
      <c r="BC90" s="3">
        <f t="shared" si="62"/>
        <v>0</v>
      </c>
      <c r="BD90" s="3">
        <f t="shared" si="62"/>
        <v>0</v>
      </c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>
        <f>ROUND(SUMIF(AA70:AA88,"=94240533",FQ70:FQ88),2)</f>
        <v>0</v>
      </c>
      <c r="BY90" s="3">
        <f>ROUND(SUMIF(AA70:AA88,"=94240533",FR70:FR88),2)</f>
        <v>0</v>
      </c>
      <c r="BZ90" s="3">
        <f>ROUND(SUMIF(AA70:AA88,"=94240533",GL70:GL88),2)</f>
        <v>0</v>
      </c>
      <c r="CA90" s="3">
        <f>ROUND(SUMIF(AA70:AA88,"=94240533",GM70:GM88),2)</f>
        <v>216161.04</v>
      </c>
      <c r="CB90" s="3">
        <f>ROUND(SUMIF(AA70:AA88,"=94240533",GN70:GN88),2)</f>
        <v>201215.5</v>
      </c>
      <c r="CC90" s="3">
        <f>ROUND(SUMIF(AA70:AA88,"=94240533",GO70:GO88),2)</f>
        <v>14945.54</v>
      </c>
      <c r="CD90" s="3">
        <f>ROUND(SUMIF(AA70:AA88,"=94240533",GP70:GP88),2)</f>
        <v>0</v>
      </c>
      <c r="CE90" s="3">
        <f>AC90-BX90</f>
        <v>98184.89</v>
      </c>
      <c r="CF90" s="3">
        <f>AC90-BY90</f>
        <v>98184.89</v>
      </c>
      <c r="CG90" s="3">
        <f>BX90-BZ90</f>
        <v>0</v>
      </c>
      <c r="CH90" s="3">
        <f>AC90-BX90-BY90+BZ90</f>
        <v>98184.89</v>
      </c>
      <c r="CI90" s="3">
        <f>BY90-BZ90</f>
        <v>0</v>
      </c>
      <c r="CJ90" s="3">
        <f>ROUND(SUMIF(AA70:AA88,"=94240533",GX70:GX88),2)</f>
        <v>0</v>
      </c>
      <c r="CK90" s="3">
        <f>ROUND(SUMIF(AA70:AA88,"=94240533",GY70:GY88),2)</f>
        <v>0</v>
      </c>
      <c r="CL90" s="3">
        <f>ROUND(SUMIF(AA70:AA88,"=94240533",GZ70:GZ88),2)</f>
        <v>0</v>
      </c>
      <c r="CM90" s="3">
        <f>ROUND(SUMIF(AA70:AA88,"=94240533",HD70:HD88),2)</f>
        <v>0</v>
      </c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>
        <v>0</v>
      </c>
    </row>
    <row r="92" spans="1:255" x14ac:dyDescent="0.2">
      <c r="A92" s="5">
        <v>50</v>
      </c>
      <c r="B92" s="5">
        <v>0</v>
      </c>
      <c r="C92" s="5">
        <v>0</v>
      </c>
      <c r="D92" s="5">
        <v>1</v>
      </c>
      <c r="E92" s="5">
        <v>201</v>
      </c>
      <c r="F92" s="5">
        <f>ROUND(Source!O90,O92)</f>
        <v>148922.59</v>
      </c>
      <c r="G92" s="5" t="s">
        <v>42</v>
      </c>
      <c r="H92" s="5" t="s">
        <v>43</v>
      </c>
      <c r="I92" s="5"/>
      <c r="J92" s="5"/>
      <c r="K92" s="5">
        <v>201</v>
      </c>
      <c r="L92" s="5">
        <v>1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148922.59</v>
      </c>
      <c r="X92" s="5">
        <v>1</v>
      </c>
      <c r="Y92" s="5">
        <v>148922.59</v>
      </c>
      <c r="Z92" s="5"/>
      <c r="AA92" s="5"/>
      <c r="AB92" s="5"/>
    </row>
    <row r="93" spans="1:255" x14ac:dyDescent="0.2">
      <c r="A93" s="5">
        <v>50</v>
      </c>
      <c r="B93" s="5">
        <v>0</v>
      </c>
      <c r="C93" s="5">
        <v>0</v>
      </c>
      <c r="D93" s="5">
        <v>1</v>
      </c>
      <c r="E93" s="5">
        <v>202</v>
      </c>
      <c r="F93" s="5">
        <f>ROUND(Source!P90,O93)</f>
        <v>98184.89</v>
      </c>
      <c r="G93" s="5" t="s">
        <v>44</v>
      </c>
      <c r="H93" s="5" t="s">
        <v>45</v>
      </c>
      <c r="I93" s="5"/>
      <c r="J93" s="5"/>
      <c r="K93" s="5">
        <v>202</v>
      </c>
      <c r="L93" s="5">
        <v>2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98184.89</v>
      </c>
      <c r="X93" s="5">
        <v>1</v>
      </c>
      <c r="Y93" s="5">
        <v>98184.89</v>
      </c>
      <c r="Z93" s="5"/>
      <c r="AA93" s="5"/>
      <c r="AB93" s="5"/>
    </row>
    <row r="94" spans="1:255" x14ac:dyDescent="0.2">
      <c r="A94" s="5">
        <v>50</v>
      </c>
      <c r="B94" s="5">
        <v>0</v>
      </c>
      <c r="C94" s="5">
        <v>0</v>
      </c>
      <c r="D94" s="5">
        <v>1</v>
      </c>
      <c r="E94" s="5">
        <v>222</v>
      </c>
      <c r="F94" s="5">
        <f>ROUND(Source!AO90,O94)</f>
        <v>0</v>
      </c>
      <c r="G94" s="5" t="s">
        <v>46</v>
      </c>
      <c r="H94" s="5" t="s">
        <v>47</v>
      </c>
      <c r="I94" s="5"/>
      <c r="J94" s="5"/>
      <c r="K94" s="5">
        <v>222</v>
      </c>
      <c r="L94" s="5">
        <v>3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0</v>
      </c>
      <c r="X94" s="5">
        <v>1</v>
      </c>
      <c r="Y94" s="5">
        <v>0</v>
      </c>
      <c r="Z94" s="5"/>
      <c r="AA94" s="5"/>
      <c r="AB94" s="5"/>
    </row>
    <row r="95" spans="1:255" x14ac:dyDescent="0.2">
      <c r="A95" s="5">
        <v>50</v>
      </c>
      <c r="B95" s="5">
        <v>0</v>
      </c>
      <c r="C95" s="5">
        <v>0</v>
      </c>
      <c r="D95" s="5">
        <v>1</v>
      </c>
      <c r="E95" s="5">
        <v>225</v>
      </c>
      <c r="F95" s="5">
        <f>ROUND(Source!AV90,O95)</f>
        <v>98184.89</v>
      </c>
      <c r="G95" s="5" t="s">
        <v>48</v>
      </c>
      <c r="H95" s="5" t="s">
        <v>49</v>
      </c>
      <c r="I95" s="5"/>
      <c r="J95" s="5"/>
      <c r="K95" s="5">
        <v>225</v>
      </c>
      <c r="L95" s="5">
        <v>4</v>
      </c>
      <c r="M95" s="5">
        <v>3</v>
      </c>
      <c r="N95" s="5" t="s">
        <v>3</v>
      </c>
      <c r="O95" s="5">
        <v>2</v>
      </c>
      <c r="P95" s="5"/>
      <c r="Q95" s="5"/>
      <c r="R95" s="5"/>
      <c r="S95" s="5"/>
      <c r="T95" s="5"/>
      <c r="U95" s="5"/>
      <c r="V95" s="5"/>
      <c r="W95" s="5">
        <v>98184.89</v>
      </c>
      <c r="X95" s="5">
        <v>1</v>
      </c>
      <c r="Y95" s="5">
        <v>98184.89</v>
      </c>
      <c r="Z95" s="5"/>
      <c r="AA95" s="5"/>
      <c r="AB95" s="5"/>
    </row>
    <row r="96" spans="1:255" x14ac:dyDescent="0.2">
      <c r="A96" s="5">
        <v>50</v>
      </c>
      <c r="B96" s="5">
        <v>0</v>
      </c>
      <c r="C96" s="5">
        <v>0</v>
      </c>
      <c r="D96" s="5">
        <v>1</v>
      </c>
      <c r="E96" s="5">
        <v>226</v>
      </c>
      <c r="F96" s="5">
        <f>ROUND(Source!AW90,O96)</f>
        <v>98184.89</v>
      </c>
      <c r="G96" s="5" t="s">
        <v>50</v>
      </c>
      <c r="H96" s="5" t="s">
        <v>51</v>
      </c>
      <c r="I96" s="5"/>
      <c r="J96" s="5"/>
      <c r="K96" s="5">
        <v>226</v>
      </c>
      <c r="L96" s="5">
        <v>5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98184.89</v>
      </c>
      <c r="X96" s="5">
        <v>1</v>
      </c>
      <c r="Y96" s="5">
        <v>98184.89</v>
      </c>
      <c r="Z96" s="5"/>
      <c r="AA96" s="5"/>
      <c r="AB96" s="5"/>
    </row>
    <row r="97" spans="1:28" x14ac:dyDescent="0.2">
      <c r="A97" s="5">
        <v>50</v>
      </c>
      <c r="B97" s="5">
        <v>0</v>
      </c>
      <c r="C97" s="5">
        <v>0</v>
      </c>
      <c r="D97" s="5">
        <v>1</v>
      </c>
      <c r="E97" s="5">
        <v>227</v>
      </c>
      <c r="F97" s="5">
        <f>ROUND(Source!AX90,O97)</f>
        <v>0</v>
      </c>
      <c r="G97" s="5" t="s">
        <v>52</v>
      </c>
      <c r="H97" s="5" t="s">
        <v>53</v>
      </c>
      <c r="I97" s="5"/>
      <c r="J97" s="5"/>
      <c r="K97" s="5">
        <v>227</v>
      </c>
      <c r="L97" s="5">
        <v>6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8" x14ac:dyDescent="0.2">
      <c r="A98" s="5">
        <v>50</v>
      </c>
      <c r="B98" s="5">
        <v>0</v>
      </c>
      <c r="C98" s="5">
        <v>0</v>
      </c>
      <c r="D98" s="5">
        <v>1</v>
      </c>
      <c r="E98" s="5">
        <v>228</v>
      </c>
      <c r="F98" s="5">
        <f>ROUND(Source!AY90,O98)</f>
        <v>98184.89</v>
      </c>
      <c r="G98" s="5" t="s">
        <v>54</v>
      </c>
      <c r="H98" s="5" t="s">
        <v>55</v>
      </c>
      <c r="I98" s="5"/>
      <c r="J98" s="5"/>
      <c r="K98" s="5">
        <v>228</v>
      </c>
      <c r="L98" s="5">
        <v>7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98184.89</v>
      </c>
      <c r="X98" s="5">
        <v>1</v>
      </c>
      <c r="Y98" s="5">
        <v>98184.89</v>
      </c>
      <c r="Z98" s="5"/>
      <c r="AA98" s="5"/>
      <c r="AB98" s="5"/>
    </row>
    <row r="99" spans="1:28" x14ac:dyDescent="0.2">
      <c r="A99" s="5">
        <v>50</v>
      </c>
      <c r="B99" s="5">
        <v>0</v>
      </c>
      <c r="C99" s="5">
        <v>0</v>
      </c>
      <c r="D99" s="5">
        <v>1</v>
      </c>
      <c r="E99" s="5">
        <v>216</v>
      </c>
      <c r="F99" s="5">
        <f>ROUND(Source!AP90,O99)</f>
        <v>0</v>
      </c>
      <c r="G99" s="5" t="s">
        <v>56</v>
      </c>
      <c r="H99" s="5" t="s">
        <v>57</v>
      </c>
      <c r="I99" s="5"/>
      <c r="J99" s="5"/>
      <c r="K99" s="5">
        <v>216</v>
      </c>
      <c r="L99" s="5">
        <v>8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0</v>
      </c>
      <c r="X99" s="5">
        <v>1</v>
      </c>
      <c r="Y99" s="5">
        <v>0</v>
      </c>
      <c r="Z99" s="5"/>
      <c r="AA99" s="5"/>
      <c r="AB99" s="5"/>
    </row>
    <row r="100" spans="1:28" x14ac:dyDescent="0.2">
      <c r="A100" s="5">
        <v>50</v>
      </c>
      <c r="B100" s="5">
        <v>0</v>
      </c>
      <c r="C100" s="5">
        <v>0</v>
      </c>
      <c r="D100" s="5">
        <v>1</v>
      </c>
      <c r="E100" s="5">
        <v>223</v>
      </c>
      <c r="F100" s="5">
        <f>ROUND(Source!AQ90,O100)</f>
        <v>0</v>
      </c>
      <c r="G100" s="5" t="s">
        <v>58</v>
      </c>
      <c r="H100" s="5" t="s">
        <v>59</v>
      </c>
      <c r="I100" s="5"/>
      <c r="J100" s="5"/>
      <c r="K100" s="5">
        <v>223</v>
      </c>
      <c r="L100" s="5">
        <v>9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8" x14ac:dyDescent="0.2">
      <c r="A101" s="5">
        <v>50</v>
      </c>
      <c r="B101" s="5">
        <v>0</v>
      </c>
      <c r="C101" s="5">
        <v>0</v>
      </c>
      <c r="D101" s="5">
        <v>1</v>
      </c>
      <c r="E101" s="5">
        <v>229</v>
      </c>
      <c r="F101" s="5">
        <f>ROUND(Source!AZ90,O101)</f>
        <v>0</v>
      </c>
      <c r="G101" s="5" t="s">
        <v>60</v>
      </c>
      <c r="H101" s="5" t="s">
        <v>61</v>
      </c>
      <c r="I101" s="5"/>
      <c r="J101" s="5"/>
      <c r="K101" s="5">
        <v>229</v>
      </c>
      <c r="L101" s="5">
        <v>10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0</v>
      </c>
      <c r="X101" s="5">
        <v>1</v>
      </c>
      <c r="Y101" s="5">
        <v>0</v>
      </c>
      <c r="Z101" s="5"/>
      <c r="AA101" s="5"/>
      <c r="AB101" s="5"/>
    </row>
    <row r="102" spans="1:28" x14ac:dyDescent="0.2">
      <c r="A102" s="5">
        <v>50</v>
      </c>
      <c r="B102" s="5">
        <v>0</v>
      </c>
      <c r="C102" s="5">
        <v>0</v>
      </c>
      <c r="D102" s="5">
        <v>1</v>
      </c>
      <c r="E102" s="5">
        <v>203</v>
      </c>
      <c r="F102" s="5">
        <f>ROUND(Source!Q90,O102)</f>
        <v>771.01</v>
      </c>
      <c r="G102" s="5" t="s">
        <v>62</v>
      </c>
      <c r="H102" s="5" t="s">
        <v>63</v>
      </c>
      <c r="I102" s="5"/>
      <c r="J102" s="5"/>
      <c r="K102" s="5">
        <v>203</v>
      </c>
      <c r="L102" s="5">
        <v>11</v>
      </c>
      <c r="M102" s="5">
        <v>3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771.0100000000001</v>
      </c>
      <c r="X102" s="5">
        <v>1</v>
      </c>
      <c r="Y102" s="5">
        <v>771.0100000000001</v>
      </c>
      <c r="Z102" s="5"/>
      <c r="AA102" s="5"/>
      <c r="AB102" s="5"/>
    </row>
    <row r="103" spans="1:28" x14ac:dyDescent="0.2">
      <c r="A103" s="5">
        <v>50</v>
      </c>
      <c r="B103" s="5">
        <v>0</v>
      </c>
      <c r="C103" s="5">
        <v>0</v>
      </c>
      <c r="D103" s="5">
        <v>1</v>
      </c>
      <c r="E103" s="5">
        <v>231</v>
      </c>
      <c r="F103" s="5">
        <f>ROUND(Source!BB90,O103)</f>
        <v>0</v>
      </c>
      <c r="G103" s="5" t="s">
        <v>64</v>
      </c>
      <c r="H103" s="5" t="s">
        <v>65</v>
      </c>
      <c r="I103" s="5"/>
      <c r="J103" s="5"/>
      <c r="K103" s="5">
        <v>231</v>
      </c>
      <c r="L103" s="5">
        <v>12</v>
      </c>
      <c r="M103" s="5">
        <v>3</v>
      </c>
      <c r="N103" s="5" t="s">
        <v>3</v>
      </c>
      <c r="O103" s="5">
        <v>2</v>
      </c>
      <c r="P103" s="5"/>
      <c r="Q103" s="5"/>
      <c r="R103" s="5"/>
      <c r="S103" s="5"/>
      <c r="T103" s="5"/>
      <c r="U103" s="5"/>
      <c r="V103" s="5"/>
      <c r="W103" s="5">
        <v>0</v>
      </c>
      <c r="X103" s="5">
        <v>1</v>
      </c>
      <c r="Y103" s="5">
        <v>0</v>
      </c>
      <c r="Z103" s="5"/>
      <c r="AA103" s="5"/>
      <c r="AB103" s="5"/>
    </row>
    <row r="104" spans="1:28" x14ac:dyDescent="0.2">
      <c r="A104" s="5">
        <v>50</v>
      </c>
      <c r="B104" s="5">
        <v>0</v>
      </c>
      <c r="C104" s="5">
        <v>0</v>
      </c>
      <c r="D104" s="5">
        <v>1</v>
      </c>
      <c r="E104" s="5">
        <v>204</v>
      </c>
      <c r="F104" s="5">
        <f>ROUND(Source!R90,O104)</f>
        <v>1177.07</v>
      </c>
      <c r="G104" s="5" t="s">
        <v>66</v>
      </c>
      <c r="H104" s="5" t="s">
        <v>67</v>
      </c>
      <c r="I104" s="5"/>
      <c r="J104" s="5"/>
      <c r="K104" s="5">
        <v>204</v>
      </c>
      <c r="L104" s="5">
        <v>13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1177.0700000000002</v>
      </c>
      <c r="X104" s="5">
        <v>1</v>
      </c>
      <c r="Y104" s="5">
        <v>1177.0700000000002</v>
      </c>
      <c r="Z104" s="5"/>
      <c r="AA104" s="5"/>
      <c r="AB104" s="5"/>
    </row>
    <row r="105" spans="1:28" x14ac:dyDescent="0.2">
      <c r="A105" s="5">
        <v>50</v>
      </c>
      <c r="B105" s="5">
        <v>0</v>
      </c>
      <c r="C105" s="5">
        <v>0</v>
      </c>
      <c r="D105" s="5">
        <v>1</v>
      </c>
      <c r="E105" s="5">
        <v>205</v>
      </c>
      <c r="F105" s="5">
        <f>ROUND(Source!S90,O105)</f>
        <v>48789.62</v>
      </c>
      <c r="G105" s="5" t="s">
        <v>68</v>
      </c>
      <c r="H105" s="5" t="s">
        <v>69</v>
      </c>
      <c r="I105" s="5"/>
      <c r="J105" s="5"/>
      <c r="K105" s="5">
        <v>205</v>
      </c>
      <c r="L105" s="5">
        <v>14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48789.619999999995</v>
      </c>
      <c r="X105" s="5">
        <v>1</v>
      </c>
      <c r="Y105" s="5">
        <v>48789.619999999995</v>
      </c>
      <c r="Z105" s="5"/>
      <c r="AA105" s="5"/>
      <c r="AB105" s="5"/>
    </row>
    <row r="106" spans="1:28" x14ac:dyDescent="0.2">
      <c r="A106" s="5">
        <v>50</v>
      </c>
      <c r="B106" s="5">
        <v>0</v>
      </c>
      <c r="C106" s="5">
        <v>0</v>
      </c>
      <c r="D106" s="5">
        <v>1</v>
      </c>
      <c r="E106" s="5">
        <v>232</v>
      </c>
      <c r="F106" s="5">
        <f>ROUND(Source!BC90,O106)</f>
        <v>0</v>
      </c>
      <c r="G106" s="5" t="s">
        <v>70</v>
      </c>
      <c r="H106" s="5" t="s">
        <v>71</v>
      </c>
      <c r="I106" s="5"/>
      <c r="J106" s="5"/>
      <c r="K106" s="5">
        <v>232</v>
      </c>
      <c r="L106" s="5">
        <v>15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0</v>
      </c>
      <c r="X106" s="5">
        <v>1</v>
      </c>
      <c r="Y106" s="5">
        <v>0</v>
      </c>
      <c r="Z106" s="5"/>
      <c r="AA106" s="5"/>
      <c r="AB106" s="5"/>
    </row>
    <row r="107" spans="1:28" x14ac:dyDescent="0.2">
      <c r="A107" s="5">
        <v>50</v>
      </c>
      <c r="B107" s="5">
        <v>0</v>
      </c>
      <c r="C107" s="5">
        <v>0</v>
      </c>
      <c r="D107" s="5">
        <v>1</v>
      </c>
      <c r="E107" s="5">
        <v>214</v>
      </c>
      <c r="F107" s="5">
        <f>ROUND(Source!AS90,O107)</f>
        <v>201215.5</v>
      </c>
      <c r="G107" s="5" t="s">
        <v>72</v>
      </c>
      <c r="H107" s="5" t="s">
        <v>73</v>
      </c>
      <c r="I107" s="5"/>
      <c r="J107" s="5"/>
      <c r="K107" s="5">
        <v>214</v>
      </c>
      <c r="L107" s="5">
        <v>16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201215.5</v>
      </c>
      <c r="X107" s="5">
        <v>1</v>
      </c>
      <c r="Y107" s="5">
        <v>201215.5</v>
      </c>
      <c r="Z107" s="5"/>
      <c r="AA107" s="5"/>
      <c r="AB107" s="5"/>
    </row>
    <row r="108" spans="1:28" x14ac:dyDescent="0.2">
      <c r="A108" s="5">
        <v>50</v>
      </c>
      <c r="B108" s="5">
        <v>0</v>
      </c>
      <c r="C108" s="5">
        <v>0</v>
      </c>
      <c r="D108" s="5">
        <v>1</v>
      </c>
      <c r="E108" s="5">
        <v>215</v>
      </c>
      <c r="F108" s="5">
        <f>ROUND(Source!AT90,O108)</f>
        <v>14945.54</v>
      </c>
      <c r="G108" s="5" t="s">
        <v>74</v>
      </c>
      <c r="H108" s="5" t="s">
        <v>75</v>
      </c>
      <c r="I108" s="5"/>
      <c r="J108" s="5"/>
      <c r="K108" s="5">
        <v>215</v>
      </c>
      <c r="L108" s="5">
        <v>17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14945.54</v>
      </c>
      <c r="X108" s="5">
        <v>1</v>
      </c>
      <c r="Y108" s="5">
        <v>14945.54</v>
      </c>
      <c r="Z108" s="5"/>
      <c r="AA108" s="5"/>
      <c r="AB108" s="5"/>
    </row>
    <row r="109" spans="1:28" x14ac:dyDescent="0.2">
      <c r="A109" s="5">
        <v>50</v>
      </c>
      <c r="B109" s="5">
        <v>0</v>
      </c>
      <c r="C109" s="5">
        <v>0</v>
      </c>
      <c r="D109" s="5">
        <v>1</v>
      </c>
      <c r="E109" s="5">
        <v>217</v>
      </c>
      <c r="F109" s="5">
        <f>ROUND(Source!AU90,O109)</f>
        <v>0</v>
      </c>
      <c r="G109" s="5" t="s">
        <v>76</v>
      </c>
      <c r="H109" s="5" t="s">
        <v>77</v>
      </c>
      <c r="I109" s="5"/>
      <c r="J109" s="5"/>
      <c r="K109" s="5">
        <v>217</v>
      </c>
      <c r="L109" s="5">
        <v>18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8" x14ac:dyDescent="0.2">
      <c r="A110" s="5">
        <v>50</v>
      </c>
      <c r="B110" s="5">
        <v>0</v>
      </c>
      <c r="C110" s="5">
        <v>0</v>
      </c>
      <c r="D110" s="5">
        <v>1</v>
      </c>
      <c r="E110" s="5">
        <v>230</v>
      </c>
      <c r="F110" s="5">
        <f>ROUND(Source!BA90,O110)</f>
        <v>0</v>
      </c>
      <c r="G110" s="5" t="s">
        <v>78</v>
      </c>
      <c r="H110" s="5" t="s">
        <v>79</v>
      </c>
      <c r="I110" s="5"/>
      <c r="J110" s="5"/>
      <c r="K110" s="5">
        <v>230</v>
      </c>
      <c r="L110" s="5">
        <v>19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0</v>
      </c>
      <c r="X110" s="5">
        <v>1</v>
      </c>
      <c r="Y110" s="5">
        <v>0</v>
      </c>
      <c r="Z110" s="5"/>
      <c r="AA110" s="5"/>
      <c r="AB110" s="5"/>
    </row>
    <row r="111" spans="1:28" x14ac:dyDescent="0.2">
      <c r="A111" s="5">
        <v>50</v>
      </c>
      <c r="B111" s="5">
        <v>0</v>
      </c>
      <c r="C111" s="5">
        <v>0</v>
      </c>
      <c r="D111" s="5">
        <v>1</v>
      </c>
      <c r="E111" s="5">
        <v>206</v>
      </c>
      <c r="F111" s="5">
        <f>ROUND(Source!T90,O111)</f>
        <v>0</v>
      </c>
      <c r="G111" s="5" t="s">
        <v>80</v>
      </c>
      <c r="H111" s="5" t="s">
        <v>81</v>
      </c>
      <c r="I111" s="5"/>
      <c r="J111" s="5"/>
      <c r="K111" s="5">
        <v>206</v>
      </c>
      <c r="L111" s="5">
        <v>20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0</v>
      </c>
      <c r="X111" s="5">
        <v>1</v>
      </c>
      <c r="Y111" s="5">
        <v>0</v>
      </c>
      <c r="Z111" s="5"/>
      <c r="AA111" s="5"/>
      <c r="AB111" s="5"/>
    </row>
    <row r="112" spans="1:28" x14ac:dyDescent="0.2">
      <c r="A112" s="5">
        <v>50</v>
      </c>
      <c r="B112" s="5">
        <v>0</v>
      </c>
      <c r="C112" s="5">
        <v>0</v>
      </c>
      <c r="D112" s="5">
        <v>1</v>
      </c>
      <c r="E112" s="5">
        <v>207</v>
      </c>
      <c r="F112" s="5">
        <f>ROUND(Source!U90,O112)</f>
        <v>72.444095000000004</v>
      </c>
      <c r="G112" s="5" t="s">
        <v>82</v>
      </c>
      <c r="H112" s="5" t="s">
        <v>83</v>
      </c>
      <c r="I112" s="5"/>
      <c r="J112" s="5"/>
      <c r="K112" s="5">
        <v>207</v>
      </c>
      <c r="L112" s="5">
        <v>21</v>
      </c>
      <c r="M112" s="5">
        <v>3</v>
      </c>
      <c r="N112" s="5" t="s">
        <v>3</v>
      </c>
      <c r="O112" s="5">
        <v>7</v>
      </c>
      <c r="P112" s="5"/>
      <c r="Q112" s="5"/>
      <c r="R112" s="5"/>
      <c r="S112" s="5"/>
      <c r="T112" s="5"/>
      <c r="U112" s="5"/>
      <c r="V112" s="5"/>
      <c r="W112" s="5">
        <v>72.444095000000004</v>
      </c>
      <c r="X112" s="5">
        <v>1</v>
      </c>
      <c r="Y112" s="5">
        <v>72.444095000000004</v>
      </c>
      <c r="Z112" s="5"/>
      <c r="AA112" s="5"/>
      <c r="AB112" s="5"/>
    </row>
    <row r="113" spans="1:206" x14ac:dyDescent="0.2">
      <c r="A113" s="5">
        <v>50</v>
      </c>
      <c r="B113" s="5">
        <v>0</v>
      </c>
      <c r="C113" s="5">
        <v>0</v>
      </c>
      <c r="D113" s="5">
        <v>1</v>
      </c>
      <c r="E113" s="5">
        <v>208</v>
      </c>
      <c r="F113" s="5">
        <f>ROUND(Source!V90,O113)</f>
        <v>1.6445624999999999</v>
      </c>
      <c r="G113" s="5" t="s">
        <v>84</v>
      </c>
      <c r="H113" s="5" t="s">
        <v>85</v>
      </c>
      <c r="I113" s="5"/>
      <c r="J113" s="5"/>
      <c r="K113" s="5">
        <v>208</v>
      </c>
      <c r="L113" s="5">
        <v>22</v>
      </c>
      <c r="M113" s="5">
        <v>3</v>
      </c>
      <c r="N113" s="5" t="s">
        <v>3</v>
      </c>
      <c r="O113" s="5">
        <v>7</v>
      </c>
      <c r="P113" s="5"/>
      <c r="Q113" s="5"/>
      <c r="R113" s="5"/>
      <c r="S113" s="5"/>
      <c r="T113" s="5"/>
      <c r="U113" s="5"/>
      <c r="V113" s="5"/>
      <c r="W113" s="5">
        <v>1.6379999999999999</v>
      </c>
      <c r="X113" s="5">
        <v>1</v>
      </c>
      <c r="Y113" s="5">
        <v>1.6379999999999999</v>
      </c>
      <c r="Z113" s="5"/>
      <c r="AA113" s="5"/>
      <c r="AB113" s="5"/>
    </row>
    <row r="114" spans="1:206" x14ac:dyDescent="0.2">
      <c r="A114" s="5">
        <v>50</v>
      </c>
      <c r="B114" s="5">
        <v>0</v>
      </c>
      <c r="C114" s="5">
        <v>0</v>
      </c>
      <c r="D114" s="5">
        <v>1</v>
      </c>
      <c r="E114" s="5">
        <v>209</v>
      </c>
      <c r="F114" s="5">
        <f>ROUND(Source!W90,O114)</f>
        <v>0</v>
      </c>
      <c r="G114" s="5" t="s">
        <v>86</v>
      </c>
      <c r="H114" s="5" t="s">
        <v>87</v>
      </c>
      <c r="I114" s="5"/>
      <c r="J114" s="5"/>
      <c r="K114" s="5">
        <v>209</v>
      </c>
      <c r="L114" s="5">
        <v>23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0</v>
      </c>
      <c r="X114" s="5">
        <v>1</v>
      </c>
      <c r="Y114" s="5">
        <v>0</v>
      </c>
      <c r="Z114" s="5"/>
      <c r="AA114" s="5"/>
      <c r="AB114" s="5"/>
    </row>
    <row r="115" spans="1:206" x14ac:dyDescent="0.2">
      <c r="A115" s="5">
        <v>50</v>
      </c>
      <c r="B115" s="5">
        <v>0</v>
      </c>
      <c r="C115" s="5">
        <v>0</v>
      </c>
      <c r="D115" s="5">
        <v>1</v>
      </c>
      <c r="E115" s="5">
        <v>233</v>
      </c>
      <c r="F115" s="5">
        <f>ROUND(Source!BD90,O115)</f>
        <v>0</v>
      </c>
      <c r="G115" s="5" t="s">
        <v>88</v>
      </c>
      <c r="H115" s="5" t="s">
        <v>89</v>
      </c>
      <c r="I115" s="5"/>
      <c r="J115" s="5"/>
      <c r="K115" s="5">
        <v>233</v>
      </c>
      <c r="L115" s="5">
        <v>24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06" x14ac:dyDescent="0.2">
      <c r="A116" s="5">
        <v>50</v>
      </c>
      <c r="B116" s="5">
        <v>0</v>
      </c>
      <c r="C116" s="5">
        <v>0</v>
      </c>
      <c r="D116" s="5">
        <v>1</v>
      </c>
      <c r="E116" s="5">
        <v>210</v>
      </c>
      <c r="F116" s="5">
        <f>ROUND(Source!X90,O116)</f>
        <v>45461.01</v>
      </c>
      <c r="G116" s="5" t="s">
        <v>90</v>
      </c>
      <c r="H116" s="5" t="s">
        <v>91</v>
      </c>
      <c r="I116" s="5"/>
      <c r="J116" s="5"/>
      <c r="K116" s="5">
        <v>210</v>
      </c>
      <c r="L116" s="5">
        <v>25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45461.01</v>
      </c>
      <c r="X116" s="5">
        <v>1</v>
      </c>
      <c r="Y116" s="5">
        <v>45461.01</v>
      </c>
      <c r="Z116" s="5"/>
      <c r="AA116" s="5"/>
      <c r="AB116" s="5"/>
    </row>
    <row r="117" spans="1:206" x14ac:dyDescent="0.2">
      <c r="A117" s="5">
        <v>50</v>
      </c>
      <c r="B117" s="5">
        <v>0</v>
      </c>
      <c r="C117" s="5">
        <v>0</v>
      </c>
      <c r="D117" s="5">
        <v>1</v>
      </c>
      <c r="E117" s="5">
        <v>211</v>
      </c>
      <c r="F117" s="5">
        <f>ROUND(Source!Y90,O117)</f>
        <v>21777.439999999999</v>
      </c>
      <c r="G117" s="5" t="s">
        <v>92</v>
      </c>
      <c r="H117" s="5" t="s">
        <v>93</v>
      </c>
      <c r="I117" s="5"/>
      <c r="J117" s="5"/>
      <c r="K117" s="5">
        <v>211</v>
      </c>
      <c r="L117" s="5">
        <v>26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21777.439999999999</v>
      </c>
      <c r="X117" s="5">
        <v>1</v>
      </c>
      <c r="Y117" s="5">
        <v>21777.439999999999</v>
      </c>
      <c r="Z117" s="5"/>
      <c r="AA117" s="5"/>
      <c r="AB117" s="5"/>
    </row>
    <row r="118" spans="1:206" x14ac:dyDescent="0.2">
      <c r="A118" s="5">
        <v>50</v>
      </c>
      <c r="B118" s="5">
        <v>0</v>
      </c>
      <c r="C118" s="5">
        <v>0</v>
      </c>
      <c r="D118" s="5">
        <v>1</v>
      </c>
      <c r="E118" s="5">
        <v>224</v>
      </c>
      <c r="F118" s="5">
        <f>ROUND(Source!AR90,O118)</f>
        <v>216161.04</v>
      </c>
      <c r="G118" s="5" t="s">
        <v>94</v>
      </c>
      <c r="H118" s="5" t="s">
        <v>95</v>
      </c>
      <c r="I118" s="5"/>
      <c r="J118" s="5"/>
      <c r="K118" s="5">
        <v>224</v>
      </c>
      <c r="L118" s="5">
        <v>27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216161.04</v>
      </c>
      <c r="X118" s="5">
        <v>1</v>
      </c>
      <c r="Y118" s="5">
        <v>216161.04</v>
      </c>
      <c r="Z118" s="5"/>
      <c r="AA118" s="5"/>
      <c r="AB118" s="5"/>
    </row>
    <row r="120" spans="1:206" x14ac:dyDescent="0.2">
      <c r="A120" s="3">
        <v>51</v>
      </c>
      <c r="B120" s="3">
        <f>B62</f>
        <v>1</v>
      </c>
      <c r="C120" s="3">
        <f>A62</f>
        <v>4</v>
      </c>
      <c r="D120" s="3">
        <f>ROW(A62)</f>
        <v>62</v>
      </c>
      <c r="E120" s="3"/>
      <c r="F120" s="3" t="str">
        <f>IF(F62&lt;&gt;"",F62,"")</f>
        <v>Новый раздел</v>
      </c>
      <c r="G120" s="3" t="str">
        <f>IF(G62&lt;&gt;"",G62,"")</f>
        <v>Холл</v>
      </c>
      <c r="H120" s="3">
        <v>0</v>
      </c>
      <c r="I120" s="3"/>
      <c r="J120" s="3"/>
      <c r="K120" s="3"/>
      <c r="L120" s="3"/>
      <c r="M120" s="3"/>
      <c r="N120" s="3"/>
      <c r="O120" s="3">
        <f t="shared" ref="O120:T120" si="63">ROUND(O90+AB120,2)</f>
        <v>148922.59</v>
      </c>
      <c r="P120" s="3">
        <f t="shared" si="63"/>
        <v>98184.89</v>
      </c>
      <c r="Q120" s="3">
        <f t="shared" si="63"/>
        <v>771.01</v>
      </c>
      <c r="R120" s="3">
        <f t="shared" si="63"/>
        <v>1177.07</v>
      </c>
      <c r="S120" s="3">
        <f t="shared" si="63"/>
        <v>48789.62</v>
      </c>
      <c r="T120" s="3">
        <f t="shared" si="63"/>
        <v>0</v>
      </c>
      <c r="U120" s="3">
        <f>U90+AH120</f>
        <v>72.444095000000004</v>
      </c>
      <c r="V120" s="3">
        <f>V90+AI120</f>
        <v>1.6445625000000001</v>
      </c>
      <c r="W120" s="3">
        <f>ROUND(W90+AJ120,2)</f>
        <v>0</v>
      </c>
      <c r="X120" s="3">
        <f>ROUND(X90+AK120,2)</f>
        <v>45461.01</v>
      </c>
      <c r="Y120" s="3">
        <f>ROUND(Y90+AL120,2)</f>
        <v>21777.439999999999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>
        <f t="shared" ref="AO120:BD120" si="64">ROUND(AO90+BX120,2)</f>
        <v>0</v>
      </c>
      <c r="AP120" s="3">
        <f t="shared" si="64"/>
        <v>0</v>
      </c>
      <c r="AQ120" s="3">
        <f t="shared" si="64"/>
        <v>0</v>
      </c>
      <c r="AR120" s="3">
        <f t="shared" si="64"/>
        <v>216161.04</v>
      </c>
      <c r="AS120" s="3">
        <f t="shared" si="64"/>
        <v>201215.5</v>
      </c>
      <c r="AT120" s="3">
        <f t="shared" si="64"/>
        <v>14945.54</v>
      </c>
      <c r="AU120" s="3">
        <f t="shared" si="64"/>
        <v>0</v>
      </c>
      <c r="AV120" s="3">
        <f t="shared" si="64"/>
        <v>98184.89</v>
      </c>
      <c r="AW120" s="3">
        <f t="shared" si="64"/>
        <v>98184.89</v>
      </c>
      <c r="AX120" s="3">
        <f t="shared" si="64"/>
        <v>0</v>
      </c>
      <c r="AY120" s="3">
        <f t="shared" si="64"/>
        <v>98184.89</v>
      </c>
      <c r="AZ120" s="3">
        <f t="shared" si="64"/>
        <v>0</v>
      </c>
      <c r="BA120" s="3">
        <f t="shared" si="64"/>
        <v>0</v>
      </c>
      <c r="BB120" s="3">
        <f t="shared" si="64"/>
        <v>0</v>
      </c>
      <c r="BC120" s="3">
        <f t="shared" si="64"/>
        <v>0</v>
      </c>
      <c r="BD120" s="3">
        <f t="shared" si="64"/>
        <v>0</v>
      </c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>
        <v>0</v>
      </c>
    </row>
    <row r="122" spans="1:206" x14ac:dyDescent="0.2">
      <c r="A122" s="5">
        <v>50</v>
      </c>
      <c r="B122" s="5">
        <v>0</v>
      </c>
      <c r="C122" s="5">
        <v>0</v>
      </c>
      <c r="D122" s="5">
        <v>1</v>
      </c>
      <c r="E122" s="5">
        <v>201</v>
      </c>
      <c r="F122" s="5">
        <f>ROUND(Source!O120,O122)</f>
        <v>148922.59</v>
      </c>
      <c r="G122" s="5" t="s">
        <v>42</v>
      </c>
      <c r="H122" s="5" t="s">
        <v>43</v>
      </c>
      <c r="I122" s="5"/>
      <c r="J122" s="5"/>
      <c r="K122" s="5">
        <v>201</v>
      </c>
      <c r="L122" s="5">
        <v>1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148922.59</v>
      </c>
      <c r="X122" s="5">
        <v>1</v>
      </c>
      <c r="Y122" s="5">
        <v>148922.59</v>
      </c>
      <c r="Z122" s="5"/>
      <c r="AA122" s="5"/>
      <c r="AB122" s="5"/>
    </row>
    <row r="123" spans="1:206" x14ac:dyDescent="0.2">
      <c r="A123" s="5">
        <v>50</v>
      </c>
      <c r="B123" s="5">
        <v>0</v>
      </c>
      <c r="C123" s="5">
        <v>0</v>
      </c>
      <c r="D123" s="5">
        <v>1</v>
      </c>
      <c r="E123" s="5">
        <v>202</v>
      </c>
      <c r="F123" s="5">
        <f>ROUND(Source!P120,O123)</f>
        <v>98184.89</v>
      </c>
      <c r="G123" s="5" t="s">
        <v>44</v>
      </c>
      <c r="H123" s="5" t="s">
        <v>45</v>
      </c>
      <c r="I123" s="5"/>
      <c r="J123" s="5"/>
      <c r="K123" s="5">
        <v>202</v>
      </c>
      <c r="L123" s="5">
        <v>2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98184.89</v>
      </c>
      <c r="X123" s="5">
        <v>1</v>
      </c>
      <c r="Y123" s="5">
        <v>98184.89</v>
      </c>
      <c r="Z123" s="5"/>
      <c r="AA123" s="5"/>
      <c r="AB123" s="5"/>
    </row>
    <row r="124" spans="1:206" x14ac:dyDescent="0.2">
      <c r="A124" s="5">
        <v>50</v>
      </c>
      <c r="B124" s="5">
        <v>0</v>
      </c>
      <c r="C124" s="5">
        <v>0</v>
      </c>
      <c r="D124" s="5">
        <v>1</v>
      </c>
      <c r="E124" s="5">
        <v>222</v>
      </c>
      <c r="F124" s="5">
        <f>ROUND(Source!AO120,O124)</f>
        <v>0</v>
      </c>
      <c r="G124" s="5" t="s">
        <v>46</v>
      </c>
      <c r="H124" s="5" t="s">
        <v>47</v>
      </c>
      <c r="I124" s="5"/>
      <c r="J124" s="5"/>
      <c r="K124" s="5">
        <v>222</v>
      </c>
      <c r="L124" s="5">
        <v>3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0</v>
      </c>
      <c r="X124" s="5">
        <v>1</v>
      </c>
      <c r="Y124" s="5">
        <v>0</v>
      </c>
      <c r="Z124" s="5"/>
      <c r="AA124" s="5"/>
      <c r="AB124" s="5"/>
    </row>
    <row r="125" spans="1:206" x14ac:dyDescent="0.2">
      <c r="A125" s="5">
        <v>50</v>
      </c>
      <c r="B125" s="5">
        <v>0</v>
      </c>
      <c r="C125" s="5">
        <v>0</v>
      </c>
      <c r="D125" s="5">
        <v>1</v>
      </c>
      <c r="E125" s="5">
        <v>225</v>
      </c>
      <c r="F125" s="5">
        <f>ROUND(Source!AV120,O125)</f>
        <v>98184.89</v>
      </c>
      <c r="G125" s="5" t="s">
        <v>48</v>
      </c>
      <c r="H125" s="5" t="s">
        <v>49</v>
      </c>
      <c r="I125" s="5"/>
      <c r="J125" s="5"/>
      <c r="K125" s="5">
        <v>225</v>
      </c>
      <c r="L125" s="5">
        <v>4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98184.89</v>
      </c>
      <c r="X125" s="5">
        <v>1</v>
      </c>
      <c r="Y125" s="5">
        <v>98184.89</v>
      </c>
      <c r="Z125" s="5"/>
      <c r="AA125" s="5"/>
      <c r="AB125" s="5"/>
    </row>
    <row r="126" spans="1:206" x14ac:dyDescent="0.2">
      <c r="A126" s="5">
        <v>50</v>
      </c>
      <c r="B126" s="5">
        <v>0</v>
      </c>
      <c r="C126" s="5">
        <v>0</v>
      </c>
      <c r="D126" s="5">
        <v>1</v>
      </c>
      <c r="E126" s="5">
        <v>226</v>
      </c>
      <c r="F126" s="5">
        <f>ROUND(Source!AW120,O126)</f>
        <v>98184.89</v>
      </c>
      <c r="G126" s="5" t="s">
        <v>50</v>
      </c>
      <c r="H126" s="5" t="s">
        <v>51</v>
      </c>
      <c r="I126" s="5"/>
      <c r="J126" s="5"/>
      <c r="K126" s="5">
        <v>226</v>
      </c>
      <c r="L126" s="5">
        <v>5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98184.89</v>
      </c>
      <c r="X126" s="5">
        <v>1</v>
      </c>
      <c r="Y126" s="5">
        <v>98184.89</v>
      </c>
      <c r="Z126" s="5"/>
      <c r="AA126" s="5"/>
      <c r="AB126" s="5"/>
    </row>
    <row r="127" spans="1:206" x14ac:dyDescent="0.2">
      <c r="A127" s="5">
        <v>50</v>
      </c>
      <c r="B127" s="5">
        <v>0</v>
      </c>
      <c r="C127" s="5">
        <v>0</v>
      </c>
      <c r="D127" s="5">
        <v>1</v>
      </c>
      <c r="E127" s="5">
        <v>227</v>
      </c>
      <c r="F127" s="5">
        <f>ROUND(Source!AX120,O127)</f>
        <v>0</v>
      </c>
      <c r="G127" s="5" t="s">
        <v>52</v>
      </c>
      <c r="H127" s="5" t="s">
        <v>53</v>
      </c>
      <c r="I127" s="5"/>
      <c r="J127" s="5"/>
      <c r="K127" s="5">
        <v>227</v>
      </c>
      <c r="L127" s="5">
        <v>6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06" x14ac:dyDescent="0.2">
      <c r="A128" s="5">
        <v>50</v>
      </c>
      <c r="B128" s="5">
        <v>0</v>
      </c>
      <c r="C128" s="5">
        <v>0</v>
      </c>
      <c r="D128" s="5">
        <v>1</v>
      </c>
      <c r="E128" s="5">
        <v>228</v>
      </c>
      <c r="F128" s="5">
        <f>ROUND(Source!AY120,O128)</f>
        <v>98184.89</v>
      </c>
      <c r="G128" s="5" t="s">
        <v>54</v>
      </c>
      <c r="H128" s="5" t="s">
        <v>55</v>
      </c>
      <c r="I128" s="5"/>
      <c r="J128" s="5"/>
      <c r="K128" s="5">
        <v>228</v>
      </c>
      <c r="L128" s="5">
        <v>7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98184.89</v>
      </c>
      <c r="X128" s="5">
        <v>1</v>
      </c>
      <c r="Y128" s="5">
        <v>98184.89</v>
      </c>
      <c r="Z128" s="5"/>
      <c r="AA128" s="5"/>
      <c r="AB128" s="5"/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216</v>
      </c>
      <c r="F129" s="5">
        <f>ROUND(Source!AP120,O129)</f>
        <v>0</v>
      </c>
      <c r="G129" s="5" t="s">
        <v>56</v>
      </c>
      <c r="H129" s="5" t="s">
        <v>57</v>
      </c>
      <c r="I129" s="5"/>
      <c r="J129" s="5"/>
      <c r="K129" s="5">
        <v>216</v>
      </c>
      <c r="L129" s="5">
        <v>8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/>
      <c r="AA129" s="5"/>
      <c r="AB129" s="5"/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223</v>
      </c>
      <c r="F130" s="5">
        <f>ROUND(Source!AQ120,O130)</f>
        <v>0</v>
      </c>
      <c r="G130" s="5" t="s">
        <v>58</v>
      </c>
      <c r="H130" s="5" t="s">
        <v>59</v>
      </c>
      <c r="I130" s="5"/>
      <c r="J130" s="5"/>
      <c r="K130" s="5">
        <v>223</v>
      </c>
      <c r="L130" s="5">
        <v>9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0</v>
      </c>
      <c r="X130" s="5">
        <v>1</v>
      </c>
      <c r="Y130" s="5">
        <v>0</v>
      </c>
      <c r="Z130" s="5"/>
      <c r="AA130" s="5"/>
      <c r="AB130" s="5"/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229</v>
      </c>
      <c r="F131" s="5">
        <f>ROUND(Source!AZ120,O131)</f>
        <v>0</v>
      </c>
      <c r="G131" s="5" t="s">
        <v>60</v>
      </c>
      <c r="H131" s="5" t="s">
        <v>61</v>
      </c>
      <c r="I131" s="5"/>
      <c r="J131" s="5"/>
      <c r="K131" s="5">
        <v>229</v>
      </c>
      <c r="L131" s="5">
        <v>10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/>
      <c r="AA131" s="5"/>
      <c r="AB131" s="5"/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203</v>
      </c>
      <c r="F132" s="5">
        <f>ROUND(Source!Q120,O132)</f>
        <v>771.01</v>
      </c>
      <c r="G132" s="5" t="s">
        <v>62</v>
      </c>
      <c r="H132" s="5" t="s">
        <v>63</v>
      </c>
      <c r="I132" s="5"/>
      <c r="J132" s="5"/>
      <c r="K132" s="5">
        <v>203</v>
      </c>
      <c r="L132" s="5">
        <v>11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771.0100000000001</v>
      </c>
      <c r="X132" s="5">
        <v>1</v>
      </c>
      <c r="Y132" s="5">
        <v>771.0100000000001</v>
      </c>
      <c r="Z132" s="5"/>
      <c r="AA132" s="5"/>
      <c r="AB132" s="5"/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231</v>
      </c>
      <c r="F133" s="5">
        <f>ROUND(Source!BB120,O133)</f>
        <v>0</v>
      </c>
      <c r="G133" s="5" t="s">
        <v>64</v>
      </c>
      <c r="H133" s="5" t="s">
        <v>65</v>
      </c>
      <c r="I133" s="5"/>
      <c r="J133" s="5"/>
      <c r="K133" s="5">
        <v>231</v>
      </c>
      <c r="L133" s="5">
        <v>12</v>
      </c>
      <c r="M133" s="5">
        <v>3</v>
      </c>
      <c r="N133" s="5" t="s">
        <v>3</v>
      </c>
      <c r="O133" s="5">
        <v>2</v>
      </c>
      <c r="P133" s="5"/>
      <c r="Q133" s="5"/>
      <c r="R133" s="5"/>
      <c r="S133" s="5"/>
      <c r="T133" s="5"/>
      <c r="U133" s="5"/>
      <c r="V133" s="5"/>
      <c r="W133" s="5">
        <v>0</v>
      </c>
      <c r="X133" s="5">
        <v>1</v>
      </c>
      <c r="Y133" s="5">
        <v>0</v>
      </c>
      <c r="Z133" s="5"/>
      <c r="AA133" s="5"/>
      <c r="AB133" s="5"/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204</v>
      </c>
      <c r="F134" s="5">
        <f>ROUND(Source!R120,O134)</f>
        <v>1177.07</v>
      </c>
      <c r="G134" s="5" t="s">
        <v>66</v>
      </c>
      <c r="H134" s="5" t="s">
        <v>67</v>
      </c>
      <c r="I134" s="5"/>
      <c r="J134" s="5"/>
      <c r="K134" s="5">
        <v>204</v>
      </c>
      <c r="L134" s="5">
        <v>13</v>
      </c>
      <c r="M134" s="5">
        <v>3</v>
      </c>
      <c r="N134" s="5" t="s">
        <v>3</v>
      </c>
      <c r="O134" s="5">
        <v>2</v>
      </c>
      <c r="P134" s="5"/>
      <c r="Q134" s="5"/>
      <c r="R134" s="5"/>
      <c r="S134" s="5"/>
      <c r="T134" s="5"/>
      <c r="U134" s="5"/>
      <c r="V134" s="5"/>
      <c r="W134" s="5">
        <v>1177.0700000000002</v>
      </c>
      <c r="X134" s="5">
        <v>1</v>
      </c>
      <c r="Y134" s="5">
        <v>1177.0700000000002</v>
      </c>
      <c r="Z134" s="5"/>
      <c r="AA134" s="5"/>
      <c r="AB134" s="5"/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205</v>
      </c>
      <c r="F135" s="5">
        <f>ROUND(Source!S120,O135)</f>
        <v>48789.62</v>
      </c>
      <c r="G135" s="5" t="s">
        <v>68</v>
      </c>
      <c r="H135" s="5" t="s">
        <v>69</v>
      </c>
      <c r="I135" s="5"/>
      <c r="J135" s="5"/>
      <c r="K135" s="5">
        <v>205</v>
      </c>
      <c r="L135" s="5">
        <v>14</v>
      </c>
      <c r="M135" s="5">
        <v>3</v>
      </c>
      <c r="N135" s="5" t="s">
        <v>3</v>
      </c>
      <c r="O135" s="5">
        <v>2</v>
      </c>
      <c r="P135" s="5"/>
      <c r="Q135" s="5"/>
      <c r="R135" s="5"/>
      <c r="S135" s="5"/>
      <c r="T135" s="5"/>
      <c r="U135" s="5"/>
      <c r="V135" s="5"/>
      <c r="W135" s="5">
        <v>48789.619999999995</v>
      </c>
      <c r="X135" s="5">
        <v>1</v>
      </c>
      <c r="Y135" s="5">
        <v>48789.619999999995</v>
      </c>
      <c r="Z135" s="5"/>
      <c r="AA135" s="5"/>
      <c r="AB135" s="5"/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232</v>
      </c>
      <c r="F136" s="5">
        <f>ROUND(Source!BC120,O136)</f>
        <v>0</v>
      </c>
      <c r="G136" s="5" t="s">
        <v>70</v>
      </c>
      <c r="H136" s="5" t="s">
        <v>71</v>
      </c>
      <c r="I136" s="5"/>
      <c r="J136" s="5"/>
      <c r="K136" s="5">
        <v>232</v>
      </c>
      <c r="L136" s="5">
        <v>15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/>
      <c r="AA136" s="5"/>
      <c r="AB136" s="5"/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214</v>
      </c>
      <c r="F137" s="5">
        <f>ROUND(Source!AS120,O137)</f>
        <v>201215.5</v>
      </c>
      <c r="G137" s="5" t="s">
        <v>72</v>
      </c>
      <c r="H137" s="5" t="s">
        <v>73</v>
      </c>
      <c r="I137" s="5"/>
      <c r="J137" s="5"/>
      <c r="K137" s="5">
        <v>214</v>
      </c>
      <c r="L137" s="5">
        <v>16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201215.5</v>
      </c>
      <c r="X137" s="5">
        <v>1</v>
      </c>
      <c r="Y137" s="5">
        <v>201215.5</v>
      </c>
      <c r="Z137" s="5"/>
      <c r="AA137" s="5"/>
      <c r="AB137" s="5"/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215</v>
      </c>
      <c r="F138" s="5">
        <f>ROUND(Source!AT120,O138)</f>
        <v>14945.54</v>
      </c>
      <c r="G138" s="5" t="s">
        <v>74</v>
      </c>
      <c r="H138" s="5" t="s">
        <v>75</v>
      </c>
      <c r="I138" s="5"/>
      <c r="J138" s="5"/>
      <c r="K138" s="5">
        <v>215</v>
      </c>
      <c r="L138" s="5">
        <v>17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14945.54</v>
      </c>
      <c r="X138" s="5">
        <v>1</v>
      </c>
      <c r="Y138" s="5">
        <v>14945.54</v>
      </c>
      <c r="Z138" s="5"/>
      <c r="AA138" s="5"/>
      <c r="AB138" s="5"/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217</v>
      </c>
      <c r="F139" s="5">
        <f>ROUND(Source!AU120,O139)</f>
        <v>0</v>
      </c>
      <c r="G139" s="5" t="s">
        <v>76</v>
      </c>
      <c r="H139" s="5" t="s">
        <v>77</v>
      </c>
      <c r="I139" s="5"/>
      <c r="J139" s="5"/>
      <c r="K139" s="5">
        <v>217</v>
      </c>
      <c r="L139" s="5">
        <v>18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/>
      <c r="AA139" s="5"/>
      <c r="AB139" s="5"/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230</v>
      </c>
      <c r="F140" s="5">
        <f>ROUND(Source!BA120,O140)</f>
        <v>0</v>
      </c>
      <c r="G140" s="5" t="s">
        <v>78</v>
      </c>
      <c r="H140" s="5" t="s">
        <v>79</v>
      </c>
      <c r="I140" s="5"/>
      <c r="J140" s="5"/>
      <c r="K140" s="5">
        <v>230</v>
      </c>
      <c r="L140" s="5">
        <v>19</v>
      </c>
      <c r="M140" s="5">
        <v>3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0</v>
      </c>
      <c r="X140" s="5">
        <v>1</v>
      </c>
      <c r="Y140" s="5">
        <v>0</v>
      </c>
      <c r="Z140" s="5"/>
      <c r="AA140" s="5"/>
      <c r="AB140" s="5"/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206</v>
      </c>
      <c r="F141" s="5">
        <f>ROUND(Source!T120,O141)</f>
        <v>0</v>
      </c>
      <c r="G141" s="5" t="s">
        <v>80</v>
      </c>
      <c r="H141" s="5" t="s">
        <v>81</v>
      </c>
      <c r="I141" s="5"/>
      <c r="J141" s="5"/>
      <c r="K141" s="5">
        <v>206</v>
      </c>
      <c r="L141" s="5">
        <v>20</v>
      </c>
      <c r="M141" s="5">
        <v>3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0</v>
      </c>
      <c r="X141" s="5">
        <v>1</v>
      </c>
      <c r="Y141" s="5">
        <v>0</v>
      </c>
      <c r="Z141" s="5"/>
      <c r="AA141" s="5"/>
      <c r="AB141" s="5"/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207</v>
      </c>
      <c r="F142" s="5">
        <f>ROUND(Source!U120,O142)</f>
        <v>72.444095000000004</v>
      </c>
      <c r="G142" s="5" t="s">
        <v>82</v>
      </c>
      <c r="H142" s="5" t="s">
        <v>83</v>
      </c>
      <c r="I142" s="5"/>
      <c r="J142" s="5"/>
      <c r="K142" s="5">
        <v>207</v>
      </c>
      <c r="L142" s="5">
        <v>21</v>
      </c>
      <c r="M142" s="5">
        <v>3</v>
      </c>
      <c r="N142" s="5" t="s">
        <v>3</v>
      </c>
      <c r="O142" s="5">
        <v>7</v>
      </c>
      <c r="P142" s="5"/>
      <c r="Q142" s="5"/>
      <c r="R142" s="5"/>
      <c r="S142" s="5"/>
      <c r="T142" s="5"/>
      <c r="U142" s="5"/>
      <c r="V142" s="5"/>
      <c r="W142" s="5">
        <v>72.444095000000004</v>
      </c>
      <c r="X142" s="5">
        <v>1</v>
      </c>
      <c r="Y142" s="5">
        <v>72.444095000000004</v>
      </c>
      <c r="Z142" s="5"/>
      <c r="AA142" s="5"/>
      <c r="AB142" s="5"/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208</v>
      </c>
      <c r="F143" s="5">
        <f>ROUND(Source!V120,O143)</f>
        <v>1.6445624999999999</v>
      </c>
      <c r="G143" s="5" t="s">
        <v>84</v>
      </c>
      <c r="H143" s="5" t="s">
        <v>85</v>
      </c>
      <c r="I143" s="5"/>
      <c r="J143" s="5"/>
      <c r="K143" s="5">
        <v>208</v>
      </c>
      <c r="L143" s="5">
        <v>22</v>
      </c>
      <c r="M143" s="5">
        <v>3</v>
      </c>
      <c r="N143" s="5" t="s">
        <v>3</v>
      </c>
      <c r="O143" s="5">
        <v>7</v>
      </c>
      <c r="P143" s="5"/>
      <c r="Q143" s="5"/>
      <c r="R143" s="5"/>
      <c r="S143" s="5"/>
      <c r="T143" s="5"/>
      <c r="U143" s="5"/>
      <c r="V143" s="5"/>
      <c r="W143" s="5">
        <v>1.6379999999999999</v>
      </c>
      <c r="X143" s="5">
        <v>1</v>
      </c>
      <c r="Y143" s="5">
        <v>1.6379999999999999</v>
      </c>
      <c r="Z143" s="5"/>
      <c r="AA143" s="5"/>
      <c r="AB143" s="5"/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209</v>
      </c>
      <c r="F144" s="5">
        <f>ROUND(Source!W120,O144)</f>
        <v>0</v>
      </c>
      <c r="G144" s="5" t="s">
        <v>86</v>
      </c>
      <c r="H144" s="5" t="s">
        <v>87</v>
      </c>
      <c r="I144" s="5"/>
      <c r="J144" s="5"/>
      <c r="K144" s="5">
        <v>209</v>
      </c>
      <c r="L144" s="5">
        <v>23</v>
      </c>
      <c r="M144" s="5">
        <v>3</v>
      </c>
      <c r="N144" s="5" t="s">
        <v>3</v>
      </c>
      <c r="O144" s="5">
        <v>2</v>
      </c>
      <c r="P144" s="5"/>
      <c r="Q144" s="5"/>
      <c r="R144" s="5"/>
      <c r="S144" s="5"/>
      <c r="T144" s="5"/>
      <c r="U144" s="5"/>
      <c r="V144" s="5"/>
      <c r="W144" s="5">
        <v>0</v>
      </c>
      <c r="X144" s="5">
        <v>1</v>
      </c>
      <c r="Y144" s="5">
        <v>0</v>
      </c>
      <c r="Z144" s="5"/>
      <c r="AA144" s="5"/>
      <c r="AB144" s="5"/>
    </row>
    <row r="145" spans="1:255" x14ac:dyDescent="0.2">
      <c r="A145" s="5">
        <v>50</v>
      </c>
      <c r="B145" s="5">
        <v>0</v>
      </c>
      <c r="C145" s="5">
        <v>0</v>
      </c>
      <c r="D145" s="5">
        <v>1</v>
      </c>
      <c r="E145" s="5">
        <v>233</v>
      </c>
      <c r="F145" s="5">
        <f>ROUND(Source!BD120,O145)</f>
        <v>0</v>
      </c>
      <c r="G145" s="5" t="s">
        <v>88</v>
      </c>
      <c r="H145" s="5" t="s">
        <v>89</v>
      </c>
      <c r="I145" s="5"/>
      <c r="J145" s="5"/>
      <c r="K145" s="5">
        <v>233</v>
      </c>
      <c r="L145" s="5">
        <v>24</v>
      </c>
      <c r="M145" s="5">
        <v>3</v>
      </c>
      <c r="N145" s="5" t="s">
        <v>3</v>
      </c>
      <c r="O145" s="5">
        <v>2</v>
      </c>
      <c r="P145" s="5"/>
      <c r="Q145" s="5"/>
      <c r="R145" s="5"/>
      <c r="S145" s="5"/>
      <c r="T145" s="5"/>
      <c r="U145" s="5"/>
      <c r="V145" s="5"/>
      <c r="W145" s="5">
        <v>0</v>
      </c>
      <c r="X145" s="5">
        <v>1</v>
      </c>
      <c r="Y145" s="5">
        <v>0</v>
      </c>
      <c r="Z145" s="5"/>
      <c r="AA145" s="5"/>
      <c r="AB145" s="5"/>
    </row>
    <row r="146" spans="1:255" x14ac:dyDescent="0.2">
      <c r="A146" s="5">
        <v>50</v>
      </c>
      <c r="B146" s="5">
        <v>0</v>
      </c>
      <c r="C146" s="5">
        <v>0</v>
      </c>
      <c r="D146" s="5">
        <v>1</v>
      </c>
      <c r="E146" s="5">
        <v>210</v>
      </c>
      <c r="F146" s="5">
        <f>ROUND(Source!X120,O146)</f>
        <v>45461.01</v>
      </c>
      <c r="G146" s="5" t="s">
        <v>90</v>
      </c>
      <c r="H146" s="5" t="s">
        <v>91</v>
      </c>
      <c r="I146" s="5"/>
      <c r="J146" s="5"/>
      <c r="K146" s="5">
        <v>210</v>
      </c>
      <c r="L146" s="5">
        <v>25</v>
      </c>
      <c r="M146" s="5">
        <v>3</v>
      </c>
      <c r="N146" s="5" t="s">
        <v>3</v>
      </c>
      <c r="O146" s="5">
        <v>2</v>
      </c>
      <c r="P146" s="5"/>
      <c r="Q146" s="5"/>
      <c r="R146" s="5"/>
      <c r="S146" s="5"/>
      <c r="T146" s="5"/>
      <c r="U146" s="5"/>
      <c r="V146" s="5"/>
      <c r="W146" s="5">
        <v>45461.01</v>
      </c>
      <c r="X146" s="5">
        <v>1</v>
      </c>
      <c r="Y146" s="5">
        <v>45461.01</v>
      </c>
      <c r="Z146" s="5"/>
      <c r="AA146" s="5"/>
      <c r="AB146" s="5"/>
    </row>
    <row r="147" spans="1:255" x14ac:dyDescent="0.2">
      <c r="A147" s="5">
        <v>50</v>
      </c>
      <c r="B147" s="5">
        <v>0</v>
      </c>
      <c r="C147" s="5">
        <v>0</v>
      </c>
      <c r="D147" s="5">
        <v>1</v>
      </c>
      <c r="E147" s="5">
        <v>211</v>
      </c>
      <c r="F147" s="5">
        <f>ROUND(Source!Y120,O147)</f>
        <v>21777.439999999999</v>
      </c>
      <c r="G147" s="5" t="s">
        <v>92</v>
      </c>
      <c r="H147" s="5" t="s">
        <v>93</v>
      </c>
      <c r="I147" s="5"/>
      <c r="J147" s="5"/>
      <c r="K147" s="5">
        <v>211</v>
      </c>
      <c r="L147" s="5">
        <v>26</v>
      </c>
      <c r="M147" s="5">
        <v>3</v>
      </c>
      <c r="N147" s="5" t="s">
        <v>3</v>
      </c>
      <c r="O147" s="5">
        <v>2</v>
      </c>
      <c r="P147" s="5"/>
      <c r="Q147" s="5"/>
      <c r="R147" s="5"/>
      <c r="S147" s="5"/>
      <c r="T147" s="5"/>
      <c r="U147" s="5"/>
      <c r="V147" s="5"/>
      <c r="W147" s="5">
        <v>21777.439999999999</v>
      </c>
      <c r="X147" s="5">
        <v>1</v>
      </c>
      <c r="Y147" s="5">
        <v>21777.439999999999</v>
      </c>
      <c r="Z147" s="5"/>
      <c r="AA147" s="5"/>
      <c r="AB147" s="5"/>
    </row>
    <row r="148" spans="1:255" x14ac:dyDescent="0.2">
      <c r="A148" s="5">
        <v>50</v>
      </c>
      <c r="B148" s="5">
        <v>0</v>
      </c>
      <c r="C148" s="5">
        <v>0</v>
      </c>
      <c r="D148" s="5">
        <v>1</v>
      </c>
      <c r="E148" s="5">
        <v>224</v>
      </c>
      <c r="F148" s="5">
        <f>ROUND(Source!AR120,O148)</f>
        <v>216161.04</v>
      </c>
      <c r="G148" s="5" t="s">
        <v>94</v>
      </c>
      <c r="H148" s="5" t="s">
        <v>95</v>
      </c>
      <c r="I148" s="5"/>
      <c r="J148" s="5"/>
      <c r="K148" s="5">
        <v>224</v>
      </c>
      <c r="L148" s="5">
        <v>27</v>
      </c>
      <c r="M148" s="5">
        <v>3</v>
      </c>
      <c r="N148" s="5" t="s">
        <v>3</v>
      </c>
      <c r="O148" s="5">
        <v>2</v>
      </c>
      <c r="P148" s="5"/>
      <c r="Q148" s="5"/>
      <c r="R148" s="5"/>
      <c r="S148" s="5"/>
      <c r="T148" s="5"/>
      <c r="U148" s="5"/>
      <c r="V148" s="5"/>
      <c r="W148" s="5">
        <v>216161.04</v>
      </c>
      <c r="X148" s="5">
        <v>1</v>
      </c>
      <c r="Y148" s="5">
        <v>216161.04</v>
      </c>
      <c r="Z148" s="5"/>
      <c r="AA148" s="5"/>
      <c r="AB148" s="5"/>
    </row>
    <row r="150" spans="1:255" x14ac:dyDescent="0.2">
      <c r="A150" s="1">
        <v>4</v>
      </c>
      <c r="B150" s="1">
        <v>1</v>
      </c>
      <c r="C150" s="1"/>
      <c r="D150" s="1">
        <f>ROW(A158)</f>
        <v>158</v>
      </c>
      <c r="E150" s="1"/>
      <c r="F150" s="1" t="s">
        <v>15</v>
      </c>
      <c r="G150" s="1" t="s">
        <v>187</v>
      </c>
      <c r="H150" s="1" t="s">
        <v>3</v>
      </c>
      <c r="I150" s="1">
        <v>0</v>
      </c>
      <c r="J150" s="1"/>
      <c r="K150" s="1">
        <v>0</v>
      </c>
      <c r="L150" s="1"/>
      <c r="M150" s="1" t="s">
        <v>3</v>
      </c>
      <c r="N150" s="1"/>
      <c r="O150" s="1"/>
      <c r="P150" s="1"/>
      <c r="Q150" s="1"/>
      <c r="R150" s="1"/>
      <c r="S150" s="1">
        <v>0</v>
      </c>
      <c r="T150" s="1"/>
      <c r="U150" s="1" t="s">
        <v>3</v>
      </c>
      <c r="V150" s="1">
        <v>0</v>
      </c>
      <c r="W150" s="1"/>
      <c r="X150" s="1"/>
      <c r="Y150" s="1"/>
      <c r="Z150" s="1"/>
      <c r="AA150" s="1"/>
      <c r="AB150" s="1" t="s">
        <v>3</v>
      </c>
      <c r="AC150" s="1" t="s">
        <v>3</v>
      </c>
      <c r="AD150" s="1" t="s">
        <v>3</v>
      </c>
      <c r="AE150" s="1" t="s">
        <v>3</v>
      </c>
      <c r="AF150" s="1" t="s">
        <v>3</v>
      </c>
      <c r="AG150" s="1" t="s">
        <v>3</v>
      </c>
      <c r="AH150" s="1"/>
      <c r="AI150" s="1"/>
      <c r="AJ150" s="1"/>
      <c r="AK150" s="1"/>
      <c r="AL150" s="1"/>
      <c r="AM150" s="1"/>
      <c r="AN150" s="1"/>
      <c r="AO150" s="1"/>
      <c r="AP150" s="1" t="s">
        <v>3</v>
      </c>
      <c r="AQ150" s="1" t="s">
        <v>3</v>
      </c>
      <c r="AR150" s="1" t="s">
        <v>3</v>
      </c>
      <c r="AS150" s="1"/>
      <c r="AT150" s="1"/>
      <c r="AU150" s="1"/>
      <c r="AV150" s="1"/>
      <c r="AW150" s="1"/>
      <c r="AX150" s="1"/>
      <c r="AY150" s="1"/>
      <c r="AZ150" s="1" t="s">
        <v>3</v>
      </c>
      <c r="BA150" s="1"/>
      <c r="BB150" s="1" t="s">
        <v>3</v>
      </c>
      <c r="BC150" s="1" t="s">
        <v>3</v>
      </c>
      <c r="BD150" s="1" t="s">
        <v>3</v>
      </c>
      <c r="BE150" s="1" t="s">
        <v>3</v>
      </c>
      <c r="BF150" s="1" t="s">
        <v>3</v>
      </c>
      <c r="BG150" s="1" t="s">
        <v>3</v>
      </c>
      <c r="BH150" s="1" t="s">
        <v>3</v>
      </c>
      <c r="BI150" s="1" t="s">
        <v>3</v>
      </c>
      <c r="BJ150" s="1" t="s">
        <v>3</v>
      </c>
      <c r="BK150" s="1" t="s">
        <v>3</v>
      </c>
      <c r="BL150" s="1" t="s">
        <v>3</v>
      </c>
      <c r="BM150" s="1" t="s">
        <v>3</v>
      </c>
      <c r="BN150" s="1" t="s">
        <v>3</v>
      </c>
      <c r="BO150" s="1" t="s">
        <v>3</v>
      </c>
      <c r="BP150" s="1" t="s">
        <v>3</v>
      </c>
      <c r="BQ150" s="1"/>
      <c r="BR150" s="1"/>
      <c r="BS150" s="1"/>
      <c r="BT150" s="1"/>
      <c r="BU150" s="1"/>
      <c r="BV150" s="1"/>
      <c r="BW150" s="1"/>
      <c r="BX150" s="1">
        <v>0</v>
      </c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>
        <v>0</v>
      </c>
    </row>
    <row r="152" spans="1:255" x14ac:dyDescent="0.2">
      <c r="A152" s="3">
        <v>52</v>
      </c>
      <c r="B152" s="3">
        <f t="shared" ref="B152:G152" si="65">B158</f>
        <v>1</v>
      </c>
      <c r="C152" s="3">
        <f t="shared" si="65"/>
        <v>4</v>
      </c>
      <c r="D152" s="3">
        <f t="shared" si="65"/>
        <v>150</v>
      </c>
      <c r="E152" s="3">
        <f t="shared" si="65"/>
        <v>0</v>
      </c>
      <c r="F152" s="3" t="str">
        <f t="shared" si="65"/>
        <v>Новый раздел</v>
      </c>
      <c r="G152" s="3" t="str">
        <f t="shared" si="65"/>
        <v>помещение 500</v>
      </c>
      <c r="H152" s="3"/>
      <c r="I152" s="3"/>
      <c r="J152" s="3"/>
      <c r="K152" s="3"/>
      <c r="L152" s="3"/>
      <c r="M152" s="3"/>
      <c r="N152" s="3"/>
      <c r="O152" s="3">
        <f t="shared" ref="O152:AT152" si="66">O158</f>
        <v>50533.54</v>
      </c>
      <c r="P152" s="3">
        <f t="shared" si="66"/>
        <v>11728.95</v>
      </c>
      <c r="Q152" s="3">
        <f t="shared" si="66"/>
        <v>104.44</v>
      </c>
      <c r="R152" s="3">
        <f t="shared" si="66"/>
        <v>151.25</v>
      </c>
      <c r="S152" s="3">
        <f t="shared" si="66"/>
        <v>38548.9</v>
      </c>
      <c r="T152" s="3">
        <f t="shared" si="66"/>
        <v>0</v>
      </c>
      <c r="U152" s="3">
        <f t="shared" si="66"/>
        <v>57.212040000000002</v>
      </c>
      <c r="V152" s="3">
        <f t="shared" si="66"/>
        <v>0.20899999999999999</v>
      </c>
      <c r="W152" s="3">
        <f t="shared" si="66"/>
        <v>0</v>
      </c>
      <c r="X152" s="3">
        <f t="shared" si="66"/>
        <v>34830.14</v>
      </c>
      <c r="Y152" s="3">
        <f t="shared" si="66"/>
        <v>16118.61</v>
      </c>
      <c r="Z152" s="3">
        <f t="shared" si="66"/>
        <v>0</v>
      </c>
      <c r="AA152" s="3">
        <f t="shared" si="66"/>
        <v>0</v>
      </c>
      <c r="AB152" s="3">
        <f t="shared" si="66"/>
        <v>50533.54</v>
      </c>
      <c r="AC152" s="3">
        <f t="shared" si="66"/>
        <v>11728.95</v>
      </c>
      <c r="AD152" s="3">
        <f t="shared" si="66"/>
        <v>104.44</v>
      </c>
      <c r="AE152" s="3">
        <f t="shared" si="66"/>
        <v>151.25</v>
      </c>
      <c r="AF152" s="3">
        <f t="shared" si="66"/>
        <v>38548.9</v>
      </c>
      <c r="AG152" s="3">
        <f t="shared" si="66"/>
        <v>0</v>
      </c>
      <c r="AH152" s="3">
        <f t="shared" si="66"/>
        <v>57.212040000000002</v>
      </c>
      <c r="AI152" s="3">
        <f t="shared" si="66"/>
        <v>0.20899999999999999</v>
      </c>
      <c r="AJ152" s="3">
        <f t="shared" si="66"/>
        <v>0</v>
      </c>
      <c r="AK152" s="3">
        <f t="shared" si="66"/>
        <v>34830.14</v>
      </c>
      <c r="AL152" s="3">
        <f t="shared" si="66"/>
        <v>16118.61</v>
      </c>
      <c r="AM152" s="3">
        <f t="shared" si="66"/>
        <v>0</v>
      </c>
      <c r="AN152" s="3">
        <f t="shared" si="66"/>
        <v>0</v>
      </c>
      <c r="AO152" s="3">
        <f t="shared" si="66"/>
        <v>0</v>
      </c>
      <c r="AP152" s="3">
        <f t="shared" si="66"/>
        <v>0</v>
      </c>
      <c r="AQ152" s="3">
        <f t="shared" si="66"/>
        <v>0</v>
      </c>
      <c r="AR152" s="3">
        <f t="shared" si="66"/>
        <v>101482.29</v>
      </c>
      <c r="AS152" s="3">
        <f t="shared" si="66"/>
        <v>101482.29</v>
      </c>
      <c r="AT152" s="3">
        <f t="shared" si="66"/>
        <v>0</v>
      </c>
      <c r="AU152" s="3">
        <f t="shared" ref="AU152:BZ152" si="67">AU158</f>
        <v>0</v>
      </c>
      <c r="AV152" s="3">
        <f t="shared" si="67"/>
        <v>11728.95</v>
      </c>
      <c r="AW152" s="3">
        <f t="shared" si="67"/>
        <v>11728.95</v>
      </c>
      <c r="AX152" s="3">
        <f t="shared" si="67"/>
        <v>0</v>
      </c>
      <c r="AY152" s="3">
        <f t="shared" si="67"/>
        <v>11728.95</v>
      </c>
      <c r="AZ152" s="3">
        <f t="shared" si="67"/>
        <v>0</v>
      </c>
      <c r="BA152" s="3">
        <f t="shared" si="67"/>
        <v>0</v>
      </c>
      <c r="BB152" s="3">
        <f t="shared" si="67"/>
        <v>0</v>
      </c>
      <c r="BC152" s="3">
        <f t="shared" si="67"/>
        <v>0</v>
      </c>
      <c r="BD152" s="3">
        <f t="shared" si="67"/>
        <v>0</v>
      </c>
      <c r="BE152" s="3">
        <f t="shared" si="67"/>
        <v>0</v>
      </c>
      <c r="BF152" s="3">
        <f t="shared" si="67"/>
        <v>0</v>
      </c>
      <c r="BG152" s="3">
        <f t="shared" si="67"/>
        <v>0</v>
      </c>
      <c r="BH152" s="3">
        <f t="shared" si="67"/>
        <v>0</v>
      </c>
      <c r="BI152" s="3">
        <f t="shared" si="67"/>
        <v>0</v>
      </c>
      <c r="BJ152" s="3">
        <f t="shared" si="67"/>
        <v>0</v>
      </c>
      <c r="BK152" s="3">
        <f t="shared" si="67"/>
        <v>0</v>
      </c>
      <c r="BL152" s="3">
        <f t="shared" si="67"/>
        <v>0</v>
      </c>
      <c r="BM152" s="3">
        <f t="shared" si="67"/>
        <v>0</v>
      </c>
      <c r="BN152" s="3">
        <f t="shared" si="67"/>
        <v>0</v>
      </c>
      <c r="BO152" s="3">
        <f t="shared" si="67"/>
        <v>0</v>
      </c>
      <c r="BP152" s="3">
        <f t="shared" si="67"/>
        <v>0</v>
      </c>
      <c r="BQ152" s="3">
        <f t="shared" si="67"/>
        <v>0</v>
      </c>
      <c r="BR152" s="3">
        <f t="shared" si="67"/>
        <v>0</v>
      </c>
      <c r="BS152" s="3">
        <f t="shared" si="67"/>
        <v>0</v>
      </c>
      <c r="BT152" s="3">
        <f t="shared" si="67"/>
        <v>0</v>
      </c>
      <c r="BU152" s="3">
        <f t="shared" si="67"/>
        <v>0</v>
      </c>
      <c r="BV152" s="3">
        <f t="shared" si="67"/>
        <v>0</v>
      </c>
      <c r="BW152" s="3">
        <f t="shared" si="67"/>
        <v>0</v>
      </c>
      <c r="BX152" s="3">
        <f t="shared" si="67"/>
        <v>0</v>
      </c>
      <c r="BY152" s="3">
        <f t="shared" si="67"/>
        <v>0</v>
      </c>
      <c r="BZ152" s="3">
        <f t="shared" si="67"/>
        <v>0</v>
      </c>
      <c r="CA152" s="3">
        <f t="shared" ref="CA152:DF152" si="68">CA158</f>
        <v>101482.29</v>
      </c>
      <c r="CB152" s="3">
        <f t="shared" si="68"/>
        <v>101482.29</v>
      </c>
      <c r="CC152" s="3">
        <f t="shared" si="68"/>
        <v>0</v>
      </c>
      <c r="CD152" s="3">
        <f t="shared" si="68"/>
        <v>0</v>
      </c>
      <c r="CE152" s="3">
        <f t="shared" si="68"/>
        <v>11728.95</v>
      </c>
      <c r="CF152" s="3">
        <f t="shared" si="68"/>
        <v>11728.95</v>
      </c>
      <c r="CG152" s="3">
        <f t="shared" si="68"/>
        <v>0</v>
      </c>
      <c r="CH152" s="3">
        <f t="shared" si="68"/>
        <v>11728.95</v>
      </c>
      <c r="CI152" s="3">
        <f t="shared" si="68"/>
        <v>0</v>
      </c>
      <c r="CJ152" s="3">
        <f t="shared" si="68"/>
        <v>0</v>
      </c>
      <c r="CK152" s="3">
        <f t="shared" si="68"/>
        <v>0</v>
      </c>
      <c r="CL152" s="3">
        <f t="shared" si="68"/>
        <v>0</v>
      </c>
      <c r="CM152" s="3">
        <f t="shared" si="68"/>
        <v>0</v>
      </c>
      <c r="CN152" s="3">
        <f t="shared" si="68"/>
        <v>0</v>
      </c>
      <c r="CO152" s="3">
        <f t="shared" si="68"/>
        <v>0</v>
      </c>
      <c r="CP152" s="3">
        <f t="shared" si="68"/>
        <v>0</v>
      </c>
      <c r="CQ152" s="3">
        <f t="shared" si="68"/>
        <v>0</v>
      </c>
      <c r="CR152" s="3">
        <f t="shared" si="68"/>
        <v>0</v>
      </c>
      <c r="CS152" s="3">
        <f t="shared" si="68"/>
        <v>0</v>
      </c>
      <c r="CT152" s="3">
        <f t="shared" si="68"/>
        <v>0</v>
      </c>
      <c r="CU152" s="3">
        <f t="shared" si="68"/>
        <v>0</v>
      </c>
      <c r="CV152" s="3">
        <f t="shared" si="68"/>
        <v>0</v>
      </c>
      <c r="CW152" s="3">
        <f t="shared" si="68"/>
        <v>0</v>
      </c>
      <c r="CX152" s="3">
        <f t="shared" si="68"/>
        <v>0</v>
      </c>
      <c r="CY152" s="3">
        <f t="shared" si="68"/>
        <v>0</v>
      </c>
      <c r="CZ152" s="3">
        <f t="shared" si="68"/>
        <v>0</v>
      </c>
      <c r="DA152" s="3">
        <f t="shared" si="68"/>
        <v>0</v>
      </c>
      <c r="DB152" s="3">
        <f t="shared" si="68"/>
        <v>0</v>
      </c>
      <c r="DC152" s="3">
        <f t="shared" si="68"/>
        <v>0</v>
      </c>
      <c r="DD152" s="3">
        <f t="shared" si="68"/>
        <v>0</v>
      </c>
      <c r="DE152" s="3">
        <f t="shared" si="68"/>
        <v>0</v>
      </c>
      <c r="DF152" s="3">
        <f t="shared" si="68"/>
        <v>0</v>
      </c>
      <c r="DG152" s="4">
        <f t="shared" ref="DG152:EL152" si="69">DG158</f>
        <v>0</v>
      </c>
      <c r="DH152" s="4">
        <f t="shared" si="69"/>
        <v>0</v>
      </c>
      <c r="DI152" s="4">
        <f t="shared" si="69"/>
        <v>0</v>
      </c>
      <c r="DJ152" s="4">
        <f t="shared" si="69"/>
        <v>0</v>
      </c>
      <c r="DK152" s="4">
        <f t="shared" si="69"/>
        <v>0</v>
      </c>
      <c r="DL152" s="4">
        <f t="shared" si="69"/>
        <v>0</v>
      </c>
      <c r="DM152" s="4">
        <f t="shared" si="69"/>
        <v>0</v>
      </c>
      <c r="DN152" s="4">
        <f t="shared" si="69"/>
        <v>0</v>
      </c>
      <c r="DO152" s="4">
        <f t="shared" si="69"/>
        <v>0</v>
      </c>
      <c r="DP152" s="4">
        <f t="shared" si="69"/>
        <v>0</v>
      </c>
      <c r="DQ152" s="4">
        <f t="shared" si="69"/>
        <v>0</v>
      </c>
      <c r="DR152" s="4">
        <f t="shared" si="69"/>
        <v>0</v>
      </c>
      <c r="DS152" s="4">
        <f t="shared" si="69"/>
        <v>0</v>
      </c>
      <c r="DT152" s="4">
        <f t="shared" si="69"/>
        <v>0</v>
      </c>
      <c r="DU152" s="4">
        <f t="shared" si="69"/>
        <v>0</v>
      </c>
      <c r="DV152" s="4">
        <f t="shared" si="69"/>
        <v>0</v>
      </c>
      <c r="DW152" s="4">
        <f t="shared" si="69"/>
        <v>0</v>
      </c>
      <c r="DX152" s="4">
        <f t="shared" si="69"/>
        <v>0</v>
      </c>
      <c r="DY152" s="4">
        <f t="shared" si="69"/>
        <v>0</v>
      </c>
      <c r="DZ152" s="4">
        <f t="shared" si="69"/>
        <v>0</v>
      </c>
      <c r="EA152" s="4">
        <f t="shared" si="69"/>
        <v>0</v>
      </c>
      <c r="EB152" s="4">
        <f t="shared" si="69"/>
        <v>0</v>
      </c>
      <c r="EC152" s="4">
        <f t="shared" si="69"/>
        <v>0</v>
      </c>
      <c r="ED152" s="4">
        <f t="shared" si="69"/>
        <v>0</v>
      </c>
      <c r="EE152" s="4">
        <f t="shared" si="69"/>
        <v>0</v>
      </c>
      <c r="EF152" s="4">
        <f t="shared" si="69"/>
        <v>0</v>
      </c>
      <c r="EG152" s="4">
        <f t="shared" si="69"/>
        <v>0</v>
      </c>
      <c r="EH152" s="4">
        <f t="shared" si="69"/>
        <v>0</v>
      </c>
      <c r="EI152" s="4">
        <f t="shared" si="69"/>
        <v>0</v>
      </c>
      <c r="EJ152" s="4">
        <f t="shared" si="69"/>
        <v>0</v>
      </c>
      <c r="EK152" s="4">
        <f t="shared" si="69"/>
        <v>0</v>
      </c>
      <c r="EL152" s="4">
        <f t="shared" si="69"/>
        <v>0</v>
      </c>
      <c r="EM152" s="4">
        <f t="shared" ref="EM152:FR152" si="70">EM158</f>
        <v>0</v>
      </c>
      <c r="EN152" s="4">
        <f t="shared" si="70"/>
        <v>0</v>
      </c>
      <c r="EO152" s="4">
        <f t="shared" si="70"/>
        <v>0</v>
      </c>
      <c r="EP152" s="4">
        <f t="shared" si="70"/>
        <v>0</v>
      </c>
      <c r="EQ152" s="4">
        <f t="shared" si="70"/>
        <v>0</v>
      </c>
      <c r="ER152" s="4">
        <f t="shared" si="70"/>
        <v>0</v>
      </c>
      <c r="ES152" s="4">
        <f t="shared" si="70"/>
        <v>0</v>
      </c>
      <c r="ET152" s="4">
        <f t="shared" si="70"/>
        <v>0</v>
      </c>
      <c r="EU152" s="4">
        <f t="shared" si="70"/>
        <v>0</v>
      </c>
      <c r="EV152" s="4">
        <f t="shared" si="70"/>
        <v>0</v>
      </c>
      <c r="EW152" s="4">
        <f t="shared" si="70"/>
        <v>0</v>
      </c>
      <c r="EX152" s="4">
        <f t="shared" si="70"/>
        <v>0</v>
      </c>
      <c r="EY152" s="4">
        <f t="shared" si="70"/>
        <v>0</v>
      </c>
      <c r="EZ152" s="4">
        <f t="shared" si="70"/>
        <v>0</v>
      </c>
      <c r="FA152" s="4">
        <f t="shared" si="70"/>
        <v>0</v>
      </c>
      <c r="FB152" s="4">
        <f t="shared" si="70"/>
        <v>0</v>
      </c>
      <c r="FC152" s="4">
        <f t="shared" si="70"/>
        <v>0</v>
      </c>
      <c r="FD152" s="4">
        <f t="shared" si="70"/>
        <v>0</v>
      </c>
      <c r="FE152" s="4">
        <f t="shared" si="70"/>
        <v>0</v>
      </c>
      <c r="FF152" s="4">
        <f t="shared" si="70"/>
        <v>0</v>
      </c>
      <c r="FG152" s="4">
        <f t="shared" si="70"/>
        <v>0</v>
      </c>
      <c r="FH152" s="4">
        <f t="shared" si="70"/>
        <v>0</v>
      </c>
      <c r="FI152" s="4">
        <f t="shared" si="70"/>
        <v>0</v>
      </c>
      <c r="FJ152" s="4">
        <f t="shared" si="70"/>
        <v>0</v>
      </c>
      <c r="FK152" s="4">
        <f t="shared" si="70"/>
        <v>0</v>
      </c>
      <c r="FL152" s="4">
        <f t="shared" si="70"/>
        <v>0</v>
      </c>
      <c r="FM152" s="4">
        <f t="shared" si="70"/>
        <v>0</v>
      </c>
      <c r="FN152" s="4">
        <f t="shared" si="70"/>
        <v>0</v>
      </c>
      <c r="FO152" s="4">
        <f t="shared" si="70"/>
        <v>0</v>
      </c>
      <c r="FP152" s="4">
        <f t="shared" si="70"/>
        <v>0</v>
      </c>
      <c r="FQ152" s="4">
        <f t="shared" si="70"/>
        <v>0</v>
      </c>
      <c r="FR152" s="4">
        <f t="shared" si="70"/>
        <v>0</v>
      </c>
      <c r="FS152" s="4">
        <f t="shared" ref="FS152:GX152" si="71">FS158</f>
        <v>0</v>
      </c>
      <c r="FT152" s="4">
        <f t="shared" si="71"/>
        <v>0</v>
      </c>
      <c r="FU152" s="4">
        <f t="shared" si="71"/>
        <v>0</v>
      </c>
      <c r="FV152" s="4">
        <f t="shared" si="71"/>
        <v>0</v>
      </c>
      <c r="FW152" s="4">
        <f t="shared" si="71"/>
        <v>0</v>
      </c>
      <c r="FX152" s="4">
        <f t="shared" si="71"/>
        <v>0</v>
      </c>
      <c r="FY152" s="4">
        <f t="shared" si="71"/>
        <v>0</v>
      </c>
      <c r="FZ152" s="4">
        <f t="shared" si="71"/>
        <v>0</v>
      </c>
      <c r="GA152" s="4">
        <f t="shared" si="71"/>
        <v>0</v>
      </c>
      <c r="GB152" s="4">
        <f t="shared" si="71"/>
        <v>0</v>
      </c>
      <c r="GC152" s="4">
        <f t="shared" si="71"/>
        <v>0</v>
      </c>
      <c r="GD152" s="4">
        <f t="shared" si="71"/>
        <v>0</v>
      </c>
      <c r="GE152" s="4">
        <f t="shared" si="71"/>
        <v>0</v>
      </c>
      <c r="GF152" s="4">
        <f t="shared" si="71"/>
        <v>0</v>
      </c>
      <c r="GG152" s="4">
        <f t="shared" si="71"/>
        <v>0</v>
      </c>
      <c r="GH152" s="4">
        <f t="shared" si="71"/>
        <v>0</v>
      </c>
      <c r="GI152" s="4">
        <f t="shared" si="71"/>
        <v>0</v>
      </c>
      <c r="GJ152" s="4">
        <f t="shared" si="71"/>
        <v>0</v>
      </c>
      <c r="GK152" s="4">
        <f t="shared" si="71"/>
        <v>0</v>
      </c>
      <c r="GL152" s="4">
        <f t="shared" si="71"/>
        <v>0</v>
      </c>
      <c r="GM152" s="4">
        <f t="shared" si="71"/>
        <v>0</v>
      </c>
      <c r="GN152" s="4">
        <f t="shared" si="71"/>
        <v>0</v>
      </c>
      <c r="GO152" s="4">
        <f t="shared" si="71"/>
        <v>0</v>
      </c>
      <c r="GP152" s="4">
        <f t="shared" si="71"/>
        <v>0</v>
      </c>
      <c r="GQ152" s="4">
        <f t="shared" si="71"/>
        <v>0</v>
      </c>
      <c r="GR152" s="4">
        <f t="shared" si="71"/>
        <v>0</v>
      </c>
      <c r="GS152" s="4">
        <f t="shared" si="71"/>
        <v>0</v>
      </c>
      <c r="GT152" s="4">
        <f t="shared" si="71"/>
        <v>0</v>
      </c>
      <c r="GU152" s="4">
        <f t="shared" si="71"/>
        <v>0</v>
      </c>
      <c r="GV152" s="4">
        <f t="shared" si="71"/>
        <v>0</v>
      </c>
      <c r="GW152" s="4">
        <f t="shared" si="71"/>
        <v>0</v>
      </c>
      <c r="GX152" s="4">
        <f t="shared" si="71"/>
        <v>0</v>
      </c>
    </row>
    <row r="154" spans="1:255" ht="409.5" x14ac:dyDescent="0.2">
      <c r="A154" s="2">
        <v>17</v>
      </c>
      <c r="B154" s="2">
        <v>1</v>
      </c>
      <c r="C154" s="2">
        <f>ROW(SmtRes!A62)</f>
        <v>62</v>
      </c>
      <c r="D154" s="2">
        <f>ROW(EtalonRes!A61)</f>
        <v>61</v>
      </c>
      <c r="E154" s="2" t="s">
        <v>188</v>
      </c>
      <c r="F154" s="2" t="s">
        <v>18</v>
      </c>
      <c r="G154" s="2" t="s">
        <v>19</v>
      </c>
      <c r="H154" s="2" t="s">
        <v>20</v>
      </c>
      <c r="I154" s="2">
        <f>ROUND(152/100,7)</f>
        <v>1.52</v>
      </c>
      <c r="J154" s="2">
        <v>0</v>
      </c>
      <c r="K154" s="2">
        <f>ROUND(152/100,7)</f>
        <v>1.52</v>
      </c>
      <c r="L154" s="2"/>
      <c r="M154" s="2"/>
      <c r="N154" s="2"/>
      <c r="O154" s="2">
        <f>ROUND(CP154,2)</f>
        <v>40340.660000000003</v>
      </c>
      <c r="P154" s="2">
        <f>SUMIF(SmtRes!AQ54:'SmtRes'!AQ62,"=1",SmtRes!DF54:'SmtRes'!DF62)</f>
        <v>1536.07</v>
      </c>
      <c r="Q154" s="2">
        <f>SUMIF(SmtRes!AQ54:'SmtRes'!AQ62,"=1",SmtRes!DG54:'SmtRes'!DG62)</f>
        <v>104.44</v>
      </c>
      <c r="R154" s="2">
        <f>SUMIF(SmtRes!AQ54:'SmtRes'!AQ62,"=1",SmtRes!DH54:'SmtRes'!DH62)</f>
        <v>151.25</v>
      </c>
      <c r="S154" s="2">
        <f>SUMIF(SmtRes!AQ54:'SmtRes'!AQ62,"=1",SmtRes!DI54:'SmtRes'!DI62)</f>
        <v>38548.9</v>
      </c>
      <c r="T154" s="2">
        <f>ROUND(CU154*I154,2)</f>
        <v>0</v>
      </c>
      <c r="U154" s="2">
        <f>SUMIF(SmtRes!AQ54:'SmtRes'!AQ62,"=1",SmtRes!CV54:'SmtRes'!CV62)</f>
        <v>57.212040000000002</v>
      </c>
      <c r="V154" s="2">
        <f>SUMIF(SmtRes!AQ54:'SmtRes'!AQ62,"=1",SmtRes!CW54:'SmtRes'!CW62)</f>
        <v>0.20899999999999999</v>
      </c>
      <c r="W154" s="2">
        <f>ROUND(CX154*I154,2)</f>
        <v>0</v>
      </c>
      <c r="X154" s="2">
        <f t="shared" ref="X154:Y156" si="72">ROUND(CY154,2)</f>
        <v>34830.14</v>
      </c>
      <c r="Y154" s="2">
        <f t="shared" si="72"/>
        <v>16118.61</v>
      </c>
      <c r="Z154" s="2"/>
      <c r="AA154" s="2">
        <v>94240533</v>
      </c>
      <c r="AB154" s="2">
        <f>ROUND((AC154+AD154+AF154),6)</f>
        <v>26157.37168</v>
      </c>
      <c r="AC154" s="2">
        <f>ROUND((SUM(SmtRes!BQ54:'SmtRes'!BQ62)),6)</f>
        <v>727.75535000000002</v>
      </c>
      <c r="AD154" s="2">
        <f>ROUND((((SUM(SmtRes!BR54:'SmtRes'!BR62))-(SUM(SmtRes!BS54:'SmtRes'!BS62)))+AE154),6)</f>
        <v>68.497624999999999</v>
      </c>
      <c r="AE154" s="2">
        <f>ROUND((SUM(SmtRes!BS54:'SmtRes'!BS62)),6)</f>
        <v>99.500500000000002</v>
      </c>
      <c r="AF154" s="2">
        <f>ROUND((SUM(SmtRes!BT54:'SmtRes'!BT62)),6)</f>
        <v>25361.118705000001</v>
      </c>
      <c r="AG154" s="2">
        <f>ROUND((AP154),6)</f>
        <v>0</v>
      </c>
      <c r="AH154" s="2">
        <f>(SUM(SmtRes!BU54:'SmtRes'!BU62))</f>
        <v>37.639499999999991</v>
      </c>
      <c r="AI154" s="2">
        <f>(SUM(SmtRes!BV54:'SmtRes'!BV62))</f>
        <v>0.13750000000000001</v>
      </c>
      <c r="AJ154" s="2">
        <f>(AS154)</f>
        <v>0</v>
      </c>
      <c r="AK154" s="2">
        <v>22915.300549999996</v>
      </c>
      <c r="AL154" s="2">
        <v>727.75535000000002</v>
      </c>
      <c r="AM154" s="2">
        <v>54.798099999999998</v>
      </c>
      <c r="AN154" s="2">
        <v>79.600400000000008</v>
      </c>
      <c r="AO154" s="2">
        <v>22053.146699999998</v>
      </c>
      <c r="AP154" s="2">
        <v>0</v>
      </c>
      <c r="AQ154" s="2">
        <v>32.729999999999997</v>
      </c>
      <c r="AR154" s="2">
        <v>0.11</v>
      </c>
      <c r="AS154" s="2">
        <v>0</v>
      </c>
      <c r="AT154" s="2">
        <v>90</v>
      </c>
      <c r="AU154" s="2">
        <v>41.65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1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0</v>
      </c>
      <c r="BI154" s="2">
        <v>1</v>
      </c>
      <c r="BJ154" s="2" t="s">
        <v>21</v>
      </c>
      <c r="BK154" s="2"/>
      <c r="BL154" s="2"/>
      <c r="BM154" s="2">
        <v>15001</v>
      </c>
      <c r="BN154" s="2">
        <v>0</v>
      </c>
      <c r="BO154" s="2" t="s">
        <v>3</v>
      </c>
      <c r="BP154" s="2">
        <v>0</v>
      </c>
      <c r="BQ154" s="2">
        <v>2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100</v>
      </c>
      <c r="CA154" s="2">
        <v>49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/>
      <c r="CI154" s="2"/>
      <c r="CJ154" s="2"/>
      <c r="CK154" s="2"/>
      <c r="CL154" s="2"/>
      <c r="CM154" s="2">
        <v>0</v>
      </c>
      <c r="CN154" s="7" t="s">
        <v>399</v>
      </c>
      <c r="CO154" s="2">
        <v>0</v>
      </c>
      <c r="CP154" s="2">
        <f>(P154+Q154+S154+R154)</f>
        <v>40340.660000000003</v>
      </c>
      <c r="CQ154" s="2">
        <f>SUMIF(SmtRes!AQ54:'SmtRes'!AQ62,"=1",SmtRes!AA54:'SmtRes'!AA62)</f>
        <v>76825.3</v>
      </c>
      <c r="CR154" s="2">
        <f>SUMIF(SmtRes!AQ54:'SmtRes'!AQ62,"=1",SmtRes!AB54:'SmtRes'!AB62)</f>
        <v>592.98</v>
      </c>
      <c r="CS154" s="2">
        <f>SUMIF(SmtRes!AQ54:'SmtRes'!AQ62,"=1",SmtRes!AC54:'SmtRes'!AC62)</f>
        <v>1380.3200000000002</v>
      </c>
      <c r="CT154" s="2">
        <f>SUMIF(SmtRes!AQ54:'SmtRes'!AQ62,"=1",SmtRes!AD54:'SmtRes'!AD62)</f>
        <v>673.79</v>
      </c>
      <c r="CU154" s="2">
        <f>AG154</f>
        <v>0</v>
      </c>
      <c r="CV154" s="2">
        <f>SUMIF(SmtRes!AQ54:'SmtRes'!AQ62,"=1",SmtRes!BU54:'SmtRes'!BU62)</f>
        <v>37.639499999999991</v>
      </c>
      <c r="CW154" s="2">
        <f>SUMIF(SmtRes!AQ54:'SmtRes'!AQ62,"=1",SmtRes!BV54:'SmtRes'!BV62)</f>
        <v>0.13750000000000001</v>
      </c>
      <c r="CX154" s="2">
        <f>AJ154</f>
        <v>0</v>
      </c>
      <c r="CY154" s="2">
        <f>(((S154+R154)*AT154)/100)</f>
        <v>34830.135000000002</v>
      </c>
      <c r="CZ154" s="2">
        <f>(((S154+R154)*AU154)/100)</f>
        <v>16118.612475</v>
      </c>
      <c r="DA154" s="2"/>
      <c r="DB154" s="2">
        <v>5</v>
      </c>
      <c r="DC154" s="2" t="s">
        <v>3</v>
      </c>
      <c r="DD154" s="2" t="s">
        <v>3</v>
      </c>
      <c r="DE154" s="2" t="s">
        <v>22</v>
      </c>
      <c r="DF154" s="2" t="s">
        <v>22</v>
      </c>
      <c r="DG154" s="2" t="s">
        <v>23</v>
      </c>
      <c r="DH154" s="2" t="s">
        <v>3</v>
      </c>
      <c r="DI154" s="2" t="s">
        <v>23</v>
      </c>
      <c r="DJ154" s="2" t="s">
        <v>22</v>
      </c>
      <c r="DK154" s="2" t="s">
        <v>3</v>
      </c>
      <c r="DL154" s="2" t="s">
        <v>24</v>
      </c>
      <c r="DM154" s="2" t="s">
        <v>25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1005</v>
      </c>
      <c r="DV154" s="2" t="s">
        <v>20</v>
      </c>
      <c r="DW154" s="2" t="s">
        <v>20</v>
      </c>
      <c r="DX154" s="2">
        <v>100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89977019</v>
      </c>
      <c r="EF154" s="2">
        <v>2</v>
      </c>
      <c r="EG154" s="2" t="s">
        <v>26</v>
      </c>
      <c r="EH154" s="2">
        <v>15</v>
      </c>
      <c r="EI154" s="2" t="s">
        <v>27</v>
      </c>
      <c r="EJ154" s="2">
        <v>1</v>
      </c>
      <c r="EK154" s="2">
        <v>15001</v>
      </c>
      <c r="EL154" s="2" t="s">
        <v>27</v>
      </c>
      <c r="EM154" s="2" t="s">
        <v>28</v>
      </c>
      <c r="EN154" s="2"/>
      <c r="EO154" s="2" t="s">
        <v>29</v>
      </c>
      <c r="EP154" s="2"/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32.729999999999997</v>
      </c>
      <c r="EX154" s="2">
        <v>0.11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v>0</v>
      </c>
      <c r="FS154" s="2">
        <v>0</v>
      </c>
      <c r="FT154" s="2"/>
      <c r="FU154" s="2"/>
      <c r="FV154" s="2"/>
      <c r="FW154" s="2"/>
      <c r="FX154" s="2">
        <v>90</v>
      </c>
      <c r="FY154" s="2">
        <v>41.65</v>
      </c>
      <c r="FZ154" s="2"/>
      <c r="GA154" s="2" t="s">
        <v>3</v>
      </c>
      <c r="GB154" s="2"/>
      <c r="GC154" s="2"/>
      <c r="GD154" s="2">
        <v>1</v>
      </c>
      <c r="GE154" s="2"/>
      <c r="GF154" s="2">
        <v>1488051012</v>
      </c>
      <c r="GG154" s="2">
        <v>2</v>
      </c>
      <c r="GH154" s="2">
        <v>1</v>
      </c>
      <c r="GI154" s="2">
        <v>-2</v>
      </c>
      <c r="GJ154" s="2">
        <v>0</v>
      </c>
      <c r="GK154" s="2">
        <v>0</v>
      </c>
      <c r="GL154" s="2">
        <f>ROUND(IF(AND(BH154=3,BI154=3,FS154&lt;&gt;0),P154,0),2)</f>
        <v>0</v>
      </c>
      <c r="GM154" s="2">
        <f>ROUND(O154+X154+Y154,2)+GX154</f>
        <v>91289.41</v>
      </c>
      <c r="GN154" s="2">
        <f>IF(OR(BI154=0,BI154=1),GM154-GX154,0)</f>
        <v>91289.41</v>
      </c>
      <c r="GO154" s="2">
        <f>IF(BI154=2,GM154-GX154,0)</f>
        <v>0</v>
      </c>
      <c r="GP154" s="2">
        <f>IF(BI154=4,GM154-GX154,0)</f>
        <v>0</v>
      </c>
      <c r="GQ154" s="2"/>
      <c r="GR154" s="2">
        <v>0</v>
      </c>
      <c r="GS154" s="2">
        <v>3</v>
      </c>
      <c r="GT154" s="2">
        <v>0</v>
      </c>
      <c r="GU154" s="2" t="s">
        <v>3</v>
      </c>
      <c r="GV154" s="2">
        <f>ROUND((GT154),6)</f>
        <v>0</v>
      </c>
      <c r="GW154" s="2">
        <v>1</v>
      </c>
      <c r="GX154" s="2">
        <f>ROUND(HC154*I154,2)</f>
        <v>0</v>
      </c>
      <c r="GY154" s="2"/>
      <c r="GZ154" s="2"/>
      <c r="HA154" s="2">
        <v>0</v>
      </c>
      <c r="HB154" s="2">
        <v>0</v>
      </c>
      <c r="HC154" s="2">
        <f>GV154*GW154</f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30</v>
      </c>
      <c r="HO154" s="2" t="s">
        <v>31</v>
      </c>
      <c r="HP154" s="2" t="s">
        <v>27</v>
      </c>
      <c r="HQ154" s="2" t="s">
        <v>27</v>
      </c>
      <c r="HR154" s="2"/>
      <c r="HS154" s="2">
        <v>0</v>
      </c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 s="2">
        <v>18</v>
      </c>
      <c r="B155" s="2">
        <v>1</v>
      </c>
      <c r="C155" s="2">
        <v>60</v>
      </c>
      <c r="D155" s="2"/>
      <c r="E155" s="2" t="s">
        <v>189</v>
      </c>
      <c r="F155" s="2" t="s">
        <v>33</v>
      </c>
      <c r="G155" s="2" t="s">
        <v>34</v>
      </c>
      <c r="H155" s="2" t="s">
        <v>35</v>
      </c>
      <c r="I155" s="2">
        <f>I154*J155</f>
        <v>4.5600000000000002E-2</v>
      </c>
      <c r="J155" s="2">
        <v>3.0000000000000002E-2</v>
      </c>
      <c r="K155" s="2">
        <v>0.03</v>
      </c>
      <c r="L155" s="2"/>
      <c r="M155" s="2"/>
      <c r="N155" s="2"/>
      <c r="O155" s="2">
        <f>ROUND(CP155,2)</f>
        <v>6995.71</v>
      </c>
      <c r="P155" s="2">
        <f>ROUND(CQ155*I155,2)</f>
        <v>6995.71</v>
      </c>
      <c r="Q155" s="2">
        <f>ROUND(CR155*I155,2)</f>
        <v>0</v>
      </c>
      <c r="R155" s="2">
        <f>ROUND(CS155*I155,2)</f>
        <v>0</v>
      </c>
      <c r="S155" s="2">
        <f>ROUND(CT155*I155,2)</f>
        <v>0</v>
      </c>
      <c r="T155" s="2">
        <f>ROUND(CU155*I155,2)</f>
        <v>0</v>
      </c>
      <c r="U155" s="2">
        <f>ROUND(CV155*I155,7)</f>
        <v>0</v>
      </c>
      <c r="V155" s="2">
        <f>ROUND(CW155*I155,7)</f>
        <v>0</v>
      </c>
      <c r="W155" s="2">
        <f>ROUND(CX155*I155,2)</f>
        <v>0</v>
      </c>
      <c r="X155" s="2">
        <f t="shared" si="72"/>
        <v>0</v>
      </c>
      <c r="Y155" s="2">
        <f t="shared" si="72"/>
        <v>0</v>
      </c>
      <c r="Z155" s="2"/>
      <c r="AA155" s="2">
        <v>94240533</v>
      </c>
      <c r="AB155" s="2">
        <f>ROUND((AC155+AD155+AF155),6)</f>
        <v>87665.56</v>
      </c>
      <c r="AC155" s="2">
        <f>ROUND((ES155),6)</f>
        <v>87665.56</v>
      </c>
      <c r="AD155" s="2">
        <f>ROUND((((ET155)-(EU155))+AE155),6)</f>
        <v>0</v>
      </c>
      <c r="AE155" s="2">
        <f>ROUND((EU155),6)</f>
        <v>0</v>
      </c>
      <c r="AF155" s="2">
        <f>ROUND((EV155),6)</f>
        <v>0</v>
      </c>
      <c r="AG155" s="2">
        <f>ROUND((AP155),6)</f>
        <v>0</v>
      </c>
      <c r="AH155" s="2">
        <f>(EW155)</f>
        <v>0</v>
      </c>
      <c r="AI155" s="2">
        <f>(EX155)</f>
        <v>0</v>
      </c>
      <c r="AJ155" s="2">
        <f>(AS155)</f>
        <v>0</v>
      </c>
      <c r="AK155" s="2">
        <v>87665.56</v>
      </c>
      <c r="AL155" s="2">
        <v>87665.56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100</v>
      </c>
      <c r="AU155" s="2">
        <v>49</v>
      </c>
      <c r="AV155" s="2">
        <v>1</v>
      </c>
      <c r="AW155" s="2">
        <v>1</v>
      </c>
      <c r="AX155" s="2"/>
      <c r="AY155" s="2"/>
      <c r="AZ155" s="2">
        <v>1</v>
      </c>
      <c r="BA155" s="2">
        <v>1</v>
      </c>
      <c r="BB155" s="2">
        <v>1</v>
      </c>
      <c r="BC155" s="2">
        <v>1.75</v>
      </c>
      <c r="BD155" s="2" t="s">
        <v>3</v>
      </c>
      <c r="BE155" s="2" t="s">
        <v>3</v>
      </c>
      <c r="BF155" s="2" t="s">
        <v>3</v>
      </c>
      <c r="BG155" s="2" t="s">
        <v>3</v>
      </c>
      <c r="BH155" s="2">
        <v>3</v>
      </c>
      <c r="BI155" s="2">
        <v>1</v>
      </c>
      <c r="BJ155" s="2" t="s">
        <v>36</v>
      </c>
      <c r="BK155" s="2"/>
      <c r="BL155" s="2"/>
      <c r="BM155" s="2">
        <v>15001</v>
      </c>
      <c r="BN155" s="2">
        <v>0</v>
      </c>
      <c r="BO155" s="2" t="s">
        <v>33</v>
      </c>
      <c r="BP155" s="2">
        <v>1</v>
      </c>
      <c r="BQ155" s="2">
        <v>2</v>
      </c>
      <c r="BR155" s="2">
        <v>0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 t="s">
        <v>3</v>
      </c>
      <c r="BZ155" s="2">
        <v>100</v>
      </c>
      <c r="CA155" s="2">
        <v>49</v>
      </c>
      <c r="CB155" s="2" t="s">
        <v>3</v>
      </c>
      <c r="CC155" s="2"/>
      <c r="CD155" s="2"/>
      <c r="CE155" s="2">
        <v>0</v>
      </c>
      <c r="CF155" s="2">
        <v>0</v>
      </c>
      <c r="CG155" s="2">
        <v>0</v>
      </c>
      <c r="CH155" s="2"/>
      <c r="CI155" s="2"/>
      <c r="CJ155" s="2"/>
      <c r="CK155" s="2"/>
      <c r="CL155" s="2"/>
      <c r="CM155" s="2">
        <v>0</v>
      </c>
      <c r="CN155" s="2" t="s">
        <v>3</v>
      </c>
      <c r="CO155" s="2">
        <v>0</v>
      </c>
      <c r="CP155" s="2">
        <f>(P155+Q155+S155+R155)</f>
        <v>6995.71</v>
      </c>
      <c r="CQ155" s="2">
        <f>ROUND(AL155*BC155,2)</f>
        <v>153414.73000000001</v>
      </c>
      <c r="CR155" s="2">
        <f>ROUND(AM155*BB155,2)</f>
        <v>0</v>
      </c>
      <c r="CS155" s="2">
        <f>ROUND(AN155*BS155,2)</f>
        <v>0</v>
      </c>
      <c r="CT155" s="2">
        <f>ROUND(AO155*BA155,2)</f>
        <v>0</v>
      </c>
      <c r="CU155" s="2">
        <f>AG155</f>
        <v>0</v>
      </c>
      <c r="CV155" s="2">
        <f>AH155</f>
        <v>0</v>
      </c>
      <c r="CW155" s="2">
        <f>AI155</f>
        <v>0</v>
      </c>
      <c r="CX155" s="2">
        <f>AJ155</f>
        <v>0</v>
      </c>
      <c r="CY155" s="2">
        <f>(((S155+R155)*AT155)/100)</f>
        <v>0</v>
      </c>
      <c r="CZ155" s="2">
        <f>(((S155+R155)*AU155)/100)</f>
        <v>0</v>
      </c>
      <c r="DA155" s="2"/>
      <c r="DB155" s="2"/>
      <c r="DC155" s="2" t="s">
        <v>3</v>
      </c>
      <c r="DD155" s="2" t="s">
        <v>3</v>
      </c>
      <c r="DE155" s="2" t="s">
        <v>3</v>
      </c>
      <c r="DF155" s="2" t="s">
        <v>3</v>
      </c>
      <c r="DG155" s="2" t="s">
        <v>3</v>
      </c>
      <c r="DH155" s="2" t="s">
        <v>3</v>
      </c>
      <c r="DI155" s="2" t="s">
        <v>3</v>
      </c>
      <c r="DJ155" s="2" t="s">
        <v>3</v>
      </c>
      <c r="DK155" s="2" t="s">
        <v>3</v>
      </c>
      <c r="DL155" s="2" t="s">
        <v>3</v>
      </c>
      <c r="DM155" s="2" t="s">
        <v>3</v>
      </c>
      <c r="DN155" s="2">
        <v>0</v>
      </c>
      <c r="DO155" s="2">
        <v>0</v>
      </c>
      <c r="DP155" s="2">
        <v>1</v>
      </c>
      <c r="DQ155" s="2">
        <v>1</v>
      </c>
      <c r="DR155" s="2"/>
      <c r="DS155" s="2"/>
      <c r="DT155" s="2"/>
      <c r="DU155" s="2">
        <v>1009</v>
      </c>
      <c r="DV155" s="2" t="s">
        <v>35</v>
      </c>
      <c r="DW155" s="2" t="s">
        <v>35</v>
      </c>
      <c r="DX155" s="2">
        <v>1000</v>
      </c>
      <c r="DY155" s="2"/>
      <c r="DZ155" s="2" t="s">
        <v>3</v>
      </c>
      <c r="EA155" s="2" t="s">
        <v>3</v>
      </c>
      <c r="EB155" s="2" t="s">
        <v>3</v>
      </c>
      <c r="EC155" s="2" t="s">
        <v>3</v>
      </c>
      <c r="ED155" s="2"/>
      <c r="EE155" s="2">
        <v>89977019</v>
      </c>
      <c r="EF155" s="2">
        <v>2</v>
      </c>
      <c r="EG155" s="2" t="s">
        <v>26</v>
      </c>
      <c r="EH155" s="2">
        <v>15</v>
      </c>
      <c r="EI155" s="2" t="s">
        <v>27</v>
      </c>
      <c r="EJ155" s="2">
        <v>1</v>
      </c>
      <c r="EK155" s="2">
        <v>15001</v>
      </c>
      <c r="EL155" s="2" t="s">
        <v>27</v>
      </c>
      <c r="EM155" s="2" t="s">
        <v>28</v>
      </c>
      <c r="EN155" s="2"/>
      <c r="EO155" s="2" t="s">
        <v>3</v>
      </c>
      <c r="EP155" s="2"/>
      <c r="EQ155" s="2">
        <v>0</v>
      </c>
      <c r="ER155" s="2">
        <v>87665.56</v>
      </c>
      <c r="ES155" s="2">
        <v>87665.56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>
        <v>0</v>
      </c>
      <c r="FR155" s="2">
        <v>0</v>
      </c>
      <c r="FS155" s="2">
        <v>0</v>
      </c>
      <c r="FT155" s="2"/>
      <c r="FU155" s="2"/>
      <c r="FV155" s="2"/>
      <c r="FW155" s="2"/>
      <c r="FX155" s="2">
        <v>100</v>
      </c>
      <c r="FY155" s="2">
        <v>49</v>
      </c>
      <c r="FZ155" s="2"/>
      <c r="GA155" s="2" t="s">
        <v>3</v>
      </c>
      <c r="GB155" s="2"/>
      <c r="GC155" s="2"/>
      <c r="GD155" s="2">
        <v>1</v>
      </c>
      <c r="GE155" s="2"/>
      <c r="GF155" s="2">
        <v>88817008</v>
      </c>
      <c r="GG155" s="2">
        <v>2</v>
      </c>
      <c r="GH155" s="2">
        <v>1</v>
      </c>
      <c r="GI155" s="2">
        <v>2</v>
      </c>
      <c r="GJ155" s="2">
        <v>0</v>
      </c>
      <c r="GK155" s="2">
        <v>0</v>
      </c>
      <c r="GL155" s="2">
        <f>ROUND(IF(AND(BH155=3,BI155=3,FS155&lt;&gt;0),P155,0),2)</f>
        <v>0</v>
      </c>
      <c r="GM155" s="2">
        <f>ROUND(O155+X155+Y155,2)+GX155</f>
        <v>6995.71</v>
      </c>
      <c r="GN155" s="2">
        <f>IF(OR(BI155=0,BI155=1),GM155-GX155,0)</f>
        <v>6995.71</v>
      </c>
      <c r="GO155" s="2">
        <f>IF(BI155=2,GM155-GX155,0)</f>
        <v>0</v>
      </c>
      <c r="GP155" s="2">
        <f>IF(BI155=4,GM155-GX155,0)</f>
        <v>0</v>
      </c>
      <c r="GQ155" s="2"/>
      <c r="GR155" s="2">
        <v>0</v>
      </c>
      <c r="GS155" s="2">
        <v>3</v>
      </c>
      <c r="GT155" s="2">
        <v>0</v>
      </c>
      <c r="GU155" s="2" t="s">
        <v>3</v>
      </c>
      <c r="GV155" s="2">
        <f>ROUND((GT155),6)</f>
        <v>0</v>
      </c>
      <c r="GW155" s="2">
        <v>1</v>
      </c>
      <c r="GX155" s="2">
        <f>ROUND(HC155*I155,2)</f>
        <v>0</v>
      </c>
      <c r="GY155" s="2"/>
      <c r="GZ155" s="2"/>
      <c r="HA155" s="2">
        <v>0</v>
      </c>
      <c r="HB155" s="2">
        <v>0</v>
      </c>
      <c r="HC155" s="2">
        <f>GV155*GW155</f>
        <v>0</v>
      </c>
      <c r="HD155" s="2"/>
      <c r="HE155" s="2" t="s">
        <v>3</v>
      </c>
      <c r="HF155" s="2" t="s">
        <v>3</v>
      </c>
      <c r="HG155" s="2"/>
      <c r="HH155" s="2"/>
      <c r="HI155" s="2"/>
      <c r="HJ155" s="2"/>
      <c r="HK155" s="2"/>
      <c r="HL155" s="2"/>
      <c r="HM155" s="2" t="s">
        <v>3</v>
      </c>
      <c r="HN155" s="2" t="s">
        <v>30</v>
      </c>
      <c r="HO155" s="2" t="s">
        <v>31</v>
      </c>
      <c r="HP155" s="2" t="s">
        <v>27</v>
      </c>
      <c r="HQ155" s="2" t="s">
        <v>27</v>
      </c>
      <c r="HR155" s="2"/>
      <c r="HS155" s="2">
        <v>0</v>
      </c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>
        <v>0</v>
      </c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x14ac:dyDescent="0.2">
      <c r="A156" s="2">
        <v>18</v>
      </c>
      <c r="B156" s="2">
        <v>1</v>
      </c>
      <c r="C156" s="2">
        <v>61</v>
      </c>
      <c r="D156" s="2"/>
      <c r="E156" s="2" t="s">
        <v>190</v>
      </c>
      <c r="F156" s="2" t="s">
        <v>38</v>
      </c>
      <c r="G156" s="2" t="s">
        <v>39</v>
      </c>
      <c r="H156" s="2" t="s">
        <v>40</v>
      </c>
      <c r="I156" s="2">
        <f>I154*J156</f>
        <v>30.4</v>
      </c>
      <c r="J156" s="2">
        <v>20</v>
      </c>
      <c r="K156" s="2">
        <v>20</v>
      </c>
      <c r="L156" s="2"/>
      <c r="M156" s="2"/>
      <c r="N156" s="2"/>
      <c r="O156" s="2">
        <f>ROUND(CP156,2)</f>
        <v>3197.17</v>
      </c>
      <c r="P156" s="2">
        <f>ROUND(CQ156*I156,2)</f>
        <v>3197.17</v>
      </c>
      <c r="Q156" s="2">
        <f>ROUND(CR156*I156,2)</f>
        <v>0</v>
      </c>
      <c r="R156" s="2">
        <f>ROUND(CS156*I156,2)</f>
        <v>0</v>
      </c>
      <c r="S156" s="2">
        <f>ROUND(CT156*I156,2)</f>
        <v>0</v>
      </c>
      <c r="T156" s="2">
        <f>ROUND(CU156*I156,2)</f>
        <v>0</v>
      </c>
      <c r="U156" s="2">
        <f>ROUND(CV156*I156,7)</f>
        <v>0</v>
      </c>
      <c r="V156" s="2">
        <f>ROUND(CW156*I156,7)</f>
        <v>0</v>
      </c>
      <c r="W156" s="2">
        <f>ROUND(CX156*I156,2)</f>
        <v>0</v>
      </c>
      <c r="X156" s="2">
        <f t="shared" si="72"/>
        <v>0</v>
      </c>
      <c r="Y156" s="2">
        <f t="shared" si="72"/>
        <v>0</v>
      </c>
      <c r="Z156" s="2"/>
      <c r="AA156" s="2">
        <v>94240533</v>
      </c>
      <c r="AB156" s="2">
        <f>ROUND((AC156+AD156+AF156),6)</f>
        <v>68.290000000000006</v>
      </c>
      <c r="AC156" s="2">
        <f>ROUND((ES156),6)</f>
        <v>68.290000000000006</v>
      </c>
      <c r="AD156" s="2">
        <f>ROUND((((ET156)-(EU156))+AE156),6)</f>
        <v>0</v>
      </c>
      <c r="AE156" s="2">
        <f>ROUND((EU156),6)</f>
        <v>0</v>
      </c>
      <c r="AF156" s="2">
        <f>ROUND((EV156),6)</f>
        <v>0</v>
      </c>
      <c r="AG156" s="2">
        <f>ROUND((AP156),6)</f>
        <v>0</v>
      </c>
      <c r="AH156" s="2">
        <f>(EW156)</f>
        <v>0</v>
      </c>
      <c r="AI156" s="2">
        <f>(EX156)</f>
        <v>0</v>
      </c>
      <c r="AJ156" s="2">
        <f>(AS156)</f>
        <v>0</v>
      </c>
      <c r="AK156" s="2">
        <v>68.290000000000006</v>
      </c>
      <c r="AL156" s="2">
        <v>68.290000000000006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100</v>
      </c>
      <c r="AU156" s="2">
        <v>49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1.54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3</v>
      </c>
      <c r="BI156" s="2">
        <v>1</v>
      </c>
      <c r="BJ156" s="2" t="s">
        <v>41</v>
      </c>
      <c r="BK156" s="2"/>
      <c r="BL156" s="2"/>
      <c r="BM156" s="2">
        <v>15001</v>
      </c>
      <c r="BN156" s="2">
        <v>0</v>
      </c>
      <c r="BO156" s="2" t="s">
        <v>38</v>
      </c>
      <c r="BP156" s="2">
        <v>1</v>
      </c>
      <c r="BQ156" s="2">
        <v>2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100</v>
      </c>
      <c r="CA156" s="2">
        <v>49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/>
      <c r="CI156" s="2"/>
      <c r="CJ156" s="2"/>
      <c r="CK156" s="2"/>
      <c r="CL156" s="2"/>
      <c r="CM156" s="2">
        <v>0</v>
      </c>
      <c r="CN156" s="2" t="s">
        <v>3</v>
      </c>
      <c r="CO156" s="2">
        <v>0</v>
      </c>
      <c r="CP156" s="2">
        <f>(P156+Q156+S156+R156)</f>
        <v>3197.17</v>
      </c>
      <c r="CQ156" s="2">
        <f>ROUND(AL156*BC156,2)</f>
        <v>105.17</v>
      </c>
      <c r="CR156" s="2">
        <f>ROUND(AM156*BB156,2)</f>
        <v>0</v>
      </c>
      <c r="CS156" s="2">
        <f>ROUND(AN156*BS156,2)</f>
        <v>0</v>
      </c>
      <c r="CT156" s="2">
        <f>ROUND(AO156*BA156,2)</f>
        <v>0</v>
      </c>
      <c r="CU156" s="2">
        <f>AG156</f>
        <v>0</v>
      </c>
      <c r="CV156" s="2">
        <f>AH156</f>
        <v>0</v>
      </c>
      <c r="CW156" s="2">
        <f>AI156</f>
        <v>0</v>
      </c>
      <c r="CX156" s="2">
        <f>AJ156</f>
        <v>0</v>
      </c>
      <c r="CY156" s="2">
        <f>(((S156+R156)*AT156)/100)</f>
        <v>0</v>
      </c>
      <c r="CZ156" s="2">
        <f>(((S156+R156)*AU156)/100)</f>
        <v>0</v>
      </c>
      <c r="DA156" s="2"/>
      <c r="DB156" s="2"/>
      <c r="DC156" s="2" t="s">
        <v>3</v>
      </c>
      <c r="DD156" s="2" t="s">
        <v>3</v>
      </c>
      <c r="DE156" s="2" t="s">
        <v>3</v>
      </c>
      <c r="DF156" s="2" t="s">
        <v>3</v>
      </c>
      <c r="DG156" s="2" t="s">
        <v>3</v>
      </c>
      <c r="DH156" s="2" t="s">
        <v>3</v>
      </c>
      <c r="DI156" s="2" t="s">
        <v>3</v>
      </c>
      <c r="DJ156" s="2" t="s">
        <v>3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1009</v>
      </c>
      <c r="DV156" s="2" t="s">
        <v>40</v>
      </c>
      <c r="DW156" s="2" t="s">
        <v>40</v>
      </c>
      <c r="DX156" s="2">
        <v>1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89977019</v>
      </c>
      <c r="EF156" s="2">
        <v>2</v>
      </c>
      <c r="EG156" s="2" t="s">
        <v>26</v>
      </c>
      <c r="EH156" s="2">
        <v>15</v>
      </c>
      <c r="EI156" s="2" t="s">
        <v>27</v>
      </c>
      <c r="EJ156" s="2">
        <v>1</v>
      </c>
      <c r="EK156" s="2">
        <v>15001</v>
      </c>
      <c r="EL156" s="2" t="s">
        <v>27</v>
      </c>
      <c r="EM156" s="2" t="s">
        <v>28</v>
      </c>
      <c r="EN156" s="2"/>
      <c r="EO156" s="2" t="s">
        <v>3</v>
      </c>
      <c r="EP156" s="2"/>
      <c r="EQ156" s="2">
        <v>0</v>
      </c>
      <c r="ER156" s="2">
        <v>68.290000000000006</v>
      </c>
      <c r="ES156" s="2">
        <v>68.290000000000006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v>0</v>
      </c>
      <c r="FS156" s="2">
        <v>0</v>
      </c>
      <c r="FT156" s="2"/>
      <c r="FU156" s="2"/>
      <c r="FV156" s="2"/>
      <c r="FW156" s="2"/>
      <c r="FX156" s="2">
        <v>100</v>
      </c>
      <c r="FY156" s="2">
        <v>49</v>
      </c>
      <c r="FZ156" s="2"/>
      <c r="GA156" s="2" t="s">
        <v>3</v>
      </c>
      <c r="GB156" s="2"/>
      <c r="GC156" s="2"/>
      <c r="GD156" s="2">
        <v>1</v>
      </c>
      <c r="GE156" s="2"/>
      <c r="GF156" s="2">
        <v>1546742732</v>
      </c>
      <c r="GG156" s="2">
        <v>2</v>
      </c>
      <c r="GH156" s="2">
        <v>1</v>
      </c>
      <c r="GI156" s="2">
        <v>2</v>
      </c>
      <c r="GJ156" s="2">
        <v>0</v>
      </c>
      <c r="GK156" s="2">
        <v>0</v>
      </c>
      <c r="GL156" s="2">
        <f>ROUND(IF(AND(BH156=3,BI156=3,FS156&lt;&gt;0),P156,0),2)</f>
        <v>0</v>
      </c>
      <c r="GM156" s="2">
        <f>ROUND(O156+X156+Y156,2)+GX156</f>
        <v>3197.17</v>
      </c>
      <c r="GN156" s="2">
        <f>IF(OR(BI156=0,BI156=1),GM156-GX156,0)</f>
        <v>3197.17</v>
      </c>
      <c r="GO156" s="2">
        <f>IF(BI156=2,GM156-GX156,0)</f>
        <v>0</v>
      </c>
      <c r="GP156" s="2">
        <f>IF(BI156=4,GM156-GX156,0)</f>
        <v>0</v>
      </c>
      <c r="GQ156" s="2"/>
      <c r="GR156" s="2">
        <v>0</v>
      </c>
      <c r="GS156" s="2">
        <v>3</v>
      </c>
      <c r="GT156" s="2">
        <v>0</v>
      </c>
      <c r="GU156" s="2" t="s">
        <v>3</v>
      </c>
      <c r="GV156" s="2">
        <f>ROUND((GT156),6)</f>
        <v>0</v>
      </c>
      <c r="GW156" s="2">
        <v>1</v>
      </c>
      <c r="GX156" s="2">
        <f>ROUND(HC156*I156,2)</f>
        <v>0</v>
      </c>
      <c r="GY156" s="2"/>
      <c r="GZ156" s="2"/>
      <c r="HA156" s="2">
        <v>0</v>
      </c>
      <c r="HB156" s="2">
        <v>0</v>
      </c>
      <c r="HC156" s="2">
        <f>GV156*GW156</f>
        <v>0</v>
      </c>
      <c r="HD156" s="2"/>
      <c r="HE156" s="2" t="s">
        <v>3</v>
      </c>
      <c r="HF156" s="2" t="s">
        <v>3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30</v>
      </c>
      <c r="HO156" s="2" t="s">
        <v>31</v>
      </c>
      <c r="HP156" s="2" t="s">
        <v>27</v>
      </c>
      <c r="HQ156" s="2" t="s">
        <v>27</v>
      </c>
      <c r="HR156" s="2"/>
      <c r="HS156" s="2">
        <v>0</v>
      </c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8" spans="1:255" x14ac:dyDescent="0.2">
      <c r="A158" s="3">
        <v>51</v>
      </c>
      <c r="B158" s="3">
        <f>B150</f>
        <v>1</v>
      </c>
      <c r="C158" s="3">
        <f>A150</f>
        <v>4</v>
      </c>
      <c r="D158" s="3">
        <f>ROW(A150)</f>
        <v>150</v>
      </c>
      <c r="E158" s="3"/>
      <c r="F158" s="3" t="str">
        <f>IF(F150&lt;&gt;"",F150,"")</f>
        <v>Новый раздел</v>
      </c>
      <c r="G158" s="3" t="str">
        <f>IF(G150&lt;&gt;"",G150,"")</f>
        <v>помещение 500</v>
      </c>
      <c r="H158" s="3">
        <v>0</v>
      </c>
      <c r="I158" s="3"/>
      <c r="J158" s="3"/>
      <c r="K158" s="3"/>
      <c r="L158" s="3"/>
      <c r="M158" s="3"/>
      <c r="N158" s="3"/>
      <c r="O158" s="3">
        <f t="shared" ref="O158:T158" si="73">ROUND(AB158,2)</f>
        <v>50533.54</v>
      </c>
      <c r="P158" s="3">
        <f t="shared" si="73"/>
        <v>11728.95</v>
      </c>
      <c r="Q158" s="3">
        <f t="shared" si="73"/>
        <v>104.44</v>
      </c>
      <c r="R158" s="3">
        <f t="shared" si="73"/>
        <v>151.25</v>
      </c>
      <c r="S158" s="3">
        <f t="shared" si="73"/>
        <v>38548.9</v>
      </c>
      <c r="T158" s="3">
        <f t="shared" si="73"/>
        <v>0</v>
      </c>
      <c r="U158" s="3">
        <f>AH158</f>
        <v>57.212040000000002</v>
      </c>
      <c r="V158" s="3">
        <f>AI158</f>
        <v>0.20899999999999999</v>
      </c>
      <c r="W158" s="3">
        <f>ROUND(AJ158,2)</f>
        <v>0</v>
      </c>
      <c r="X158" s="3">
        <f>ROUND(AK158,2)</f>
        <v>34830.14</v>
      </c>
      <c r="Y158" s="3">
        <f>ROUND(AL158,2)</f>
        <v>16118.61</v>
      </c>
      <c r="Z158" s="3"/>
      <c r="AA158" s="3"/>
      <c r="AB158" s="3">
        <f>ROUND(SUMIF(AA154:AA156,"=94240533",O154:O156),2)</f>
        <v>50533.54</v>
      </c>
      <c r="AC158" s="3">
        <f>ROUND(SUMIF(AA154:AA156,"=94240533",P154:P156),2)</f>
        <v>11728.95</v>
      </c>
      <c r="AD158" s="3">
        <f>ROUND(SUMIF(AA154:AA156,"=94240533",Q154:Q156),2)</f>
        <v>104.44</v>
      </c>
      <c r="AE158" s="3">
        <f>ROUND(SUMIF(AA154:AA156,"=94240533",R154:R156),2)</f>
        <v>151.25</v>
      </c>
      <c r="AF158" s="3">
        <f>ROUND(SUMIF(AA154:AA156,"=94240533",S154:S156),2)</f>
        <v>38548.9</v>
      </c>
      <c r="AG158" s="3">
        <f>ROUND(SUMIF(AA154:AA156,"=94240533",T154:T156),2)</f>
        <v>0</v>
      </c>
      <c r="AH158" s="3">
        <f>SUMIF(AA154:AA156,"=94240533",U154:U156)</f>
        <v>57.212040000000002</v>
      </c>
      <c r="AI158" s="3">
        <f>SUMIF(AA154:AA156,"=94240533",V154:V156)</f>
        <v>0.20899999999999999</v>
      </c>
      <c r="AJ158" s="3">
        <f>ROUND(SUMIF(AA154:AA156,"=94240533",W154:W156),2)</f>
        <v>0</v>
      </c>
      <c r="AK158" s="3">
        <f>ROUND(SUMIF(AA154:AA156,"=94240533",X154:X156),2)</f>
        <v>34830.14</v>
      </c>
      <c r="AL158" s="3">
        <f>ROUND(SUMIF(AA154:AA156,"=94240533",Y154:Y156),2)</f>
        <v>16118.61</v>
      </c>
      <c r="AM158" s="3"/>
      <c r="AN158" s="3"/>
      <c r="AO158" s="3">
        <f t="shared" ref="AO158:BD158" si="74">ROUND(BX158,2)</f>
        <v>0</v>
      </c>
      <c r="AP158" s="3">
        <f t="shared" si="74"/>
        <v>0</v>
      </c>
      <c r="AQ158" s="3">
        <f t="shared" si="74"/>
        <v>0</v>
      </c>
      <c r="AR158" s="3">
        <f t="shared" si="74"/>
        <v>101482.29</v>
      </c>
      <c r="AS158" s="3">
        <f t="shared" si="74"/>
        <v>101482.29</v>
      </c>
      <c r="AT158" s="3">
        <f t="shared" si="74"/>
        <v>0</v>
      </c>
      <c r="AU158" s="3">
        <f t="shared" si="74"/>
        <v>0</v>
      </c>
      <c r="AV158" s="3">
        <f t="shared" si="74"/>
        <v>11728.95</v>
      </c>
      <c r="AW158" s="3">
        <f t="shared" si="74"/>
        <v>11728.95</v>
      </c>
      <c r="AX158" s="3">
        <f t="shared" si="74"/>
        <v>0</v>
      </c>
      <c r="AY158" s="3">
        <f t="shared" si="74"/>
        <v>11728.95</v>
      </c>
      <c r="AZ158" s="3">
        <f t="shared" si="74"/>
        <v>0</v>
      </c>
      <c r="BA158" s="3">
        <f t="shared" si="74"/>
        <v>0</v>
      </c>
      <c r="BB158" s="3">
        <f t="shared" si="74"/>
        <v>0</v>
      </c>
      <c r="BC158" s="3">
        <f t="shared" si="74"/>
        <v>0</v>
      </c>
      <c r="BD158" s="3">
        <f t="shared" si="74"/>
        <v>0</v>
      </c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>
        <f>ROUND(SUMIF(AA154:AA156,"=94240533",FQ154:FQ156),2)</f>
        <v>0</v>
      </c>
      <c r="BY158" s="3">
        <f>ROUND(SUMIF(AA154:AA156,"=94240533",FR154:FR156),2)</f>
        <v>0</v>
      </c>
      <c r="BZ158" s="3">
        <f>ROUND(SUMIF(AA154:AA156,"=94240533",GL154:GL156),2)</f>
        <v>0</v>
      </c>
      <c r="CA158" s="3">
        <f>ROUND(SUMIF(AA154:AA156,"=94240533",GM154:GM156),2)</f>
        <v>101482.29</v>
      </c>
      <c r="CB158" s="3">
        <f>ROUND(SUMIF(AA154:AA156,"=94240533",GN154:GN156),2)</f>
        <v>101482.29</v>
      </c>
      <c r="CC158" s="3">
        <f>ROUND(SUMIF(AA154:AA156,"=94240533",GO154:GO156),2)</f>
        <v>0</v>
      </c>
      <c r="CD158" s="3">
        <f>ROUND(SUMIF(AA154:AA156,"=94240533",GP154:GP156),2)</f>
        <v>0</v>
      </c>
      <c r="CE158" s="3">
        <f>AC158-BX158</f>
        <v>11728.95</v>
      </c>
      <c r="CF158" s="3">
        <f>AC158-BY158</f>
        <v>11728.95</v>
      </c>
      <c r="CG158" s="3">
        <f>BX158-BZ158</f>
        <v>0</v>
      </c>
      <c r="CH158" s="3">
        <f>AC158-BX158-BY158+BZ158</f>
        <v>11728.95</v>
      </c>
      <c r="CI158" s="3">
        <f>BY158-BZ158</f>
        <v>0</v>
      </c>
      <c r="CJ158" s="3">
        <f>ROUND(SUMIF(AA154:AA156,"=94240533",GX154:GX156),2)</f>
        <v>0</v>
      </c>
      <c r="CK158" s="3">
        <f>ROUND(SUMIF(AA154:AA156,"=94240533",GY154:GY156),2)</f>
        <v>0</v>
      </c>
      <c r="CL158" s="3">
        <f>ROUND(SUMIF(AA154:AA156,"=94240533",GZ154:GZ156),2)</f>
        <v>0</v>
      </c>
      <c r="CM158" s="3">
        <f>ROUND(SUMIF(AA154:AA156,"=94240533",HD154:HD156),2)</f>
        <v>0</v>
      </c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>
        <v>0</v>
      </c>
    </row>
    <row r="160" spans="1:255" x14ac:dyDescent="0.2">
      <c r="A160" s="5">
        <v>50</v>
      </c>
      <c r="B160" s="5">
        <v>0</v>
      </c>
      <c r="C160" s="5">
        <v>0</v>
      </c>
      <c r="D160" s="5">
        <v>1</v>
      </c>
      <c r="E160" s="5">
        <v>201</v>
      </c>
      <c r="F160" s="5">
        <f>ROUND(Source!O158,O160)</f>
        <v>50533.54</v>
      </c>
      <c r="G160" s="5" t="s">
        <v>42</v>
      </c>
      <c r="H160" s="5" t="s">
        <v>43</v>
      </c>
      <c r="I160" s="5"/>
      <c r="J160" s="5"/>
      <c r="K160" s="5">
        <v>201</v>
      </c>
      <c r="L160" s="5">
        <v>1</v>
      </c>
      <c r="M160" s="5">
        <v>3</v>
      </c>
      <c r="N160" s="5" t="s">
        <v>3</v>
      </c>
      <c r="O160" s="5">
        <v>2</v>
      </c>
      <c r="P160" s="5"/>
      <c r="Q160" s="5"/>
      <c r="R160" s="5"/>
      <c r="S160" s="5"/>
      <c r="T160" s="5"/>
      <c r="U160" s="5"/>
      <c r="V160" s="5"/>
      <c r="W160" s="5">
        <v>50533.54</v>
      </c>
      <c r="X160" s="5">
        <v>1</v>
      </c>
      <c r="Y160" s="5">
        <v>50533.54</v>
      </c>
      <c r="Z160" s="5"/>
      <c r="AA160" s="5"/>
      <c r="AB160" s="5"/>
    </row>
    <row r="161" spans="1:28" x14ac:dyDescent="0.2">
      <c r="A161" s="5">
        <v>50</v>
      </c>
      <c r="B161" s="5">
        <v>0</v>
      </c>
      <c r="C161" s="5">
        <v>0</v>
      </c>
      <c r="D161" s="5">
        <v>1</v>
      </c>
      <c r="E161" s="5">
        <v>202</v>
      </c>
      <c r="F161" s="5">
        <f>ROUND(Source!P158,O161)</f>
        <v>11728.95</v>
      </c>
      <c r="G161" s="5" t="s">
        <v>44</v>
      </c>
      <c r="H161" s="5" t="s">
        <v>45</v>
      </c>
      <c r="I161" s="5"/>
      <c r="J161" s="5"/>
      <c r="K161" s="5">
        <v>202</v>
      </c>
      <c r="L161" s="5">
        <v>2</v>
      </c>
      <c r="M161" s="5">
        <v>3</v>
      </c>
      <c r="N161" s="5" t="s">
        <v>3</v>
      </c>
      <c r="O161" s="5">
        <v>2</v>
      </c>
      <c r="P161" s="5"/>
      <c r="Q161" s="5"/>
      <c r="R161" s="5"/>
      <c r="S161" s="5"/>
      <c r="T161" s="5"/>
      <c r="U161" s="5"/>
      <c r="V161" s="5"/>
      <c r="W161" s="5">
        <v>11728.95</v>
      </c>
      <c r="X161" s="5">
        <v>1</v>
      </c>
      <c r="Y161" s="5">
        <v>11728.95</v>
      </c>
      <c r="Z161" s="5"/>
      <c r="AA161" s="5"/>
      <c r="AB161" s="5"/>
    </row>
    <row r="162" spans="1:28" x14ac:dyDescent="0.2">
      <c r="A162" s="5">
        <v>50</v>
      </c>
      <c r="B162" s="5">
        <v>0</v>
      </c>
      <c r="C162" s="5">
        <v>0</v>
      </c>
      <c r="D162" s="5">
        <v>1</v>
      </c>
      <c r="E162" s="5">
        <v>222</v>
      </c>
      <c r="F162" s="5">
        <f>ROUND(Source!AO158,O162)</f>
        <v>0</v>
      </c>
      <c r="G162" s="5" t="s">
        <v>46</v>
      </c>
      <c r="H162" s="5" t="s">
        <v>47</v>
      </c>
      <c r="I162" s="5"/>
      <c r="J162" s="5"/>
      <c r="K162" s="5">
        <v>222</v>
      </c>
      <c r="L162" s="5">
        <v>3</v>
      </c>
      <c r="M162" s="5">
        <v>3</v>
      </c>
      <c r="N162" s="5" t="s">
        <v>3</v>
      </c>
      <c r="O162" s="5">
        <v>2</v>
      </c>
      <c r="P162" s="5"/>
      <c r="Q162" s="5"/>
      <c r="R162" s="5"/>
      <c r="S162" s="5"/>
      <c r="T162" s="5"/>
      <c r="U162" s="5"/>
      <c r="V162" s="5"/>
      <c r="W162" s="5">
        <v>0</v>
      </c>
      <c r="X162" s="5">
        <v>1</v>
      </c>
      <c r="Y162" s="5">
        <v>0</v>
      </c>
      <c r="Z162" s="5"/>
      <c r="AA162" s="5"/>
      <c r="AB162" s="5"/>
    </row>
    <row r="163" spans="1:28" x14ac:dyDescent="0.2">
      <c r="A163" s="5">
        <v>50</v>
      </c>
      <c r="B163" s="5">
        <v>0</v>
      </c>
      <c r="C163" s="5">
        <v>0</v>
      </c>
      <c r="D163" s="5">
        <v>1</v>
      </c>
      <c r="E163" s="5">
        <v>225</v>
      </c>
      <c r="F163" s="5">
        <f>ROUND(Source!AV158,O163)</f>
        <v>11728.95</v>
      </c>
      <c r="G163" s="5" t="s">
        <v>48</v>
      </c>
      <c r="H163" s="5" t="s">
        <v>49</v>
      </c>
      <c r="I163" s="5"/>
      <c r="J163" s="5"/>
      <c r="K163" s="5">
        <v>225</v>
      </c>
      <c r="L163" s="5">
        <v>4</v>
      </c>
      <c r="M163" s="5">
        <v>3</v>
      </c>
      <c r="N163" s="5" t="s">
        <v>3</v>
      </c>
      <c r="O163" s="5">
        <v>2</v>
      </c>
      <c r="P163" s="5"/>
      <c r="Q163" s="5"/>
      <c r="R163" s="5"/>
      <c r="S163" s="5"/>
      <c r="T163" s="5"/>
      <c r="U163" s="5"/>
      <c r="V163" s="5"/>
      <c r="W163" s="5">
        <v>11728.95</v>
      </c>
      <c r="X163" s="5">
        <v>1</v>
      </c>
      <c r="Y163" s="5">
        <v>11728.95</v>
      </c>
      <c r="Z163" s="5"/>
      <c r="AA163" s="5"/>
      <c r="AB163" s="5"/>
    </row>
    <row r="164" spans="1:28" x14ac:dyDescent="0.2">
      <c r="A164" s="5">
        <v>50</v>
      </c>
      <c r="B164" s="5">
        <v>0</v>
      </c>
      <c r="C164" s="5">
        <v>0</v>
      </c>
      <c r="D164" s="5">
        <v>1</v>
      </c>
      <c r="E164" s="5">
        <v>226</v>
      </c>
      <c r="F164" s="5">
        <f>ROUND(Source!AW158,O164)</f>
        <v>11728.95</v>
      </c>
      <c r="G164" s="5" t="s">
        <v>50</v>
      </c>
      <c r="H164" s="5" t="s">
        <v>51</v>
      </c>
      <c r="I164" s="5"/>
      <c r="J164" s="5"/>
      <c r="K164" s="5">
        <v>226</v>
      </c>
      <c r="L164" s="5">
        <v>5</v>
      </c>
      <c r="M164" s="5">
        <v>3</v>
      </c>
      <c r="N164" s="5" t="s">
        <v>3</v>
      </c>
      <c r="O164" s="5">
        <v>2</v>
      </c>
      <c r="P164" s="5"/>
      <c r="Q164" s="5"/>
      <c r="R164" s="5"/>
      <c r="S164" s="5"/>
      <c r="T164" s="5"/>
      <c r="U164" s="5"/>
      <c r="V164" s="5"/>
      <c r="W164" s="5">
        <v>11728.95</v>
      </c>
      <c r="X164" s="5">
        <v>1</v>
      </c>
      <c r="Y164" s="5">
        <v>11728.95</v>
      </c>
      <c r="Z164" s="5"/>
      <c r="AA164" s="5"/>
      <c r="AB164" s="5"/>
    </row>
    <row r="165" spans="1:28" x14ac:dyDescent="0.2">
      <c r="A165" s="5">
        <v>50</v>
      </c>
      <c r="B165" s="5">
        <v>0</v>
      </c>
      <c r="C165" s="5">
        <v>0</v>
      </c>
      <c r="D165" s="5">
        <v>1</v>
      </c>
      <c r="E165" s="5">
        <v>227</v>
      </c>
      <c r="F165" s="5">
        <f>ROUND(Source!AX158,O165)</f>
        <v>0</v>
      </c>
      <c r="G165" s="5" t="s">
        <v>52</v>
      </c>
      <c r="H165" s="5" t="s">
        <v>53</v>
      </c>
      <c r="I165" s="5"/>
      <c r="J165" s="5"/>
      <c r="K165" s="5">
        <v>227</v>
      </c>
      <c r="L165" s="5">
        <v>6</v>
      </c>
      <c r="M165" s="5">
        <v>3</v>
      </c>
      <c r="N165" s="5" t="s">
        <v>3</v>
      </c>
      <c r="O165" s="5">
        <v>2</v>
      </c>
      <c r="P165" s="5"/>
      <c r="Q165" s="5"/>
      <c r="R165" s="5"/>
      <c r="S165" s="5"/>
      <c r="T165" s="5"/>
      <c r="U165" s="5"/>
      <c r="V165" s="5"/>
      <c r="W165" s="5">
        <v>0</v>
      </c>
      <c r="X165" s="5">
        <v>1</v>
      </c>
      <c r="Y165" s="5">
        <v>0</v>
      </c>
      <c r="Z165" s="5"/>
      <c r="AA165" s="5"/>
      <c r="AB165" s="5"/>
    </row>
    <row r="166" spans="1:28" x14ac:dyDescent="0.2">
      <c r="A166" s="5">
        <v>50</v>
      </c>
      <c r="B166" s="5">
        <v>0</v>
      </c>
      <c r="C166" s="5">
        <v>0</v>
      </c>
      <c r="D166" s="5">
        <v>1</v>
      </c>
      <c r="E166" s="5">
        <v>228</v>
      </c>
      <c r="F166" s="5">
        <f>ROUND(Source!AY158,O166)</f>
        <v>11728.95</v>
      </c>
      <c r="G166" s="5" t="s">
        <v>54</v>
      </c>
      <c r="H166" s="5" t="s">
        <v>55</v>
      </c>
      <c r="I166" s="5"/>
      <c r="J166" s="5"/>
      <c r="K166" s="5">
        <v>228</v>
      </c>
      <c r="L166" s="5">
        <v>7</v>
      </c>
      <c r="M166" s="5">
        <v>3</v>
      </c>
      <c r="N166" s="5" t="s">
        <v>3</v>
      </c>
      <c r="O166" s="5">
        <v>2</v>
      </c>
      <c r="P166" s="5"/>
      <c r="Q166" s="5"/>
      <c r="R166" s="5"/>
      <c r="S166" s="5"/>
      <c r="T166" s="5"/>
      <c r="U166" s="5"/>
      <c r="V166" s="5"/>
      <c r="W166" s="5">
        <v>11728.95</v>
      </c>
      <c r="X166" s="5">
        <v>1</v>
      </c>
      <c r="Y166" s="5">
        <v>11728.95</v>
      </c>
      <c r="Z166" s="5"/>
      <c r="AA166" s="5"/>
      <c r="AB166" s="5"/>
    </row>
    <row r="167" spans="1:28" x14ac:dyDescent="0.2">
      <c r="A167" s="5">
        <v>50</v>
      </c>
      <c r="B167" s="5">
        <v>0</v>
      </c>
      <c r="C167" s="5">
        <v>0</v>
      </c>
      <c r="D167" s="5">
        <v>1</v>
      </c>
      <c r="E167" s="5">
        <v>216</v>
      </c>
      <c r="F167" s="5">
        <f>ROUND(Source!AP158,O167)</f>
        <v>0</v>
      </c>
      <c r="G167" s="5" t="s">
        <v>56</v>
      </c>
      <c r="H167" s="5" t="s">
        <v>57</v>
      </c>
      <c r="I167" s="5"/>
      <c r="J167" s="5"/>
      <c r="K167" s="5">
        <v>216</v>
      </c>
      <c r="L167" s="5">
        <v>8</v>
      </c>
      <c r="M167" s="5">
        <v>3</v>
      </c>
      <c r="N167" s="5" t="s">
        <v>3</v>
      </c>
      <c r="O167" s="5">
        <v>2</v>
      </c>
      <c r="P167" s="5"/>
      <c r="Q167" s="5"/>
      <c r="R167" s="5"/>
      <c r="S167" s="5"/>
      <c r="T167" s="5"/>
      <c r="U167" s="5"/>
      <c r="V167" s="5"/>
      <c r="W167" s="5">
        <v>0</v>
      </c>
      <c r="X167" s="5">
        <v>1</v>
      </c>
      <c r="Y167" s="5">
        <v>0</v>
      </c>
      <c r="Z167" s="5"/>
      <c r="AA167" s="5"/>
      <c r="AB167" s="5"/>
    </row>
    <row r="168" spans="1:28" x14ac:dyDescent="0.2">
      <c r="A168" s="5">
        <v>50</v>
      </c>
      <c r="B168" s="5">
        <v>0</v>
      </c>
      <c r="C168" s="5">
        <v>0</v>
      </c>
      <c r="D168" s="5">
        <v>1</v>
      </c>
      <c r="E168" s="5">
        <v>223</v>
      </c>
      <c r="F168" s="5">
        <f>ROUND(Source!AQ158,O168)</f>
        <v>0</v>
      </c>
      <c r="G168" s="5" t="s">
        <v>58</v>
      </c>
      <c r="H168" s="5" t="s">
        <v>59</v>
      </c>
      <c r="I168" s="5"/>
      <c r="J168" s="5"/>
      <c r="K168" s="5">
        <v>223</v>
      </c>
      <c r="L168" s="5">
        <v>9</v>
      </c>
      <c r="M168" s="5">
        <v>3</v>
      </c>
      <c r="N168" s="5" t="s">
        <v>3</v>
      </c>
      <c r="O168" s="5">
        <v>2</v>
      </c>
      <c r="P168" s="5"/>
      <c r="Q168" s="5"/>
      <c r="R168" s="5"/>
      <c r="S168" s="5"/>
      <c r="T168" s="5"/>
      <c r="U168" s="5"/>
      <c r="V168" s="5"/>
      <c r="W168" s="5">
        <v>0</v>
      </c>
      <c r="X168" s="5">
        <v>1</v>
      </c>
      <c r="Y168" s="5">
        <v>0</v>
      </c>
      <c r="Z168" s="5"/>
      <c r="AA168" s="5"/>
      <c r="AB168" s="5"/>
    </row>
    <row r="169" spans="1:28" x14ac:dyDescent="0.2">
      <c r="A169" s="5">
        <v>50</v>
      </c>
      <c r="B169" s="5">
        <v>0</v>
      </c>
      <c r="C169" s="5">
        <v>0</v>
      </c>
      <c r="D169" s="5">
        <v>1</v>
      </c>
      <c r="E169" s="5">
        <v>229</v>
      </c>
      <c r="F169" s="5">
        <f>ROUND(Source!AZ158,O169)</f>
        <v>0</v>
      </c>
      <c r="G169" s="5" t="s">
        <v>60</v>
      </c>
      <c r="H169" s="5" t="s">
        <v>61</v>
      </c>
      <c r="I169" s="5"/>
      <c r="J169" s="5"/>
      <c r="K169" s="5">
        <v>229</v>
      </c>
      <c r="L169" s="5">
        <v>10</v>
      </c>
      <c r="M169" s="5">
        <v>3</v>
      </c>
      <c r="N169" s="5" t="s">
        <v>3</v>
      </c>
      <c r="O169" s="5">
        <v>2</v>
      </c>
      <c r="P169" s="5"/>
      <c r="Q169" s="5"/>
      <c r="R169" s="5"/>
      <c r="S169" s="5"/>
      <c r="T169" s="5"/>
      <c r="U169" s="5"/>
      <c r="V169" s="5"/>
      <c r="W169" s="5">
        <v>0</v>
      </c>
      <c r="X169" s="5">
        <v>1</v>
      </c>
      <c r="Y169" s="5">
        <v>0</v>
      </c>
      <c r="Z169" s="5"/>
      <c r="AA169" s="5"/>
      <c r="AB169" s="5"/>
    </row>
    <row r="170" spans="1:28" x14ac:dyDescent="0.2">
      <c r="A170" s="5">
        <v>50</v>
      </c>
      <c r="B170" s="5">
        <v>0</v>
      </c>
      <c r="C170" s="5">
        <v>0</v>
      </c>
      <c r="D170" s="5">
        <v>1</v>
      </c>
      <c r="E170" s="5">
        <v>203</v>
      </c>
      <c r="F170" s="5">
        <f>ROUND(Source!Q158,O170)</f>
        <v>104.44</v>
      </c>
      <c r="G170" s="5" t="s">
        <v>62</v>
      </c>
      <c r="H170" s="5" t="s">
        <v>63</v>
      </c>
      <c r="I170" s="5"/>
      <c r="J170" s="5"/>
      <c r="K170" s="5">
        <v>203</v>
      </c>
      <c r="L170" s="5">
        <v>11</v>
      </c>
      <c r="M170" s="5">
        <v>3</v>
      </c>
      <c r="N170" s="5" t="s">
        <v>3</v>
      </c>
      <c r="O170" s="5">
        <v>2</v>
      </c>
      <c r="P170" s="5"/>
      <c r="Q170" s="5"/>
      <c r="R170" s="5"/>
      <c r="S170" s="5"/>
      <c r="T170" s="5"/>
      <c r="U170" s="5"/>
      <c r="V170" s="5"/>
      <c r="W170" s="5">
        <v>104.44</v>
      </c>
      <c r="X170" s="5">
        <v>1</v>
      </c>
      <c r="Y170" s="5">
        <v>104.44</v>
      </c>
      <c r="Z170" s="5"/>
      <c r="AA170" s="5"/>
      <c r="AB170" s="5"/>
    </row>
    <row r="171" spans="1:28" x14ac:dyDescent="0.2">
      <c r="A171" s="5">
        <v>50</v>
      </c>
      <c r="B171" s="5">
        <v>0</v>
      </c>
      <c r="C171" s="5">
        <v>0</v>
      </c>
      <c r="D171" s="5">
        <v>1</v>
      </c>
      <c r="E171" s="5">
        <v>231</v>
      </c>
      <c r="F171" s="5">
        <f>ROUND(Source!BB158,O171)</f>
        <v>0</v>
      </c>
      <c r="G171" s="5" t="s">
        <v>64</v>
      </c>
      <c r="H171" s="5" t="s">
        <v>65</v>
      </c>
      <c r="I171" s="5"/>
      <c r="J171" s="5"/>
      <c r="K171" s="5">
        <v>231</v>
      </c>
      <c r="L171" s="5">
        <v>12</v>
      </c>
      <c r="M171" s="5">
        <v>3</v>
      </c>
      <c r="N171" s="5" t="s">
        <v>3</v>
      </c>
      <c r="O171" s="5">
        <v>2</v>
      </c>
      <c r="P171" s="5"/>
      <c r="Q171" s="5"/>
      <c r="R171" s="5"/>
      <c r="S171" s="5"/>
      <c r="T171" s="5"/>
      <c r="U171" s="5"/>
      <c r="V171" s="5"/>
      <c r="W171" s="5">
        <v>0</v>
      </c>
      <c r="X171" s="5">
        <v>1</v>
      </c>
      <c r="Y171" s="5">
        <v>0</v>
      </c>
      <c r="Z171" s="5"/>
      <c r="AA171" s="5"/>
      <c r="AB171" s="5"/>
    </row>
    <row r="172" spans="1:28" x14ac:dyDescent="0.2">
      <c r="A172" s="5">
        <v>50</v>
      </c>
      <c r="B172" s="5">
        <v>0</v>
      </c>
      <c r="C172" s="5">
        <v>0</v>
      </c>
      <c r="D172" s="5">
        <v>1</v>
      </c>
      <c r="E172" s="5">
        <v>204</v>
      </c>
      <c r="F172" s="5">
        <f>ROUND(Source!R158,O172)</f>
        <v>151.25</v>
      </c>
      <c r="G172" s="5" t="s">
        <v>66</v>
      </c>
      <c r="H172" s="5" t="s">
        <v>67</v>
      </c>
      <c r="I172" s="5"/>
      <c r="J172" s="5"/>
      <c r="K172" s="5">
        <v>204</v>
      </c>
      <c r="L172" s="5">
        <v>13</v>
      </c>
      <c r="M172" s="5">
        <v>3</v>
      </c>
      <c r="N172" s="5" t="s">
        <v>3</v>
      </c>
      <c r="O172" s="5">
        <v>2</v>
      </c>
      <c r="P172" s="5"/>
      <c r="Q172" s="5"/>
      <c r="R172" s="5"/>
      <c r="S172" s="5"/>
      <c r="T172" s="5"/>
      <c r="U172" s="5"/>
      <c r="V172" s="5"/>
      <c r="W172" s="5">
        <v>151.25</v>
      </c>
      <c r="X172" s="5">
        <v>1</v>
      </c>
      <c r="Y172" s="5">
        <v>151.25</v>
      </c>
      <c r="Z172" s="5"/>
      <c r="AA172" s="5"/>
      <c r="AB172" s="5"/>
    </row>
    <row r="173" spans="1:28" x14ac:dyDescent="0.2">
      <c r="A173" s="5">
        <v>50</v>
      </c>
      <c r="B173" s="5">
        <v>0</v>
      </c>
      <c r="C173" s="5">
        <v>0</v>
      </c>
      <c r="D173" s="5">
        <v>1</v>
      </c>
      <c r="E173" s="5">
        <v>205</v>
      </c>
      <c r="F173" s="5">
        <f>ROUND(Source!S158,O173)</f>
        <v>38548.9</v>
      </c>
      <c r="G173" s="5" t="s">
        <v>68</v>
      </c>
      <c r="H173" s="5" t="s">
        <v>69</v>
      </c>
      <c r="I173" s="5"/>
      <c r="J173" s="5"/>
      <c r="K173" s="5">
        <v>205</v>
      </c>
      <c r="L173" s="5">
        <v>14</v>
      </c>
      <c r="M173" s="5">
        <v>3</v>
      </c>
      <c r="N173" s="5" t="s">
        <v>3</v>
      </c>
      <c r="O173" s="5">
        <v>2</v>
      </c>
      <c r="P173" s="5"/>
      <c r="Q173" s="5"/>
      <c r="R173" s="5"/>
      <c r="S173" s="5"/>
      <c r="T173" s="5"/>
      <c r="U173" s="5"/>
      <c r="V173" s="5"/>
      <c r="W173" s="5">
        <v>38548.9</v>
      </c>
      <c r="X173" s="5">
        <v>1</v>
      </c>
      <c r="Y173" s="5">
        <v>38548.9</v>
      </c>
      <c r="Z173" s="5"/>
      <c r="AA173" s="5"/>
      <c r="AB173" s="5"/>
    </row>
    <row r="174" spans="1:28" x14ac:dyDescent="0.2">
      <c r="A174" s="5">
        <v>50</v>
      </c>
      <c r="B174" s="5">
        <v>0</v>
      </c>
      <c r="C174" s="5">
        <v>0</v>
      </c>
      <c r="D174" s="5">
        <v>1</v>
      </c>
      <c r="E174" s="5">
        <v>232</v>
      </c>
      <c r="F174" s="5">
        <f>ROUND(Source!BC158,O174)</f>
        <v>0</v>
      </c>
      <c r="G174" s="5" t="s">
        <v>70</v>
      </c>
      <c r="H174" s="5" t="s">
        <v>71</v>
      </c>
      <c r="I174" s="5"/>
      <c r="J174" s="5"/>
      <c r="K174" s="5">
        <v>232</v>
      </c>
      <c r="L174" s="5">
        <v>15</v>
      </c>
      <c r="M174" s="5">
        <v>3</v>
      </c>
      <c r="N174" s="5" t="s">
        <v>3</v>
      </c>
      <c r="O174" s="5">
        <v>2</v>
      </c>
      <c r="P174" s="5"/>
      <c r="Q174" s="5"/>
      <c r="R174" s="5"/>
      <c r="S174" s="5"/>
      <c r="T174" s="5"/>
      <c r="U174" s="5"/>
      <c r="V174" s="5"/>
      <c r="W174" s="5">
        <v>0</v>
      </c>
      <c r="X174" s="5">
        <v>1</v>
      </c>
      <c r="Y174" s="5">
        <v>0</v>
      </c>
      <c r="Z174" s="5"/>
      <c r="AA174" s="5"/>
      <c r="AB174" s="5"/>
    </row>
    <row r="175" spans="1:28" x14ac:dyDescent="0.2">
      <c r="A175" s="5">
        <v>50</v>
      </c>
      <c r="B175" s="5">
        <v>0</v>
      </c>
      <c r="C175" s="5">
        <v>0</v>
      </c>
      <c r="D175" s="5">
        <v>1</v>
      </c>
      <c r="E175" s="5">
        <v>214</v>
      </c>
      <c r="F175" s="5">
        <f>ROUND(Source!AS158,O175)</f>
        <v>101482.29</v>
      </c>
      <c r="G175" s="5" t="s">
        <v>72</v>
      </c>
      <c r="H175" s="5" t="s">
        <v>73</v>
      </c>
      <c r="I175" s="5"/>
      <c r="J175" s="5"/>
      <c r="K175" s="5">
        <v>214</v>
      </c>
      <c r="L175" s="5">
        <v>16</v>
      </c>
      <c r="M175" s="5">
        <v>3</v>
      </c>
      <c r="N175" s="5" t="s">
        <v>3</v>
      </c>
      <c r="O175" s="5">
        <v>2</v>
      </c>
      <c r="P175" s="5"/>
      <c r="Q175" s="5"/>
      <c r="R175" s="5"/>
      <c r="S175" s="5"/>
      <c r="T175" s="5"/>
      <c r="U175" s="5"/>
      <c r="V175" s="5"/>
      <c r="W175" s="5">
        <v>101482.29</v>
      </c>
      <c r="X175" s="5">
        <v>1</v>
      </c>
      <c r="Y175" s="5">
        <v>101482.29</v>
      </c>
      <c r="Z175" s="5"/>
      <c r="AA175" s="5"/>
      <c r="AB175" s="5"/>
    </row>
    <row r="176" spans="1:28" x14ac:dyDescent="0.2">
      <c r="A176" s="5">
        <v>50</v>
      </c>
      <c r="B176" s="5">
        <v>0</v>
      </c>
      <c r="C176" s="5">
        <v>0</v>
      </c>
      <c r="D176" s="5">
        <v>1</v>
      </c>
      <c r="E176" s="5">
        <v>215</v>
      </c>
      <c r="F176" s="5">
        <f>ROUND(Source!AT158,O176)</f>
        <v>0</v>
      </c>
      <c r="G176" s="5" t="s">
        <v>74</v>
      </c>
      <c r="H176" s="5" t="s">
        <v>75</v>
      </c>
      <c r="I176" s="5"/>
      <c r="J176" s="5"/>
      <c r="K176" s="5">
        <v>215</v>
      </c>
      <c r="L176" s="5">
        <v>17</v>
      </c>
      <c r="M176" s="5">
        <v>3</v>
      </c>
      <c r="N176" s="5" t="s">
        <v>3</v>
      </c>
      <c r="O176" s="5">
        <v>2</v>
      </c>
      <c r="P176" s="5"/>
      <c r="Q176" s="5"/>
      <c r="R176" s="5"/>
      <c r="S176" s="5"/>
      <c r="T176" s="5"/>
      <c r="U176" s="5"/>
      <c r="V176" s="5"/>
      <c r="W176" s="5">
        <v>0</v>
      </c>
      <c r="X176" s="5">
        <v>1</v>
      </c>
      <c r="Y176" s="5">
        <v>0</v>
      </c>
      <c r="Z176" s="5"/>
      <c r="AA176" s="5"/>
      <c r="AB176" s="5"/>
    </row>
    <row r="177" spans="1:255" x14ac:dyDescent="0.2">
      <c r="A177" s="5">
        <v>50</v>
      </c>
      <c r="B177" s="5">
        <v>0</v>
      </c>
      <c r="C177" s="5">
        <v>0</v>
      </c>
      <c r="D177" s="5">
        <v>1</v>
      </c>
      <c r="E177" s="5">
        <v>217</v>
      </c>
      <c r="F177" s="5">
        <f>ROUND(Source!AU158,O177)</f>
        <v>0</v>
      </c>
      <c r="G177" s="5" t="s">
        <v>76</v>
      </c>
      <c r="H177" s="5" t="s">
        <v>77</v>
      </c>
      <c r="I177" s="5"/>
      <c r="J177" s="5"/>
      <c r="K177" s="5">
        <v>217</v>
      </c>
      <c r="L177" s="5">
        <v>18</v>
      </c>
      <c r="M177" s="5">
        <v>3</v>
      </c>
      <c r="N177" s="5" t="s">
        <v>3</v>
      </c>
      <c r="O177" s="5">
        <v>2</v>
      </c>
      <c r="P177" s="5"/>
      <c r="Q177" s="5"/>
      <c r="R177" s="5"/>
      <c r="S177" s="5"/>
      <c r="T177" s="5"/>
      <c r="U177" s="5"/>
      <c r="V177" s="5"/>
      <c r="W177" s="5">
        <v>0</v>
      </c>
      <c r="X177" s="5">
        <v>1</v>
      </c>
      <c r="Y177" s="5">
        <v>0</v>
      </c>
      <c r="Z177" s="5"/>
      <c r="AA177" s="5"/>
      <c r="AB177" s="5"/>
    </row>
    <row r="178" spans="1:255" x14ac:dyDescent="0.2">
      <c r="A178" s="5">
        <v>50</v>
      </c>
      <c r="B178" s="5">
        <v>0</v>
      </c>
      <c r="C178" s="5">
        <v>0</v>
      </c>
      <c r="D178" s="5">
        <v>1</v>
      </c>
      <c r="E178" s="5">
        <v>230</v>
      </c>
      <c r="F178" s="5">
        <f>ROUND(Source!BA158,O178)</f>
        <v>0</v>
      </c>
      <c r="G178" s="5" t="s">
        <v>78</v>
      </c>
      <c r="H178" s="5" t="s">
        <v>79</v>
      </c>
      <c r="I178" s="5"/>
      <c r="J178" s="5"/>
      <c r="K178" s="5">
        <v>230</v>
      </c>
      <c r="L178" s="5">
        <v>19</v>
      </c>
      <c r="M178" s="5">
        <v>3</v>
      </c>
      <c r="N178" s="5" t="s">
        <v>3</v>
      </c>
      <c r="O178" s="5">
        <v>2</v>
      </c>
      <c r="P178" s="5"/>
      <c r="Q178" s="5"/>
      <c r="R178" s="5"/>
      <c r="S178" s="5"/>
      <c r="T178" s="5"/>
      <c r="U178" s="5"/>
      <c r="V178" s="5"/>
      <c r="W178" s="5">
        <v>0</v>
      </c>
      <c r="X178" s="5">
        <v>1</v>
      </c>
      <c r="Y178" s="5">
        <v>0</v>
      </c>
      <c r="Z178" s="5"/>
      <c r="AA178" s="5"/>
      <c r="AB178" s="5"/>
    </row>
    <row r="179" spans="1:255" x14ac:dyDescent="0.2">
      <c r="A179" s="5">
        <v>50</v>
      </c>
      <c r="B179" s="5">
        <v>0</v>
      </c>
      <c r="C179" s="5">
        <v>0</v>
      </c>
      <c r="D179" s="5">
        <v>1</v>
      </c>
      <c r="E179" s="5">
        <v>206</v>
      </c>
      <c r="F179" s="5">
        <f>ROUND(Source!T158,O179)</f>
        <v>0</v>
      </c>
      <c r="G179" s="5" t="s">
        <v>80</v>
      </c>
      <c r="H179" s="5" t="s">
        <v>81</v>
      </c>
      <c r="I179" s="5"/>
      <c r="J179" s="5"/>
      <c r="K179" s="5">
        <v>206</v>
      </c>
      <c r="L179" s="5">
        <v>20</v>
      </c>
      <c r="M179" s="5">
        <v>3</v>
      </c>
      <c r="N179" s="5" t="s">
        <v>3</v>
      </c>
      <c r="O179" s="5">
        <v>2</v>
      </c>
      <c r="P179" s="5"/>
      <c r="Q179" s="5"/>
      <c r="R179" s="5"/>
      <c r="S179" s="5"/>
      <c r="T179" s="5"/>
      <c r="U179" s="5"/>
      <c r="V179" s="5"/>
      <c r="W179" s="5">
        <v>0</v>
      </c>
      <c r="X179" s="5">
        <v>1</v>
      </c>
      <c r="Y179" s="5">
        <v>0</v>
      </c>
      <c r="Z179" s="5"/>
      <c r="AA179" s="5"/>
      <c r="AB179" s="5"/>
    </row>
    <row r="180" spans="1:255" x14ac:dyDescent="0.2">
      <c r="A180" s="5">
        <v>50</v>
      </c>
      <c r="B180" s="5">
        <v>0</v>
      </c>
      <c r="C180" s="5">
        <v>0</v>
      </c>
      <c r="D180" s="5">
        <v>1</v>
      </c>
      <c r="E180" s="5">
        <v>207</v>
      </c>
      <c r="F180" s="5">
        <f>ROUND(Source!U158,O180)</f>
        <v>57.212040000000002</v>
      </c>
      <c r="G180" s="5" t="s">
        <v>82</v>
      </c>
      <c r="H180" s="5" t="s">
        <v>83</v>
      </c>
      <c r="I180" s="5"/>
      <c r="J180" s="5"/>
      <c r="K180" s="5">
        <v>207</v>
      </c>
      <c r="L180" s="5">
        <v>21</v>
      </c>
      <c r="M180" s="5">
        <v>3</v>
      </c>
      <c r="N180" s="5" t="s">
        <v>3</v>
      </c>
      <c r="O180" s="5">
        <v>7</v>
      </c>
      <c r="P180" s="5"/>
      <c r="Q180" s="5"/>
      <c r="R180" s="5"/>
      <c r="S180" s="5"/>
      <c r="T180" s="5"/>
      <c r="U180" s="5"/>
      <c r="V180" s="5"/>
      <c r="W180" s="5">
        <v>57.212040000000002</v>
      </c>
      <c r="X180" s="5">
        <v>1</v>
      </c>
      <c r="Y180" s="5">
        <v>57.212040000000002</v>
      </c>
      <c r="Z180" s="5"/>
      <c r="AA180" s="5"/>
      <c r="AB180" s="5"/>
    </row>
    <row r="181" spans="1:255" x14ac:dyDescent="0.2">
      <c r="A181" s="5">
        <v>50</v>
      </c>
      <c r="B181" s="5">
        <v>0</v>
      </c>
      <c r="C181" s="5">
        <v>0</v>
      </c>
      <c r="D181" s="5">
        <v>1</v>
      </c>
      <c r="E181" s="5">
        <v>208</v>
      </c>
      <c r="F181" s="5">
        <f>ROUND(Source!V158,O181)</f>
        <v>0.20899999999999999</v>
      </c>
      <c r="G181" s="5" t="s">
        <v>84</v>
      </c>
      <c r="H181" s="5" t="s">
        <v>85</v>
      </c>
      <c r="I181" s="5"/>
      <c r="J181" s="5"/>
      <c r="K181" s="5">
        <v>208</v>
      </c>
      <c r="L181" s="5">
        <v>22</v>
      </c>
      <c r="M181" s="5">
        <v>3</v>
      </c>
      <c r="N181" s="5" t="s">
        <v>3</v>
      </c>
      <c r="O181" s="5">
        <v>7</v>
      </c>
      <c r="P181" s="5"/>
      <c r="Q181" s="5"/>
      <c r="R181" s="5"/>
      <c r="S181" s="5"/>
      <c r="T181" s="5"/>
      <c r="U181" s="5"/>
      <c r="V181" s="5"/>
      <c r="W181" s="5">
        <v>0.20899999999999999</v>
      </c>
      <c r="X181" s="5">
        <v>1</v>
      </c>
      <c r="Y181" s="5">
        <v>0.20899999999999999</v>
      </c>
      <c r="Z181" s="5"/>
      <c r="AA181" s="5"/>
      <c r="AB181" s="5"/>
    </row>
    <row r="182" spans="1:255" x14ac:dyDescent="0.2">
      <c r="A182" s="5">
        <v>50</v>
      </c>
      <c r="B182" s="5">
        <v>0</v>
      </c>
      <c r="C182" s="5">
        <v>0</v>
      </c>
      <c r="D182" s="5">
        <v>1</v>
      </c>
      <c r="E182" s="5">
        <v>209</v>
      </c>
      <c r="F182" s="5">
        <f>ROUND(Source!W158,O182)</f>
        <v>0</v>
      </c>
      <c r="G182" s="5" t="s">
        <v>86</v>
      </c>
      <c r="H182" s="5" t="s">
        <v>87</v>
      </c>
      <c r="I182" s="5"/>
      <c r="J182" s="5"/>
      <c r="K182" s="5">
        <v>209</v>
      </c>
      <c r="L182" s="5">
        <v>23</v>
      </c>
      <c r="M182" s="5">
        <v>3</v>
      </c>
      <c r="N182" s="5" t="s">
        <v>3</v>
      </c>
      <c r="O182" s="5">
        <v>2</v>
      </c>
      <c r="P182" s="5"/>
      <c r="Q182" s="5"/>
      <c r="R182" s="5"/>
      <c r="S182" s="5"/>
      <c r="T182" s="5"/>
      <c r="U182" s="5"/>
      <c r="V182" s="5"/>
      <c r="W182" s="5">
        <v>0</v>
      </c>
      <c r="X182" s="5">
        <v>1</v>
      </c>
      <c r="Y182" s="5">
        <v>0</v>
      </c>
      <c r="Z182" s="5"/>
      <c r="AA182" s="5"/>
      <c r="AB182" s="5"/>
    </row>
    <row r="183" spans="1:255" x14ac:dyDescent="0.2">
      <c r="A183" s="5">
        <v>50</v>
      </c>
      <c r="B183" s="5">
        <v>0</v>
      </c>
      <c r="C183" s="5">
        <v>0</v>
      </c>
      <c r="D183" s="5">
        <v>1</v>
      </c>
      <c r="E183" s="5">
        <v>233</v>
      </c>
      <c r="F183" s="5">
        <f>ROUND(Source!BD158,O183)</f>
        <v>0</v>
      </c>
      <c r="G183" s="5" t="s">
        <v>88</v>
      </c>
      <c r="H183" s="5" t="s">
        <v>89</v>
      </c>
      <c r="I183" s="5"/>
      <c r="J183" s="5"/>
      <c r="K183" s="5">
        <v>233</v>
      </c>
      <c r="L183" s="5">
        <v>24</v>
      </c>
      <c r="M183" s="5">
        <v>3</v>
      </c>
      <c r="N183" s="5" t="s">
        <v>3</v>
      </c>
      <c r="O183" s="5">
        <v>2</v>
      </c>
      <c r="P183" s="5"/>
      <c r="Q183" s="5"/>
      <c r="R183" s="5"/>
      <c r="S183" s="5"/>
      <c r="T183" s="5"/>
      <c r="U183" s="5"/>
      <c r="V183" s="5"/>
      <c r="W183" s="5">
        <v>0</v>
      </c>
      <c r="X183" s="5">
        <v>1</v>
      </c>
      <c r="Y183" s="5">
        <v>0</v>
      </c>
      <c r="Z183" s="5"/>
      <c r="AA183" s="5"/>
      <c r="AB183" s="5"/>
    </row>
    <row r="184" spans="1:255" x14ac:dyDescent="0.2">
      <c r="A184" s="5">
        <v>50</v>
      </c>
      <c r="B184" s="5">
        <v>0</v>
      </c>
      <c r="C184" s="5">
        <v>0</v>
      </c>
      <c r="D184" s="5">
        <v>1</v>
      </c>
      <c r="E184" s="5">
        <v>210</v>
      </c>
      <c r="F184" s="5">
        <f>ROUND(Source!X158,O184)</f>
        <v>34830.14</v>
      </c>
      <c r="G184" s="5" t="s">
        <v>90</v>
      </c>
      <c r="H184" s="5" t="s">
        <v>91</v>
      </c>
      <c r="I184" s="5"/>
      <c r="J184" s="5"/>
      <c r="K184" s="5">
        <v>210</v>
      </c>
      <c r="L184" s="5">
        <v>25</v>
      </c>
      <c r="M184" s="5">
        <v>3</v>
      </c>
      <c r="N184" s="5" t="s">
        <v>3</v>
      </c>
      <c r="O184" s="5">
        <v>2</v>
      </c>
      <c r="P184" s="5"/>
      <c r="Q184" s="5"/>
      <c r="R184" s="5"/>
      <c r="S184" s="5"/>
      <c r="T184" s="5"/>
      <c r="U184" s="5"/>
      <c r="V184" s="5"/>
      <c r="W184" s="5">
        <v>34830.14</v>
      </c>
      <c r="X184" s="5">
        <v>1</v>
      </c>
      <c r="Y184" s="5">
        <v>34830.14</v>
      </c>
      <c r="Z184" s="5"/>
      <c r="AA184" s="5"/>
      <c r="AB184" s="5"/>
    </row>
    <row r="185" spans="1:255" x14ac:dyDescent="0.2">
      <c r="A185" s="5">
        <v>50</v>
      </c>
      <c r="B185" s="5">
        <v>0</v>
      </c>
      <c r="C185" s="5">
        <v>0</v>
      </c>
      <c r="D185" s="5">
        <v>1</v>
      </c>
      <c r="E185" s="5">
        <v>211</v>
      </c>
      <c r="F185" s="5">
        <f>ROUND(Source!Y158,O185)</f>
        <v>16118.61</v>
      </c>
      <c r="G185" s="5" t="s">
        <v>92</v>
      </c>
      <c r="H185" s="5" t="s">
        <v>93</v>
      </c>
      <c r="I185" s="5"/>
      <c r="J185" s="5"/>
      <c r="K185" s="5">
        <v>211</v>
      </c>
      <c r="L185" s="5">
        <v>26</v>
      </c>
      <c r="M185" s="5">
        <v>3</v>
      </c>
      <c r="N185" s="5" t="s">
        <v>3</v>
      </c>
      <c r="O185" s="5">
        <v>2</v>
      </c>
      <c r="P185" s="5"/>
      <c r="Q185" s="5"/>
      <c r="R185" s="5"/>
      <c r="S185" s="5"/>
      <c r="T185" s="5"/>
      <c r="U185" s="5"/>
      <c r="V185" s="5"/>
      <c r="W185" s="5">
        <v>16118.61</v>
      </c>
      <c r="X185" s="5">
        <v>1</v>
      </c>
      <c r="Y185" s="5">
        <v>16118.61</v>
      </c>
      <c r="Z185" s="5"/>
      <c r="AA185" s="5"/>
      <c r="AB185" s="5"/>
    </row>
    <row r="186" spans="1:255" x14ac:dyDescent="0.2">
      <c r="A186" s="5">
        <v>50</v>
      </c>
      <c r="B186" s="5">
        <v>0</v>
      </c>
      <c r="C186" s="5">
        <v>0</v>
      </c>
      <c r="D186" s="5">
        <v>1</v>
      </c>
      <c r="E186" s="5">
        <v>224</v>
      </c>
      <c r="F186" s="5">
        <f>ROUND(Source!AR158,O186)</f>
        <v>101482.29</v>
      </c>
      <c r="G186" s="5" t="s">
        <v>94</v>
      </c>
      <c r="H186" s="5" t="s">
        <v>95</v>
      </c>
      <c r="I186" s="5"/>
      <c r="J186" s="5"/>
      <c r="K186" s="5">
        <v>224</v>
      </c>
      <c r="L186" s="5">
        <v>27</v>
      </c>
      <c r="M186" s="5">
        <v>3</v>
      </c>
      <c r="N186" s="5" t="s">
        <v>3</v>
      </c>
      <c r="O186" s="5">
        <v>2</v>
      </c>
      <c r="P186" s="5"/>
      <c r="Q186" s="5"/>
      <c r="R186" s="5"/>
      <c r="S186" s="5"/>
      <c r="T186" s="5"/>
      <c r="U186" s="5"/>
      <c r="V186" s="5"/>
      <c r="W186" s="5">
        <v>101482.29</v>
      </c>
      <c r="X186" s="5">
        <v>1</v>
      </c>
      <c r="Y186" s="5">
        <v>101482.29</v>
      </c>
      <c r="Z186" s="5"/>
      <c r="AA186" s="5"/>
      <c r="AB186" s="5"/>
    </row>
    <row r="188" spans="1:255" x14ac:dyDescent="0.2">
      <c r="A188" s="1">
        <v>4</v>
      </c>
      <c r="B188" s="1">
        <v>1</v>
      </c>
      <c r="C188" s="1"/>
      <c r="D188" s="1">
        <f>ROW(A195)</f>
        <v>195</v>
      </c>
      <c r="E188" s="1"/>
      <c r="F188" s="1" t="s">
        <v>15</v>
      </c>
      <c r="G188" s="1" t="s">
        <v>191</v>
      </c>
      <c r="H188" s="1" t="s">
        <v>3</v>
      </c>
      <c r="I188" s="1">
        <v>0</v>
      </c>
      <c r="J188" s="1"/>
      <c r="K188" s="1">
        <v>0</v>
      </c>
      <c r="L188" s="1"/>
      <c r="M188" s="1" t="s">
        <v>3</v>
      </c>
      <c r="N188" s="1"/>
      <c r="O188" s="1"/>
      <c r="P188" s="1"/>
      <c r="Q188" s="1"/>
      <c r="R188" s="1"/>
      <c r="S188" s="1">
        <v>0</v>
      </c>
      <c r="T188" s="1"/>
      <c r="U188" s="1" t="s">
        <v>3</v>
      </c>
      <c r="V188" s="1">
        <v>0</v>
      </c>
      <c r="W188" s="1"/>
      <c r="X188" s="1"/>
      <c r="Y188" s="1"/>
      <c r="Z188" s="1"/>
      <c r="AA188" s="1"/>
      <c r="AB188" s="1" t="s">
        <v>3</v>
      </c>
      <c r="AC188" s="1" t="s">
        <v>3</v>
      </c>
      <c r="AD188" s="1" t="s">
        <v>3</v>
      </c>
      <c r="AE188" s="1" t="s">
        <v>3</v>
      </c>
      <c r="AF188" s="1" t="s">
        <v>3</v>
      </c>
      <c r="AG188" s="1" t="s">
        <v>3</v>
      </c>
      <c r="AH188" s="1"/>
      <c r="AI188" s="1"/>
      <c r="AJ188" s="1"/>
      <c r="AK188" s="1"/>
      <c r="AL188" s="1"/>
      <c r="AM188" s="1"/>
      <c r="AN188" s="1"/>
      <c r="AO188" s="1"/>
      <c r="AP188" s="1" t="s">
        <v>3</v>
      </c>
      <c r="AQ188" s="1" t="s">
        <v>3</v>
      </c>
      <c r="AR188" s="1" t="s">
        <v>3</v>
      </c>
      <c r="AS188" s="1"/>
      <c r="AT188" s="1"/>
      <c r="AU188" s="1"/>
      <c r="AV188" s="1"/>
      <c r="AW188" s="1"/>
      <c r="AX188" s="1"/>
      <c r="AY188" s="1"/>
      <c r="AZ188" s="1" t="s">
        <v>3</v>
      </c>
      <c r="BA188" s="1"/>
      <c r="BB188" s="1" t="s">
        <v>3</v>
      </c>
      <c r="BC188" s="1" t="s">
        <v>3</v>
      </c>
      <c r="BD188" s="1" t="s">
        <v>3</v>
      </c>
      <c r="BE188" s="1" t="s">
        <v>3</v>
      </c>
      <c r="BF188" s="1" t="s">
        <v>3</v>
      </c>
      <c r="BG188" s="1" t="s">
        <v>3</v>
      </c>
      <c r="BH188" s="1" t="s">
        <v>3</v>
      </c>
      <c r="BI188" s="1" t="s">
        <v>3</v>
      </c>
      <c r="BJ188" s="1" t="s">
        <v>3</v>
      </c>
      <c r="BK188" s="1" t="s">
        <v>3</v>
      </c>
      <c r="BL188" s="1" t="s">
        <v>3</v>
      </c>
      <c r="BM188" s="1" t="s">
        <v>3</v>
      </c>
      <c r="BN188" s="1" t="s">
        <v>3</v>
      </c>
      <c r="BO188" s="1" t="s">
        <v>3</v>
      </c>
      <c r="BP188" s="1" t="s">
        <v>3</v>
      </c>
      <c r="BQ188" s="1"/>
      <c r="BR188" s="1"/>
      <c r="BS188" s="1"/>
      <c r="BT188" s="1"/>
      <c r="BU188" s="1"/>
      <c r="BV188" s="1"/>
      <c r="BW188" s="1"/>
      <c r="BX188" s="1">
        <v>0</v>
      </c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>
        <v>0</v>
      </c>
    </row>
    <row r="190" spans="1:255" x14ac:dyDescent="0.2">
      <c r="A190" s="3">
        <v>52</v>
      </c>
      <c r="B190" s="3">
        <f t="shared" ref="B190:G190" si="75">B195</f>
        <v>1</v>
      </c>
      <c r="C190" s="3">
        <f t="shared" si="75"/>
        <v>4</v>
      </c>
      <c r="D190" s="3">
        <f t="shared" si="75"/>
        <v>188</v>
      </c>
      <c r="E190" s="3">
        <f t="shared" si="75"/>
        <v>0</v>
      </c>
      <c r="F190" s="3" t="str">
        <f t="shared" si="75"/>
        <v>Новый раздел</v>
      </c>
      <c r="G190" s="3" t="str">
        <f t="shared" si="75"/>
        <v>мусор</v>
      </c>
      <c r="H190" s="3"/>
      <c r="I190" s="3"/>
      <c r="J190" s="3"/>
      <c r="K190" s="3"/>
      <c r="L190" s="3"/>
      <c r="M190" s="3"/>
      <c r="N190" s="3"/>
      <c r="O190" s="3">
        <f t="shared" ref="O190:AT190" si="76">O195</f>
        <v>0</v>
      </c>
      <c r="P190" s="3">
        <f t="shared" si="76"/>
        <v>0</v>
      </c>
      <c r="Q190" s="3">
        <f t="shared" si="76"/>
        <v>0</v>
      </c>
      <c r="R190" s="3">
        <f t="shared" si="76"/>
        <v>0</v>
      </c>
      <c r="S190" s="3">
        <f t="shared" si="76"/>
        <v>0</v>
      </c>
      <c r="T190" s="3">
        <f t="shared" si="76"/>
        <v>0</v>
      </c>
      <c r="U190" s="3">
        <f t="shared" si="76"/>
        <v>0</v>
      </c>
      <c r="V190" s="3">
        <f t="shared" si="76"/>
        <v>0</v>
      </c>
      <c r="W190" s="3">
        <f t="shared" si="76"/>
        <v>0</v>
      </c>
      <c r="X190" s="3">
        <f t="shared" si="76"/>
        <v>0</v>
      </c>
      <c r="Y190" s="3">
        <f t="shared" si="76"/>
        <v>0</v>
      </c>
      <c r="Z190" s="3">
        <f t="shared" si="76"/>
        <v>0</v>
      </c>
      <c r="AA190" s="3">
        <f t="shared" si="76"/>
        <v>0</v>
      </c>
      <c r="AB190" s="3">
        <f t="shared" si="76"/>
        <v>0</v>
      </c>
      <c r="AC190" s="3">
        <f t="shared" si="76"/>
        <v>0</v>
      </c>
      <c r="AD190" s="3">
        <f t="shared" si="76"/>
        <v>0</v>
      </c>
      <c r="AE190" s="3">
        <f t="shared" si="76"/>
        <v>0</v>
      </c>
      <c r="AF190" s="3">
        <f t="shared" si="76"/>
        <v>0</v>
      </c>
      <c r="AG190" s="3">
        <f t="shared" si="76"/>
        <v>0</v>
      </c>
      <c r="AH190" s="3">
        <f t="shared" si="76"/>
        <v>0</v>
      </c>
      <c r="AI190" s="3">
        <f t="shared" si="76"/>
        <v>0</v>
      </c>
      <c r="AJ190" s="3">
        <f t="shared" si="76"/>
        <v>0</v>
      </c>
      <c r="AK190" s="3">
        <f t="shared" si="76"/>
        <v>0</v>
      </c>
      <c r="AL190" s="3">
        <f t="shared" si="76"/>
        <v>0</v>
      </c>
      <c r="AM190" s="3">
        <f t="shared" si="76"/>
        <v>0</v>
      </c>
      <c r="AN190" s="3">
        <f t="shared" si="76"/>
        <v>0</v>
      </c>
      <c r="AO190" s="3">
        <f t="shared" si="76"/>
        <v>0</v>
      </c>
      <c r="AP190" s="3">
        <f t="shared" si="76"/>
        <v>0</v>
      </c>
      <c r="AQ190" s="3">
        <f t="shared" si="76"/>
        <v>0</v>
      </c>
      <c r="AR190" s="3">
        <f t="shared" si="76"/>
        <v>408.34</v>
      </c>
      <c r="AS190" s="3">
        <f t="shared" si="76"/>
        <v>408.34</v>
      </c>
      <c r="AT190" s="3">
        <f t="shared" si="76"/>
        <v>0</v>
      </c>
      <c r="AU190" s="3">
        <f t="shared" ref="AU190:BZ190" si="77">AU195</f>
        <v>0</v>
      </c>
      <c r="AV190" s="3">
        <f t="shared" si="77"/>
        <v>0</v>
      </c>
      <c r="AW190" s="3">
        <f t="shared" si="77"/>
        <v>0</v>
      </c>
      <c r="AX190" s="3">
        <f t="shared" si="77"/>
        <v>0</v>
      </c>
      <c r="AY190" s="3">
        <f t="shared" si="77"/>
        <v>0</v>
      </c>
      <c r="AZ190" s="3">
        <f t="shared" si="77"/>
        <v>0</v>
      </c>
      <c r="BA190" s="3">
        <f t="shared" si="77"/>
        <v>0</v>
      </c>
      <c r="BB190" s="3">
        <f t="shared" si="77"/>
        <v>0</v>
      </c>
      <c r="BC190" s="3">
        <f t="shared" si="77"/>
        <v>0</v>
      </c>
      <c r="BD190" s="3">
        <f t="shared" si="77"/>
        <v>408.34</v>
      </c>
      <c r="BE190" s="3">
        <f t="shared" si="77"/>
        <v>0</v>
      </c>
      <c r="BF190" s="3">
        <f t="shared" si="77"/>
        <v>0</v>
      </c>
      <c r="BG190" s="3">
        <f t="shared" si="77"/>
        <v>0</v>
      </c>
      <c r="BH190" s="3">
        <f t="shared" si="77"/>
        <v>0</v>
      </c>
      <c r="BI190" s="3">
        <f t="shared" si="77"/>
        <v>0</v>
      </c>
      <c r="BJ190" s="3">
        <f t="shared" si="77"/>
        <v>0</v>
      </c>
      <c r="BK190" s="3">
        <f t="shared" si="77"/>
        <v>0</v>
      </c>
      <c r="BL190" s="3">
        <f t="shared" si="77"/>
        <v>0</v>
      </c>
      <c r="BM190" s="3">
        <f t="shared" si="77"/>
        <v>0</v>
      </c>
      <c r="BN190" s="3">
        <f t="shared" si="77"/>
        <v>0</v>
      </c>
      <c r="BO190" s="3">
        <f t="shared" si="77"/>
        <v>0</v>
      </c>
      <c r="BP190" s="3">
        <f t="shared" si="77"/>
        <v>0</v>
      </c>
      <c r="BQ190" s="3">
        <f t="shared" si="77"/>
        <v>0</v>
      </c>
      <c r="BR190" s="3">
        <f t="shared" si="77"/>
        <v>0</v>
      </c>
      <c r="BS190" s="3">
        <f t="shared" si="77"/>
        <v>0</v>
      </c>
      <c r="BT190" s="3">
        <f t="shared" si="77"/>
        <v>0</v>
      </c>
      <c r="BU190" s="3">
        <f t="shared" si="77"/>
        <v>0</v>
      </c>
      <c r="BV190" s="3">
        <f t="shared" si="77"/>
        <v>0</v>
      </c>
      <c r="BW190" s="3">
        <f t="shared" si="77"/>
        <v>0</v>
      </c>
      <c r="BX190" s="3">
        <f t="shared" si="77"/>
        <v>0</v>
      </c>
      <c r="BY190" s="3">
        <f t="shared" si="77"/>
        <v>0</v>
      </c>
      <c r="BZ190" s="3">
        <f t="shared" si="77"/>
        <v>0</v>
      </c>
      <c r="CA190" s="3">
        <f t="shared" ref="CA190:DF190" si="78">CA195</f>
        <v>408.34</v>
      </c>
      <c r="CB190" s="3">
        <f t="shared" si="78"/>
        <v>408.34</v>
      </c>
      <c r="CC190" s="3">
        <f t="shared" si="78"/>
        <v>0</v>
      </c>
      <c r="CD190" s="3">
        <f t="shared" si="78"/>
        <v>0</v>
      </c>
      <c r="CE190" s="3">
        <f t="shared" si="78"/>
        <v>0</v>
      </c>
      <c r="CF190" s="3">
        <f t="shared" si="78"/>
        <v>0</v>
      </c>
      <c r="CG190" s="3">
        <f t="shared" si="78"/>
        <v>0</v>
      </c>
      <c r="CH190" s="3">
        <f t="shared" si="78"/>
        <v>0</v>
      </c>
      <c r="CI190" s="3">
        <f t="shared" si="78"/>
        <v>0</v>
      </c>
      <c r="CJ190" s="3">
        <f t="shared" si="78"/>
        <v>0</v>
      </c>
      <c r="CK190" s="3">
        <f t="shared" si="78"/>
        <v>0</v>
      </c>
      <c r="CL190" s="3">
        <f t="shared" si="78"/>
        <v>0</v>
      </c>
      <c r="CM190" s="3">
        <f t="shared" si="78"/>
        <v>408.34</v>
      </c>
      <c r="CN190" s="3">
        <f t="shared" si="78"/>
        <v>0</v>
      </c>
      <c r="CO190" s="3">
        <f t="shared" si="78"/>
        <v>0</v>
      </c>
      <c r="CP190" s="3">
        <f t="shared" si="78"/>
        <v>0</v>
      </c>
      <c r="CQ190" s="3">
        <f t="shared" si="78"/>
        <v>0</v>
      </c>
      <c r="CR190" s="3">
        <f t="shared" si="78"/>
        <v>0</v>
      </c>
      <c r="CS190" s="3">
        <f t="shared" si="78"/>
        <v>0</v>
      </c>
      <c r="CT190" s="3">
        <f t="shared" si="78"/>
        <v>0</v>
      </c>
      <c r="CU190" s="3">
        <f t="shared" si="78"/>
        <v>0</v>
      </c>
      <c r="CV190" s="3">
        <f t="shared" si="78"/>
        <v>0</v>
      </c>
      <c r="CW190" s="3">
        <f t="shared" si="78"/>
        <v>0</v>
      </c>
      <c r="CX190" s="3">
        <f t="shared" si="78"/>
        <v>0</v>
      </c>
      <c r="CY190" s="3">
        <f t="shared" si="78"/>
        <v>0</v>
      </c>
      <c r="CZ190" s="3">
        <f t="shared" si="78"/>
        <v>0</v>
      </c>
      <c r="DA190" s="3">
        <f t="shared" si="78"/>
        <v>0</v>
      </c>
      <c r="DB190" s="3">
        <f t="shared" si="78"/>
        <v>0</v>
      </c>
      <c r="DC190" s="3">
        <f t="shared" si="78"/>
        <v>0</v>
      </c>
      <c r="DD190" s="3">
        <f t="shared" si="78"/>
        <v>0</v>
      </c>
      <c r="DE190" s="3">
        <f t="shared" si="78"/>
        <v>0</v>
      </c>
      <c r="DF190" s="3">
        <f t="shared" si="78"/>
        <v>0</v>
      </c>
      <c r="DG190" s="4">
        <f t="shared" ref="DG190:EL190" si="79">DG195</f>
        <v>0</v>
      </c>
      <c r="DH190" s="4">
        <f t="shared" si="79"/>
        <v>0</v>
      </c>
      <c r="DI190" s="4">
        <f t="shared" si="79"/>
        <v>0</v>
      </c>
      <c r="DJ190" s="4">
        <f t="shared" si="79"/>
        <v>0</v>
      </c>
      <c r="DK190" s="4">
        <f t="shared" si="79"/>
        <v>0</v>
      </c>
      <c r="DL190" s="4">
        <f t="shared" si="79"/>
        <v>0</v>
      </c>
      <c r="DM190" s="4">
        <f t="shared" si="79"/>
        <v>0</v>
      </c>
      <c r="DN190" s="4">
        <f t="shared" si="79"/>
        <v>0</v>
      </c>
      <c r="DO190" s="4">
        <f t="shared" si="79"/>
        <v>0</v>
      </c>
      <c r="DP190" s="4">
        <f t="shared" si="79"/>
        <v>0</v>
      </c>
      <c r="DQ190" s="4">
        <f t="shared" si="79"/>
        <v>0</v>
      </c>
      <c r="DR190" s="4">
        <f t="shared" si="79"/>
        <v>0</v>
      </c>
      <c r="DS190" s="4">
        <f t="shared" si="79"/>
        <v>0</v>
      </c>
      <c r="DT190" s="4">
        <f t="shared" si="79"/>
        <v>0</v>
      </c>
      <c r="DU190" s="4">
        <f t="shared" si="79"/>
        <v>0</v>
      </c>
      <c r="DV190" s="4">
        <f t="shared" si="79"/>
        <v>0</v>
      </c>
      <c r="DW190" s="4">
        <f t="shared" si="79"/>
        <v>0</v>
      </c>
      <c r="DX190" s="4">
        <f t="shared" si="79"/>
        <v>0</v>
      </c>
      <c r="DY190" s="4">
        <f t="shared" si="79"/>
        <v>0</v>
      </c>
      <c r="DZ190" s="4">
        <f t="shared" si="79"/>
        <v>0</v>
      </c>
      <c r="EA190" s="4">
        <f t="shared" si="79"/>
        <v>0</v>
      </c>
      <c r="EB190" s="4">
        <f t="shared" si="79"/>
        <v>0</v>
      </c>
      <c r="EC190" s="4">
        <f t="shared" si="79"/>
        <v>0</v>
      </c>
      <c r="ED190" s="4">
        <f t="shared" si="79"/>
        <v>0</v>
      </c>
      <c r="EE190" s="4">
        <f t="shared" si="79"/>
        <v>0</v>
      </c>
      <c r="EF190" s="4">
        <f t="shared" si="79"/>
        <v>0</v>
      </c>
      <c r="EG190" s="4">
        <f t="shared" si="79"/>
        <v>0</v>
      </c>
      <c r="EH190" s="4">
        <f t="shared" si="79"/>
        <v>0</v>
      </c>
      <c r="EI190" s="4">
        <f t="shared" si="79"/>
        <v>0</v>
      </c>
      <c r="EJ190" s="4">
        <f t="shared" si="79"/>
        <v>0</v>
      </c>
      <c r="EK190" s="4">
        <f t="shared" si="79"/>
        <v>0</v>
      </c>
      <c r="EL190" s="4">
        <f t="shared" si="79"/>
        <v>0</v>
      </c>
      <c r="EM190" s="4">
        <f t="shared" ref="EM190:FR190" si="80">EM195</f>
        <v>0</v>
      </c>
      <c r="EN190" s="4">
        <f t="shared" si="80"/>
        <v>0</v>
      </c>
      <c r="EO190" s="4">
        <f t="shared" si="80"/>
        <v>0</v>
      </c>
      <c r="EP190" s="4">
        <f t="shared" si="80"/>
        <v>0</v>
      </c>
      <c r="EQ190" s="4">
        <f t="shared" si="80"/>
        <v>0</v>
      </c>
      <c r="ER190" s="4">
        <f t="shared" si="80"/>
        <v>0</v>
      </c>
      <c r="ES190" s="4">
        <f t="shared" si="80"/>
        <v>0</v>
      </c>
      <c r="ET190" s="4">
        <f t="shared" si="80"/>
        <v>0</v>
      </c>
      <c r="EU190" s="4">
        <f t="shared" si="80"/>
        <v>0</v>
      </c>
      <c r="EV190" s="4">
        <f t="shared" si="80"/>
        <v>0</v>
      </c>
      <c r="EW190" s="4">
        <f t="shared" si="80"/>
        <v>0</v>
      </c>
      <c r="EX190" s="4">
        <f t="shared" si="80"/>
        <v>0</v>
      </c>
      <c r="EY190" s="4">
        <f t="shared" si="80"/>
        <v>0</v>
      </c>
      <c r="EZ190" s="4">
        <f t="shared" si="80"/>
        <v>0</v>
      </c>
      <c r="FA190" s="4">
        <f t="shared" si="80"/>
        <v>0</v>
      </c>
      <c r="FB190" s="4">
        <f t="shared" si="80"/>
        <v>0</v>
      </c>
      <c r="FC190" s="4">
        <f t="shared" si="80"/>
        <v>0</v>
      </c>
      <c r="FD190" s="4">
        <f t="shared" si="80"/>
        <v>0</v>
      </c>
      <c r="FE190" s="4">
        <f t="shared" si="80"/>
        <v>0</v>
      </c>
      <c r="FF190" s="4">
        <f t="shared" si="80"/>
        <v>0</v>
      </c>
      <c r="FG190" s="4">
        <f t="shared" si="80"/>
        <v>0</v>
      </c>
      <c r="FH190" s="4">
        <f t="shared" si="80"/>
        <v>0</v>
      </c>
      <c r="FI190" s="4">
        <f t="shared" si="80"/>
        <v>0</v>
      </c>
      <c r="FJ190" s="4">
        <f t="shared" si="80"/>
        <v>0</v>
      </c>
      <c r="FK190" s="4">
        <f t="shared" si="80"/>
        <v>0</v>
      </c>
      <c r="FL190" s="4">
        <f t="shared" si="80"/>
        <v>0</v>
      </c>
      <c r="FM190" s="4">
        <f t="shared" si="80"/>
        <v>0</v>
      </c>
      <c r="FN190" s="4">
        <f t="shared" si="80"/>
        <v>0</v>
      </c>
      <c r="FO190" s="4">
        <f t="shared" si="80"/>
        <v>0</v>
      </c>
      <c r="FP190" s="4">
        <f t="shared" si="80"/>
        <v>0</v>
      </c>
      <c r="FQ190" s="4">
        <f t="shared" si="80"/>
        <v>0</v>
      </c>
      <c r="FR190" s="4">
        <f t="shared" si="80"/>
        <v>0</v>
      </c>
      <c r="FS190" s="4">
        <f t="shared" ref="FS190:GX190" si="81">FS195</f>
        <v>0</v>
      </c>
      <c r="FT190" s="4">
        <f t="shared" si="81"/>
        <v>0</v>
      </c>
      <c r="FU190" s="4">
        <f t="shared" si="81"/>
        <v>0</v>
      </c>
      <c r="FV190" s="4">
        <f t="shared" si="81"/>
        <v>0</v>
      </c>
      <c r="FW190" s="4">
        <f t="shared" si="81"/>
        <v>0</v>
      </c>
      <c r="FX190" s="4">
        <f t="shared" si="81"/>
        <v>0</v>
      </c>
      <c r="FY190" s="4">
        <f t="shared" si="81"/>
        <v>0</v>
      </c>
      <c r="FZ190" s="4">
        <f t="shared" si="81"/>
        <v>0</v>
      </c>
      <c r="GA190" s="4">
        <f t="shared" si="81"/>
        <v>0</v>
      </c>
      <c r="GB190" s="4">
        <f t="shared" si="81"/>
        <v>0</v>
      </c>
      <c r="GC190" s="4">
        <f t="shared" si="81"/>
        <v>0</v>
      </c>
      <c r="GD190" s="4">
        <f t="shared" si="81"/>
        <v>0</v>
      </c>
      <c r="GE190" s="4">
        <f t="shared" si="81"/>
        <v>0</v>
      </c>
      <c r="GF190" s="4">
        <f t="shared" si="81"/>
        <v>0</v>
      </c>
      <c r="GG190" s="4">
        <f t="shared" si="81"/>
        <v>0</v>
      </c>
      <c r="GH190" s="4">
        <f t="shared" si="81"/>
        <v>0</v>
      </c>
      <c r="GI190" s="4">
        <f t="shared" si="81"/>
        <v>0</v>
      </c>
      <c r="GJ190" s="4">
        <f t="shared" si="81"/>
        <v>0</v>
      </c>
      <c r="GK190" s="4">
        <f t="shared" si="81"/>
        <v>0</v>
      </c>
      <c r="GL190" s="4">
        <f t="shared" si="81"/>
        <v>0</v>
      </c>
      <c r="GM190" s="4">
        <f t="shared" si="81"/>
        <v>0</v>
      </c>
      <c r="GN190" s="4">
        <f t="shared" si="81"/>
        <v>0</v>
      </c>
      <c r="GO190" s="4">
        <f t="shared" si="81"/>
        <v>0</v>
      </c>
      <c r="GP190" s="4">
        <f t="shared" si="81"/>
        <v>0</v>
      </c>
      <c r="GQ190" s="4">
        <f t="shared" si="81"/>
        <v>0</v>
      </c>
      <c r="GR190" s="4">
        <f t="shared" si="81"/>
        <v>0</v>
      </c>
      <c r="GS190" s="4">
        <f t="shared" si="81"/>
        <v>0</v>
      </c>
      <c r="GT190" s="4">
        <f t="shared" si="81"/>
        <v>0</v>
      </c>
      <c r="GU190" s="4">
        <f t="shared" si="81"/>
        <v>0</v>
      </c>
      <c r="GV190" s="4">
        <f t="shared" si="81"/>
        <v>0</v>
      </c>
      <c r="GW190" s="4">
        <f t="shared" si="81"/>
        <v>0</v>
      </c>
      <c r="GX190" s="4">
        <f t="shared" si="81"/>
        <v>0</v>
      </c>
    </row>
    <row r="192" spans="1:255" x14ac:dyDescent="0.2">
      <c r="A192" s="2">
        <v>17</v>
      </c>
      <c r="B192" s="2">
        <v>1</v>
      </c>
      <c r="C192" s="2"/>
      <c r="D192" s="2"/>
      <c r="E192" s="2" t="s">
        <v>192</v>
      </c>
      <c r="F192" s="2" t="s">
        <v>193</v>
      </c>
      <c r="G192" s="2" t="s">
        <v>194</v>
      </c>
      <c r="H192" s="2" t="s">
        <v>195</v>
      </c>
      <c r="I192" s="2">
        <v>0.2</v>
      </c>
      <c r="J192" s="2">
        <v>0</v>
      </c>
      <c r="K192" s="2">
        <v>0.2</v>
      </c>
      <c r="L192" s="2"/>
      <c r="M192" s="2"/>
      <c r="N192" s="2"/>
      <c r="O192" s="2">
        <f>0</f>
        <v>0</v>
      </c>
      <c r="P192" s="2">
        <f>0</f>
        <v>0</v>
      </c>
      <c r="Q192" s="2">
        <f>0</f>
        <v>0</v>
      </c>
      <c r="R192" s="2">
        <f>0</f>
        <v>0</v>
      </c>
      <c r="S192" s="2">
        <f>0</f>
        <v>0</v>
      </c>
      <c r="T192" s="2">
        <f>0</f>
        <v>0</v>
      </c>
      <c r="U192" s="2">
        <f>0</f>
        <v>0</v>
      </c>
      <c r="V192" s="2">
        <f>0</f>
        <v>0</v>
      </c>
      <c r="W192" s="2">
        <f>0</f>
        <v>0</v>
      </c>
      <c r="X192" s="2">
        <f>0</f>
        <v>0</v>
      </c>
      <c r="Y192" s="2">
        <f>0</f>
        <v>0</v>
      </c>
      <c r="Z192" s="2"/>
      <c r="AA192" s="2">
        <v>94240533</v>
      </c>
      <c r="AB192" s="2">
        <f>ROUND((AK192),6)</f>
        <v>1490.12</v>
      </c>
      <c r="AC192" s="2">
        <f>0</f>
        <v>0</v>
      </c>
      <c r="AD192" s="2">
        <f>0</f>
        <v>0</v>
      </c>
      <c r="AE192" s="2">
        <f>0</f>
        <v>0</v>
      </c>
      <c r="AF192" s="2">
        <f>0</f>
        <v>0</v>
      </c>
      <c r="AG192" s="2">
        <f>0</f>
        <v>0</v>
      </c>
      <c r="AH192" s="2">
        <f>0</f>
        <v>0</v>
      </c>
      <c r="AI192" s="2">
        <f>0</f>
        <v>0</v>
      </c>
      <c r="AJ192" s="2">
        <f>0</f>
        <v>0</v>
      </c>
      <c r="AK192" s="2">
        <v>1490.12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1</v>
      </c>
      <c r="AW192" s="2">
        <v>1</v>
      </c>
      <c r="AX192" s="2"/>
      <c r="AY192" s="2"/>
      <c r="AZ192" s="2">
        <v>1</v>
      </c>
      <c r="BA192" s="2">
        <v>1</v>
      </c>
      <c r="BB192" s="2">
        <v>1</v>
      </c>
      <c r="BC192" s="2">
        <v>1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>
        <v>0</v>
      </c>
      <c r="BI192" s="2">
        <v>1</v>
      </c>
      <c r="BJ192" s="2" t="s">
        <v>193</v>
      </c>
      <c r="BK192" s="2"/>
      <c r="BL192" s="2"/>
      <c r="BM192" s="2">
        <v>700007</v>
      </c>
      <c r="BN192" s="2">
        <v>0</v>
      </c>
      <c r="BO192" s="2" t="s">
        <v>3</v>
      </c>
      <c r="BP192" s="2">
        <v>0</v>
      </c>
      <c r="BQ192" s="2">
        <v>19</v>
      </c>
      <c r="BR192" s="2">
        <v>0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 t="s">
        <v>3</v>
      </c>
      <c r="BZ192" s="2">
        <v>90</v>
      </c>
      <c r="CA192" s="2">
        <v>42</v>
      </c>
      <c r="CB192" s="2" t="s">
        <v>3</v>
      </c>
      <c r="CC192" s="2"/>
      <c r="CD192" s="2"/>
      <c r="CE192" s="2">
        <v>0</v>
      </c>
      <c r="CF192" s="2">
        <v>0</v>
      </c>
      <c r="CG192" s="2">
        <v>0</v>
      </c>
      <c r="CH192" s="2"/>
      <c r="CI192" s="2"/>
      <c r="CJ192" s="2"/>
      <c r="CK192" s="2"/>
      <c r="CL192" s="2"/>
      <c r="CM192" s="2">
        <v>0</v>
      </c>
      <c r="CN192" s="2" t="s">
        <v>3</v>
      </c>
      <c r="CO192" s="2">
        <v>0</v>
      </c>
      <c r="CP192" s="2">
        <f>AB192*AZ192</f>
        <v>1490.12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/>
      <c r="DB192" s="2"/>
      <c r="DC192" s="2" t="s">
        <v>3</v>
      </c>
      <c r="DD192" s="2" t="s">
        <v>3</v>
      </c>
      <c r="DE192" s="2" t="s">
        <v>3</v>
      </c>
      <c r="DF192" s="2" t="s">
        <v>3</v>
      </c>
      <c r="DG192" s="2" t="s">
        <v>3</v>
      </c>
      <c r="DH192" s="2" t="s">
        <v>3</v>
      </c>
      <c r="DI192" s="2" t="s">
        <v>3</v>
      </c>
      <c r="DJ192" s="2" t="s">
        <v>3</v>
      </c>
      <c r="DK192" s="2" t="s">
        <v>3</v>
      </c>
      <c r="DL192" s="2" t="s">
        <v>3</v>
      </c>
      <c r="DM192" s="2" t="s">
        <v>3</v>
      </c>
      <c r="DN192" s="2">
        <v>0</v>
      </c>
      <c r="DO192" s="2">
        <v>0</v>
      </c>
      <c r="DP192" s="2">
        <v>1</v>
      </c>
      <c r="DQ192" s="2">
        <v>1</v>
      </c>
      <c r="DR192" s="2"/>
      <c r="DS192" s="2"/>
      <c r="DT192" s="2"/>
      <c r="DU192" s="2">
        <v>1013</v>
      </c>
      <c r="DV192" s="2" t="s">
        <v>195</v>
      </c>
      <c r="DW192" s="2" t="s">
        <v>195</v>
      </c>
      <c r="DX192" s="2">
        <v>1</v>
      </c>
      <c r="DY192" s="2"/>
      <c r="DZ192" s="2" t="s">
        <v>3</v>
      </c>
      <c r="EA192" s="2" t="s">
        <v>3</v>
      </c>
      <c r="EB192" s="2" t="s">
        <v>3</v>
      </c>
      <c r="EC192" s="2" t="s">
        <v>3</v>
      </c>
      <c r="ED192" s="2"/>
      <c r="EE192" s="2">
        <v>89977456</v>
      </c>
      <c r="EF192" s="2">
        <v>19</v>
      </c>
      <c r="EG192" s="2" t="s">
        <v>196</v>
      </c>
      <c r="EH192" s="2">
        <v>106</v>
      </c>
      <c r="EI192" s="2" t="s">
        <v>196</v>
      </c>
      <c r="EJ192" s="2">
        <v>1</v>
      </c>
      <c r="EK192" s="2">
        <v>700007</v>
      </c>
      <c r="EL192" s="2" t="s">
        <v>196</v>
      </c>
      <c r="EM192" s="2" t="s">
        <v>197</v>
      </c>
      <c r="EN192" s="2"/>
      <c r="EO192" s="2" t="s">
        <v>3</v>
      </c>
      <c r="EP192" s="2"/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>
        <v>0</v>
      </c>
      <c r="FR192" s="2">
        <v>0</v>
      </c>
      <c r="FS192" s="2">
        <v>0</v>
      </c>
      <c r="FT192" s="2"/>
      <c r="FU192" s="2"/>
      <c r="FV192" s="2"/>
      <c r="FW192" s="2"/>
      <c r="FX192" s="2">
        <v>0</v>
      </c>
      <c r="FY192" s="2">
        <v>0</v>
      </c>
      <c r="FZ192" s="2"/>
      <c r="GA192" s="2" t="s">
        <v>3</v>
      </c>
      <c r="GB192" s="2"/>
      <c r="GC192" s="2"/>
      <c r="GD192" s="2">
        <v>1</v>
      </c>
      <c r="GE192" s="2"/>
      <c r="GF192" s="2">
        <v>-451190535</v>
      </c>
      <c r="GG192" s="2">
        <v>2</v>
      </c>
      <c r="GH192" s="2">
        <v>1</v>
      </c>
      <c r="GI192" s="2">
        <v>-2</v>
      </c>
      <c r="GJ192" s="2">
        <v>2</v>
      </c>
      <c r="GK192" s="2">
        <v>0</v>
      </c>
      <c r="GL192" s="2">
        <f>ROUND(IF(AND(BH192=3,BI192=3,FS192&lt;&gt;0),P192,0),2)</f>
        <v>0</v>
      </c>
      <c r="GM192" s="2">
        <f>ROUND(CP192*I192,2)</f>
        <v>298.02</v>
      </c>
      <c r="GN192" s="2">
        <f>IF(OR(BI192=0,BI192=1),GM192-GX192,0)</f>
        <v>298.02</v>
      </c>
      <c r="GO192" s="2">
        <f>IF(BI192=2,GM192-GX192,0)</f>
        <v>0</v>
      </c>
      <c r="GP192" s="2">
        <f>IF(BI192=4,GM192-GX192,0)</f>
        <v>0</v>
      </c>
      <c r="GQ192" s="2"/>
      <c r="GR192" s="2">
        <v>0</v>
      </c>
      <c r="GS192" s="2">
        <v>0</v>
      </c>
      <c r="GT192" s="2">
        <v>0</v>
      </c>
      <c r="GU192" s="2" t="s">
        <v>3</v>
      </c>
      <c r="GV192" s="2">
        <f>0</f>
        <v>0</v>
      </c>
      <c r="GW192" s="2">
        <v>1</v>
      </c>
      <c r="GX192" s="2">
        <f>0</f>
        <v>0</v>
      </c>
      <c r="GY192" s="2"/>
      <c r="GZ192" s="2"/>
      <c r="HA192" s="2">
        <v>0</v>
      </c>
      <c r="HB192" s="2">
        <v>0</v>
      </c>
      <c r="HC192" s="2">
        <v>0</v>
      </c>
      <c r="HD192" s="2">
        <f>GM192</f>
        <v>298.02</v>
      </c>
      <c r="HE192" s="2" t="s">
        <v>3</v>
      </c>
      <c r="HF192" s="2" t="s">
        <v>3</v>
      </c>
      <c r="HG192" s="2"/>
      <c r="HH192" s="2"/>
      <c r="HI192" s="2"/>
      <c r="HJ192" s="2"/>
      <c r="HK192" s="2"/>
      <c r="HL192" s="2"/>
      <c r="HM192" s="2" t="s">
        <v>3</v>
      </c>
      <c r="HN192" s="2" t="s">
        <v>198</v>
      </c>
      <c r="HO192" s="2" t="s">
        <v>199</v>
      </c>
      <c r="HP192" s="2" t="s">
        <v>196</v>
      </c>
      <c r="HQ192" s="2" t="s">
        <v>196</v>
      </c>
      <c r="HR192" s="2"/>
      <c r="HS192" s="2">
        <v>0</v>
      </c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>
        <v>0</v>
      </c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x14ac:dyDescent="0.2">
      <c r="A193" s="2">
        <v>17</v>
      </c>
      <c r="B193" s="2">
        <v>1</v>
      </c>
      <c r="C193" s="2"/>
      <c r="D193" s="2"/>
      <c r="E193" s="2" t="s">
        <v>200</v>
      </c>
      <c r="F193" s="2" t="s">
        <v>201</v>
      </c>
      <c r="G193" s="2" t="s">
        <v>202</v>
      </c>
      <c r="H193" s="2" t="s">
        <v>195</v>
      </c>
      <c r="I193" s="2">
        <v>0.2</v>
      </c>
      <c r="J193" s="2">
        <v>0</v>
      </c>
      <c r="K193" s="2">
        <v>0.2</v>
      </c>
      <c r="L193" s="2"/>
      <c r="M193" s="2"/>
      <c r="N193" s="2"/>
      <c r="O193" s="2">
        <f>0</f>
        <v>0</v>
      </c>
      <c r="P193" s="2">
        <f>0</f>
        <v>0</v>
      </c>
      <c r="Q193" s="2">
        <f>0</f>
        <v>0</v>
      </c>
      <c r="R193" s="2">
        <f>0</f>
        <v>0</v>
      </c>
      <c r="S193" s="2">
        <f>0</f>
        <v>0</v>
      </c>
      <c r="T193" s="2">
        <f>0</f>
        <v>0</v>
      </c>
      <c r="U193" s="2">
        <f>0</f>
        <v>0</v>
      </c>
      <c r="V193" s="2">
        <f>0</f>
        <v>0</v>
      </c>
      <c r="W193" s="2">
        <f>0</f>
        <v>0</v>
      </c>
      <c r="X193" s="2">
        <f>0</f>
        <v>0</v>
      </c>
      <c r="Y193" s="2">
        <f>0</f>
        <v>0</v>
      </c>
      <c r="Z193" s="2"/>
      <c r="AA193" s="2">
        <v>94240533</v>
      </c>
      <c r="AB193" s="2">
        <f>ROUND((AK193),6)</f>
        <v>551.61</v>
      </c>
      <c r="AC193" s="2">
        <f>0</f>
        <v>0</v>
      </c>
      <c r="AD193" s="2">
        <f>0</f>
        <v>0</v>
      </c>
      <c r="AE193" s="2">
        <f>0</f>
        <v>0</v>
      </c>
      <c r="AF193" s="2">
        <f>0</f>
        <v>0</v>
      </c>
      <c r="AG193" s="2">
        <f>0</f>
        <v>0</v>
      </c>
      <c r="AH193" s="2">
        <f>0</f>
        <v>0</v>
      </c>
      <c r="AI193" s="2">
        <f>0</f>
        <v>0</v>
      </c>
      <c r="AJ193" s="2">
        <f>0</f>
        <v>0</v>
      </c>
      <c r="AK193" s="2">
        <v>551.61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1</v>
      </c>
      <c r="AW193" s="2">
        <v>1</v>
      </c>
      <c r="AX193" s="2"/>
      <c r="AY193" s="2"/>
      <c r="AZ193" s="2">
        <v>1</v>
      </c>
      <c r="BA193" s="2">
        <v>1</v>
      </c>
      <c r="BB193" s="2">
        <v>1</v>
      </c>
      <c r="BC193" s="2">
        <v>1</v>
      </c>
      <c r="BD193" s="2" t="s">
        <v>3</v>
      </c>
      <c r="BE193" s="2" t="s">
        <v>3</v>
      </c>
      <c r="BF193" s="2" t="s">
        <v>3</v>
      </c>
      <c r="BG193" s="2" t="s">
        <v>3</v>
      </c>
      <c r="BH193" s="2">
        <v>0</v>
      </c>
      <c r="BI193" s="2">
        <v>1</v>
      </c>
      <c r="BJ193" s="2" t="s">
        <v>201</v>
      </c>
      <c r="BK193" s="2"/>
      <c r="BL193" s="2"/>
      <c r="BM193" s="2">
        <v>700008</v>
      </c>
      <c r="BN193" s="2">
        <v>0</v>
      </c>
      <c r="BO193" s="2" t="s">
        <v>3</v>
      </c>
      <c r="BP193" s="2">
        <v>0</v>
      </c>
      <c r="BQ193" s="2">
        <v>10</v>
      </c>
      <c r="BR193" s="2">
        <v>0</v>
      </c>
      <c r="BS193" s="2">
        <v>1</v>
      </c>
      <c r="BT193" s="2">
        <v>1</v>
      </c>
      <c r="BU193" s="2">
        <v>1</v>
      </c>
      <c r="BV193" s="2">
        <v>1</v>
      </c>
      <c r="BW193" s="2">
        <v>1</v>
      </c>
      <c r="BX193" s="2">
        <v>1</v>
      </c>
      <c r="BY193" s="2" t="s">
        <v>3</v>
      </c>
      <c r="BZ193" s="2">
        <v>94</v>
      </c>
      <c r="CA193" s="2">
        <v>61</v>
      </c>
      <c r="CB193" s="2" t="s">
        <v>3</v>
      </c>
      <c r="CC193" s="2"/>
      <c r="CD193" s="2"/>
      <c r="CE193" s="2">
        <v>0</v>
      </c>
      <c r="CF193" s="2">
        <v>0</v>
      </c>
      <c r="CG193" s="2">
        <v>0</v>
      </c>
      <c r="CH193" s="2"/>
      <c r="CI193" s="2"/>
      <c r="CJ193" s="2"/>
      <c r="CK193" s="2"/>
      <c r="CL193" s="2"/>
      <c r="CM193" s="2">
        <v>0</v>
      </c>
      <c r="CN193" s="2" t="s">
        <v>3</v>
      </c>
      <c r="CO193" s="2">
        <v>0</v>
      </c>
      <c r="CP193" s="2">
        <f>AB193*AZ193</f>
        <v>551.61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/>
      <c r="DB193" s="2"/>
      <c r="DC193" s="2" t="s">
        <v>3</v>
      </c>
      <c r="DD193" s="2" t="s">
        <v>3</v>
      </c>
      <c r="DE193" s="2" t="s">
        <v>3</v>
      </c>
      <c r="DF193" s="2" t="s">
        <v>3</v>
      </c>
      <c r="DG193" s="2" t="s">
        <v>3</v>
      </c>
      <c r="DH193" s="2" t="s">
        <v>3</v>
      </c>
      <c r="DI193" s="2" t="s">
        <v>3</v>
      </c>
      <c r="DJ193" s="2" t="s">
        <v>3</v>
      </c>
      <c r="DK193" s="2" t="s">
        <v>3</v>
      </c>
      <c r="DL193" s="2" t="s">
        <v>3</v>
      </c>
      <c r="DM193" s="2" t="s">
        <v>3</v>
      </c>
      <c r="DN193" s="2">
        <v>0</v>
      </c>
      <c r="DO193" s="2">
        <v>0</v>
      </c>
      <c r="DP193" s="2">
        <v>1</v>
      </c>
      <c r="DQ193" s="2">
        <v>1</v>
      </c>
      <c r="DR193" s="2"/>
      <c r="DS193" s="2"/>
      <c r="DT193" s="2"/>
      <c r="DU193" s="2">
        <v>1013</v>
      </c>
      <c r="DV193" s="2" t="s">
        <v>195</v>
      </c>
      <c r="DW193" s="2" t="s">
        <v>195</v>
      </c>
      <c r="DX193" s="2">
        <v>1</v>
      </c>
      <c r="DY193" s="2"/>
      <c r="DZ193" s="2" t="s">
        <v>3</v>
      </c>
      <c r="EA193" s="2" t="s">
        <v>3</v>
      </c>
      <c r="EB193" s="2" t="s">
        <v>3</v>
      </c>
      <c r="EC193" s="2" t="s">
        <v>3</v>
      </c>
      <c r="ED193" s="2"/>
      <c r="EE193" s="2">
        <v>89977457</v>
      </c>
      <c r="EF193" s="2">
        <v>10</v>
      </c>
      <c r="EG193" s="2" t="s">
        <v>203</v>
      </c>
      <c r="EH193" s="2">
        <v>107</v>
      </c>
      <c r="EI193" s="2" t="s">
        <v>204</v>
      </c>
      <c r="EJ193" s="2">
        <v>1</v>
      </c>
      <c r="EK193" s="2">
        <v>700008</v>
      </c>
      <c r="EL193" s="2" t="s">
        <v>205</v>
      </c>
      <c r="EM193" s="2" t="s">
        <v>206</v>
      </c>
      <c r="EN193" s="2"/>
      <c r="EO193" s="2" t="s">
        <v>3</v>
      </c>
      <c r="EP193" s="2"/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>
        <v>0</v>
      </c>
      <c r="FR193" s="2">
        <v>0</v>
      </c>
      <c r="FS193" s="2">
        <v>0</v>
      </c>
      <c r="FT193" s="2"/>
      <c r="FU193" s="2"/>
      <c r="FV193" s="2"/>
      <c r="FW193" s="2"/>
      <c r="FX193" s="2">
        <v>0</v>
      </c>
      <c r="FY193" s="2">
        <v>0</v>
      </c>
      <c r="FZ193" s="2"/>
      <c r="GA193" s="2" t="s">
        <v>3</v>
      </c>
      <c r="GB193" s="2"/>
      <c r="GC193" s="2"/>
      <c r="GD193" s="2">
        <v>1</v>
      </c>
      <c r="GE193" s="2"/>
      <c r="GF193" s="2">
        <v>185108108</v>
      </c>
      <c r="GG193" s="2">
        <v>2</v>
      </c>
      <c r="GH193" s="2">
        <v>1</v>
      </c>
      <c r="GI193" s="2">
        <v>-2</v>
      </c>
      <c r="GJ193" s="2">
        <v>2</v>
      </c>
      <c r="GK193" s="2">
        <v>0</v>
      </c>
      <c r="GL193" s="2">
        <f>ROUND(IF(AND(BH193=3,BI193=3,FS193&lt;&gt;0),P193,0),2)</f>
        <v>0</v>
      </c>
      <c r="GM193" s="2">
        <f>ROUND(CP193*I193,2)</f>
        <v>110.32</v>
      </c>
      <c r="GN193" s="2">
        <f>IF(OR(BI193=0,BI193=1),GM193-GX193,0)</f>
        <v>110.32</v>
      </c>
      <c r="GO193" s="2">
        <f>IF(BI193=2,GM193-GX193,0)</f>
        <v>0</v>
      </c>
      <c r="GP193" s="2">
        <f>IF(BI193=4,GM193-GX193,0)</f>
        <v>0</v>
      </c>
      <c r="GQ193" s="2"/>
      <c r="GR193" s="2">
        <v>0</v>
      </c>
      <c r="GS193" s="2">
        <v>0</v>
      </c>
      <c r="GT193" s="2">
        <v>0</v>
      </c>
      <c r="GU193" s="2" t="s">
        <v>3</v>
      </c>
      <c r="GV193" s="2">
        <f>0</f>
        <v>0</v>
      </c>
      <c r="GW193" s="2">
        <v>1</v>
      </c>
      <c r="GX193" s="2">
        <f>0</f>
        <v>0</v>
      </c>
      <c r="GY193" s="2"/>
      <c r="GZ193" s="2"/>
      <c r="HA193" s="2">
        <v>0</v>
      </c>
      <c r="HB193" s="2">
        <v>0</v>
      </c>
      <c r="HC193" s="2">
        <v>0</v>
      </c>
      <c r="HD193" s="2">
        <f>GM193</f>
        <v>110.32</v>
      </c>
      <c r="HE193" s="2" t="s">
        <v>3</v>
      </c>
      <c r="HF193" s="2" t="s">
        <v>3</v>
      </c>
      <c r="HG193" s="2"/>
      <c r="HH193" s="2"/>
      <c r="HI193" s="2"/>
      <c r="HJ193" s="2"/>
      <c r="HK193" s="2"/>
      <c r="HL193" s="2"/>
      <c r="HM193" s="2" t="s">
        <v>3</v>
      </c>
      <c r="HN193" s="2" t="s">
        <v>207</v>
      </c>
      <c r="HO193" s="2" t="s">
        <v>208</v>
      </c>
      <c r="HP193" s="2" t="s">
        <v>204</v>
      </c>
      <c r="HQ193" s="2" t="s">
        <v>204</v>
      </c>
      <c r="HR193" s="2"/>
      <c r="HS193" s="2">
        <v>0</v>
      </c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>
        <v>0</v>
      </c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5" spans="1:255" x14ac:dyDescent="0.2">
      <c r="A195" s="3">
        <v>51</v>
      </c>
      <c r="B195" s="3">
        <f>B188</f>
        <v>1</v>
      </c>
      <c r="C195" s="3">
        <f>A188</f>
        <v>4</v>
      </c>
      <c r="D195" s="3">
        <f>ROW(A188)</f>
        <v>188</v>
      </c>
      <c r="E195" s="3"/>
      <c r="F195" s="3" t="str">
        <f>IF(F188&lt;&gt;"",F188,"")</f>
        <v>Новый раздел</v>
      </c>
      <c r="G195" s="3" t="str">
        <f>IF(G188&lt;&gt;"",G188,"")</f>
        <v>мусор</v>
      </c>
      <c r="H195" s="3">
        <v>0</v>
      </c>
      <c r="I195" s="3"/>
      <c r="J195" s="3"/>
      <c r="K195" s="3"/>
      <c r="L195" s="3"/>
      <c r="M195" s="3"/>
      <c r="N195" s="3"/>
      <c r="O195" s="3">
        <f t="shared" ref="O195:T195" si="82">ROUND(AB195,2)</f>
        <v>0</v>
      </c>
      <c r="P195" s="3">
        <f t="shared" si="82"/>
        <v>0</v>
      </c>
      <c r="Q195" s="3">
        <f t="shared" si="82"/>
        <v>0</v>
      </c>
      <c r="R195" s="3">
        <f t="shared" si="82"/>
        <v>0</v>
      </c>
      <c r="S195" s="3">
        <f t="shared" si="82"/>
        <v>0</v>
      </c>
      <c r="T195" s="3">
        <f t="shared" si="82"/>
        <v>0</v>
      </c>
      <c r="U195" s="3">
        <f>AH195</f>
        <v>0</v>
      </c>
      <c r="V195" s="3">
        <f>AI195</f>
        <v>0</v>
      </c>
      <c r="W195" s="3">
        <f>ROUND(AJ195,2)</f>
        <v>0</v>
      </c>
      <c r="X195" s="3">
        <f>ROUND(AK195,2)</f>
        <v>0</v>
      </c>
      <c r="Y195" s="3">
        <f>ROUND(AL195,2)</f>
        <v>0</v>
      </c>
      <c r="Z195" s="3"/>
      <c r="AA195" s="3"/>
      <c r="AB195" s="3">
        <f>ROUND(SUMIF(AA192:AA193,"=94240533",O192:O193),2)</f>
        <v>0</v>
      </c>
      <c r="AC195" s="3">
        <f>ROUND(SUMIF(AA192:AA193,"=94240533",P192:P193),2)</f>
        <v>0</v>
      </c>
      <c r="AD195" s="3">
        <f>ROUND(SUMIF(AA192:AA193,"=94240533",Q192:Q193),2)</f>
        <v>0</v>
      </c>
      <c r="AE195" s="3">
        <f>ROUND(SUMIF(AA192:AA193,"=94240533",R192:R193),2)</f>
        <v>0</v>
      </c>
      <c r="AF195" s="3">
        <f>ROUND(SUMIF(AA192:AA193,"=94240533",S192:S193),2)</f>
        <v>0</v>
      </c>
      <c r="AG195" s="3">
        <f>ROUND(SUMIF(AA192:AA193,"=94240533",T192:T193),2)</f>
        <v>0</v>
      </c>
      <c r="AH195" s="3">
        <f>SUMIF(AA192:AA193,"=94240533",U192:U193)</f>
        <v>0</v>
      </c>
      <c r="AI195" s="3">
        <f>SUMIF(AA192:AA193,"=94240533",V192:V193)</f>
        <v>0</v>
      </c>
      <c r="AJ195" s="3">
        <f>ROUND(SUMIF(AA192:AA193,"=94240533",W192:W193),2)</f>
        <v>0</v>
      </c>
      <c r="AK195" s="3">
        <f>ROUND(SUMIF(AA192:AA193,"=94240533",X192:X193),2)</f>
        <v>0</v>
      </c>
      <c r="AL195" s="3">
        <f>ROUND(SUMIF(AA192:AA193,"=94240533",Y192:Y193),2)</f>
        <v>0</v>
      </c>
      <c r="AM195" s="3"/>
      <c r="AN195" s="3"/>
      <c r="AO195" s="3">
        <f t="shared" ref="AO195:BD195" si="83">ROUND(BX195,2)</f>
        <v>0</v>
      </c>
      <c r="AP195" s="3">
        <f t="shared" si="83"/>
        <v>0</v>
      </c>
      <c r="AQ195" s="3">
        <f t="shared" si="83"/>
        <v>0</v>
      </c>
      <c r="AR195" s="3">
        <f t="shared" si="83"/>
        <v>408.34</v>
      </c>
      <c r="AS195" s="3">
        <f t="shared" si="83"/>
        <v>408.34</v>
      </c>
      <c r="AT195" s="3">
        <f t="shared" si="83"/>
        <v>0</v>
      </c>
      <c r="AU195" s="3">
        <f t="shared" si="83"/>
        <v>0</v>
      </c>
      <c r="AV195" s="3">
        <f t="shared" si="83"/>
        <v>0</v>
      </c>
      <c r="AW195" s="3">
        <f t="shared" si="83"/>
        <v>0</v>
      </c>
      <c r="AX195" s="3">
        <f t="shared" si="83"/>
        <v>0</v>
      </c>
      <c r="AY195" s="3">
        <f t="shared" si="83"/>
        <v>0</v>
      </c>
      <c r="AZ195" s="3">
        <f t="shared" si="83"/>
        <v>0</v>
      </c>
      <c r="BA195" s="3">
        <f t="shared" si="83"/>
        <v>0</v>
      </c>
      <c r="BB195" s="3">
        <f t="shared" si="83"/>
        <v>0</v>
      </c>
      <c r="BC195" s="3">
        <f t="shared" si="83"/>
        <v>0</v>
      </c>
      <c r="BD195" s="3">
        <f t="shared" si="83"/>
        <v>408.34</v>
      </c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>
        <f>ROUND(SUMIF(AA192:AA193,"=94240533",FQ192:FQ193),2)</f>
        <v>0</v>
      </c>
      <c r="BY195" s="3">
        <f>ROUND(SUMIF(AA192:AA193,"=94240533",FR192:FR193),2)</f>
        <v>0</v>
      </c>
      <c r="BZ195" s="3">
        <f>ROUND(SUMIF(AA192:AA193,"=94240533",GL192:GL193),2)</f>
        <v>0</v>
      </c>
      <c r="CA195" s="3">
        <f>ROUND(SUMIF(AA192:AA193,"=94240533",GM192:GM193),2)</f>
        <v>408.34</v>
      </c>
      <c r="CB195" s="3">
        <f>ROUND(SUMIF(AA192:AA193,"=94240533",GN192:GN193),2)</f>
        <v>408.34</v>
      </c>
      <c r="CC195" s="3">
        <f>ROUND(SUMIF(AA192:AA193,"=94240533",GO192:GO193),2)</f>
        <v>0</v>
      </c>
      <c r="CD195" s="3">
        <f>ROUND(SUMIF(AA192:AA193,"=94240533",GP192:GP193),2)</f>
        <v>0</v>
      </c>
      <c r="CE195" s="3">
        <f>AC195-BX195</f>
        <v>0</v>
      </c>
      <c r="CF195" s="3">
        <f>AC195-BY195</f>
        <v>0</v>
      </c>
      <c r="CG195" s="3">
        <f>BX195-BZ195</f>
        <v>0</v>
      </c>
      <c r="CH195" s="3">
        <f>AC195-BX195-BY195+BZ195</f>
        <v>0</v>
      </c>
      <c r="CI195" s="3">
        <f>BY195-BZ195</f>
        <v>0</v>
      </c>
      <c r="CJ195" s="3">
        <f>ROUND(SUMIF(AA192:AA193,"=94240533",GX192:GX193),2)</f>
        <v>0</v>
      </c>
      <c r="CK195" s="3">
        <f>ROUND(SUMIF(AA192:AA193,"=94240533",GY192:GY193),2)</f>
        <v>0</v>
      </c>
      <c r="CL195" s="3">
        <f>ROUND(SUMIF(AA192:AA193,"=94240533",GZ192:GZ193),2)</f>
        <v>0</v>
      </c>
      <c r="CM195" s="3">
        <f>ROUND(SUMIF(AA192:AA193,"=94240533",HD192:HD193),2)</f>
        <v>408.34</v>
      </c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>
        <v>0</v>
      </c>
    </row>
    <row r="197" spans="1:255" x14ac:dyDescent="0.2">
      <c r="A197" s="5">
        <v>50</v>
      </c>
      <c r="B197" s="5">
        <v>0</v>
      </c>
      <c r="C197" s="5">
        <v>0</v>
      </c>
      <c r="D197" s="5">
        <v>1</v>
      </c>
      <c r="E197" s="5">
        <v>201</v>
      </c>
      <c r="F197" s="5">
        <f>ROUND(Source!O195,O197)</f>
        <v>0</v>
      </c>
      <c r="G197" s="5" t="s">
        <v>42</v>
      </c>
      <c r="H197" s="5" t="s">
        <v>43</v>
      </c>
      <c r="I197" s="5"/>
      <c r="J197" s="5"/>
      <c r="K197" s="5">
        <v>201</v>
      </c>
      <c r="L197" s="5">
        <v>1</v>
      </c>
      <c r="M197" s="5">
        <v>3</v>
      </c>
      <c r="N197" s="5" t="s">
        <v>3</v>
      </c>
      <c r="O197" s="5">
        <v>2</v>
      </c>
      <c r="P197" s="5"/>
      <c r="Q197" s="5"/>
      <c r="R197" s="5"/>
      <c r="S197" s="5"/>
      <c r="T197" s="5"/>
      <c r="U197" s="5"/>
      <c r="V197" s="5"/>
      <c r="W197" s="5">
        <v>408.34</v>
      </c>
      <c r="X197" s="5">
        <v>1</v>
      </c>
      <c r="Y197" s="5">
        <v>408.34</v>
      </c>
      <c r="Z197" s="5"/>
      <c r="AA197" s="5"/>
      <c r="AB197" s="5"/>
    </row>
    <row r="198" spans="1:255" x14ac:dyDescent="0.2">
      <c r="A198" s="5">
        <v>50</v>
      </c>
      <c r="B198" s="5">
        <v>0</v>
      </c>
      <c r="C198" s="5">
        <v>0</v>
      </c>
      <c r="D198" s="5">
        <v>1</v>
      </c>
      <c r="E198" s="5">
        <v>202</v>
      </c>
      <c r="F198" s="5">
        <f>ROUND(Source!P195,O198)</f>
        <v>0</v>
      </c>
      <c r="G198" s="5" t="s">
        <v>44</v>
      </c>
      <c r="H198" s="5" t="s">
        <v>45</v>
      </c>
      <c r="I198" s="5"/>
      <c r="J198" s="5"/>
      <c r="K198" s="5">
        <v>202</v>
      </c>
      <c r="L198" s="5">
        <v>2</v>
      </c>
      <c r="M198" s="5">
        <v>3</v>
      </c>
      <c r="N198" s="5" t="s">
        <v>3</v>
      </c>
      <c r="O198" s="5">
        <v>2</v>
      </c>
      <c r="P198" s="5"/>
      <c r="Q198" s="5"/>
      <c r="R198" s="5"/>
      <c r="S198" s="5"/>
      <c r="T198" s="5"/>
      <c r="U198" s="5"/>
      <c r="V198" s="5"/>
      <c r="W198" s="5">
        <v>0</v>
      </c>
      <c r="X198" s="5">
        <v>1</v>
      </c>
      <c r="Y198" s="5">
        <v>0</v>
      </c>
      <c r="Z198" s="5"/>
      <c r="AA198" s="5"/>
      <c r="AB198" s="5"/>
    </row>
    <row r="199" spans="1:255" x14ac:dyDescent="0.2">
      <c r="A199" s="5">
        <v>50</v>
      </c>
      <c r="B199" s="5">
        <v>0</v>
      </c>
      <c r="C199" s="5">
        <v>0</v>
      </c>
      <c r="D199" s="5">
        <v>1</v>
      </c>
      <c r="E199" s="5">
        <v>222</v>
      </c>
      <c r="F199" s="5">
        <f>ROUND(Source!AO195,O199)</f>
        <v>0</v>
      </c>
      <c r="G199" s="5" t="s">
        <v>46</v>
      </c>
      <c r="H199" s="5" t="s">
        <v>47</v>
      </c>
      <c r="I199" s="5"/>
      <c r="J199" s="5"/>
      <c r="K199" s="5">
        <v>222</v>
      </c>
      <c r="L199" s="5">
        <v>3</v>
      </c>
      <c r="M199" s="5">
        <v>3</v>
      </c>
      <c r="N199" s="5" t="s">
        <v>3</v>
      </c>
      <c r="O199" s="5">
        <v>2</v>
      </c>
      <c r="P199" s="5"/>
      <c r="Q199" s="5"/>
      <c r="R199" s="5"/>
      <c r="S199" s="5"/>
      <c r="T199" s="5"/>
      <c r="U199" s="5"/>
      <c r="V199" s="5"/>
      <c r="W199" s="5">
        <v>0</v>
      </c>
      <c r="X199" s="5">
        <v>1</v>
      </c>
      <c r="Y199" s="5">
        <v>0</v>
      </c>
      <c r="Z199" s="5"/>
      <c r="AA199" s="5"/>
      <c r="AB199" s="5"/>
    </row>
    <row r="200" spans="1:255" x14ac:dyDescent="0.2">
      <c r="A200" s="5">
        <v>50</v>
      </c>
      <c r="B200" s="5">
        <v>0</v>
      </c>
      <c r="C200" s="5">
        <v>0</v>
      </c>
      <c r="D200" s="5">
        <v>1</v>
      </c>
      <c r="E200" s="5">
        <v>225</v>
      </c>
      <c r="F200" s="5">
        <f>ROUND(Source!AV195,O200)</f>
        <v>0</v>
      </c>
      <c r="G200" s="5" t="s">
        <v>48</v>
      </c>
      <c r="H200" s="5" t="s">
        <v>49</v>
      </c>
      <c r="I200" s="5"/>
      <c r="J200" s="5"/>
      <c r="K200" s="5">
        <v>225</v>
      </c>
      <c r="L200" s="5">
        <v>4</v>
      </c>
      <c r="M200" s="5">
        <v>3</v>
      </c>
      <c r="N200" s="5" t="s">
        <v>3</v>
      </c>
      <c r="O200" s="5">
        <v>2</v>
      </c>
      <c r="P200" s="5"/>
      <c r="Q200" s="5"/>
      <c r="R200" s="5"/>
      <c r="S200" s="5"/>
      <c r="T200" s="5"/>
      <c r="U200" s="5"/>
      <c r="V200" s="5"/>
      <c r="W200" s="5">
        <v>0</v>
      </c>
      <c r="X200" s="5">
        <v>1</v>
      </c>
      <c r="Y200" s="5">
        <v>0</v>
      </c>
      <c r="Z200" s="5"/>
      <c r="AA200" s="5"/>
      <c r="AB200" s="5"/>
    </row>
    <row r="201" spans="1:255" x14ac:dyDescent="0.2">
      <c r="A201" s="5">
        <v>50</v>
      </c>
      <c r="B201" s="5">
        <v>0</v>
      </c>
      <c r="C201" s="5">
        <v>0</v>
      </c>
      <c r="D201" s="5">
        <v>1</v>
      </c>
      <c r="E201" s="5">
        <v>226</v>
      </c>
      <c r="F201" s="5">
        <f>ROUND(Source!AW195,O201)</f>
        <v>0</v>
      </c>
      <c r="G201" s="5" t="s">
        <v>50</v>
      </c>
      <c r="H201" s="5" t="s">
        <v>51</v>
      </c>
      <c r="I201" s="5"/>
      <c r="J201" s="5"/>
      <c r="K201" s="5">
        <v>226</v>
      </c>
      <c r="L201" s="5">
        <v>5</v>
      </c>
      <c r="M201" s="5">
        <v>3</v>
      </c>
      <c r="N201" s="5" t="s">
        <v>3</v>
      </c>
      <c r="O201" s="5">
        <v>2</v>
      </c>
      <c r="P201" s="5"/>
      <c r="Q201" s="5"/>
      <c r="R201" s="5"/>
      <c r="S201" s="5"/>
      <c r="T201" s="5"/>
      <c r="U201" s="5"/>
      <c r="V201" s="5"/>
      <c r="W201" s="5">
        <v>0</v>
      </c>
      <c r="X201" s="5">
        <v>1</v>
      </c>
      <c r="Y201" s="5">
        <v>0</v>
      </c>
      <c r="Z201" s="5"/>
      <c r="AA201" s="5"/>
      <c r="AB201" s="5"/>
    </row>
    <row r="202" spans="1:255" x14ac:dyDescent="0.2">
      <c r="A202" s="5">
        <v>50</v>
      </c>
      <c r="B202" s="5">
        <v>0</v>
      </c>
      <c r="C202" s="5">
        <v>0</v>
      </c>
      <c r="D202" s="5">
        <v>1</v>
      </c>
      <c r="E202" s="5">
        <v>227</v>
      </c>
      <c r="F202" s="5">
        <f>ROUND(Source!AX195,O202)</f>
        <v>0</v>
      </c>
      <c r="G202" s="5" t="s">
        <v>52</v>
      </c>
      <c r="H202" s="5" t="s">
        <v>53</v>
      </c>
      <c r="I202" s="5"/>
      <c r="J202" s="5"/>
      <c r="K202" s="5">
        <v>227</v>
      </c>
      <c r="L202" s="5">
        <v>6</v>
      </c>
      <c r="M202" s="5">
        <v>3</v>
      </c>
      <c r="N202" s="5" t="s">
        <v>3</v>
      </c>
      <c r="O202" s="5">
        <v>2</v>
      </c>
      <c r="P202" s="5"/>
      <c r="Q202" s="5"/>
      <c r="R202" s="5"/>
      <c r="S202" s="5"/>
      <c r="T202" s="5"/>
      <c r="U202" s="5"/>
      <c r="V202" s="5"/>
      <c r="W202" s="5">
        <v>0</v>
      </c>
      <c r="X202" s="5">
        <v>1</v>
      </c>
      <c r="Y202" s="5">
        <v>0</v>
      </c>
      <c r="Z202" s="5"/>
      <c r="AA202" s="5"/>
      <c r="AB202" s="5"/>
    </row>
    <row r="203" spans="1:255" x14ac:dyDescent="0.2">
      <c r="A203" s="5">
        <v>50</v>
      </c>
      <c r="B203" s="5">
        <v>0</v>
      </c>
      <c r="C203" s="5">
        <v>0</v>
      </c>
      <c r="D203" s="5">
        <v>1</v>
      </c>
      <c r="E203" s="5">
        <v>228</v>
      </c>
      <c r="F203" s="5">
        <f>ROUND(Source!AY195,O203)</f>
        <v>0</v>
      </c>
      <c r="G203" s="5" t="s">
        <v>54</v>
      </c>
      <c r="H203" s="5" t="s">
        <v>55</v>
      </c>
      <c r="I203" s="5"/>
      <c r="J203" s="5"/>
      <c r="K203" s="5">
        <v>228</v>
      </c>
      <c r="L203" s="5">
        <v>7</v>
      </c>
      <c r="M203" s="5">
        <v>3</v>
      </c>
      <c r="N203" s="5" t="s">
        <v>3</v>
      </c>
      <c r="O203" s="5">
        <v>2</v>
      </c>
      <c r="P203" s="5"/>
      <c r="Q203" s="5"/>
      <c r="R203" s="5"/>
      <c r="S203" s="5"/>
      <c r="T203" s="5"/>
      <c r="U203" s="5"/>
      <c r="V203" s="5"/>
      <c r="W203" s="5">
        <v>0</v>
      </c>
      <c r="X203" s="5">
        <v>1</v>
      </c>
      <c r="Y203" s="5">
        <v>0</v>
      </c>
      <c r="Z203" s="5"/>
      <c r="AA203" s="5"/>
      <c r="AB203" s="5"/>
    </row>
    <row r="204" spans="1:255" x14ac:dyDescent="0.2">
      <c r="A204" s="5">
        <v>50</v>
      </c>
      <c r="B204" s="5">
        <v>0</v>
      </c>
      <c r="C204" s="5">
        <v>0</v>
      </c>
      <c r="D204" s="5">
        <v>1</v>
      </c>
      <c r="E204" s="5">
        <v>216</v>
      </c>
      <c r="F204" s="5">
        <f>ROUND(Source!AP195,O204)</f>
        <v>0</v>
      </c>
      <c r="G204" s="5" t="s">
        <v>56</v>
      </c>
      <c r="H204" s="5" t="s">
        <v>57</v>
      </c>
      <c r="I204" s="5"/>
      <c r="J204" s="5"/>
      <c r="K204" s="5">
        <v>216</v>
      </c>
      <c r="L204" s="5">
        <v>8</v>
      </c>
      <c r="M204" s="5">
        <v>3</v>
      </c>
      <c r="N204" s="5" t="s">
        <v>3</v>
      </c>
      <c r="O204" s="5">
        <v>2</v>
      </c>
      <c r="P204" s="5"/>
      <c r="Q204" s="5"/>
      <c r="R204" s="5"/>
      <c r="S204" s="5"/>
      <c r="T204" s="5"/>
      <c r="U204" s="5"/>
      <c r="V204" s="5"/>
      <c r="W204" s="5">
        <v>0</v>
      </c>
      <c r="X204" s="5">
        <v>1</v>
      </c>
      <c r="Y204" s="5">
        <v>0</v>
      </c>
      <c r="Z204" s="5"/>
      <c r="AA204" s="5"/>
      <c r="AB204" s="5"/>
    </row>
    <row r="205" spans="1:255" x14ac:dyDescent="0.2">
      <c r="A205" s="5">
        <v>50</v>
      </c>
      <c r="B205" s="5">
        <v>0</v>
      </c>
      <c r="C205" s="5">
        <v>0</v>
      </c>
      <c r="D205" s="5">
        <v>1</v>
      </c>
      <c r="E205" s="5">
        <v>223</v>
      </c>
      <c r="F205" s="5">
        <f>ROUND(Source!AQ195,O205)</f>
        <v>0</v>
      </c>
      <c r="G205" s="5" t="s">
        <v>58</v>
      </c>
      <c r="H205" s="5" t="s">
        <v>59</v>
      </c>
      <c r="I205" s="5"/>
      <c r="J205" s="5"/>
      <c r="K205" s="5">
        <v>223</v>
      </c>
      <c r="L205" s="5">
        <v>9</v>
      </c>
      <c r="M205" s="5">
        <v>3</v>
      </c>
      <c r="N205" s="5" t="s">
        <v>3</v>
      </c>
      <c r="O205" s="5">
        <v>2</v>
      </c>
      <c r="P205" s="5"/>
      <c r="Q205" s="5"/>
      <c r="R205" s="5"/>
      <c r="S205" s="5"/>
      <c r="T205" s="5"/>
      <c r="U205" s="5"/>
      <c r="V205" s="5"/>
      <c r="W205" s="5">
        <v>0</v>
      </c>
      <c r="X205" s="5">
        <v>1</v>
      </c>
      <c r="Y205" s="5">
        <v>0</v>
      </c>
      <c r="Z205" s="5"/>
      <c r="AA205" s="5"/>
      <c r="AB205" s="5"/>
    </row>
    <row r="206" spans="1:255" x14ac:dyDescent="0.2">
      <c r="A206" s="5">
        <v>50</v>
      </c>
      <c r="B206" s="5">
        <v>0</v>
      </c>
      <c r="C206" s="5">
        <v>0</v>
      </c>
      <c r="D206" s="5">
        <v>1</v>
      </c>
      <c r="E206" s="5">
        <v>229</v>
      </c>
      <c r="F206" s="5">
        <f>ROUND(Source!AZ195,O206)</f>
        <v>0</v>
      </c>
      <c r="G206" s="5" t="s">
        <v>60</v>
      </c>
      <c r="H206" s="5" t="s">
        <v>61</v>
      </c>
      <c r="I206" s="5"/>
      <c r="J206" s="5"/>
      <c r="K206" s="5">
        <v>229</v>
      </c>
      <c r="L206" s="5">
        <v>10</v>
      </c>
      <c r="M206" s="5">
        <v>3</v>
      </c>
      <c r="N206" s="5" t="s">
        <v>3</v>
      </c>
      <c r="O206" s="5">
        <v>2</v>
      </c>
      <c r="P206" s="5"/>
      <c r="Q206" s="5"/>
      <c r="R206" s="5"/>
      <c r="S206" s="5"/>
      <c r="T206" s="5"/>
      <c r="U206" s="5"/>
      <c r="V206" s="5"/>
      <c r="W206" s="5">
        <v>0</v>
      </c>
      <c r="X206" s="5">
        <v>1</v>
      </c>
      <c r="Y206" s="5">
        <v>0</v>
      </c>
      <c r="Z206" s="5"/>
      <c r="AA206" s="5"/>
      <c r="AB206" s="5"/>
    </row>
    <row r="207" spans="1:255" x14ac:dyDescent="0.2">
      <c r="A207" s="5">
        <v>50</v>
      </c>
      <c r="B207" s="5">
        <v>0</v>
      </c>
      <c r="C207" s="5">
        <v>0</v>
      </c>
      <c r="D207" s="5">
        <v>1</v>
      </c>
      <c r="E207" s="5">
        <v>203</v>
      </c>
      <c r="F207" s="5">
        <f>ROUND(Source!Q195,O207)</f>
        <v>0</v>
      </c>
      <c r="G207" s="5" t="s">
        <v>62</v>
      </c>
      <c r="H207" s="5" t="s">
        <v>63</v>
      </c>
      <c r="I207" s="5"/>
      <c r="J207" s="5"/>
      <c r="K207" s="5">
        <v>203</v>
      </c>
      <c r="L207" s="5">
        <v>11</v>
      </c>
      <c r="M207" s="5">
        <v>3</v>
      </c>
      <c r="N207" s="5" t="s">
        <v>3</v>
      </c>
      <c r="O207" s="5">
        <v>2</v>
      </c>
      <c r="P207" s="5"/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/>
      <c r="AA207" s="5"/>
      <c r="AB207" s="5"/>
    </row>
    <row r="208" spans="1:255" x14ac:dyDescent="0.2">
      <c r="A208" s="5">
        <v>50</v>
      </c>
      <c r="B208" s="5">
        <v>0</v>
      </c>
      <c r="C208" s="5">
        <v>0</v>
      </c>
      <c r="D208" s="5">
        <v>1</v>
      </c>
      <c r="E208" s="5">
        <v>231</v>
      </c>
      <c r="F208" s="5">
        <f>ROUND(Source!BB195,O208)</f>
        <v>0</v>
      </c>
      <c r="G208" s="5" t="s">
        <v>64</v>
      </c>
      <c r="H208" s="5" t="s">
        <v>65</v>
      </c>
      <c r="I208" s="5"/>
      <c r="J208" s="5"/>
      <c r="K208" s="5">
        <v>231</v>
      </c>
      <c r="L208" s="5">
        <v>12</v>
      </c>
      <c r="M208" s="5">
        <v>3</v>
      </c>
      <c r="N208" s="5" t="s">
        <v>3</v>
      </c>
      <c r="O208" s="5">
        <v>2</v>
      </c>
      <c r="P208" s="5"/>
      <c r="Q208" s="5"/>
      <c r="R208" s="5"/>
      <c r="S208" s="5"/>
      <c r="T208" s="5"/>
      <c r="U208" s="5"/>
      <c r="V208" s="5"/>
      <c r="W208" s="5">
        <v>0</v>
      </c>
      <c r="X208" s="5">
        <v>1</v>
      </c>
      <c r="Y208" s="5">
        <v>0</v>
      </c>
      <c r="Z208" s="5"/>
      <c r="AA208" s="5"/>
      <c r="AB208" s="5"/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204</v>
      </c>
      <c r="F209" s="5">
        <f>ROUND(Source!R195,O209)</f>
        <v>0</v>
      </c>
      <c r="G209" s="5" t="s">
        <v>66</v>
      </c>
      <c r="H209" s="5" t="s">
        <v>67</v>
      </c>
      <c r="I209" s="5"/>
      <c r="J209" s="5"/>
      <c r="K209" s="5">
        <v>204</v>
      </c>
      <c r="L209" s="5">
        <v>13</v>
      </c>
      <c r="M209" s="5">
        <v>3</v>
      </c>
      <c r="N209" s="5" t="s">
        <v>3</v>
      </c>
      <c r="O209" s="5">
        <v>2</v>
      </c>
      <c r="P209" s="5"/>
      <c r="Q209" s="5"/>
      <c r="R209" s="5"/>
      <c r="S209" s="5"/>
      <c r="T209" s="5"/>
      <c r="U209" s="5"/>
      <c r="V209" s="5"/>
      <c r="W209" s="5">
        <v>0</v>
      </c>
      <c r="X209" s="5">
        <v>1</v>
      </c>
      <c r="Y209" s="5">
        <v>0</v>
      </c>
      <c r="Z209" s="5"/>
      <c r="AA209" s="5"/>
      <c r="AB209" s="5"/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205</v>
      </c>
      <c r="F210" s="5">
        <f>ROUND(Source!S195,O210)</f>
        <v>0</v>
      </c>
      <c r="G210" s="5" t="s">
        <v>68</v>
      </c>
      <c r="H210" s="5" t="s">
        <v>69</v>
      </c>
      <c r="I210" s="5"/>
      <c r="J210" s="5"/>
      <c r="K210" s="5">
        <v>205</v>
      </c>
      <c r="L210" s="5">
        <v>14</v>
      </c>
      <c r="M210" s="5">
        <v>3</v>
      </c>
      <c r="N210" s="5" t="s">
        <v>3</v>
      </c>
      <c r="O210" s="5">
        <v>2</v>
      </c>
      <c r="P210" s="5"/>
      <c r="Q210" s="5"/>
      <c r="R210" s="5"/>
      <c r="S210" s="5"/>
      <c r="T210" s="5"/>
      <c r="U210" s="5"/>
      <c r="V210" s="5"/>
      <c r="W210" s="5">
        <v>0</v>
      </c>
      <c r="X210" s="5">
        <v>1</v>
      </c>
      <c r="Y210" s="5">
        <v>0</v>
      </c>
      <c r="Z210" s="5"/>
      <c r="AA210" s="5"/>
      <c r="AB210" s="5"/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232</v>
      </c>
      <c r="F211" s="5">
        <f>ROUND(Source!BC195,O211)</f>
        <v>0</v>
      </c>
      <c r="G211" s="5" t="s">
        <v>70</v>
      </c>
      <c r="H211" s="5" t="s">
        <v>71</v>
      </c>
      <c r="I211" s="5"/>
      <c r="J211" s="5"/>
      <c r="K211" s="5">
        <v>232</v>
      </c>
      <c r="L211" s="5">
        <v>15</v>
      </c>
      <c r="M211" s="5">
        <v>3</v>
      </c>
      <c r="N211" s="5" t="s">
        <v>3</v>
      </c>
      <c r="O211" s="5">
        <v>2</v>
      </c>
      <c r="P211" s="5"/>
      <c r="Q211" s="5"/>
      <c r="R211" s="5"/>
      <c r="S211" s="5"/>
      <c r="T211" s="5"/>
      <c r="U211" s="5"/>
      <c r="V211" s="5"/>
      <c r="W211" s="5">
        <v>0</v>
      </c>
      <c r="X211" s="5">
        <v>1</v>
      </c>
      <c r="Y211" s="5">
        <v>0</v>
      </c>
      <c r="Z211" s="5"/>
      <c r="AA211" s="5"/>
      <c r="AB211" s="5"/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214</v>
      </c>
      <c r="F212" s="5">
        <f>ROUND(Source!AS195,O212)</f>
        <v>408.34</v>
      </c>
      <c r="G212" s="5" t="s">
        <v>72</v>
      </c>
      <c r="H212" s="5" t="s">
        <v>73</v>
      </c>
      <c r="I212" s="5"/>
      <c r="J212" s="5"/>
      <c r="K212" s="5">
        <v>214</v>
      </c>
      <c r="L212" s="5">
        <v>16</v>
      </c>
      <c r="M212" s="5">
        <v>3</v>
      </c>
      <c r="N212" s="5" t="s">
        <v>3</v>
      </c>
      <c r="O212" s="5">
        <v>2</v>
      </c>
      <c r="P212" s="5"/>
      <c r="Q212" s="5"/>
      <c r="R212" s="5"/>
      <c r="S212" s="5"/>
      <c r="T212" s="5"/>
      <c r="U212" s="5"/>
      <c r="V212" s="5"/>
      <c r="W212" s="5">
        <v>408.34</v>
      </c>
      <c r="X212" s="5">
        <v>1</v>
      </c>
      <c r="Y212" s="5">
        <v>408.34</v>
      </c>
      <c r="Z212" s="5"/>
      <c r="AA212" s="5"/>
      <c r="AB212" s="5"/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215</v>
      </c>
      <c r="F213" s="5">
        <f>ROUND(Source!AT195,O213)</f>
        <v>0</v>
      </c>
      <c r="G213" s="5" t="s">
        <v>74</v>
      </c>
      <c r="H213" s="5" t="s">
        <v>75</v>
      </c>
      <c r="I213" s="5"/>
      <c r="J213" s="5"/>
      <c r="K213" s="5">
        <v>215</v>
      </c>
      <c r="L213" s="5">
        <v>17</v>
      </c>
      <c r="M213" s="5">
        <v>3</v>
      </c>
      <c r="N213" s="5" t="s">
        <v>3</v>
      </c>
      <c r="O213" s="5">
        <v>2</v>
      </c>
      <c r="P213" s="5"/>
      <c r="Q213" s="5"/>
      <c r="R213" s="5"/>
      <c r="S213" s="5"/>
      <c r="T213" s="5"/>
      <c r="U213" s="5"/>
      <c r="V213" s="5"/>
      <c r="W213" s="5">
        <v>0</v>
      </c>
      <c r="X213" s="5">
        <v>1</v>
      </c>
      <c r="Y213" s="5">
        <v>0</v>
      </c>
      <c r="Z213" s="5"/>
      <c r="AA213" s="5"/>
      <c r="AB213" s="5"/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217</v>
      </c>
      <c r="F214" s="5">
        <f>ROUND(Source!AU195,O214)</f>
        <v>0</v>
      </c>
      <c r="G214" s="5" t="s">
        <v>76</v>
      </c>
      <c r="H214" s="5" t="s">
        <v>77</v>
      </c>
      <c r="I214" s="5"/>
      <c r="J214" s="5"/>
      <c r="K214" s="5">
        <v>217</v>
      </c>
      <c r="L214" s="5">
        <v>18</v>
      </c>
      <c r="M214" s="5">
        <v>3</v>
      </c>
      <c r="N214" s="5" t="s">
        <v>3</v>
      </c>
      <c r="O214" s="5">
        <v>2</v>
      </c>
      <c r="P214" s="5"/>
      <c r="Q214" s="5"/>
      <c r="R214" s="5"/>
      <c r="S214" s="5"/>
      <c r="T214" s="5"/>
      <c r="U214" s="5"/>
      <c r="V214" s="5"/>
      <c r="W214" s="5">
        <v>0</v>
      </c>
      <c r="X214" s="5">
        <v>1</v>
      </c>
      <c r="Y214" s="5">
        <v>0</v>
      </c>
      <c r="Z214" s="5"/>
      <c r="AA214" s="5"/>
      <c r="AB214" s="5"/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230</v>
      </c>
      <c r="F215" s="5">
        <f>ROUND(Source!BA195,O215)</f>
        <v>0</v>
      </c>
      <c r="G215" s="5" t="s">
        <v>78</v>
      </c>
      <c r="H215" s="5" t="s">
        <v>79</v>
      </c>
      <c r="I215" s="5"/>
      <c r="J215" s="5"/>
      <c r="K215" s="5">
        <v>230</v>
      </c>
      <c r="L215" s="5">
        <v>19</v>
      </c>
      <c r="M215" s="5">
        <v>3</v>
      </c>
      <c r="N215" s="5" t="s">
        <v>3</v>
      </c>
      <c r="O215" s="5">
        <v>2</v>
      </c>
      <c r="P215" s="5"/>
      <c r="Q215" s="5"/>
      <c r="R215" s="5"/>
      <c r="S215" s="5"/>
      <c r="T215" s="5"/>
      <c r="U215" s="5"/>
      <c r="V215" s="5"/>
      <c r="W215" s="5">
        <v>0</v>
      </c>
      <c r="X215" s="5">
        <v>1</v>
      </c>
      <c r="Y215" s="5">
        <v>0</v>
      </c>
      <c r="Z215" s="5"/>
      <c r="AA215" s="5"/>
      <c r="AB215" s="5"/>
    </row>
    <row r="216" spans="1:28" x14ac:dyDescent="0.2">
      <c r="A216" s="5">
        <v>50</v>
      </c>
      <c r="B216" s="5">
        <v>0</v>
      </c>
      <c r="C216" s="5">
        <v>0</v>
      </c>
      <c r="D216" s="5">
        <v>1</v>
      </c>
      <c r="E216" s="5">
        <v>206</v>
      </c>
      <c r="F216" s="5">
        <f>ROUND(Source!T195,O216)</f>
        <v>0</v>
      </c>
      <c r="G216" s="5" t="s">
        <v>80</v>
      </c>
      <c r="H216" s="5" t="s">
        <v>81</v>
      </c>
      <c r="I216" s="5"/>
      <c r="J216" s="5"/>
      <c r="K216" s="5">
        <v>206</v>
      </c>
      <c r="L216" s="5">
        <v>20</v>
      </c>
      <c r="M216" s="5">
        <v>3</v>
      </c>
      <c r="N216" s="5" t="s">
        <v>3</v>
      </c>
      <c r="O216" s="5">
        <v>2</v>
      </c>
      <c r="P216" s="5"/>
      <c r="Q216" s="5"/>
      <c r="R216" s="5"/>
      <c r="S216" s="5"/>
      <c r="T216" s="5"/>
      <c r="U216" s="5"/>
      <c r="V216" s="5"/>
      <c r="W216" s="5">
        <v>0</v>
      </c>
      <c r="X216" s="5">
        <v>1</v>
      </c>
      <c r="Y216" s="5">
        <v>0</v>
      </c>
      <c r="Z216" s="5"/>
      <c r="AA216" s="5"/>
      <c r="AB216" s="5"/>
    </row>
    <row r="217" spans="1:28" x14ac:dyDescent="0.2">
      <c r="A217" s="5">
        <v>50</v>
      </c>
      <c r="B217" s="5">
        <v>0</v>
      </c>
      <c r="C217" s="5">
        <v>0</v>
      </c>
      <c r="D217" s="5">
        <v>1</v>
      </c>
      <c r="E217" s="5">
        <v>207</v>
      </c>
      <c r="F217" s="5">
        <f>ROUND(Source!U195,O217)</f>
        <v>0</v>
      </c>
      <c r="G217" s="5" t="s">
        <v>82</v>
      </c>
      <c r="H217" s="5" t="s">
        <v>83</v>
      </c>
      <c r="I217" s="5"/>
      <c r="J217" s="5"/>
      <c r="K217" s="5">
        <v>207</v>
      </c>
      <c r="L217" s="5">
        <v>21</v>
      </c>
      <c r="M217" s="5">
        <v>3</v>
      </c>
      <c r="N217" s="5" t="s">
        <v>3</v>
      </c>
      <c r="O217" s="5">
        <v>7</v>
      </c>
      <c r="P217" s="5"/>
      <c r="Q217" s="5"/>
      <c r="R217" s="5"/>
      <c r="S217" s="5"/>
      <c r="T217" s="5"/>
      <c r="U217" s="5"/>
      <c r="V217" s="5"/>
      <c r="W217" s="5">
        <v>0</v>
      </c>
      <c r="X217" s="5">
        <v>1</v>
      </c>
      <c r="Y217" s="5">
        <v>0</v>
      </c>
      <c r="Z217" s="5"/>
      <c r="AA217" s="5"/>
      <c r="AB217" s="5"/>
    </row>
    <row r="218" spans="1:28" x14ac:dyDescent="0.2">
      <c r="A218" s="5">
        <v>50</v>
      </c>
      <c r="B218" s="5">
        <v>0</v>
      </c>
      <c r="C218" s="5">
        <v>0</v>
      </c>
      <c r="D218" s="5">
        <v>1</v>
      </c>
      <c r="E218" s="5">
        <v>208</v>
      </c>
      <c r="F218" s="5">
        <f>ROUND(Source!V195,O218)</f>
        <v>0</v>
      </c>
      <c r="G218" s="5" t="s">
        <v>84</v>
      </c>
      <c r="H218" s="5" t="s">
        <v>85</v>
      </c>
      <c r="I218" s="5"/>
      <c r="J218" s="5"/>
      <c r="K218" s="5">
        <v>208</v>
      </c>
      <c r="L218" s="5">
        <v>22</v>
      </c>
      <c r="M218" s="5">
        <v>3</v>
      </c>
      <c r="N218" s="5" t="s">
        <v>3</v>
      </c>
      <c r="O218" s="5">
        <v>7</v>
      </c>
      <c r="P218" s="5"/>
      <c r="Q218" s="5"/>
      <c r="R218" s="5"/>
      <c r="S218" s="5"/>
      <c r="T218" s="5"/>
      <c r="U218" s="5"/>
      <c r="V218" s="5"/>
      <c r="W218" s="5">
        <v>0</v>
      </c>
      <c r="X218" s="5">
        <v>1</v>
      </c>
      <c r="Y218" s="5">
        <v>0</v>
      </c>
      <c r="Z218" s="5"/>
      <c r="AA218" s="5"/>
      <c r="AB218" s="5"/>
    </row>
    <row r="219" spans="1:28" x14ac:dyDescent="0.2">
      <c r="A219" s="5">
        <v>50</v>
      </c>
      <c r="B219" s="5">
        <v>0</v>
      </c>
      <c r="C219" s="5">
        <v>0</v>
      </c>
      <c r="D219" s="5">
        <v>1</v>
      </c>
      <c r="E219" s="5">
        <v>209</v>
      </c>
      <c r="F219" s="5">
        <f>ROUND(Source!W195,O219)</f>
        <v>0</v>
      </c>
      <c r="G219" s="5" t="s">
        <v>86</v>
      </c>
      <c r="H219" s="5" t="s">
        <v>87</v>
      </c>
      <c r="I219" s="5"/>
      <c r="J219" s="5"/>
      <c r="K219" s="5">
        <v>209</v>
      </c>
      <c r="L219" s="5">
        <v>23</v>
      </c>
      <c r="M219" s="5">
        <v>3</v>
      </c>
      <c r="N219" s="5" t="s">
        <v>3</v>
      </c>
      <c r="O219" s="5">
        <v>2</v>
      </c>
      <c r="P219" s="5"/>
      <c r="Q219" s="5"/>
      <c r="R219" s="5"/>
      <c r="S219" s="5"/>
      <c r="T219" s="5"/>
      <c r="U219" s="5"/>
      <c r="V219" s="5"/>
      <c r="W219" s="5">
        <v>0</v>
      </c>
      <c r="X219" s="5">
        <v>1</v>
      </c>
      <c r="Y219" s="5">
        <v>0</v>
      </c>
      <c r="Z219" s="5"/>
      <c r="AA219" s="5"/>
      <c r="AB219" s="5"/>
    </row>
    <row r="220" spans="1:28" x14ac:dyDescent="0.2">
      <c r="A220" s="5">
        <v>50</v>
      </c>
      <c r="B220" s="5">
        <v>0</v>
      </c>
      <c r="C220" s="5">
        <v>0</v>
      </c>
      <c r="D220" s="5">
        <v>1</v>
      </c>
      <c r="E220" s="5">
        <v>233</v>
      </c>
      <c r="F220" s="5">
        <f>ROUND(Source!BD195,O220)</f>
        <v>408.34</v>
      </c>
      <c r="G220" s="5" t="s">
        <v>88</v>
      </c>
      <c r="H220" s="5" t="s">
        <v>89</v>
      </c>
      <c r="I220" s="5"/>
      <c r="J220" s="5"/>
      <c r="K220" s="5">
        <v>233</v>
      </c>
      <c r="L220" s="5">
        <v>24</v>
      </c>
      <c r="M220" s="5">
        <v>3</v>
      </c>
      <c r="N220" s="5" t="s">
        <v>3</v>
      </c>
      <c r="O220" s="5">
        <v>2</v>
      </c>
      <c r="P220" s="5"/>
      <c r="Q220" s="5"/>
      <c r="R220" s="5"/>
      <c r="S220" s="5"/>
      <c r="T220" s="5"/>
      <c r="U220" s="5"/>
      <c r="V220" s="5"/>
      <c r="W220" s="5">
        <v>408.34</v>
      </c>
      <c r="X220" s="5">
        <v>1</v>
      </c>
      <c r="Y220" s="5">
        <v>408.34</v>
      </c>
      <c r="Z220" s="5"/>
      <c r="AA220" s="5"/>
      <c r="AB220" s="5"/>
    </row>
    <row r="221" spans="1:28" x14ac:dyDescent="0.2">
      <c r="A221" s="5">
        <v>50</v>
      </c>
      <c r="B221" s="5">
        <v>0</v>
      </c>
      <c r="C221" s="5">
        <v>0</v>
      </c>
      <c r="D221" s="5">
        <v>1</v>
      </c>
      <c r="E221" s="5">
        <v>210</v>
      </c>
      <c r="F221" s="5">
        <f>ROUND(Source!X195,O221)</f>
        <v>0</v>
      </c>
      <c r="G221" s="5" t="s">
        <v>90</v>
      </c>
      <c r="H221" s="5" t="s">
        <v>91</v>
      </c>
      <c r="I221" s="5"/>
      <c r="J221" s="5"/>
      <c r="K221" s="5">
        <v>210</v>
      </c>
      <c r="L221" s="5">
        <v>25</v>
      </c>
      <c r="M221" s="5">
        <v>3</v>
      </c>
      <c r="N221" s="5" t="s">
        <v>3</v>
      </c>
      <c r="O221" s="5">
        <v>2</v>
      </c>
      <c r="P221" s="5"/>
      <c r="Q221" s="5"/>
      <c r="R221" s="5"/>
      <c r="S221" s="5"/>
      <c r="T221" s="5"/>
      <c r="U221" s="5"/>
      <c r="V221" s="5"/>
      <c r="W221" s="5">
        <v>0</v>
      </c>
      <c r="X221" s="5">
        <v>1</v>
      </c>
      <c r="Y221" s="5">
        <v>0</v>
      </c>
      <c r="Z221" s="5"/>
      <c r="AA221" s="5"/>
      <c r="AB221" s="5"/>
    </row>
    <row r="222" spans="1:28" x14ac:dyDescent="0.2">
      <c r="A222" s="5">
        <v>50</v>
      </c>
      <c r="B222" s="5">
        <v>0</v>
      </c>
      <c r="C222" s="5">
        <v>0</v>
      </c>
      <c r="D222" s="5">
        <v>1</v>
      </c>
      <c r="E222" s="5">
        <v>211</v>
      </c>
      <c r="F222" s="5">
        <f>ROUND(Source!Y195,O222)</f>
        <v>0</v>
      </c>
      <c r="G222" s="5" t="s">
        <v>92</v>
      </c>
      <c r="H222" s="5" t="s">
        <v>93</v>
      </c>
      <c r="I222" s="5"/>
      <c r="J222" s="5"/>
      <c r="K222" s="5">
        <v>211</v>
      </c>
      <c r="L222" s="5">
        <v>26</v>
      </c>
      <c r="M222" s="5">
        <v>3</v>
      </c>
      <c r="N222" s="5" t="s">
        <v>3</v>
      </c>
      <c r="O222" s="5">
        <v>2</v>
      </c>
      <c r="P222" s="5"/>
      <c r="Q222" s="5"/>
      <c r="R222" s="5"/>
      <c r="S222" s="5"/>
      <c r="T222" s="5"/>
      <c r="U222" s="5"/>
      <c r="V222" s="5"/>
      <c r="W222" s="5">
        <v>0</v>
      </c>
      <c r="X222" s="5">
        <v>1</v>
      </c>
      <c r="Y222" s="5">
        <v>0</v>
      </c>
      <c r="Z222" s="5"/>
      <c r="AA222" s="5"/>
      <c r="AB222" s="5"/>
    </row>
    <row r="223" spans="1:28" x14ac:dyDescent="0.2">
      <c r="A223" s="5">
        <v>50</v>
      </c>
      <c r="B223" s="5">
        <v>0</v>
      </c>
      <c r="C223" s="5">
        <v>0</v>
      </c>
      <c r="D223" s="5">
        <v>1</v>
      </c>
      <c r="E223" s="5">
        <v>224</v>
      </c>
      <c r="F223" s="5">
        <f>ROUND(Source!AR195,O223)</f>
        <v>408.34</v>
      </c>
      <c r="G223" s="5" t="s">
        <v>94</v>
      </c>
      <c r="H223" s="5" t="s">
        <v>95</v>
      </c>
      <c r="I223" s="5"/>
      <c r="J223" s="5"/>
      <c r="K223" s="5">
        <v>224</v>
      </c>
      <c r="L223" s="5">
        <v>27</v>
      </c>
      <c r="M223" s="5">
        <v>3</v>
      </c>
      <c r="N223" s="5" t="s">
        <v>3</v>
      </c>
      <c r="O223" s="5">
        <v>2</v>
      </c>
      <c r="P223" s="5"/>
      <c r="Q223" s="5"/>
      <c r="R223" s="5"/>
      <c r="S223" s="5"/>
      <c r="T223" s="5"/>
      <c r="U223" s="5"/>
      <c r="V223" s="5"/>
      <c r="W223" s="5">
        <v>408.34</v>
      </c>
      <c r="X223" s="5">
        <v>1</v>
      </c>
      <c r="Y223" s="5">
        <v>408.34</v>
      </c>
      <c r="Z223" s="5"/>
      <c r="AA223" s="5"/>
      <c r="AB223" s="5"/>
    </row>
    <row r="225" spans="1:206" x14ac:dyDescent="0.2">
      <c r="A225" s="3">
        <v>51</v>
      </c>
      <c r="B225" s="3">
        <f>B20</f>
        <v>1</v>
      </c>
      <c r="C225" s="3">
        <f>A20</f>
        <v>3</v>
      </c>
      <c r="D225" s="3">
        <f>ROW(A20)</f>
        <v>20</v>
      </c>
      <c r="E225" s="3"/>
      <c r="F225" s="3" t="str">
        <f>IF(F20&lt;&gt;"",F20,"")</f>
        <v>Новая локальная смета</v>
      </c>
      <c r="G225" s="3" t="str">
        <f>IF(G20&lt;&gt;"",G20,"")</f>
        <v>Новая локальная смета</v>
      </c>
      <c r="H225" s="3">
        <v>0</v>
      </c>
      <c r="I225" s="3"/>
      <c r="J225" s="3"/>
      <c r="K225" s="3"/>
      <c r="L225" s="3"/>
      <c r="M225" s="3"/>
      <c r="N225" s="3"/>
      <c r="O225" s="3">
        <f t="shared" ref="O225:T225" si="84">ROUND(O32+O120+O158+O195+AB225,2)</f>
        <v>272929.24</v>
      </c>
      <c r="P225" s="3">
        <f t="shared" si="84"/>
        <v>126967.12</v>
      </c>
      <c r="Q225" s="3">
        <f t="shared" si="84"/>
        <v>1027.31</v>
      </c>
      <c r="R225" s="3">
        <f t="shared" si="84"/>
        <v>1548.22</v>
      </c>
      <c r="S225" s="3">
        <f t="shared" si="84"/>
        <v>143386.59</v>
      </c>
      <c r="T225" s="3">
        <f t="shared" si="84"/>
        <v>0</v>
      </c>
      <c r="U225" s="3">
        <f>U32+U120+U158+U195+AH225</f>
        <v>212.83942999999999</v>
      </c>
      <c r="V225" s="3">
        <f>V32+V120+V158+V195+AI225</f>
        <v>2.1574375000000003</v>
      </c>
      <c r="W225" s="3">
        <f>ROUND(W32+W120+W158+W195+AJ225,2)</f>
        <v>0</v>
      </c>
      <c r="X225" s="3">
        <f>ROUND(X32+X120+X158+X195+AK225,2)</f>
        <v>130932.32</v>
      </c>
      <c r="Y225" s="3">
        <f>ROUND(Y32+Y120+Y158+Y195+AL225,2)</f>
        <v>61331.66</v>
      </c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>
        <f t="shared" ref="AO225:BD225" si="85">ROUND(AO32+AO120+AO158+AO195+BX225,2)</f>
        <v>0</v>
      </c>
      <c r="AP225" s="3">
        <f t="shared" si="85"/>
        <v>0</v>
      </c>
      <c r="AQ225" s="3">
        <f t="shared" si="85"/>
        <v>0</v>
      </c>
      <c r="AR225" s="3">
        <f t="shared" si="85"/>
        <v>465601.56</v>
      </c>
      <c r="AS225" s="3">
        <f t="shared" si="85"/>
        <v>450656.02</v>
      </c>
      <c r="AT225" s="3">
        <f t="shared" si="85"/>
        <v>14945.54</v>
      </c>
      <c r="AU225" s="3">
        <f t="shared" si="85"/>
        <v>0</v>
      </c>
      <c r="AV225" s="3">
        <f t="shared" si="85"/>
        <v>126967.12</v>
      </c>
      <c r="AW225" s="3">
        <f t="shared" si="85"/>
        <v>126967.12</v>
      </c>
      <c r="AX225" s="3">
        <f t="shared" si="85"/>
        <v>0</v>
      </c>
      <c r="AY225" s="3">
        <f t="shared" si="85"/>
        <v>126967.12</v>
      </c>
      <c r="AZ225" s="3">
        <f t="shared" si="85"/>
        <v>0</v>
      </c>
      <c r="BA225" s="3">
        <f t="shared" si="85"/>
        <v>0</v>
      </c>
      <c r="BB225" s="3">
        <f t="shared" si="85"/>
        <v>0</v>
      </c>
      <c r="BC225" s="3">
        <f t="shared" si="85"/>
        <v>0</v>
      </c>
      <c r="BD225" s="3">
        <f t="shared" si="85"/>
        <v>408.34</v>
      </c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>
        <v>0</v>
      </c>
    </row>
    <row r="227" spans="1:206" x14ac:dyDescent="0.2">
      <c r="A227" s="5">
        <v>50</v>
      </c>
      <c r="B227" s="5">
        <v>0</v>
      </c>
      <c r="C227" s="5">
        <v>0</v>
      </c>
      <c r="D227" s="5">
        <v>1</v>
      </c>
      <c r="E227" s="5">
        <v>201</v>
      </c>
      <c r="F227" s="5">
        <f>ROUND(Source!O225,O227)</f>
        <v>272929.24</v>
      </c>
      <c r="G227" s="5" t="s">
        <v>42</v>
      </c>
      <c r="H227" s="5" t="s">
        <v>43</v>
      </c>
      <c r="I227" s="5"/>
      <c r="J227" s="5"/>
      <c r="K227" s="5">
        <v>201</v>
      </c>
      <c r="L227" s="5">
        <v>1</v>
      </c>
      <c r="M227" s="5">
        <v>3</v>
      </c>
      <c r="N227" s="5" t="s">
        <v>3</v>
      </c>
      <c r="O227" s="5">
        <v>2</v>
      </c>
      <c r="P227" s="5"/>
      <c r="Q227" s="5"/>
      <c r="R227" s="5"/>
      <c r="S227" s="5"/>
      <c r="T227" s="5"/>
      <c r="U227" s="5"/>
      <c r="V227" s="5"/>
      <c r="W227" s="5">
        <v>273337.57999999996</v>
      </c>
      <c r="X227" s="5">
        <v>1</v>
      </c>
      <c r="Y227" s="5">
        <v>273337.57999999996</v>
      </c>
      <c r="Z227" s="5"/>
      <c r="AA227" s="5"/>
      <c r="AB227" s="5"/>
    </row>
    <row r="228" spans="1:206" x14ac:dyDescent="0.2">
      <c r="A228" s="5">
        <v>50</v>
      </c>
      <c r="B228" s="5">
        <v>0</v>
      </c>
      <c r="C228" s="5">
        <v>0</v>
      </c>
      <c r="D228" s="5">
        <v>1</v>
      </c>
      <c r="E228" s="5">
        <v>202</v>
      </c>
      <c r="F228" s="5">
        <f>ROUND(Source!P225,O228)</f>
        <v>126967.12</v>
      </c>
      <c r="G228" s="5" t="s">
        <v>44</v>
      </c>
      <c r="H228" s="5" t="s">
        <v>45</v>
      </c>
      <c r="I228" s="5"/>
      <c r="J228" s="5"/>
      <c r="K228" s="5">
        <v>202</v>
      </c>
      <c r="L228" s="5">
        <v>2</v>
      </c>
      <c r="M228" s="5">
        <v>3</v>
      </c>
      <c r="N228" s="5" t="s">
        <v>3</v>
      </c>
      <c r="O228" s="5">
        <v>2</v>
      </c>
      <c r="P228" s="5"/>
      <c r="Q228" s="5"/>
      <c r="R228" s="5"/>
      <c r="S228" s="5"/>
      <c r="T228" s="5"/>
      <c r="U228" s="5"/>
      <c r="V228" s="5"/>
      <c r="W228" s="5">
        <v>126967.12</v>
      </c>
      <c r="X228" s="5">
        <v>1</v>
      </c>
      <c r="Y228" s="5">
        <v>126967.12</v>
      </c>
      <c r="Z228" s="5"/>
      <c r="AA228" s="5"/>
      <c r="AB228" s="5"/>
    </row>
    <row r="229" spans="1:206" x14ac:dyDescent="0.2">
      <c r="A229" s="5">
        <v>50</v>
      </c>
      <c r="B229" s="5">
        <v>0</v>
      </c>
      <c r="C229" s="5">
        <v>0</v>
      </c>
      <c r="D229" s="5">
        <v>1</v>
      </c>
      <c r="E229" s="5">
        <v>222</v>
      </c>
      <c r="F229" s="5">
        <f>ROUND(Source!AO225,O229)</f>
        <v>0</v>
      </c>
      <c r="G229" s="5" t="s">
        <v>46</v>
      </c>
      <c r="H229" s="5" t="s">
        <v>47</v>
      </c>
      <c r="I229" s="5"/>
      <c r="J229" s="5"/>
      <c r="K229" s="5">
        <v>222</v>
      </c>
      <c r="L229" s="5">
        <v>3</v>
      </c>
      <c r="M229" s="5">
        <v>3</v>
      </c>
      <c r="N229" s="5" t="s">
        <v>3</v>
      </c>
      <c r="O229" s="5">
        <v>2</v>
      </c>
      <c r="P229" s="5"/>
      <c r="Q229" s="5"/>
      <c r="R229" s="5"/>
      <c r="S229" s="5"/>
      <c r="T229" s="5"/>
      <c r="U229" s="5"/>
      <c r="V229" s="5"/>
      <c r="W229" s="5">
        <v>0</v>
      </c>
      <c r="X229" s="5">
        <v>1</v>
      </c>
      <c r="Y229" s="5">
        <v>0</v>
      </c>
      <c r="Z229" s="5"/>
      <c r="AA229" s="5"/>
      <c r="AB229" s="5"/>
    </row>
    <row r="230" spans="1:206" x14ac:dyDescent="0.2">
      <c r="A230" s="5">
        <v>50</v>
      </c>
      <c r="B230" s="5">
        <v>0</v>
      </c>
      <c r="C230" s="5">
        <v>0</v>
      </c>
      <c r="D230" s="5">
        <v>1</v>
      </c>
      <c r="E230" s="5">
        <v>225</v>
      </c>
      <c r="F230" s="5">
        <f>ROUND(Source!AV225,O230)</f>
        <v>126967.12</v>
      </c>
      <c r="G230" s="5" t="s">
        <v>48</v>
      </c>
      <c r="H230" s="5" t="s">
        <v>49</v>
      </c>
      <c r="I230" s="5"/>
      <c r="J230" s="5"/>
      <c r="K230" s="5">
        <v>225</v>
      </c>
      <c r="L230" s="5">
        <v>4</v>
      </c>
      <c r="M230" s="5">
        <v>3</v>
      </c>
      <c r="N230" s="5" t="s">
        <v>3</v>
      </c>
      <c r="O230" s="5">
        <v>2</v>
      </c>
      <c r="P230" s="5"/>
      <c r="Q230" s="5"/>
      <c r="R230" s="5"/>
      <c r="S230" s="5"/>
      <c r="T230" s="5"/>
      <c r="U230" s="5"/>
      <c r="V230" s="5"/>
      <c r="W230" s="5">
        <v>126967.12</v>
      </c>
      <c r="X230" s="5">
        <v>1</v>
      </c>
      <c r="Y230" s="5">
        <v>126967.12</v>
      </c>
      <c r="Z230" s="5"/>
      <c r="AA230" s="5"/>
      <c r="AB230" s="5"/>
    </row>
    <row r="231" spans="1:206" x14ac:dyDescent="0.2">
      <c r="A231" s="5">
        <v>50</v>
      </c>
      <c r="B231" s="5">
        <v>0</v>
      </c>
      <c r="C231" s="5">
        <v>0</v>
      </c>
      <c r="D231" s="5">
        <v>1</v>
      </c>
      <c r="E231" s="5">
        <v>226</v>
      </c>
      <c r="F231" s="5">
        <f>ROUND(Source!AW225,O231)</f>
        <v>126967.12</v>
      </c>
      <c r="G231" s="5" t="s">
        <v>50</v>
      </c>
      <c r="H231" s="5" t="s">
        <v>51</v>
      </c>
      <c r="I231" s="5"/>
      <c r="J231" s="5"/>
      <c r="K231" s="5">
        <v>226</v>
      </c>
      <c r="L231" s="5">
        <v>5</v>
      </c>
      <c r="M231" s="5">
        <v>3</v>
      </c>
      <c r="N231" s="5" t="s">
        <v>3</v>
      </c>
      <c r="O231" s="5">
        <v>2</v>
      </c>
      <c r="P231" s="5"/>
      <c r="Q231" s="5"/>
      <c r="R231" s="5"/>
      <c r="S231" s="5"/>
      <c r="T231" s="5"/>
      <c r="U231" s="5"/>
      <c r="V231" s="5"/>
      <c r="W231" s="5">
        <v>126967.12</v>
      </c>
      <c r="X231" s="5">
        <v>1</v>
      </c>
      <c r="Y231" s="5">
        <v>126967.12</v>
      </c>
      <c r="Z231" s="5"/>
      <c r="AA231" s="5"/>
      <c r="AB231" s="5"/>
    </row>
    <row r="232" spans="1:206" x14ac:dyDescent="0.2">
      <c r="A232" s="5">
        <v>50</v>
      </c>
      <c r="B232" s="5">
        <v>0</v>
      </c>
      <c r="C232" s="5">
        <v>0</v>
      </c>
      <c r="D232" s="5">
        <v>1</v>
      </c>
      <c r="E232" s="5">
        <v>227</v>
      </c>
      <c r="F232" s="5">
        <f>ROUND(Source!AX225,O232)</f>
        <v>0</v>
      </c>
      <c r="G232" s="5" t="s">
        <v>52</v>
      </c>
      <c r="H232" s="5" t="s">
        <v>53</v>
      </c>
      <c r="I232" s="5"/>
      <c r="J232" s="5"/>
      <c r="K232" s="5">
        <v>227</v>
      </c>
      <c r="L232" s="5">
        <v>6</v>
      </c>
      <c r="M232" s="5">
        <v>3</v>
      </c>
      <c r="N232" s="5" t="s">
        <v>3</v>
      </c>
      <c r="O232" s="5">
        <v>2</v>
      </c>
      <c r="P232" s="5"/>
      <c r="Q232" s="5"/>
      <c r="R232" s="5"/>
      <c r="S232" s="5"/>
      <c r="T232" s="5"/>
      <c r="U232" s="5"/>
      <c r="V232" s="5"/>
      <c r="W232" s="5">
        <v>0</v>
      </c>
      <c r="X232" s="5">
        <v>1</v>
      </c>
      <c r="Y232" s="5">
        <v>0</v>
      </c>
      <c r="Z232" s="5"/>
      <c r="AA232" s="5"/>
      <c r="AB232" s="5"/>
    </row>
    <row r="233" spans="1:206" x14ac:dyDescent="0.2">
      <c r="A233" s="5">
        <v>50</v>
      </c>
      <c r="B233" s="5">
        <v>0</v>
      </c>
      <c r="C233" s="5">
        <v>0</v>
      </c>
      <c r="D233" s="5">
        <v>1</v>
      </c>
      <c r="E233" s="5">
        <v>228</v>
      </c>
      <c r="F233" s="5">
        <f>ROUND(Source!AY225,O233)</f>
        <v>126967.12</v>
      </c>
      <c r="G233" s="5" t="s">
        <v>54</v>
      </c>
      <c r="H233" s="5" t="s">
        <v>55</v>
      </c>
      <c r="I233" s="5"/>
      <c r="J233" s="5"/>
      <c r="K233" s="5">
        <v>228</v>
      </c>
      <c r="L233" s="5">
        <v>7</v>
      </c>
      <c r="M233" s="5">
        <v>3</v>
      </c>
      <c r="N233" s="5" t="s">
        <v>3</v>
      </c>
      <c r="O233" s="5">
        <v>2</v>
      </c>
      <c r="P233" s="5"/>
      <c r="Q233" s="5"/>
      <c r="R233" s="5"/>
      <c r="S233" s="5"/>
      <c r="T233" s="5"/>
      <c r="U233" s="5"/>
      <c r="V233" s="5"/>
      <c r="W233" s="5">
        <v>126967.12</v>
      </c>
      <c r="X233" s="5">
        <v>1</v>
      </c>
      <c r="Y233" s="5">
        <v>126967.12</v>
      </c>
      <c r="Z233" s="5"/>
      <c r="AA233" s="5"/>
      <c r="AB233" s="5"/>
    </row>
    <row r="234" spans="1:206" x14ac:dyDescent="0.2">
      <c r="A234" s="5">
        <v>50</v>
      </c>
      <c r="B234" s="5">
        <v>0</v>
      </c>
      <c r="C234" s="5">
        <v>0</v>
      </c>
      <c r="D234" s="5">
        <v>1</v>
      </c>
      <c r="E234" s="5">
        <v>216</v>
      </c>
      <c r="F234" s="5">
        <f>ROUND(Source!AP225,O234)</f>
        <v>0</v>
      </c>
      <c r="G234" s="5" t="s">
        <v>56</v>
      </c>
      <c r="H234" s="5" t="s">
        <v>57</v>
      </c>
      <c r="I234" s="5"/>
      <c r="J234" s="5"/>
      <c r="K234" s="5">
        <v>216</v>
      </c>
      <c r="L234" s="5">
        <v>8</v>
      </c>
      <c r="M234" s="5">
        <v>3</v>
      </c>
      <c r="N234" s="5" t="s">
        <v>3</v>
      </c>
      <c r="O234" s="5">
        <v>2</v>
      </c>
      <c r="P234" s="5"/>
      <c r="Q234" s="5"/>
      <c r="R234" s="5"/>
      <c r="S234" s="5"/>
      <c r="T234" s="5"/>
      <c r="U234" s="5"/>
      <c r="V234" s="5"/>
      <c r="W234" s="5">
        <v>0</v>
      </c>
      <c r="X234" s="5">
        <v>1</v>
      </c>
      <c r="Y234" s="5">
        <v>0</v>
      </c>
      <c r="Z234" s="5"/>
      <c r="AA234" s="5"/>
      <c r="AB234" s="5"/>
    </row>
    <row r="235" spans="1:206" x14ac:dyDescent="0.2">
      <c r="A235" s="5">
        <v>50</v>
      </c>
      <c r="B235" s="5">
        <v>0</v>
      </c>
      <c r="C235" s="5">
        <v>0</v>
      </c>
      <c r="D235" s="5">
        <v>1</v>
      </c>
      <c r="E235" s="5">
        <v>223</v>
      </c>
      <c r="F235" s="5">
        <f>ROUND(Source!AQ225,O235)</f>
        <v>0</v>
      </c>
      <c r="G235" s="5" t="s">
        <v>58</v>
      </c>
      <c r="H235" s="5" t="s">
        <v>59</v>
      </c>
      <c r="I235" s="5"/>
      <c r="J235" s="5"/>
      <c r="K235" s="5">
        <v>223</v>
      </c>
      <c r="L235" s="5">
        <v>9</v>
      </c>
      <c r="M235" s="5">
        <v>3</v>
      </c>
      <c r="N235" s="5" t="s">
        <v>3</v>
      </c>
      <c r="O235" s="5">
        <v>2</v>
      </c>
      <c r="P235" s="5"/>
      <c r="Q235" s="5"/>
      <c r="R235" s="5"/>
      <c r="S235" s="5"/>
      <c r="T235" s="5"/>
      <c r="U235" s="5"/>
      <c r="V235" s="5"/>
      <c r="W235" s="5">
        <v>0</v>
      </c>
      <c r="X235" s="5">
        <v>1</v>
      </c>
      <c r="Y235" s="5">
        <v>0</v>
      </c>
      <c r="Z235" s="5"/>
      <c r="AA235" s="5"/>
      <c r="AB235" s="5"/>
    </row>
    <row r="236" spans="1:206" x14ac:dyDescent="0.2">
      <c r="A236" s="5">
        <v>50</v>
      </c>
      <c r="B236" s="5">
        <v>0</v>
      </c>
      <c r="C236" s="5">
        <v>0</v>
      </c>
      <c r="D236" s="5">
        <v>1</v>
      </c>
      <c r="E236" s="5">
        <v>229</v>
      </c>
      <c r="F236" s="5">
        <f>ROUND(Source!AZ225,O236)</f>
        <v>0</v>
      </c>
      <c r="G236" s="5" t="s">
        <v>60</v>
      </c>
      <c r="H236" s="5" t="s">
        <v>61</v>
      </c>
      <c r="I236" s="5"/>
      <c r="J236" s="5"/>
      <c r="K236" s="5">
        <v>229</v>
      </c>
      <c r="L236" s="5">
        <v>10</v>
      </c>
      <c r="M236" s="5">
        <v>3</v>
      </c>
      <c r="N236" s="5" t="s">
        <v>3</v>
      </c>
      <c r="O236" s="5">
        <v>2</v>
      </c>
      <c r="P236" s="5"/>
      <c r="Q236" s="5"/>
      <c r="R236" s="5"/>
      <c r="S236" s="5"/>
      <c r="T236" s="5"/>
      <c r="U236" s="5"/>
      <c r="V236" s="5"/>
      <c r="W236" s="5">
        <v>0</v>
      </c>
      <c r="X236" s="5">
        <v>1</v>
      </c>
      <c r="Y236" s="5">
        <v>0</v>
      </c>
      <c r="Z236" s="5"/>
      <c r="AA236" s="5"/>
      <c r="AB236" s="5"/>
    </row>
    <row r="237" spans="1:206" x14ac:dyDescent="0.2">
      <c r="A237" s="5">
        <v>50</v>
      </c>
      <c r="B237" s="5">
        <v>0</v>
      </c>
      <c r="C237" s="5">
        <v>0</v>
      </c>
      <c r="D237" s="5">
        <v>1</v>
      </c>
      <c r="E237" s="5">
        <v>203</v>
      </c>
      <c r="F237" s="5">
        <f>ROUND(Source!Q225,O237)</f>
        <v>1027.31</v>
      </c>
      <c r="G237" s="5" t="s">
        <v>62</v>
      </c>
      <c r="H237" s="5" t="s">
        <v>63</v>
      </c>
      <c r="I237" s="5"/>
      <c r="J237" s="5"/>
      <c r="K237" s="5">
        <v>203</v>
      </c>
      <c r="L237" s="5">
        <v>11</v>
      </c>
      <c r="M237" s="5">
        <v>3</v>
      </c>
      <c r="N237" s="5" t="s">
        <v>3</v>
      </c>
      <c r="O237" s="5">
        <v>2</v>
      </c>
      <c r="P237" s="5"/>
      <c r="Q237" s="5"/>
      <c r="R237" s="5"/>
      <c r="S237" s="5"/>
      <c r="T237" s="5"/>
      <c r="U237" s="5"/>
      <c r="V237" s="5"/>
      <c r="W237" s="5">
        <v>1027.3100000000002</v>
      </c>
      <c r="X237" s="5">
        <v>1</v>
      </c>
      <c r="Y237" s="5">
        <v>1027.3100000000002</v>
      </c>
      <c r="Z237" s="5"/>
      <c r="AA237" s="5"/>
      <c r="AB237" s="5"/>
    </row>
    <row r="238" spans="1:206" x14ac:dyDescent="0.2">
      <c r="A238" s="5">
        <v>50</v>
      </c>
      <c r="B238" s="5">
        <v>0</v>
      </c>
      <c r="C238" s="5">
        <v>0</v>
      </c>
      <c r="D238" s="5">
        <v>1</v>
      </c>
      <c r="E238" s="5">
        <v>231</v>
      </c>
      <c r="F238" s="5">
        <f>ROUND(Source!BB225,O238)</f>
        <v>0</v>
      </c>
      <c r="G238" s="5" t="s">
        <v>64</v>
      </c>
      <c r="H238" s="5" t="s">
        <v>65</v>
      </c>
      <c r="I238" s="5"/>
      <c r="J238" s="5"/>
      <c r="K238" s="5">
        <v>231</v>
      </c>
      <c r="L238" s="5">
        <v>12</v>
      </c>
      <c r="M238" s="5">
        <v>3</v>
      </c>
      <c r="N238" s="5" t="s">
        <v>3</v>
      </c>
      <c r="O238" s="5">
        <v>2</v>
      </c>
      <c r="P238" s="5"/>
      <c r="Q238" s="5"/>
      <c r="R238" s="5"/>
      <c r="S238" s="5"/>
      <c r="T238" s="5"/>
      <c r="U238" s="5"/>
      <c r="V238" s="5"/>
      <c r="W238" s="5">
        <v>0</v>
      </c>
      <c r="X238" s="5">
        <v>1</v>
      </c>
      <c r="Y238" s="5">
        <v>0</v>
      </c>
      <c r="Z238" s="5"/>
      <c r="AA238" s="5"/>
      <c r="AB238" s="5"/>
    </row>
    <row r="239" spans="1:206" x14ac:dyDescent="0.2">
      <c r="A239" s="5">
        <v>50</v>
      </c>
      <c r="B239" s="5">
        <v>0</v>
      </c>
      <c r="C239" s="5">
        <v>0</v>
      </c>
      <c r="D239" s="5">
        <v>1</v>
      </c>
      <c r="E239" s="5">
        <v>204</v>
      </c>
      <c r="F239" s="5">
        <f>ROUND(Source!R225,O239)</f>
        <v>1548.22</v>
      </c>
      <c r="G239" s="5" t="s">
        <v>66</v>
      </c>
      <c r="H239" s="5" t="s">
        <v>67</v>
      </c>
      <c r="I239" s="5"/>
      <c r="J239" s="5"/>
      <c r="K239" s="5">
        <v>204</v>
      </c>
      <c r="L239" s="5">
        <v>13</v>
      </c>
      <c r="M239" s="5">
        <v>3</v>
      </c>
      <c r="N239" s="5" t="s">
        <v>3</v>
      </c>
      <c r="O239" s="5">
        <v>2</v>
      </c>
      <c r="P239" s="5"/>
      <c r="Q239" s="5"/>
      <c r="R239" s="5"/>
      <c r="S239" s="5"/>
      <c r="T239" s="5"/>
      <c r="U239" s="5"/>
      <c r="V239" s="5"/>
      <c r="W239" s="5">
        <v>1548.2200000000003</v>
      </c>
      <c r="X239" s="5">
        <v>1</v>
      </c>
      <c r="Y239" s="5">
        <v>1548.2200000000003</v>
      </c>
      <c r="Z239" s="5"/>
      <c r="AA239" s="5"/>
      <c r="AB239" s="5"/>
    </row>
    <row r="240" spans="1:206" x14ac:dyDescent="0.2">
      <c r="A240" s="5">
        <v>50</v>
      </c>
      <c r="B240" s="5">
        <v>0</v>
      </c>
      <c r="C240" s="5">
        <v>0</v>
      </c>
      <c r="D240" s="5">
        <v>1</v>
      </c>
      <c r="E240" s="5">
        <v>205</v>
      </c>
      <c r="F240" s="5">
        <f>ROUND(Source!S225,O240)</f>
        <v>143386.59</v>
      </c>
      <c r="G240" s="5" t="s">
        <v>68</v>
      </c>
      <c r="H240" s="5" t="s">
        <v>69</v>
      </c>
      <c r="I240" s="5"/>
      <c r="J240" s="5"/>
      <c r="K240" s="5">
        <v>205</v>
      </c>
      <c r="L240" s="5">
        <v>14</v>
      </c>
      <c r="M240" s="5">
        <v>3</v>
      </c>
      <c r="N240" s="5" t="s">
        <v>3</v>
      </c>
      <c r="O240" s="5">
        <v>2</v>
      </c>
      <c r="P240" s="5"/>
      <c r="Q240" s="5"/>
      <c r="R240" s="5"/>
      <c r="S240" s="5"/>
      <c r="T240" s="5"/>
      <c r="U240" s="5"/>
      <c r="V240" s="5"/>
      <c r="W240" s="5">
        <v>143386.59</v>
      </c>
      <c r="X240" s="5">
        <v>1</v>
      </c>
      <c r="Y240" s="5">
        <v>143386.59</v>
      </c>
      <c r="Z240" s="5"/>
      <c r="AA240" s="5"/>
      <c r="AB240" s="5"/>
    </row>
    <row r="241" spans="1:28" x14ac:dyDescent="0.2">
      <c r="A241" s="5">
        <v>50</v>
      </c>
      <c r="B241" s="5">
        <v>0</v>
      </c>
      <c r="C241" s="5">
        <v>0</v>
      </c>
      <c r="D241" s="5">
        <v>1</v>
      </c>
      <c r="E241" s="5">
        <v>232</v>
      </c>
      <c r="F241" s="5">
        <f>ROUND(Source!BC225,O241)</f>
        <v>0</v>
      </c>
      <c r="G241" s="5" t="s">
        <v>70</v>
      </c>
      <c r="H241" s="5" t="s">
        <v>71</v>
      </c>
      <c r="I241" s="5"/>
      <c r="J241" s="5"/>
      <c r="K241" s="5">
        <v>232</v>
      </c>
      <c r="L241" s="5">
        <v>15</v>
      </c>
      <c r="M241" s="5">
        <v>3</v>
      </c>
      <c r="N241" s="5" t="s">
        <v>3</v>
      </c>
      <c r="O241" s="5">
        <v>2</v>
      </c>
      <c r="P241" s="5"/>
      <c r="Q241" s="5"/>
      <c r="R241" s="5"/>
      <c r="S241" s="5"/>
      <c r="T241" s="5"/>
      <c r="U241" s="5"/>
      <c r="V241" s="5"/>
      <c r="W241" s="5">
        <v>0</v>
      </c>
      <c r="X241" s="5">
        <v>1</v>
      </c>
      <c r="Y241" s="5">
        <v>0</v>
      </c>
      <c r="Z241" s="5"/>
      <c r="AA241" s="5"/>
      <c r="AB241" s="5"/>
    </row>
    <row r="242" spans="1:28" x14ac:dyDescent="0.2">
      <c r="A242" s="5">
        <v>50</v>
      </c>
      <c r="B242" s="5">
        <v>0</v>
      </c>
      <c r="C242" s="5">
        <v>0</v>
      </c>
      <c r="D242" s="5">
        <v>1</v>
      </c>
      <c r="E242" s="5">
        <v>214</v>
      </c>
      <c r="F242" s="5">
        <f>ROUND(Source!AS225,O242)</f>
        <v>450656.02</v>
      </c>
      <c r="G242" s="5" t="s">
        <v>72</v>
      </c>
      <c r="H242" s="5" t="s">
        <v>73</v>
      </c>
      <c r="I242" s="5"/>
      <c r="J242" s="5"/>
      <c r="K242" s="5">
        <v>214</v>
      </c>
      <c r="L242" s="5">
        <v>16</v>
      </c>
      <c r="M242" s="5">
        <v>3</v>
      </c>
      <c r="N242" s="5" t="s">
        <v>3</v>
      </c>
      <c r="O242" s="5">
        <v>2</v>
      </c>
      <c r="P242" s="5"/>
      <c r="Q242" s="5"/>
      <c r="R242" s="5"/>
      <c r="S242" s="5"/>
      <c r="T242" s="5"/>
      <c r="U242" s="5"/>
      <c r="V242" s="5"/>
      <c r="W242" s="5">
        <v>450656.02</v>
      </c>
      <c r="X242" s="5">
        <v>1</v>
      </c>
      <c r="Y242" s="5">
        <v>450656.02</v>
      </c>
      <c r="Z242" s="5"/>
      <c r="AA242" s="5"/>
      <c r="AB242" s="5"/>
    </row>
    <row r="243" spans="1:28" x14ac:dyDescent="0.2">
      <c r="A243" s="5">
        <v>50</v>
      </c>
      <c r="B243" s="5">
        <v>0</v>
      </c>
      <c r="C243" s="5">
        <v>0</v>
      </c>
      <c r="D243" s="5">
        <v>1</v>
      </c>
      <c r="E243" s="5">
        <v>215</v>
      </c>
      <c r="F243" s="5">
        <f>ROUND(Source!AT225,O243)</f>
        <v>14945.54</v>
      </c>
      <c r="G243" s="5" t="s">
        <v>74</v>
      </c>
      <c r="H243" s="5" t="s">
        <v>75</v>
      </c>
      <c r="I243" s="5"/>
      <c r="J243" s="5"/>
      <c r="K243" s="5">
        <v>215</v>
      </c>
      <c r="L243" s="5">
        <v>17</v>
      </c>
      <c r="M243" s="5">
        <v>3</v>
      </c>
      <c r="N243" s="5" t="s">
        <v>3</v>
      </c>
      <c r="O243" s="5">
        <v>2</v>
      </c>
      <c r="P243" s="5"/>
      <c r="Q243" s="5"/>
      <c r="R243" s="5"/>
      <c r="S243" s="5"/>
      <c r="T243" s="5"/>
      <c r="U243" s="5"/>
      <c r="V243" s="5"/>
      <c r="W243" s="5">
        <v>14945.54</v>
      </c>
      <c r="X243" s="5">
        <v>1</v>
      </c>
      <c r="Y243" s="5">
        <v>14945.54</v>
      </c>
      <c r="Z243" s="5"/>
      <c r="AA243" s="5"/>
      <c r="AB243" s="5"/>
    </row>
    <row r="244" spans="1:28" x14ac:dyDescent="0.2">
      <c r="A244" s="5">
        <v>50</v>
      </c>
      <c r="B244" s="5">
        <v>0</v>
      </c>
      <c r="C244" s="5">
        <v>0</v>
      </c>
      <c r="D244" s="5">
        <v>1</v>
      </c>
      <c r="E244" s="5">
        <v>217</v>
      </c>
      <c r="F244" s="5">
        <f>ROUND(Source!AU225,O244)</f>
        <v>0</v>
      </c>
      <c r="G244" s="5" t="s">
        <v>76</v>
      </c>
      <c r="H244" s="5" t="s">
        <v>77</v>
      </c>
      <c r="I244" s="5"/>
      <c r="J244" s="5"/>
      <c r="K244" s="5">
        <v>217</v>
      </c>
      <c r="L244" s="5">
        <v>18</v>
      </c>
      <c r="M244" s="5">
        <v>3</v>
      </c>
      <c r="N244" s="5" t="s">
        <v>3</v>
      </c>
      <c r="O244" s="5">
        <v>2</v>
      </c>
      <c r="P244" s="5"/>
      <c r="Q244" s="5"/>
      <c r="R244" s="5"/>
      <c r="S244" s="5"/>
      <c r="T244" s="5"/>
      <c r="U244" s="5"/>
      <c r="V244" s="5"/>
      <c r="W244" s="5">
        <v>0</v>
      </c>
      <c r="X244" s="5">
        <v>1</v>
      </c>
      <c r="Y244" s="5">
        <v>0</v>
      </c>
      <c r="Z244" s="5"/>
      <c r="AA244" s="5"/>
      <c r="AB244" s="5"/>
    </row>
    <row r="245" spans="1:28" x14ac:dyDescent="0.2">
      <c r="A245" s="5">
        <v>50</v>
      </c>
      <c r="B245" s="5">
        <v>0</v>
      </c>
      <c r="C245" s="5">
        <v>0</v>
      </c>
      <c r="D245" s="5">
        <v>1</v>
      </c>
      <c r="E245" s="5">
        <v>230</v>
      </c>
      <c r="F245" s="5">
        <f>ROUND(Source!BA225,O245)</f>
        <v>0</v>
      </c>
      <c r="G245" s="5" t="s">
        <v>78</v>
      </c>
      <c r="H245" s="5" t="s">
        <v>79</v>
      </c>
      <c r="I245" s="5"/>
      <c r="J245" s="5"/>
      <c r="K245" s="5">
        <v>230</v>
      </c>
      <c r="L245" s="5">
        <v>19</v>
      </c>
      <c r="M245" s="5">
        <v>3</v>
      </c>
      <c r="N245" s="5" t="s">
        <v>3</v>
      </c>
      <c r="O245" s="5">
        <v>2</v>
      </c>
      <c r="P245" s="5"/>
      <c r="Q245" s="5"/>
      <c r="R245" s="5"/>
      <c r="S245" s="5"/>
      <c r="T245" s="5"/>
      <c r="U245" s="5"/>
      <c r="V245" s="5"/>
      <c r="W245" s="5">
        <v>0</v>
      </c>
      <c r="X245" s="5">
        <v>1</v>
      </c>
      <c r="Y245" s="5">
        <v>0</v>
      </c>
      <c r="Z245" s="5"/>
      <c r="AA245" s="5"/>
      <c r="AB245" s="5"/>
    </row>
    <row r="246" spans="1:28" x14ac:dyDescent="0.2">
      <c r="A246" s="5">
        <v>50</v>
      </c>
      <c r="B246" s="5">
        <v>0</v>
      </c>
      <c r="C246" s="5">
        <v>0</v>
      </c>
      <c r="D246" s="5">
        <v>1</v>
      </c>
      <c r="E246" s="5">
        <v>206</v>
      </c>
      <c r="F246" s="5">
        <f>ROUND(Source!T225,O246)</f>
        <v>0</v>
      </c>
      <c r="G246" s="5" t="s">
        <v>80</v>
      </c>
      <c r="H246" s="5" t="s">
        <v>81</v>
      </c>
      <c r="I246" s="5"/>
      <c r="J246" s="5"/>
      <c r="K246" s="5">
        <v>206</v>
      </c>
      <c r="L246" s="5">
        <v>20</v>
      </c>
      <c r="M246" s="5">
        <v>3</v>
      </c>
      <c r="N246" s="5" t="s">
        <v>3</v>
      </c>
      <c r="O246" s="5">
        <v>2</v>
      </c>
      <c r="P246" s="5"/>
      <c r="Q246" s="5"/>
      <c r="R246" s="5"/>
      <c r="S246" s="5"/>
      <c r="T246" s="5"/>
      <c r="U246" s="5"/>
      <c r="V246" s="5"/>
      <c r="W246" s="5">
        <v>0</v>
      </c>
      <c r="X246" s="5">
        <v>1</v>
      </c>
      <c r="Y246" s="5">
        <v>0</v>
      </c>
      <c r="Z246" s="5"/>
      <c r="AA246" s="5"/>
      <c r="AB246" s="5"/>
    </row>
    <row r="247" spans="1:28" x14ac:dyDescent="0.2">
      <c r="A247" s="5">
        <v>50</v>
      </c>
      <c r="B247" s="5">
        <v>0</v>
      </c>
      <c r="C247" s="5">
        <v>0</v>
      </c>
      <c r="D247" s="5">
        <v>1</v>
      </c>
      <c r="E247" s="5">
        <v>207</v>
      </c>
      <c r="F247" s="5">
        <f>ROUND(Source!U225,O247)</f>
        <v>212.83942999999999</v>
      </c>
      <c r="G247" s="5" t="s">
        <v>82</v>
      </c>
      <c r="H247" s="5" t="s">
        <v>83</v>
      </c>
      <c r="I247" s="5"/>
      <c r="J247" s="5"/>
      <c r="K247" s="5">
        <v>207</v>
      </c>
      <c r="L247" s="5">
        <v>21</v>
      </c>
      <c r="M247" s="5">
        <v>3</v>
      </c>
      <c r="N247" s="5" t="s">
        <v>3</v>
      </c>
      <c r="O247" s="5">
        <v>7</v>
      </c>
      <c r="P247" s="5"/>
      <c r="Q247" s="5"/>
      <c r="R247" s="5"/>
      <c r="S247" s="5"/>
      <c r="T247" s="5"/>
      <c r="U247" s="5"/>
      <c r="V247" s="5"/>
      <c r="W247" s="5">
        <v>212.83942999999999</v>
      </c>
      <c r="X247" s="5">
        <v>1</v>
      </c>
      <c r="Y247" s="5">
        <v>212.83942999999999</v>
      </c>
      <c r="Z247" s="5"/>
      <c r="AA247" s="5"/>
      <c r="AB247" s="5"/>
    </row>
    <row r="248" spans="1:28" x14ac:dyDescent="0.2">
      <c r="A248" s="5">
        <v>50</v>
      </c>
      <c r="B248" s="5">
        <v>0</v>
      </c>
      <c r="C248" s="5">
        <v>0</v>
      </c>
      <c r="D248" s="5">
        <v>1</v>
      </c>
      <c r="E248" s="5">
        <v>208</v>
      </c>
      <c r="F248" s="5">
        <f>ROUND(Source!V225,O248)</f>
        <v>2.1574374999999999</v>
      </c>
      <c r="G248" s="5" t="s">
        <v>84</v>
      </c>
      <c r="H248" s="5" t="s">
        <v>85</v>
      </c>
      <c r="I248" s="5"/>
      <c r="J248" s="5"/>
      <c r="K248" s="5">
        <v>208</v>
      </c>
      <c r="L248" s="5">
        <v>22</v>
      </c>
      <c r="M248" s="5">
        <v>3</v>
      </c>
      <c r="N248" s="5" t="s">
        <v>3</v>
      </c>
      <c r="O248" s="5">
        <v>7</v>
      </c>
      <c r="P248" s="5"/>
      <c r="Q248" s="5"/>
      <c r="R248" s="5"/>
      <c r="S248" s="5"/>
      <c r="T248" s="5"/>
      <c r="U248" s="5"/>
      <c r="V248" s="5"/>
      <c r="W248" s="5">
        <v>2.1508750000000001</v>
      </c>
      <c r="X248" s="5">
        <v>1</v>
      </c>
      <c r="Y248" s="5">
        <v>2.1508750000000001</v>
      </c>
      <c r="Z248" s="5"/>
      <c r="AA248" s="5"/>
      <c r="AB248" s="5"/>
    </row>
    <row r="249" spans="1:28" x14ac:dyDescent="0.2">
      <c r="A249" s="5">
        <v>50</v>
      </c>
      <c r="B249" s="5">
        <v>0</v>
      </c>
      <c r="C249" s="5">
        <v>0</v>
      </c>
      <c r="D249" s="5">
        <v>1</v>
      </c>
      <c r="E249" s="5">
        <v>209</v>
      </c>
      <c r="F249" s="5">
        <f>ROUND(Source!W225,O249)</f>
        <v>0</v>
      </c>
      <c r="G249" s="5" t="s">
        <v>86</v>
      </c>
      <c r="H249" s="5" t="s">
        <v>87</v>
      </c>
      <c r="I249" s="5"/>
      <c r="J249" s="5"/>
      <c r="K249" s="5">
        <v>209</v>
      </c>
      <c r="L249" s="5">
        <v>23</v>
      </c>
      <c r="M249" s="5">
        <v>3</v>
      </c>
      <c r="N249" s="5" t="s">
        <v>3</v>
      </c>
      <c r="O249" s="5">
        <v>2</v>
      </c>
      <c r="P249" s="5"/>
      <c r="Q249" s="5"/>
      <c r="R249" s="5"/>
      <c r="S249" s="5"/>
      <c r="T249" s="5"/>
      <c r="U249" s="5"/>
      <c r="V249" s="5"/>
      <c r="W249" s="5">
        <v>0</v>
      </c>
      <c r="X249" s="5">
        <v>1</v>
      </c>
      <c r="Y249" s="5">
        <v>0</v>
      </c>
      <c r="Z249" s="5"/>
      <c r="AA249" s="5"/>
      <c r="AB249" s="5"/>
    </row>
    <row r="250" spans="1:28" x14ac:dyDescent="0.2">
      <c r="A250" s="5">
        <v>50</v>
      </c>
      <c r="B250" s="5">
        <v>0</v>
      </c>
      <c r="C250" s="5">
        <v>0</v>
      </c>
      <c r="D250" s="5">
        <v>1</v>
      </c>
      <c r="E250" s="5">
        <v>233</v>
      </c>
      <c r="F250" s="5">
        <f>ROUND(Source!BD225,O250)</f>
        <v>408.34</v>
      </c>
      <c r="G250" s="5" t="s">
        <v>88</v>
      </c>
      <c r="H250" s="5" t="s">
        <v>89</v>
      </c>
      <c r="I250" s="5"/>
      <c r="J250" s="5"/>
      <c r="K250" s="5">
        <v>233</v>
      </c>
      <c r="L250" s="5">
        <v>24</v>
      </c>
      <c r="M250" s="5">
        <v>3</v>
      </c>
      <c r="N250" s="5" t="s">
        <v>3</v>
      </c>
      <c r="O250" s="5">
        <v>2</v>
      </c>
      <c r="P250" s="5"/>
      <c r="Q250" s="5"/>
      <c r="R250" s="5"/>
      <c r="S250" s="5"/>
      <c r="T250" s="5"/>
      <c r="U250" s="5"/>
      <c r="V250" s="5"/>
      <c r="W250" s="5">
        <v>408.34</v>
      </c>
      <c r="X250" s="5">
        <v>1</v>
      </c>
      <c r="Y250" s="5">
        <v>408.34</v>
      </c>
      <c r="Z250" s="5"/>
      <c r="AA250" s="5"/>
      <c r="AB250" s="5"/>
    </row>
    <row r="251" spans="1:28" x14ac:dyDescent="0.2">
      <c r="A251" s="5">
        <v>50</v>
      </c>
      <c r="B251" s="5">
        <v>0</v>
      </c>
      <c r="C251" s="5">
        <v>0</v>
      </c>
      <c r="D251" s="5">
        <v>1</v>
      </c>
      <c r="E251" s="5">
        <v>210</v>
      </c>
      <c r="F251" s="5">
        <f>ROUND(Source!X225,O251)</f>
        <v>130932.32</v>
      </c>
      <c r="G251" s="5" t="s">
        <v>90</v>
      </c>
      <c r="H251" s="5" t="s">
        <v>91</v>
      </c>
      <c r="I251" s="5"/>
      <c r="J251" s="5"/>
      <c r="K251" s="5">
        <v>210</v>
      </c>
      <c r="L251" s="5">
        <v>25</v>
      </c>
      <c r="M251" s="5">
        <v>3</v>
      </c>
      <c r="N251" s="5" t="s">
        <v>3</v>
      </c>
      <c r="O251" s="5">
        <v>2</v>
      </c>
      <c r="P251" s="5"/>
      <c r="Q251" s="5"/>
      <c r="R251" s="5"/>
      <c r="S251" s="5"/>
      <c r="T251" s="5"/>
      <c r="U251" s="5"/>
      <c r="V251" s="5"/>
      <c r="W251" s="5">
        <v>130932.32</v>
      </c>
      <c r="X251" s="5">
        <v>1</v>
      </c>
      <c r="Y251" s="5">
        <v>130932.32</v>
      </c>
      <c r="Z251" s="5"/>
      <c r="AA251" s="5"/>
      <c r="AB251" s="5"/>
    </row>
    <row r="252" spans="1:28" x14ac:dyDescent="0.2">
      <c r="A252" s="5">
        <v>50</v>
      </c>
      <c r="B252" s="5">
        <v>0</v>
      </c>
      <c r="C252" s="5">
        <v>0</v>
      </c>
      <c r="D252" s="5">
        <v>1</v>
      </c>
      <c r="E252" s="5">
        <v>211</v>
      </c>
      <c r="F252" s="5">
        <f>ROUND(Source!Y225,O252)</f>
        <v>61331.66</v>
      </c>
      <c r="G252" s="5" t="s">
        <v>92</v>
      </c>
      <c r="H252" s="5" t="s">
        <v>93</v>
      </c>
      <c r="I252" s="5"/>
      <c r="J252" s="5"/>
      <c r="K252" s="5">
        <v>211</v>
      </c>
      <c r="L252" s="5">
        <v>26</v>
      </c>
      <c r="M252" s="5">
        <v>3</v>
      </c>
      <c r="N252" s="5" t="s">
        <v>3</v>
      </c>
      <c r="O252" s="5">
        <v>2</v>
      </c>
      <c r="P252" s="5"/>
      <c r="Q252" s="5"/>
      <c r="R252" s="5"/>
      <c r="S252" s="5"/>
      <c r="T252" s="5"/>
      <c r="U252" s="5"/>
      <c r="V252" s="5"/>
      <c r="W252" s="5">
        <v>61331.66</v>
      </c>
      <c r="X252" s="5">
        <v>1</v>
      </c>
      <c r="Y252" s="5">
        <v>61331.66</v>
      </c>
      <c r="Z252" s="5"/>
      <c r="AA252" s="5"/>
      <c r="AB252" s="5"/>
    </row>
    <row r="253" spans="1:28" x14ac:dyDescent="0.2">
      <c r="A253" s="5">
        <v>50</v>
      </c>
      <c r="B253" s="5">
        <v>0</v>
      </c>
      <c r="C253" s="5">
        <v>0</v>
      </c>
      <c r="D253" s="5">
        <v>1</v>
      </c>
      <c r="E253" s="5">
        <v>224</v>
      </c>
      <c r="F253" s="5">
        <f>ROUND(Source!AR225,O253)</f>
        <v>465601.56</v>
      </c>
      <c r="G253" s="5" t="s">
        <v>94</v>
      </c>
      <c r="H253" s="5" t="s">
        <v>95</v>
      </c>
      <c r="I253" s="5"/>
      <c r="J253" s="5"/>
      <c r="K253" s="5">
        <v>224</v>
      </c>
      <c r="L253" s="5">
        <v>27</v>
      </c>
      <c r="M253" s="5">
        <v>3</v>
      </c>
      <c r="N253" s="5" t="s">
        <v>3</v>
      </c>
      <c r="O253" s="5">
        <v>2</v>
      </c>
      <c r="P253" s="5"/>
      <c r="Q253" s="5"/>
      <c r="R253" s="5"/>
      <c r="S253" s="5"/>
      <c r="T253" s="5"/>
      <c r="U253" s="5"/>
      <c r="V253" s="5"/>
      <c r="W253" s="5">
        <v>465601.56</v>
      </c>
      <c r="X253" s="5">
        <v>1</v>
      </c>
      <c r="Y253" s="5">
        <v>465601.56</v>
      </c>
      <c r="Z253" s="5"/>
      <c r="AA253" s="5"/>
      <c r="AB253" s="5"/>
    </row>
    <row r="254" spans="1:28" x14ac:dyDescent="0.2">
      <c r="A254" s="5">
        <v>50</v>
      </c>
      <c r="B254" s="5">
        <v>1</v>
      </c>
      <c r="C254" s="5">
        <v>0</v>
      </c>
      <c r="D254" s="5">
        <v>2</v>
      </c>
      <c r="E254" s="5">
        <v>0</v>
      </c>
      <c r="F254" s="5">
        <f>ROUND(F253,O254)</f>
        <v>465601.56</v>
      </c>
      <c r="G254" s="5" t="s">
        <v>209</v>
      </c>
      <c r="H254" s="5" t="s">
        <v>209</v>
      </c>
      <c r="I254" s="5"/>
      <c r="J254" s="5"/>
      <c r="K254" s="5">
        <v>212</v>
      </c>
      <c r="L254" s="5">
        <v>28</v>
      </c>
      <c r="M254" s="5">
        <v>0</v>
      </c>
      <c r="N254" s="5" t="s">
        <v>3</v>
      </c>
      <c r="O254" s="5">
        <v>2</v>
      </c>
      <c r="P254" s="5"/>
      <c r="Q254" s="5"/>
      <c r="R254" s="5"/>
      <c r="S254" s="5"/>
      <c r="T254" s="5"/>
      <c r="U254" s="5"/>
      <c r="V254" s="5"/>
      <c r="W254" s="5">
        <v>465601.56</v>
      </c>
      <c r="X254" s="5">
        <v>1</v>
      </c>
      <c r="Y254" s="5">
        <v>465601.56</v>
      </c>
      <c r="Z254" s="5"/>
      <c r="AA254" s="5"/>
      <c r="AB254" s="5"/>
    </row>
    <row r="255" spans="1:28" x14ac:dyDescent="0.2">
      <c r="A255" s="5">
        <v>50</v>
      </c>
      <c r="B255" s="5">
        <v>1</v>
      </c>
      <c r="C255" s="5">
        <v>0</v>
      </c>
      <c r="D255" s="5">
        <v>2</v>
      </c>
      <c r="E255" s="5">
        <v>0</v>
      </c>
      <c r="F255" s="5">
        <f>ROUND(F254*0.22,O255)</f>
        <v>102432.34</v>
      </c>
      <c r="G255" s="5" t="s">
        <v>210</v>
      </c>
      <c r="H255" s="5" t="s">
        <v>211</v>
      </c>
      <c r="I255" s="5"/>
      <c r="J255" s="5"/>
      <c r="K255" s="5">
        <v>212</v>
      </c>
      <c r="L255" s="5">
        <v>29</v>
      </c>
      <c r="M255" s="5">
        <v>0</v>
      </c>
      <c r="N255" s="5" t="s">
        <v>3</v>
      </c>
      <c r="O255" s="5">
        <v>2</v>
      </c>
      <c r="P255" s="5"/>
      <c r="Q255" s="5"/>
      <c r="R255" s="5"/>
      <c r="S255" s="5"/>
      <c r="T255" s="5"/>
      <c r="U255" s="5"/>
      <c r="V255" s="5"/>
      <c r="W255" s="5">
        <v>102432.34</v>
      </c>
      <c r="X255" s="5">
        <v>1</v>
      </c>
      <c r="Y255" s="5">
        <v>102432.34</v>
      </c>
      <c r="Z255" s="5"/>
      <c r="AA255" s="5"/>
      <c r="AB255" s="5"/>
    </row>
    <row r="256" spans="1:28" x14ac:dyDescent="0.2">
      <c r="A256" s="5">
        <v>50</v>
      </c>
      <c r="B256" s="5">
        <v>1</v>
      </c>
      <c r="C256" s="5">
        <v>0</v>
      </c>
      <c r="D256" s="5">
        <v>2</v>
      </c>
      <c r="E256" s="5">
        <v>213</v>
      </c>
      <c r="F256" s="5">
        <f>ROUND(F254+F255,O256)</f>
        <v>568033.9</v>
      </c>
      <c r="G256" s="5" t="s">
        <v>212</v>
      </c>
      <c r="H256" s="5" t="s">
        <v>213</v>
      </c>
      <c r="I256" s="5"/>
      <c r="J256" s="5"/>
      <c r="K256" s="5">
        <v>212</v>
      </c>
      <c r="L256" s="5">
        <v>30</v>
      </c>
      <c r="M256" s="5">
        <v>0</v>
      </c>
      <c r="N256" s="5" t="s">
        <v>214</v>
      </c>
      <c r="O256" s="5">
        <v>2</v>
      </c>
      <c r="P256" s="5"/>
      <c r="Q256" s="5"/>
      <c r="R256" s="5"/>
      <c r="S256" s="5"/>
      <c r="T256" s="5"/>
      <c r="U256" s="5"/>
      <c r="V256" s="5"/>
      <c r="W256" s="5">
        <v>568033.9</v>
      </c>
      <c r="X256" s="5">
        <v>1</v>
      </c>
      <c r="Y256" s="5">
        <v>568033.9</v>
      </c>
      <c r="Z256" s="5"/>
      <c r="AA256" s="5"/>
      <c r="AB256" s="5"/>
    </row>
    <row r="258" spans="1:206" x14ac:dyDescent="0.2">
      <c r="A258" s="3">
        <v>51</v>
      </c>
      <c r="B258" s="3">
        <f>B12</f>
        <v>318</v>
      </c>
      <c r="C258" s="3">
        <f>A12</f>
        <v>1</v>
      </c>
      <c r="D258" s="3">
        <f>ROW(A12)</f>
        <v>12</v>
      </c>
      <c r="E258" s="3"/>
      <c r="F258" s="3" t="str">
        <f>IF(F12&lt;&gt;"",F12,"")</f>
        <v>Новый объект_(Копия)</v>
      </c>
      <c r="G258" s="3" t="str">
        <f>IF(G12&lt;&gt;"",G12,"")</f>
        <v>Ремонт в пом 500 , 308,  1холл до 600тр</v>
      </c>
      <c r="H258" s="3">
        <v>0</v>
      </c>
      <c r="I258" s="3"/>
      <c r="J258" s="3"/>
      <c r="K258" s="3"/>
      <c r="L258" s="3"/>
      <c r="M258" s="3"/>
      <c r="N258" s="3"/>
      <c r="O258" s="3">
        <f t="shared" ref="O258:T258" si="86">ROUND(O225,2)</f>
        <v>272929.24</v>
      </c>
      <c r="P258" s="3">
        <f t="shared" si="86"/>
        <v>126967.12</v>
      </c>
      <c r="Q258" s="3">
        <f t="shared" si="86"/>
        <v>1027.31</v>
      </c>
      <c r="R258" s="3">
        <f t="shared" si="86"/>
        <v>1548.22</v>
      </c>
      <c r="S258" s="3">
        <f t="shared" si="86"/>
        <v>143386.59</v>
      </c>
      <c r="T258" s="3">
        <f t="shared" si="86"/>
        <v>0</v>
      </c>
      <c r="U258" s="3">
        <f>U225</f>
        <v>212.83942999999999</v>
      </c>
      <c r="V258" s="3">
        <f>V225</f>
        <v>2.1574375000000003</v>
      </c>
      <c r="W258" s="3">
        <f>ROUND(W225,2)</f>
        <v>0</v>
      </c>
      <c r="X258" s="3">
        <f>ROUND(X225,2)</f>
        <v>130932.32</v>
      </c>
      <c r="Y258" s="3">
        <f>ROUND(Y225,2)</f>
        <v>61331.66</v>
      </c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>
        <f t="shared" ref="AO258:BD258" si="87">ROUND(AO225,2)</f>
        <v>0</v>
      </c>
      <c r="AP258" s="3">
        <f t="shared" si="87"/>
        <v>0</v>
      </c>
      <c r="AQ258" s="3">
        <f t="shared" si="87"/>
        <v>0</v>
      </c>
      <c r="AR258" s="3">
        <f t="shared" si="87"/>
        <v>465601.56</v>
      </c>
      <c r="AS258" s="3">
        <f t="shared" si="87"/>
        <v>450656.02</v>
      </c>
      <c r="AT258" s="3">
        <f t="shared" si="87"/>
        <v>14945.54</v>
      </c>
      <c r="AU258" s="3">
        <f t="shared" si="87"/>
        <v>0</v>
      </c>
      <c r="AV258" s="3">
        <f t="shared" si="87"/>
        <v>126967.12</v>
      </c>
      <c r="AW258" s="3">
        <f t="shared" si="87"/>
        <v>126967.12</v>
      </c>
      <c r="AX258" s="3">
        <f t="shared" si="87"/>
        <v>0</v>
      </c>
      <c r="AY258" s="3">
        <f t="shared" si="87"/>
        <v>126967.12</v>
      </c>
      <c r="AZ258" s="3">
        <f t="shared" si="87"/>
        <v>0</v>
      </c>
      <c r="BA258" s="3">
        <f t="shared" si="87"/>
        <v>0</v>
      </c>
      <c r="BB258" s="3">
        <f t="shared" si="87"/>
        <v>0</v>
      </c>
      <c r="BC258" s="3">
        <f t="shared" si="87"/>
        <v>0</v>
      </c>
      <c r="BD258" s="3">
        <f t="shared" si="87"/>
        <v>408.34</v>
      </c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>
        <v>0</v>
      </c>
    </row>
    <row r="260" spans="1:206" x14ac:dyDescent="0.2">
      <c r="A260" s="5">
        <v>50</v>
      </c>
      <c r="B260" s="5">
        <v>0</v>
      </c>
      <c r="C260" s="5">
        <v>0</v>
      </c>
      <c r="D260" s="5">
        <v>1</v>
      </c>
      <c r="E260" s="5">
        <v>201</v>
      </c>
      <c r="F260" s="5">
        <f>ROUND(Source!O258,O260)</f>
        <v>272929.24</v>
      </c>
      <c r="G260" s="5" t="s">
        <v>42</v>
      </c>
      <c r="H260" s="5" t="s">
        <v>43</v>
      </c>
      <c r="I260" s="5"/>
      <c r="J260" s="5"/>
      <c r="K260" s="5">
        <v>201</v>
      </c>
      <c r="L260" s="5">
        <v>1</v>
      </c>
      <c r="M260" s="5">
        <v>3</v>
      </c>
      <c r="N260" s="5" t="s">
        <v>3</v>
      </c>
      <c r="O260" s="5">
        <v>2</v>
      </c>
      <c r="P260" s="5"/>
      <c r="Q260" s="5"/>
      <c r="R260" s="5"/>
      <c r="S260" s="5"/>
      <c r="T260" s="5"/>
      <c r="U260" s="5"/>
      <c r="V260" s="5"/>
      <c r="W260" s="5">
        <v>273337.57999999996</v>
      </c>
      <c r="X260" s="5">
        <v>1</v>
      </c>
      <c r="Y260" s="5">
        <v>273337.57999999996</v>
      </c>
      <c r="Z260" s="5"/>
      <c r="AA260" s="5"/>
      <c r="AB260" s="5"/>
    </row>
    <row r="261" spans="1:206" x14ac:dyDescent="0.2">
      <c r="A261" s="5">
        <v>50</v>
      </c>
      <c r="B261" s="5">
        <v>0</v>
      </c>
      <c r="C261" s="5">
        <v>0</v>
      </c>
      <c r="D261" s="5">
        <v>1</v>
      </c>
      <c r="E261" s="5">
        <v>202</v>
      </c>
      <c r="F261" s="5">
        <f>ROUND(Source!P258,O261)</f>
        <v>126967.12</v>
      </c>
      <c r="G261" s="5" t="s">
        <v>44</v>
      </c>
      <c r="H261" s="5" t="s">
        <v>45</v>
      </c>
      <c r="I261" s="5"/>
      <c r="J261" s="5"/>
      <c r="K261" s="5">
        <v>202</v>
      </c>
      <c r="L261" s="5">
        <v>2</v>
      </c>
      <c r="M261" s="5">
        <v>3</v>
      </c>
      <c r="N261" s="5" t="s">
        <v>3</v>
      </c>
      <c r="O261" s="5">
        <v>2</v>
      </c>
      <c r="P261" s="5"/>
      <c r="Q261" s="5"/>
      <c r="R261" s="5"/>
      <c r="S261" s="5"/>
      <c r="T261" s="5"/>
      <c r="U261" s="5"/>
      <c r="V261" s="5"/>
      <c r="W261" s="5">
        <v>126967.12</v>
      </c>
      <c r="X261" s="5">
        <v>1</v>
      </c>
      <c r="Y261" s="5">
        <v>126967.12</v>
      </c>
      <c r="Z261" s="5"/>
      <c r="AA261" s="5"/>
      <c r="AB261" s="5"/>
    </row>
    <row r="262" spans="1:206" x14ac:dyDescent="0.2">
      <c r="A262" s="5">
        <v>50</v>
      </c>
      <c r="B262" s="5">
        <v>0</v>
      </c>
      <c r="C262" s="5">
        <v>0</v>
      </c>
      <c r="D262" s="5">
        <v>1</v>
      </c>
      <c r="E262" s="5">
        <v>222</v>
      </c>
      <c r="F262" s="5">
        <f>ROUND(Source!AO258,O262)</f>
        <v>0</v>
      </c>
      <c r="G262" s="5" t="s">
        <v>46</v>
      </c>
      <c r="H262" s="5" t="s">
        <v>47</v>
      </c>
      <c r="I262" s="5"/>
      <c r="J262" s="5"/>
      <c r="K262" s="5">
        <v>222</v>
      </c>
      <c r="L262" s="5">
        <v>3</v>
      </c>
      <c r="M262" s="5">
        <v>3</v>
      </c>
      <c r="N262" s="5" t="s">
        <v>3</v>
      </c>
      <c r="O262" s="5">
        <v>2</v>
      </c>
      <c r="P262" s="5"/>
      <c r="Q262" s="5"/>
      <c r="R262" s="5"/>
      <c r="S262" s="5"/>
      <c r="T262" s="5"/>
      <c r="U262" s="5"/>
      <c r="V262" s="5"/>
      <c r="W262" s="5">
        <v>0</v>
      </c>
      <c r="X262" s="5">
        <v>1</v>
      </c>
      <c r="Y262" s="5">
        <v>0</v>
      </c>
      <c r="Z262" s="5"/>
      <c r="AA262" s="5"/>
      <c r="AB262" s="5"/>
    </row>
    <row r="263" spans="1:206" x14ac:dyDescent="0.2">
      <c r="A263" s="5">
        <v>50</v>
      </c>
      <c r="B263" s="5">
        <v>0</v>
      </c>
      <c r="C263" s="5">
        <v>0</v>
      </c>
      <c r="D263" s="5">
        <v>1</v>
      </c>
      <c r="E263" s="5">
        <v>225</v>
      </c>
      <c r="F263" s="5">
        <f>ROUND(Source!AV258,O263)</f>
        <v>126967.12</v>
      </c>
      <c r="G263" s="5" t="s">
        <v>48</v>
      </c>
      <c r="H263" s="5" t="s">
        <v>49</v>
      </c>
      <c r="I263" s="5"/>
      <c r="J263" s="5"/>
      <c r="K263" s="5">
        <v>225</v>
      </c>
      <c r="L263" s="5">
        <v>4</v>
      </c>
      <c r="M263" s="5">
        <v>3</v>
      </c>
      <c r="N263" s="5" t="s">
        <v>3</v>
      </c>
      <c r="O263" s="5">
        <v>2</v>
      </c>
      <c r="P263" s="5"/>
      <c r="Q263" s="5"/>
      <c r="R263" s="5"/>
      <c r="S263" s="5"/>
      <c r="T263" s="5"/>
      <c r="U263" s="5"/>
      <c r="V263" s="5"/>
      <c r="W263" s="5">
        <v>126967.12</v>
      </c>
      <c r="X263" s="5">
        <v>1</v>
      </c>
      <c r="Y263" s="5">
        <v>126967.12</v>
      </c>
      <c r="Z263" s="5"/>
      <c r="AA263" s="5"/>
      <c r="AB263" s="5"/>
    </row>
    <row r="264" spans="1:206" x14ac:dyDescent="0.2">
      <c r="A264" s="5">
        <v>50</v>
      </c>
      <c r="B264" s="5">
        <v>0</v>
      </c>
      <c r="C264" s="5">
        <v>0</v>
      </c>
      <c r="D264" s="5">
        <v>1</v>
      </c>
      <c r="E264" s="5">
        <v>226</v>
      </c>
      <c r="F264" s="5">
        <f>ROUND(Source!AW258,O264)</f>
        <v>126967.12</v>
      </c>
      <c r="G264" s="5" t="s">
        <v>50</v>
      </c>
      <c r="H264" s="5" t="s">
        <v>51</v>
      </c>
      <c r="I264" s="5"/>
      <c r="J264" s="5"/>
      <c r="K264" s="5">
        <v>226</v>
      </c>
      <c r="L264" s="5">
        <v>5</v>
      </c>
      <c r="M264" s="5">
        <v>3</v>
      </c>
      <c r="N264" s="5" t="s">
        <v>3</v>
      </c>
      <c r="O264" s="5">
        <v>2</v>
      </c>
      <c r="P264" s="5"/>
      <c r="Q264" s="5"/>
      <c r="R264" s="5"/>
      <c r="S264" s="5"/>
      <c r="T264" s="5"/>
      <c r="U264" s="5"/>
      <c r="V264" s="5"/>
      <c r="W264" s="5">
        <v>126967.12</v>
      </c>
      <c r="X264" s="5">
        <v>1</v>
      </c>
      <c r="Y264" s="5">
        <v>126967.12</v>
      </c>
      <c r="Z264" s="5"/>
      <c r="AA264" s="5"/>
      <c r="AB264" s="5"/>
    </row>
    <row r="265" spans="1:206" x14ac:dyDescent="0.2">
      <c r="A265" s="5">
        <v>50</v>
      </c>
      <c r="B265" s="5">
        <v>0</v>
      </c>
      <c r="C265" s="5">
        <v>0</v>
      </c>
      <c r="D265" s="5">
        <v>1</v>
      </c>
      <c r="E265" s="5">
        <v>227</v>
      </c>
      <c r="F265" s="5">
        <f>ROUND(Source!AX258,O265)</f>
        <v>0</v>
      </c>
      <c r="G265" s="5" t="s">
        <v>52</v>
      </c>
      <c r="H265" s="5" t="s">
        <v>53</v>
      </c>
      <c r="I265" s="5"/>
      <c r="J265" s="5"/>
      <c r="K265" s="5">
        <v>227</v>
      </c>
      <c r="L265" s="5">
        <v>6</v>
      </c>
      <c r="M265" s="5">
        <v>3</v>
      </c>
      <c r="N265" s="5" t="s">
        <v>3</v>
      </c>
      <c r="O265" s="5">
        <v>2</v>
      </c>
      <c r="P265" s="5"/>
      <c r="Q265" s="5"/>
      <c r="R265" s="5"/>
      <c r="S265" s="5"/>
      <c r="T265" s="5"/>
      <c r="U265" s="5"/>
      <c r="V265" s="5"/>
      <c r="W265" s="5">
        <v>0</v>
      </c>
      <c r="X265" s="5">
        <v>1</v>
      </c>
      <c r="Y265" s="5">
        <v>0</v>
      </c>
      <c r="Z265" s="5"/>
      <c r="AA265" s="5"/>
      <c r="AB265" s="5"/>
    </row>
    <row r="266" spans="1:206" x14ac:dyDescent="0.2">
      <c r="A266" s="5">
        <v>50</v>
      </c>
      <c r="B266" s="5">
        <v>0</v>
      </c>
      <c r="C266" s="5">
        <v>0</v>
      </c>
      <c r="D266" s="5">
        <v>1</v>
      </c>
      <c r="E266" s="5">
        <v>228</v>
      </c>
      <c r="F266" s="5">
        <f>ROUND(Source!AY258,O266)</f>
        <v>126967.12</v>
      </c>
      <c r="G266" s="5" t="s">
        <v>54</v>
      </c>
      <c r="H266" s="5" t="s">
        <v>55</v>
      </c>
      <c r="I266" s="5"/>
      <c r="J266" s="5"/>
      <c r="K266" s="5">
        <v>228</v>
      </c>
      <c r="L266" s="5">
        <v>7</v>
      </c>
      <c r="M266" s="5">
        <v>3</v>
      </c>
      <c r="N266" s="5" t="s">
        <v>3</v>
      </c>
      <c r="O266" s="5">
        <v>2</v>
      </c>
      <c r="P266" s="5"/>
      <c r="Q266" s="5"/>
      <c r="R266" s="5"/>
      <c r="S266" s="5"/>
      <c r="T266" s="5"/>
      <c r="U266" s="5"/>
      <c r="V266" s="5"/>
      <c r="W266" s="5">
        <v>126967.12</v>
      </c>
      <c r="X266" s="5">
        <v>1</v>
      </c>
      <c r="Y266" s="5">
        <v>126967.12</v>
      </c>
      <c r="Z266" s="5"/>
      <c r="AA266" s="5"/>
      <c r="AB266" s="5"/>
    </row>
    <row r="267" spans="1:206" x14ac:dyDescent="0.2">
      <c r="A267" s="5">
        <v>50</v>
      </c>
      <c r="B267" s="5">
        <v>0</v>
      </c>
      <c r="C267" s="5">
        <v>0</v>
      </c>
      <c r="D267" s="5">
        <v>1</v>
      </c>
      <c r="E267" s="5">
        <v>216</v>
      </c>
      <c r="F267" s="5">
        <f>ROUND(Source!AP258,O267)</f>
        <v>0</v>
      </c>
      <c r="G267" s="5" t="s">
        <v>56</v>
      </c>
      <c r="H267" s="5" t="s">
        <v>57</v>
      </c>
      <c r="I267" s="5"/>
      <c r="J267" s="5"/>
      <c r="K267" s="5">
        <v>216</v>
      </c>
      <c r="L267" s="5">
        <v>8</v>
      </c>
      <c r="M267" s="5">
        <v>3</v>
      </c>
      <c r="N267" s="5" t="s">
        <v>3</v>
      </c>
      <c r="O267" s="5">
        <v>2</v>
      </c>
      <c r="P267" s="5"/>
      <c r="Q267" s="5"/>
      <c r="R267" s="5"/>
      <c r="S267" s="5"/>
      <c r="T267" s="5"/>
      <c r="U267" s="5"/>
      <c r="V267" s="5"/>
      <c r="W267" s="5">
        <v>0</v>
      </c>
      <c r="X267" s="5">
        <v>1</v>
      </c>
      <c r="Y267" s="5">
        <v>0</v>
      </c>
      <c r="Z267" s="5"/>
      <c r="AA267" s="5"/>
      <c r="AB267" s="5"/>
    </row>
    <row r="268" spans="1:206" x14ac:dyDescent="0.2">
      <c r="A268" s="5">
        <v>50</v>
      </c>
      <c r="B268" s="5">
        <v>0</v>
      </c>
      <c r="C268" s="5">
        <v>0</v>
      </c>
      <c r="D268" s="5">
        <v>1</v>
      </c>
      <c r="E268" s="5">
        <v>223</v>
      </c>
      <c r="F268" s="5">
        <f>ROUND(Source!AQ258,O268)</f>
        <v>0</v>
      </c>
      <c r="G268" s="5" t="s">
        <v>58</v>
      </c>
      <c r="H268" s="5" t="s">
        <v>59</v>
      </c>
      <c r="I268" s="5"/>
      <c r="J268" s="5"/>
      <c r="K268" s="5">
        <v>223</v>
      </c>
      <c r="L268" s="5">
        <v>9</v>
      </c>
      <c r="M268" s="5">
        <v>3</v>
      </c>
      <c r="N268" s="5" t="s">
        <v>3</v>
      </c>
      <c r="O268" s="5">
        <v>2</v>
      </c>
      <c r="P268" s="5"/>
      <c r="Q268" s="5"/>
      <c r="R268" s="5"/>
      <c r="S268" s="5"/>
      <c r="T268" s="5"/>
      <c r="U268" s="5"/>
      <c r="V268" s="5"/>
      <c r="W268" s="5">
        <v>0</v>
      </c>
      <c r="X268" s="5">
        <v>1</v>
      </c>
      <c r="Y268" s="5">
        <v>0</v>
      </c>
      <c r="Z268" s="5"/>
      <c r="AA268" s="5"/>
      <c r="AB268" s="5"/>
    </row>
    <row r="269" spans="1:206" x14ac:dyDescent="0.2">
      <c r="A269" s="5">
        <v>50</v>
      </c>
      <c r="B269" s="5">
        <v>0</v>
      </c>
      <c r="C269" s="5">
        <v>0</v>
      </c>
      <c r="D269" s="5">
        <v>1</v>
      </c>
      <c r="E269" s="5">
        <v>229</v>
      </c>
      <c r="F269" s="5">
        <f>ROUND(Source!AZ258,O269)</f>
        <v>0</v>
      </c>
      <c r="G269" s="5" t="s">
        <v>60</v>
      </c>
      <c r="H269" s="5" t="s">
        <v>61</v>
      </c>
      <c r="I269" s="5"/>
      <c r="J269" s="5"/>
      <c r="K269" s="5">
        <v>229</v>
      </c>
      <c r="L269" s="5">
        <v>10</v>
      </c>
      <c r="M269" s="5">
        <v>3</v>
      </c>
      <c r="N269" s="5" t="s">
        <v>3</v>
      </c>
      <c r="O269" s="5">
        <v>2</v>
      </c>
      <c r="P269" s="5"/>
      <c r="Q269" s="5"/>
      <c r="R269" s="5"/>
      <c r="S269" s="5"/>
      <c r="T269" s="5"/>
      <c r="U269" s="5"/>
      <c r="V269" s="5"/>
      <c r="W269" s="5">
        <v>0</v>
      </c>
      <c r="X269" s="5">
        <v>1</v>
      </c>
      <c r="Y269" s="5">
        <v>0</v>
      </c>
      <c r="Z269" s="5"/>
      <c r="AA269" s="5"/>
      <c r="AB269" s="5"/>
    </row>
    <row r="270" spans="1:206" x14ac:dyDescent="0.2">
      <c r="A270" s="5">
        <v>50</v>
      </c>
      <c r="B270" s="5">
        <v>0</v>
      </c>
      <c r="C270" s="5">
        <v>0</v>
      </c>
      <c r="D270" s="5">
        <v>1</v>
      </c>
      <c r="E270" s="5">
        <v>203</v>
      </c>
      <c r="F270" s="5">
        <f>ROUND(Source!Q258,O270)</f>
        <v>1027.31</v>
      </c>
      <c r="G270" s="5" t="s">
        <v>62</v>
      </c>
      <c r="H270" s="5" t="s">
        <v>63</v>
      </c>
      <c r="I270" s="5"/>
      <c r="J270" s="5"/>
      <c r="K270" s="5">
        <v>203</v>
      </c>
      <c r="L270" s="5">
        <v>11</v>
      </c>
      <c r="M270" s="5">
        <v>3</v>
      </c>
      <c r="N270" s="5" t="s">
        <v>3</v>
      </c>
      <c r="O270" s="5">
        <v>2</v>
      </c>
      <c r="P270" s="5"/>
      <c r="Q270" s="5"/>
      <c r="R270" s="5"/>
      <c r="S270" s="5"/>
      <c r="T270" s="5"/>
      <c r="U270" s="5"/>
      <c r="V270" s="5"/>
      <c r="W270" s="5">
        <v>1027.3100000000002</v>
      </c>
      <c r="X270" s="5">
        <v>1</v>
      </c>
      <c r="Y270" s="5">
        <v>1027.3100000000002</v>
      </c>
      <c r="Z270" s="5"/>
      <c r="AA270" s="5"/>
      <c r="AB270" s="5"/>
    </row>
    <row r="271" spans="1:206" x14ac:dyDescent="0.2">
      <c r="A271" s="5">
        <v>50</v>
      </c>
      <c r="B271" s="5">
        <v>0</v>
      </c>
      <c r="C271" s="5">
        <v>0</v>
      </c>
      <c r="D271" s="5">
        <v>1</v>
      </c>
      <c r="E271" s="5">
        <v>231</v>
      </c>
      <c r="F271" s="5">
        <f>ROUND(Source!BB258,O271)</f>
        <v>0</v>
      </c>
      <c r="G271" s="5" t="s">
        <v>64</v>
      </c>
      <c r="H271" s="5" t="s">
        <v>65</v>
      </c>
      <c r="I271" s="5"/>
      <c r="J271" s="5"/>
      <c r="K271" s="5">
        <v>231</v>
      </c>
      <c r="L271" s="5">
        <v>12</v>
      </c>
      <c r="M271" s="5">
        <v>3</v>
      </c>
      <c r="N271" s="5" t="s">
        <v>3</v>
      </c>
      <c r="O271" s="5">
        <v>2</v>
      </c>
      <c r="P271" s="5"/>
      <c r="Q271" s="5"/>
      <c r="R271" s="5"/>
      <c r="S271" s="5"/>
      <c r="T271" s="5"/>
      <c r="U271" s="5"/>
      <c r="V271" s="5"/>
      <c r="W271" s="5">
        <v>0</v>
      </c>
      <c r="X271" s="5">
        <v>1</v>
      </c>
      <c r="Y271" s="5">
        <v>0</v>
      </c>
      <c r="Z271" s="5"/>
      <c r="AA271" s="5"/>
      <c r="AB271" s="5"/>
    </row>
    <row r="272" spans="1:206" x14ac:dyDescent="0.2">
      <c r="A272" s="5">
        <v>50</v>
      </c>
      <c r="B272" s="5">
        <v>0</v>
      </c>
      <c r="C272" s="5">
        <v>0</v>
      </c>
      <c r="D272" s="5">
        <v>1</v>
      </c>
      <c r="E272" s="5">
        <v>204</v>
      </c>
      <c r="F272" s="5">
        <f>ROUND(Source!R258,O272)</f>
        <v>1548.22</v>
      </c>
      <c r="G272" s="5" t="s">
        <v>66</v>
      </c>
      <c r="H272" s="5" t="s">
        <v>67</v>
      </c>
      <c r="I272" s="5"/>
      <c r="J272" s="5"/>
      <c r="K272" s="5">
        <v>204</v>
      </c>
      <c r="L272" s="5">
        <v>13</v>
      </c>
      <c r="M272" s="5">
        <v>3</v>
      </c>
      <c r="N272" s="5" t="s">
        <v>3</v>
      </c>
      <c r="O272" s="5">
        <v>2</v>
      </c>
      <c r="P272" s="5"/>
      <c r="Q272" s="5"/>
      <c r="R272" s="5"/>
      <c r="S272" s="5"/>
      <c r="T272" s="5"/>
      <c r="U272" s="5"/>
      <c r="V272" s="5"/>
      <c r="W272" s="5">
        <v>1548.22</v>
      </c>
      <c r="X272" s="5">
        <v>1</v>
      </c>
      <c r="Y272" s="5">
        <v>1548.22</v>
      </c>
      <c r="Z272" s="5"/>
      <c r="AA272" s="5"/>
      <c r="AB272" s="5"/>
    </row>
    <row r="273" spans="1:28" x14ac:dyDescent="0.2">
      <c r="A273" s="5">
        <v>50</v>
      </c>
      <c r="B273" s="5">
        <v>0</v>
      </c>
      <c r="C273" s="5">
        <v>0</v>
      </c>
      <c r="D273" s="5">
        <v>1</v>
      </c>
      <c r="E273" s="5">
        <v>205</v>
      </c>
      <c r="F273" s="5">
        <f>ROUND(Source!S258,O273)</f>
        <v>143386.59</v>
      </c>
      <c r="G273" s="5" t="s">
        <v>68</v>
      </c>
      <c r="H273" s="5" t="s">
        <v>69</v>
      </c>
      <c r="I273" s="5"/>
      <c r="J273" s="5"/>
      <c r="K273" s="5">
        <v>205</v>
      </c>
      <c r="L273" s="5">
        <v>14</v>
      </c>
      <c r="M273" s="5">
        <v>3</v>
      </c>
      <c r="N273" s="5" t="s">
        <v>3</v>
      </c>
      <c r="O273" s="5">
        <v>2</v>
      </c>
      <c r="P273" s="5"/>
      <c r="Q273" s="5"/>
      <c r="R273" s="5"/>
      <c r="S273" s="5"/>
      <c r="T273" s="5"/>
      <c r="U273" s="5"/>
      <c r="V273" s="5"/>
      <c r="W273" s="5">
        <v>143386.59</v>
      </c>
      <c r="X273" s="5">
        <v>1</v>
      </c>
      <c r="Y273" s="5">
        <v>143386.59</v>
      </c>
      <c r="Z273" s="5"/>
      <c r="AA273" s="5"/>
      <c r="AB273" s="5"/>
    </row>
    <row r="274" spans="1:28" x14ac:dyDescent="0.2">
      <c r="A274" s="5">
        <v>50</v>
      </c>
      <c r="B274" s="5">
        <v>0</v>
      </c>
      <c r="C274" s="5">
        <v>0</v>
      </c>
      <c r="D274" s="5">
        <v>1</v>
      </c>
      <c r="E274" s="5">
        <v>232</v>
      </c>
      <c r="F274" s="5">
        <f>ROUND(Source!BC258,O274)</f>
        <v>0</v>
      </c>
      <c r="G274" s="5" t="s">
        <v>70</v>
      </c>
      <c r="H274" s="5" t="s">
        <v>71</v>
      </c>
      <c r="I274" s="5"/>
      <c r="J274" s="5"/>
      <c r="K274" s="5">
        <v>232</v>
      </c>
      <c r="L274" s="5">
        <v>15</v>
      </c>
      <c r="M274" s="5">
        <v>3</v>
      </c>
      <c r="N274" s="5" t="s">
        <v>3</v>
      </c>
      <c r="O274" s="5">
        <v>2</v>
      </c>
      <c r="P274" s="5"/>
      <c r="Q274" s="5"/>
      <c r="R274" s="5"/>
      <c r="S274" s="5"/>
      <c r="T274" s="5"/>
      <c r="U274" s="5"/>
      <c r="V274" s="5"/>
      <c r="W274" s="5">
        <v>0</v>
      </c>
      <c r="X274" s="5">
        <v>1</v>
      </c>
      <c r="Y274" s="5">
        <v>0</v>
      </c>
      <c r="Z274" s="5"/>
      <c r="AA274" s="5"/>
      <c r="AB274" s="5"/>
    </row>
    <row r="275" spans="1:28" x14ac:dyDescent="0.2">
      <c r="A275" s="5">
        <v>50</v>
      </c>
      <c r="B275" s="5">
        <v>0</v>
      </c>
      <c r="C275" s="5">
        <v>0</v>
      </c>
      <c r="D275" s="5">
        <v>1</v>
      </c>
      <c r="E275" s="5">
        <v>214</v>
      </c>
      <c r="F275" s="5">
        <f>ROUND(Source!AS258,O275)</f>
        <v>450656.02</v>
      </c>
      <c r="G275" s="5" t="s">
        <v>72</v>
      </c>
      <c r="H275" s="5" t="s">
        <v>73</v>
      </c>
      <c r="I275" s="5"/>
      <c r="J275" s="5"/>
      <c r="K275" s="5">
        <v>214</v>
      </c>
      <c r="L275" s="5">
        <v>16</v>
      </c>
      <c r="M275" s="5">
        <v>3</v>
      </c>
      <c r="N275" s="5" t="s">
        <v>3</v>
      </c>
      <c r="O275" s="5">
        <v>2</v>
      </c>
      <c r="P275" s="5"/>
      <c r="Q275" s="5"/>
      <c r="R275" s="5"/>
      <c r="S275" s="5"/>
      <c r="T275" s="5"/>
      <c r="U275" s="5"/>
      <c r="V275" s="5"/>
      <c r="W275" s="5">
        <v>450656.02</v>
      </c>
      <c r="X275" s="5">
        <v>1</v>
      </c>
      <c r="Y275" s="5">
        <v>450656.02</v>
      </c>
      <c r="Z275" s="5"/>
      <c r="AA275" s="5"/>
      <c r="AB275" s="5"/>
    </row>
    <row r="276" spans="1:28" x14ac:dyDescent="0.2">
      <c r="A276" s="5">
        <v>50</v>
      </c>
      <c r="B276" s="5">
        <v>0</v>
      </c>
      <c r="C276" s="5">
        <v>0</v>
      </c>
      <c r="D276" s="5">
        <v>1</v>
      </c>
      <c r="E276" s="5">
        <v>215</v>
      </c>
      <c r="F276" s="5">
        <f>ROUND(Source!AT258,O276)</f>
        <v>14945.54</v>
      </c>
      <c r="G276" s="5" t="s">
        <v>74</v>
      </c>
      <c r="H276" s="5" t="s">
        <v>75</v>
      </c>
      <c r="I276" s="5"/>
      <c r="J276" s="5"/>
      <c r="K276" s="5">
        <v>215</v>
      </c>
      <c r="L276" s="5">
        <v>17</v>
      </c>
      <c r="M276" s="5">
        <v>3</v>
      </c>
      <c r="N276" s="5" t="s">
        <v>3</v>
      </c>
      <c r="O276" s="5">
        <v>2</v>
      </c>
      <c r="P276" s="5"/>
      <c r="Q276" s="5"/>
      <c r="R276" s="5"/>
      <c r="S276" s="5"/>
      <c r="T276" s="5"/>
      <c r="U276" s="5"/>
      <c r="V276" s="5"/>
      <c r="W276" s="5">
        <v>14945.54</v>
      </c>
      <c r="X276" s="5">
        <v>1</v>
      </c>
      <c r="Y276" s="5">
        <v>14945.54</v>
      </c>
      <c r="Z276" s="5"/>
      <c r="AA276" s="5"/>
      <c r="AB276" s="5"/>
    </row>
    <row r="277" spans="1:28" x14ac:dyDescent="0.2">
      <c r="A277" s="5">
        <v>50</v>
      </c>
      <c r="B277" s="5">
        <v>0</v>
      </c>
      <c r="C277" s="5">
        <v>0</v>
      </c>
      <c r="D277" s="5">
        <v>1</v>
      </c>
      <c r="E277" s="5">
        <v>217</v>
      </c>
      <c r="F277" s="5">
        <f>ROUND(Source!AU258,O277)</f>
        <v>0</v>
      </c>
      <c r="G277" s="5" t="s">
        <v>76</v>
      </c>
      <c r="H277" s="5" t="s">
        <v>77</v>
      </c>
      <c r="I277" s="5"/>
      <c r="J277" s="5"/>
      <c r="K277" s="5">
        <v>217</v>
      </c>
      <c r="L277" s="5">
        <v>18</v>
      </c>
      <c r="M277" s="5">
        <v>3</v>
      </c>
      <c r="N277" s="5" t="s">
        <v>3</v>
      </c>
      <c r="O277" s="5">
        <v>2</v>
      </c>
      <c r="P277" s="5"/>
      <c r="Q277" s="5"/>
      <c r="R277" s="5"/>
      <c r="S277" s="5"/>
      <c r="T277" s="5"/>
      <c r="U277" s="5"/>
      <c r="V277" s="5"/>
      <c r="W277" s="5">
        <v>0</v>
      </c>
      <c r="X277" s="5">
        <v>1</v>
      </c>
      <c r="Y277" s="5">
        <v>0</v>
      </c>
      <c r="Z277" s="5"/>
      <c r="AA277" s="5"/>
      <c r="AB277" s="5"/>
    </row>
    <row r="278" spans="1:28" x14ac:dyDescent="0.2">
      <c r="A278" s="5">
        <v>50</v>
      </c>
      <c r="B278" s="5">
        <v>0</v>
      </c>
      <c r="C278" s="5">
        <v>0</v>
      </c>
      <c r="D278" s="5">
        <v>1</v>
      </c>
      <c r="E278" s="5">
        <v>230</v>
      </c>
      <c r="F278" s="5">
        <f>ROUND(Source!BA258,O278)</f>
        <v>0</v>
      </c>
      <c r="G278" s="5" t="s">
        <v>78</v>
      </c>
      <c r="H278" s="5" t="s">
        <v>79</v>
      </c>
      <c r="I278" s="5"/>
      <c r="J278" s="5"/>
      <c r="K278" s="5">
        <v>230</v>
      </c>
      <c r="L278" s="5">
        <v>19</v>
      </c>
      <c r="M278" s="5">
        <v>3</v>
      </c>
      <c r="N278" s="5" t="s">
        <v>3</v>
      </c>
      <c r="O278" s="5">
        <v>2</v>
      </c>
      <c r="P278" s="5"/>
      <c r="Q278" s="5"/>
      <c r="R278" s="5"/>
      <c r="S278" s="5"/>
      <c r="T278" s="5"/>
      <c r="U278" s="5"/>
      <c r="V278" s="5"/>
      <c r="W278" s="5">
        <v>0</v>
      </c>
      <c r="X278" s="5">
        <v>1</v>
      </c>
      <c r="Y278" s="5">
        <v>0</v>
      </c>
      <c r="Z278" s="5"/>
      <c r="AA278" s="5"/>
      <c r="AB278" s="5"/>
    </row>
    <row r="279" spans="1:28" x14ac:dyDescent="0.2">
      <c r="A279" s="5">
        <v>50</v>
      </c>
      <c r="B279" s="5">
        <v>0</v>
      </c>
      <c r="C279" s="5">
        <v>0</v>
      </c>
      <c r="D279" s="5">
        <v>1</v>
      </c>
      <c r="E279" s="5">
        <v>206</v>
      </c>
      <c r="F279" s="5">
        <f>ROUND(Source!T258,O279)</f>
        <v>0</v>
      </c>
      <c r="G279" s="5" t="s">
        <v>80</v>
      </c>
      <c r="H279" s="5" t="s">
        <v>81</v>
      </c>
      <c r="I279" s="5"/>
      <c r="J279" s="5"/>
      <c r="K279" s="5">
        <v>206</v>
      </c>
      <c r="L279" s="5">
        <v>20</v>
      </c>
      <c r="M279" s="5">
        <v>3</v>
      </c>
      <c r="N279" s="5" t="s">
        <v>3</v>
      </c>
      <c r="O279" s="5">
        <v>2</v>
      </c>
      <c r="P279" s="5"/>
      <c r="Q279" s="5"/>
      <c r="R279" s="5"/>
      <c r="S279" s="5"/>
      <c r="T279" s="5"/>
      <c r="U279" s="5"/>
      <c r="V279" s="5"/>
      <c r="W279" s="5">
        <v>0</v>
      </c>
      <c r="X279" s="5">
        <v>1</v>
      </c>
      <c r="Y279" s="5">
        <v>0</v>
      </c>
      <c r="Z279" s="5"/>
      <c r="AA279" s="5"/>
      <c r="AB279" s="5"/>
    </row>
    <row r="280" spans="1:28" x14ac:dyDescent="0.2">
      <c r="A280" s="5">
        <v>50</v>
      </c>
      <c r="B280" s="5">
        <v>0</v>
      </c>
      <c r="C280" s="5">
        <v>0</v>
      </c>
      <c r="D280" s="5">
        <v>1</v>
      </c>
      <c r="E280" s="5">
        <v>207</v>
      </c>
      <c r="F280" s="5">
        <f>ROUND(Source!U258,O280)</f>
        <v>212.83942999999999</v>
      </c>
      <c r="G280" s="5" t="s">
        <v>82</v>
      </c>
      <c r="H280" s="5" t="s">
        <v>83</v>
      </c>
      <c r="I280" s="5"/>
      <c r="J280" s="5"/>
      <c r="K280" s="5">
        <v>207</v>
      </c>
      <c r="L280" s="5">
        <v>21</v>
      </c>
      <c r="M280" s="5">
        <v>3</v>
      </c>
      <c r="N280" s="5" t="s">
        <v>3</v>
      </c>
      <c r="O280" s="5">
        <v>7</v>
      </c>
      <c r="P280" s="5"/>
      <c r="Q280" s="5"/>
      <c r="R280" s="5"/>
      <c r="S280" s="5"/>
      <c r="T280" s="5"/>
      <c r="U280" s="5"/>
      <c r="V280" s="5"/>
      <c r="W280" s="5">
        <v>212.83942999999999</v>
      </c>
      <c r="X280" s="5">
        <v>1</v>
      </c>
      <c r="Y280" s="5">
        <v>212.83942999999999</v>
      </c>
      <c r="Z280" s="5"/>
      <c r="AA280" s="5"/>
      <c r="AB280" s="5"/>
    </row>
    <row r="281" spans="1:28" x14ac:dyDescent="0.2">
      <c r="A281" s="5">
        <v>50</v>
      </c>
      <c r="B281" s="5">
        <v>0</v>
      </c>
      <c r="C281" s="5">
        <v>0</v>
      </c>
      <c r="D281" s="5">
        <v>1</v>
      </c>
      <c r="E281" s="5">
        <v>208</v>
      </c>
      <c r="F281" s="5">
        <f>ROUND(Source!V258,O281)</f>
        <v>2.1574374999999999</v>
      </c>
      <c r="G281" s="5" t="s">
        <v>84</v>
      </c>
      <c r="H281" s="5" t="s">
        <v>85</v>
      </c>
      <c r="I281" s="5"/>
      <c r="J281" s="5"/>
      <c r="K281" s="5">
        <v>208</v>
      </c>
      <c r="L281" s="5">
        <v>22</v>
      </c>
      <c r="M281" s="5">
        <v>3</v>
      </c>
      <c r="N281" s="5" t="s">
        <v>3</v>
      </c>
      <c r="O281" s="5">
        <v>7</v>
      </c>
      <c r="P281" s="5"/>
      <c r="Q281" s="5"/>
      <c r="R281" s="5"/>
      <c r="S281" s="5"/>
      <c r="T281" s="5"/>
      <c r="U281" s="5"/>
      <c r="V281" s="5"/>
      <c r="W281" s="5">
        <v>2.1508750000000001</v>
      </c>
      <c r="X281" s="5">
        <v>1</v>
      </c>
      <c r="Y281" s="5">
        <v>2.1508750000000001</v>
      </c>
      <c r="Z281" s="5"/>
      <c r="AA281" s="5"/>
      <c r="AB281" s="5"/>
    </row>
    <row r="282" spans="1:28" x14ac:dyDescent="0.2">
      <c r="A282" s="5">
        <v>50</v>
      </c>
      <c r="B282" s="5">
        <v>0</v>
      </c>
      <c r="C282" s="5">
        <v>0</v>
      </c>
      <c r="D282" s="5">
        <v>1</v>
      </c>
      <c r="E282" s="5">
        <v>209</v>
      </c>
      <c r="F282" s="5">
        <f>ROUND(Source!W258,O282)</f>
        <v>0</v>
      </c>
      <c r="G282" s="5" t="s">
        <v>86</v>
      </c>
      <c r="H282" s="5" t="s">
        <v>87</v>
      </c>
      <c r="I282" s="5"/>
      <c r="J282" s="5"/>
      <c r="K282" s="5">
        <v>209</v>
      </c>
      <c r="L282" s="5">
        <v>23</v>
      </c>
      <c r="M282" s="5">
        <v>3</v>
      </c>
      <c r="N282" s="5" t="s">
        <v>3</v>
      </c>
      <c r="O282" s="5">
        <v>2</v>
      </c>
      <c r="P282" s="5"/>
      <c r="Q282" s="5"/>
      <c r="R282" s="5"/>
      <c r="S282" s="5"/>
      <c r="T282" s="5"/>
      <c r="U282" s="5"/>
      <c r="V282" s="5"/>
      <c r="W282" s="5">
        <v>0</v>
      </c>
      <c r="X282" s="5">
        <v>1</v>
      </c>
      <c r="Y282" s="5">
        <v>0</v>
      </c>
      <c r="Z282" s="5"/>
      <c r="AA282" s="5"/>
      <c r="AB282" s="5"/>
    </row>
    <row r="283" spans="1:28" x14ac:dyDescent="0.2">
      <c r="A283" s="5">
        <v>50</v>
      </c>
      <c r="B283" s="5">
        <v>0</v>
      </c>
      <c r="C283" s="5">
        <v>0</v>
      </c>
      <c r="D283" s="5">
        <v>1</v>
      </c>
      <c r="E283" s="5">
        <v>233</v>
      </c>
      <c r="F283" s="5">
        <f>ROUND(Source!BD258,O283)</f>
        <v>408.34</v>
      </c>
      <c r="G283" s="5" t="s">
        <v>88</v>
      </c>
      <c r="H283" s="5" t="s">
        <v>89</v>
      </c>
      <c r="I283" s="5"/>
      <c r="J283" s="5"/>
      <c r="K283" s="5">
        <v>233</v>
      </c>
      <c r="L283" s="5">
        <v>24</v>
      </c>
      <c r="M283" s="5">
        <v>3</v>
      </c>
      <c r="N283" s="5" t="s">
        <v>3</v>
      </c>
      <c r="O283" s="5">
        <v>2</v>
      </c>
      <c r="P283" s="5"/>
      <c r="Q283" s="5"/>
      <c r="R283" s="5"/>
      <c r="S283" s="5"/>
      <c r="T283" s="5"/>
      <c r="U283" s="5"/>
      <c r="V283" s="5"/>
      <c r="W283" s="5">
        <v>408.34</v>
      </c>
      <c r="X283" s="5">
        <v>1</v>
      </c>
      <c r="Y283" s="5">
        <v>408.34</v>
      </c>
      <c r="Z283" s="5"/>
      <c r="AA283" s="5"/>
      <c r="AB283" s="5"/>
    </row>
    <row r="284" spans="1:28" x14ac:dyDescent="0.2">
      <c r="A284" s="5">
        <v>50</v>
      </c>
      <c r="B284" s="5">
        <v>0</v>
      </c>
      <c r="C284" s="5">
        <v>0</v>
      </c>
      <c r="D284" s="5">
        <v>1</v>
      </c>
      <c r="E284" s="5">
        <v>210</v>
      </c>
      <c r="F284" s="5">
        <f>ROUND(Source!X258,O284)</f>
        <v>130932.32</v>
      </c>
      <c r="G284" s="5" t="s">
        <v>90</v>
      </c>
      <c r="H284" s="5" t="s">
        <v>91</v>
      </c>
      <c r="I284" s="5"/>
      <c r="J284" s="5"/>
      <c r="K284" s="5">
        <v>210</v>
      </c>
      <c r="L284" s="5">
        <v>25</v>
      </c>
      <c r="M284" s="5">
        <v>3</v>
      </c>
      <c r="N284" s="5" t="s">
        <v>3</v>
      </c>
      <c r="O284" s="5">
        <v>2</v>
      </c>
      <c r="P284" s="5"/>
      <c r="Q284" s="5"/>
      <c r="R284" s="5"/>
      <c r="S284" s="5"/>
      <c r="T284" s="5"/>
      <c r="U284" s="5"/>
      <c r="V284" s="5"/>
      <c r="W284" s="5">
        <v>130932.32</v>
      </c>
      <c r="X284" s="5">
        <v>1</v>
      </c>
      <c r="Y284" s="5">
        <v>130932.32</v>
      </c>
      <c r="Z284" s="5"/>
      <c r="AA284" s="5"/>
      <c r="AB284" s="5"/>
    </row>
    <row r="285" spans="1:28" x14ac:dyDescent="0.2">
      <c r="A285" s="5">
        <v>50</v>
      </c>
      <c r="B285" s="5">
        <v>0</v>
      </c>
      <c r="C285" s="5">
        <v>0</v>
      </c>
      <c r="D285" s="5">
        <v>1</v>
      </c>
      <c r="E285" s="5">
        <v>211</v>
      </c>
      <c r="F285" s="5">
        <f>ROUND(Source!Y258,O285)</f>
        <v>61331.66</v>
      </c>
      <c r="G285" s="5" t="s">
        <v>92</v>
      </c>
      <c r="H285" s="5" t="s">
        <v>93</v>
      </c>
      <c r="I285" s="5"/>
      <c r="J285" s="5"/>
      <c r="K285" s="5">
        <v>211</v>
      </c>
      <c r="L285" s="5">
        <v>26</v>
      </c>
      <c r="M285" s="5">
        <v>3</v>
      </c>
      <c r="N285" s="5" t="s">
        <v>3</v>
      </c>
      <c r="O285" s="5">
        <v>2</v>
      </c>
      <c r="P285" s="5"/>
      <c r="Q285" s="5"/>
      <c r="R285" s="5"/>
      <c r="S285" s="5"/>
      <c r="T285" s="5"/>
      <c r="U285" s="5"/>
      <c r="V285" s="5"/>
      <c r="W285" s="5">
        <v>61331.66</v>
      </c>
      <c r="X285" s="5">
        <v>1</v>
      </c>
      <c r="Y285" s="5">
        <v>61331.66</v>
      </c>
      <c r="Z285" s="5"/>
      <c r="AA285" s="5"/>
      <c r="AB285" s="5"/>
    </row>
    <row r="286" spans="1:28" x14ac:dyDescent="0.2">
      <c r="A286" s="5">
        <v>50</v>
      </c>
      <c r="B286" s="5">
        <v>0</v>
      </c>
      <c r="C286" s="5">
        <v>0</v>
      </c>
      <c r="D286" s="5">
        <v>1</v>
      </c>
      <c r="E286" s="5">
        <v>224</v>
      </c>
      <c r="F286" s="5">
        <f>ROUND(Source!AR258,O286)</f>
        <v>465601.56</v>
      </c>
      <c r="G286" s="5" t="s">
        <v>94</v>
      </c>
      <c r="H286" s="5" t="s">
        <v>95</v>
      </c>
      <c r="I286" s="5"/>
      <c r="J286" s="5"/>
      <c r="K286" s="5">
        <v>224</v>
      </c>
      <c r="L286" s="5">
        <v>27</v>
      </c>
      <c r="M286" s="5">
        <v>3</v>
      </c>
      <c r="N286" s="5" t="s">
        <v>3</v>
      </c>
      <c r="O286" s="5">
        <v>2</v>
      </c>
      <c r="P286" s="5"/>
      <c r="Q286" s="5"/>
      <c r="R286" s="5"/>
      <c r="S286" s="5"/>
      <c r="T286" s="5"/>
      <c r="U286" s="5"/>
      <c r="V286" s="5"/>
      <c r="W286" s="5">
        <v>465601.56</v>
      </c>
      <c r="X286" s="5">
        <v>1</v>
      </c>
      <c r="Y286" s="5">
        <v>465601.56</v>
      </c>
      <c r="Z286" s="5"/>
      <c r="AA286" s="5"/>
      <c r="AB286" s="5"/>
    </row>
    <row r="287" spans="1:28" x14ac:dyDescent="0.2">
      <c r="A287" s="5">
        <v>50</v>
      </c>
      <c r="B287" s="5">
        <v>1</v>
      </c>
      <c r="C287" s="5">
        <v>0</v>
      </c>
      <c r="D287" s="5">
        <v>2</v>
      </c>
      <c r="E287" s="5">
        <v>0</v>
      </c>
      <c r="F287" s="5">
        <f>ROUND(F286,O287)</f>
        <v>465601.56</v>
      </c>
      <c r="G287" s="5" t="s">
        <v>209</v>
      </c>
      <c r="H287" s="5" t="s">
        <v>209</v>
      </c>
      <c r="I287" s="5"/>
      <c r="J287" s="5"/>
      <c r="K287" s="5">
        <v>212</v>
      </c>
      <c r="L287" s="5">
        <v>28</v>
      </c>
      <c r="M287" s="5">
        <v>0</v>
      </c>
      <c r="N287" s="5" t="s">
        <v>3</v>
      </c>
      <c r="O287" s="5">
        <v>2</v>
      </c>
      <c r="P287" s="5"/>
      <c r="Q287" s="5"/>
      <c r="R287" s="5"/>
      <c r="S287" s="5"/>
      <c r="T287" s="5"/>
      <c r="U287" s="5"/>
      <c r="V287" s="5"/>
      <c r="W287" s="5">
        <v>465601.56</v>
      </c>
      <c r="X287" s="5">
        <v>1</v>
      </c>
      <c r="Y287" s="5">
        <v>465601.56</v>
      </c>
      <c r="Z287" s="5"/>
      <c r="AA287" s="5"/>
      <c r="AB287" s="5"/>
    </row>
    <row r="288" spans="1:28" x14ac:dyDescent="0.2">
      <c r="A288" s="5">
        <v>50</v>
      </c>
      <c r="B288" s="5">
        <v>1</v>
      </c>
      <c r="C288" s="5">
        <v>0</v>
      </c>
      <c r="D288" s="5">
        <v>2</v>
      </c>
      <c r="E288" s="5">
        <v>0</v>
      </c>
      <c r="F288" s="5">
        <f>ROUND(F287*0.22,O288)</f>
        <v>102432.34</v>
      </c>
      <c r="G288" s="5" t="s">
        <v>210</v>
      </c>
      <c r="H288" s="5" t="s">
        <v>211</v>
      </c>
      <c r="I288" s="5"/>
      <c r="J288" s="5"/>
      <c r="K288" s="5">
        <v>212</v>
      </c>
      <c r="L288" s="5">
        <v>29</v>
      </c>
      <c r="M288" s="5">
        <v>0</v>
      </c>
      <c r="N288" s="5" t="s">
        <v>3</v>
      </c>
      <c r="O288" s="5">
        <v>2</v>
      </c>
      <c r="P288" s="5"/>
      <c r="Q288" s="5"/>
      <c r="R288" s="5"/>
      <c r="S288" s="5"/>
      <c r="T288" s="5"/>
      <c r="U288" s="5"/>
      <c r="V288" s="5"/>
      <c r="W288" s="5">
        <v>102432.34</v>
      </c>
      <c r="X288" s="5">
        <v>1</v>
      </c>
      <c r="Y288" s="5">
        <v>102432.34</v>
      </c>
      <c r="Z288" s="5"/>
      <c r="AA288" s="5"/>
      <c r="AB288" s="5"/>
    </row>
    <row r="289" spans="1:28" x14ac:dyDescent="0.2">
      <c r="A289" s="5">
        <v>50</v>
      </c>
      <c r="B289" s="5">
        <v>1</v>
      </c>
      <c r="C289" s="5">
        <v>0</v>
      </c>
      <c r="D289" s="5">
        <v>2</v>
      </c>
      <c r="E289" s="5">
        <v>213</v>
      </c>
      <c r="F289" s="5">
        <f>ROUND(F287+F288,O289)</f>
        <v>568033.9</v>
      </c>
      <c r="G289" s="5" t="s">
        <v>212</v>
      </c>
      <c r="H289" s="5" t="s">
        <v>213</v>
      </c>
      <c r="I289" s="5"/>
      <c r="J289" s="5"/>
      <c r="K289" s="5">
        <v>212</v>
      </c>
      <c r="L289" s="5">
        <v>30</v>
      </c>
      <c r="M289" s="5">
        <v>0</v>
      </c>
      <c r="N289" s="5" t="s">
        <v>3</v>
      </c>
      <c r="O289" s="5">
        <v>2</v>
      </c>
      <c r="P289" s="5"/>
      <c r="Q289" s="5"/>
      <c r="R289" s="5"/>
      <c r="S289" s="5"/>
      <c r="T289" s="5"/>
      <c r="U289" s="5"/>
      <c r="V289" s="5"/>
      <c r="W289" s="5">
        <v>568033.9</v>
      </c>
      <c r="X289" s="5">
        <v>1</v>
      </c>
      <c r="Y289" s="5">
        <v>568033.9</v>
      </c>
      <c r="Z289" s="5"/>
      <c r="AA289" s="5"/>
      <c r="AB289" s="5"/>
    </row>
    <row r="292" spans="1:28" x14ac:dyDescent="0.2">
      <c r="A292">
        <v>70</v>
      </c>
      <c r="B292">
        <v>1</v>
      </c>
      <c r="D292">
        <v>1</v>
      </c>
      <c r="E292" t="s">
        <v>215</v>
      </c>
      <c r="F292" t="s">
        <v>216</v>
      </c>
      <c r="G292">
        <v>0</v>
      </c>
      <c r="H292">
        <v>0</v>
      </c>
      <c r="I292" t="s">
        <v>3</v>
      </c>
      <c r="J292">
        <v>1</v>
      </c>
      <c r="K292">
        <v>0</v>
      </c>
      <c r="L292" t="s">
        <v>3</v>
      </c>
      <c r="M292" t="s">
        <v>3</v>
      </c>
      <c r="N292">
        <v>0</v>
      </c>
      <c r="P292" t="s">
        <v>217</v>
      </c>
    </row>
    <row r="293" spans="1:28" x14ac:dyDescent="0.2">
      <c r="A293">
        <v>70</v>
      </c>
      <c r="B293">
        <v>1</v>
      </c>
      <c r="D293">
        <v>2</v>
      </c>
      <c r="E293" t="s">
        <v>218</v>
      </c>
      <c r="F293" t="s">
        <v>219</v>
      </c>
      <c r="G293">
        <v>1</v>
      </c>
      <c r="H293">
        <v>0</v>
      </c>
      <c r="I293" t="s">
        <v>3</v>
      </c>
      <c r="J293">
        <v>1</v>
      </c>
      <c r="K293">
        <v>0</v>
      </c>
      <c r="L293" t="s">
        <v>3</v>
      </c>
      <c r="M293" t="s">
        <v>3</v>
      </c>
      <c r="N293">
        <v>0</v>
      </c>
      <c r="P293" t="s">
        <v>220</v>
      </c>
    </row>
    <row r="294" spans="1:28" x14ac:dyDescent="0.2">
      <c r="A294">
        <v>70</v>
      </c>
      <c r="B294">
        <v>1</v>
      </c>
      <c r="D294">
        <v>3</v>
      </c>
      <c r="E294" t="s">
        <v>221</v>
      </c>
      <c r="F294" t="s">
        <v>222</v>
      </c>
      <c r="G294">
        <v>0</v>
      </c>
      <c r="H294">
        <v>0</v>
      </c>
      <c r="I294" t="s">
        <v>3</v>
      </c>
      <c r="J294">
        <v>1</v>
      </c>
      <c r="K294">
        <v>0</v>
      </c>
      <c r="L294" t="s">
        <v>3</v>
      </c>
      <c r="M294" t="s">
        <v>3</v>
      </c>
      <c r="N294">
        <v>0</v>
      </c>
      <c r="P294" t="s">
        <v>223</v>
      </c>
    </row>
    <row r="295" spans="1:28" x14ac:dyDescent="0.2">
      <c r="A295">
        <v>70</v>
      </c>
      <c r="B295">
        <v>1</v>
      </c>
      <c r="D295">
        <v>4</v>
      </c>
      <c r="E295" t="s">
        <v>224</v>
      </c>
      <c r="F295" t="s">
        <v>225</v>
      </c>
      <c r="G295">
        <v>1</v>
      </c>
      <c r="H295">
        <v>0</v>
      </c>
      <c r="I295" t="s">
        <v>3</v>
      </c>
      <c r="J295">
        <v>2</v>
      </c>
      <c r="K295">
        <v>0</v>
      </c>
      <c r="L295" t="s">
        <v>3</v>
      </c>
      <c r="M295" t="s">
        <v>3</v>
      </c>
      <c r="N295">
        <v>0</v>
      </c>
      <c r="P295" t="s">
        <v>3</v>
      </c>
    </row>
    <row r="296" spans="1:28" x14ac:dyDescent="0.2">
      <c r="A296">
        <v>70</v>
      </c>
      <c r="B296">
        <v>1</v>
      </c>
      <c r="D296">
        <v>5</v>
      </c>
      <c r="E296" t="s">
        <v>226</v>
      </c>
      <c r="F296" t="s">
        <v>227</v>
      </c>
      <c r="G296">
        <v>0</v>
      </c>
      <c r="H296">
        <v>0</v>
      </c>
      <c r="I296" t="s">
        <v>3</v>
      </c>
      <c r="J296">
        <v>2</v>
      </c>
      <c r="K296">
        <v>0</v>
      </c>
      <c r="L296" t="s">
        <v>3</v>
      </c>
      <c r="M296" t="s">
        <v>3</v>
      </c>
      <c r="N296">
        <v>0</v>
      </c>
      <c r="P296" t="s">
        <v>3</v>
      </c>
    </row>
    <row r="297" spans="1:28" x14ac:dyDescent="0.2">
      <c r="A297">
        <v>70</v>
      </c>
      <c r="B297">
        <v>1</v>
      </c>
      <c r="D297">
        <v>6</v>
      </c>
      <c r="E297" t="s">
        <v>228</v>
      </c>
      <c r="F297" t="s">
        <v>229</v>
      </c>
      <c r="G297">
        <v>0</v>
      </c>
      <c r="H297">
        <v>0</v>
      </c>
      <c r="I297" t="s">
        <v>3</v>
      </c>
      <c r="J297">
        <v>2</v>
      </c>
      <c r="K297">
        <v>0</v>
      </c>
      <c r="L297" t="s">
        <v>3</v>
      </c>
      <c r="M297" t="s">
        <v>3</v>
      </c>
      <c r="N297">
        <v>0</v>
      </c>
      <c r="P297" t="s">
        <v>3</v>
      </c>
    </row>
    <row r="298" spans="1:28" x14ac:dyDescent="0.2">
      <c r="A298">
        <v>70</v>
      </c>
      <c r="B298">
        <v>1</v>
      </c>
      <c r="D298">
        <v>7</v>
      </c>
      <c r="E298" t="s">
        <v>230</v>
      </c>
      <c r="F298" t="s">
        <v>231</v>
      </c>
      <c r="G298">
        <v>0</v>
      </c>
      <c r="H298">
        <v>0</v>
      </c>
      <c r="I298" t="s">
        <v>232</v>
      </c>
      <c r="J298">
        <v>0</v>
      </c>
      <c r="K298">
        <v>0</v>
      </c>
      <c r="L298" t="s">
        <v>3</v>
      </c>
      <c r="M298" t="s">
        <v>3</v>
      </c>
      <c r="N298">
        <v>0</v>
      </c>
      <c r="P298" t="s">
        <v>233</v>
      </c>
    </row>
    <row r="299" spans="1:28" x14ac:dyDescent="0.2">
      <c r="A299">
        <v>70</v>
      </c>
      <c r="B299">
        <v>1</v>
      </c>
      <c r="D299">
        <v>8</v>
      </c>
      <c r="E299" t="s">
        <v>234</v>
      </c>
      <c r="F299" t="s">
        <v>235</v>
      </c>
      <c r="G299">
        <v>1</v>
      </c>
      <c r="H299">
        <v>0</v>
      </c>
      <c r="I299" t="s">
        <v>3</v>
      </c>
      <c r="J299">
        <v>5</v>
      </c>
      <c r="K299">
        <v>0</v>
      </c>
      <c r="L299" t="s">
        <v>3</v>
      </c>
      <c r="M299" t="s">
        <v>3</v>
      </c>
      <c r="N299">
        <v>0</v>
      </c>
      <c r="P299" t="s">
        <v>3</v>
      </c>
    </row>
    <row r="300" spans="1:28" x14ac:dyDescent="0.2">
      <c r="A300">
        <v>70</v>
      </c>
      <c r="B300">
        <v>1</v>
      </c>
      <c r="D300">
        <v>9</v>
      </c>
      <c r="E300" t="s">
        <v>236</v>
      </c>
      <c r="F300" t="s">
        <v>237</v>
      </c>
      <c r="G300">
        <v>0</v>
      </c>
      <c r="H300">
        <v>0</v>
      </c>
      <c r="I300" t="s">
        <v>3</v>
      </c>
      <c r="J300">
        <v>5</v>
      </c>
      <c r="K300">
        <v>0</v>
      </c>
      <c r="L300" t="s">
        <v>3</v>
      </c>
      <c r="M300" t="s">
        <v>3</v>
      </c>
      <c r="N300">
        <v>0</v>
      </c>
      <c r="P300" t="s">
        <v>238</v>
      </c>
    </row>
    <row r="301" spans="1:28" x14ac:dyDescent="0.2">
      <c r="A301">
        <v>70</v>
      </c>
      <c r="B301">
        <v>1</v>
      </c>
      <c r="D301">
        <v>10</v>
      </c>
      <c r="E301" t="s">
        <v>239</v>
      </c>
      <c r="F301" t="s">
        <v>240</v>
      </c>
      <c r="G301">
        <v>0</v>
      </c>
      <c r="H301">
        <v>0</v>
      </c>
      <c r="I301" t="s">
        <v>241</v>
      </c>
      <c r="J301">
        <v>5</v>
      </c>
      <c r="K301">
        <v>0</v>
      </c>
      <c r="L301" t="s">
        <v>3</v>
      </c>
      <c r="M301" t="s">
        <v>3</v>
      </c>
      <c r="N301">
        <v>0</v>
      </c>
      <c r="P301" t="s">
        <v>242</v>
      </c>
    </row>
    <row r="302" spans="1:28" x14ac:dyDescent="0.2">
      <c r="A302">
        <v>70</v>
      </c>
      <c r="B302">
        <v>1</v>
      </c>
      <c r="D302">
        <v>11</v>
      </c>
      <c r="E302" t="s">
        <v>243</v>
      </c>
      <c r="F302" t="s">
        <v>244</v>
      </c>
      <c r="G302">
        <v>0</v>
      </c>
      <c r="H302">
        <v>0</v>
      </c>
      <c r="I302" t="s">
        <v>245</v>
      </c>
      <c r="J302">
        <v>0</v>
      </c>
      <c r="K302">
        <v>0</v>
      </c>
      <c r="L302" t="s">
        <v>3</v>
      </c>
      <c r="M302" t="s">
        <v>3</v>
      </c>
      <c r="N302">
        <v>0</v>
      </c>
      <c r="P302" t="s">
        <v>246</v>
      </c>
    </row>
    <row r="303" spans="1:28" x14ac:dyDescent="0.2">
      <c r="A303">
        <v>70</v>
      </c>
      <c r="B303">
        <v>1</v>
      </c>
      <c r="D303">
        <v>12</v>
      </c>
      <c r="E303" t="s">
        <v>247</v>
      </c>
      <c r="F303" t="s">
        <v>248</v>
      </c>
      <c r="G303">
        <v>0</v>
      </c>
      <c r="H303">
        <v>0</v>
      </c>
      <c r="I303" t="s">
        <v>249</v>
      </c>
      <c r="J303">
        <v>0</v>
      </c>
      <c r="K303">
        <v>0</v>
      </c>
      <c r="L303" t="s">
        <v>3</v>
      </c>
      <c r="M303" t="s">
        <v>3</v>
      </c>
      <c r="N303">
        <v>0</v>
      </c>
      <c r="P303" t="s">
        <v>250</v>
      </c>
    </row>
    <row r="304" spans="1:28" x14ac:dyDescent="0.2">
      <c r="A304">
        <v>70</v>
      </c>
      <c r="B304">
        <v>1</v>
      </c>
      <c r="D304">
        <v>13</v>
      </c>
      <c r="E304" t="s">
        <v>251</v>
      </c>
      <c r="F304" t="s">
        <v>252</v>
      </c>
      <c r="G304">
        <v>0</v>
      </c>
      <c r="H304">
        <v>0</v>
      </c>
      <c r="I304" t="s">
        <v>253</v>
      </c>
      <c r="J304">
        <v>0</v>
      </c>
      <c r="K304">
        <v>0</v>
      </c>
      <c r="L304" t="s">
        <v>3</v>
      </c>
      <c r="M304" t="s">
        <v>3</v>
      </c>
      <c r="N304">
        <v>0</v>
      </c>
      <c r="P304" t="s">
        <v>254</v>
      </c>
    </row>
    <row r="305" spans="1:50" x14ac:dyDescent="0.2">
      <c r="A305">
        <v>70</v>
      </c>
      <c r="B305">
        <v>1</v>
      </c>
      <c r="D305">
        <v>14</v>
      </c>
      <c r="E305" t="s">
        <v>255</v>
      </c>
      <c r="F305" t="s">
        <v>256</v>
      </c>
      <c r="G305">
        <v>0</v>
      </c>
      <c r="H305">
        <v>0</v>
      </c>
      <c r="I305" t="s">
        <v>3</v>
      </c>
      <c r="J305">
        <v>0</v>
      </c>
      <c r="K305">
        <v>0</v>
      </c>
      <c r="L305" t="s">
        <v>3</v>
      </c>
      <c r="M305" t="s">
        <v>3</v>
      </c>
      <c r="N305">
        <v>0</v>
      </c>
      <c r="P305" t="s">
        <v>3</v>
      </c>
    </row>
    <row r="306" spans="1:50" x14ac:dyDescent="0.2">
      <c r="A306">
        <v>70</v>
      </c>
      <c r="B306">
        <v>1</v>
      </c>
      <c r="D306">
        <v>15</v>
      </c>
      <c r="E306" t="s">
        <v>257</v>
      </c>
      <c r="F306" t="s">
        <v>258</v>
      </c>
      <c r="G306">
        <v>0</v>
      </c>
      <c r="H306">
        <v>0</v>
      </c>
      <c r="I306" t="s">
        <v>3</v>
      </c>
      <c r="J306">
        <v>0</v>
      </c>
      <c r="K306">
        <v>0</v>
      </c>
      <c r="L306" t="s">
        <v>3</v>
      </c>
      <c r="M306" t="s">
        <v>3</v>
      </c>
      <c r="N306">
        <v>0</v>
      </c>
      <c r="P306" t="s">
        <v>259</v>
      </c>
    </row>
    <row r="307" spans="1:50" x14ac:dyDescent="0.2">
      <c r="A307">
        <v>70</v>
      </c>
      <c r="B307">
        <v>1</v>
      </c>
      <c r="D307">
        <v>16</v>
      </c>
      <c r="E307" t="s">
        <v>260</v>
      </c>
      <c r="F307" t="s">
        <v>261</v>
      </c>
      <c r="G307">
        <v>0</v>
      </c>
      <c r="H307">
        <v>0</v>
      </c>
      <c r="I307" t="s">
        <v>3</v>
      </c>
      <c r="J307">
        <v>3</v>
      </c>
      <c r="K307">
        <v>0</v>
      </c>
      <c r="L307" t="s">
        <v>3</v>
      </c>
      <c r="M307" t="s">
        <v>3</v>
      </c>
      <c r="N307">
        <v>0</v>
      </c>
      <c r="P307" t="s">
        <v>3</v>
      </c>
    </row>
    <row r="308" spans="1:50" x14ac:dyDescent="0.2">
      <c r="A308">
        <v>70</v>
      </c>
      <c r="B308">
        <v>1</v>
      </c>
      <c r="D308">
        <v>17</v>
      </c>
      <c r="E308" t="s">
        <v>262</v>
      </c>
      <c r="F308" t="s">
        <v>263</v>
      </c>
      <c r="G308">
        <v>1</v>
      </c>
      <c r="H308">
        <v>0</v>
      </c>
      <c r="I308" t="s">
        <v>3</v>
      </c>
      <c r="J308">
        <v>3</v>
      </c>
      <c r="K308">
        <v>0</v>
      </c>
      <c r="L308" t="s">
        <v>3</v>
      </c>
      <c r="M308" t="s">
        <v>3</v>
      </c>
      <c r="N308">
        <v>0</v>
      </c>
      <c r="P308" t="s">
        <v>3</v>
      </c>
    </row>
    <row r="309" spans="1:50" x14ac:dyDescent="0.2">
      <c r="A309">
        <v>70</v>
      </c>
      <c r="B309">
        <v>1</v>
      </c>
      <c r="D309">
        <v>1</v>
      </c>
      <c r="E309" t="s">
        <v>264</v>
      </c>
      <c r="F309" t="s">
        <v>265</v>
      </c>
      <c r="G309">
        <v>0.9</v>
      </c>
      <c r="H309">
        <v>1</v>
      </c>
      <c r="I309" t="s">
        <v>266</v>
      </c>
      <c r="J309">
        <v>0</v>
      </c>
      <c r="K309">
        <v>0</v>
      </c>
      <c r="L309" t="s">
        <v>3</v>
      </c>
      <c r="M309" t="s">
        <v>3</v>
      </c>
      <c r="N309">
        <v>0</v>
      </c>
      <c r="P309" t="s">
        <v>267</v>
      </c>
    </row>
    <row r="310" spans="1:50" x14ac:dyDescent="0.2">
      <c r="A310">
        <v>70</v>
      </c>
      <c r="B310">
        <v>1</v>
      </c>
      <c r="D310">
        <v>2</v>
      </c>
      <c r="E310" t="s">
        <v>268</v>
      </c>
      <c r="F310" t="s">
        <v>269</v>
      </c>
      <c r="G310">
        <v>0.85</v>
      </c>
      <c r="H310">
        <v>1</v>
      </c>
      <c r="I310" t="s">
        <v>270</v>
      </c>
      <c r="J310">
        <v>0</v>
      </c>
      <c r="K310">
        <v>0</v>
      </c>
      <c r="L310" t="s">
        <v>3</v>
      </c>
      <c r="M310" t="s">
        <v>3</v>
      </c>
      <c r="N310">
        <v>0</v>
      </c>
      <c r="P310" t="s">
        <v>271</v>
      </c>
    </row>
    <row r="311" spans="1:50" x14ac:dyDescent="0.2">
      <c r="A311">
        <v>70</v>
      </c>
      <c r="B311">
        <v>1</v>
      </c>
      <c r="D311">
        <v>3</v>
      </c>
      <c r="E311" t="s">
        <v>272</v>
      </c>
      <c r="F311" t="s">
        <v>273</v>
      </c>
      <c r="G311">
        <v>1.03</v>
      </c>
      <c r="H311">
        <v>0</v>
      </c>
      <c r="I311" t="s">
        <v>3</v>
      </c>
      <c r="J311">
        <v>0</v>
      </c>
      <c r="K311">
        <v>0</v>
      </c>
      <c r="L311" t="s">
        <v>3</v>
      </c>
      <c r="M311" t="s">
        <v>3</v>
      </c>
      <c r="N311">
        <v>0</v>
      </c>
      <c r="P311" t="s">
        <v>274</v>
      </c>
    </row>
    <row r="312" spans="1:50" x14ac:dyDescent="0.2">
      <c r="A312">
        <v>70</v>
      </c>
      <c r="B312">
        <v>1</v>
      </c>
      <c r="D312">
        <v>4</v>
      </c>
      <c r="E312" t="s">
        <v>275</v>
      </c>
      <c r="F312" t="s">
        <v>276</v>
      </c>
      <c r="G312">
        <v>1.1499999999999999</v>
      </c>
      <c r="H312">
        <v>0</v>
      </c>
      <c r="I312" t="s">
        <v>3</v>
      </c>
      <c r="J312">
        <v>0</v>
      </c>
      <c r="K312">
        <v>0</v>
      </c>
      <c r="L312" t="s">
        <v>3</v>
      </c>
      <c r="M312" t="s">
        <v>3</v>
      </c>
      <c r="N312">
        <v>0</v>
      </c>
      <c r="P312" t="s">
        <v>277</v>
      </c>
    </row>
    <row r="313" spans="1:50" x14ac:dyDescent="0.2">
      <c r="A313">
        <v>70</v>
      </c>
      <c r="B313">
        <v>1</v>
      </c>
      <c r="D313">
        <v>5</v>
      </c>
      <c r="E313" t="s">
        <v>278</v>
      </c>
      <c r="F313" t="s">
        <v>279</v>
      </c>
      <c r="G313">
        <v>7</v>
      </c>
      <c r="H313">
        <v>0</v>
      </c>
      <c r="I313" t="s">
        <v>3</v>
      </c>
      <c r="J313">
        <v>0</v>
      </c>
      <c r="K313">
        <v>0</v>
      </c>
      <c r="L313" t="s">
        <v>3</v>
      </c>
      <c r="M313" t="s">
        <v>3</v>
      </c>
      <c r="N313">
        <v>0</v>
      </c>
      <c r="P313" t="s">
        <v>3</v>
      </c>
    </row>
    <row r="314" spans="1:50" x14ac:dyDescent="0.2">
      <c r="A314">
        <v>70</v>
      </c>
      <c r="B314">
        <v>1</v>
      </c>
      <c r="D314">
        <v>6</v>
      </c>
      <c r="E314" t="s">
        <v>280</v>
      </c>
      <c r="F314" t="s">
        <v>3</v>
      </c>
      <c r="G314">
        <v>2</v>
      </c>
      <c r="H314">
        <v>0</v>
      </c>
      <c r="I314" t="s">
        <v>3</v>
      </c>
      <c r="J314">
        <v>0</v>
      </c>
      <c r="K314">
        <v>0</v>
      </c>
      <c r="L314" t="s">
        <v>3</v>
      </c>
      <c r="M314" t="s">
        <v>3</v>
      </c>
      <c r="N314">
        <v>0</v>
      </c>
      <c r="P314" t="s">
        <v>3</v>
      </c>
    </row>
    <row r="316" spans="1:50" x14ac:dyDescent="0.2">
      <c r="A316">
        <v>-1</v>
      </c>
    </row>
    <row r="318" spans="1:50" x14ac:dyDescent="0.2">
      <c r="A318" s="4">
        <v>75</v>
      </c>
      <c r="B318" s="4" t="s">
        <v>281</v>
      </c>
      <c r="C318" s="4">
        <v>2026</v>
      </c>
      <c r="D318" s="4">
        <v>2</v>
      </c>
      <c r="E318" s="4">
        <v>0</v>
      </c>
      <c r="F318" s="4">
        <v>1</v>
      </c>
      <c r="G318" s="4">
        <v>0</v>
      </c>
      <c r="H318" s="4">
        <v>1</v>
      </c>
      <c r="I318" s="4">
        <v>0</v>
      </c>
      <c r="J318" s="4">
        <v>1</v>
      </c>
      <c r="K318" s="4">
        <v>0</v>
      </c>
      <c r="L318" s="4">
        <v>0</v>
      </c>
      <c r="M318" s="4">
        <v>0</v>
      </c>
      <c r="N318" s="4">
        <v>94240533</v>
      </c>
      <c r="O318" s="4">
        <v>1</v>
      </c>
    </row>
    <row r="319" spans="1:50" x14ac:dyDescent="0.2">
      <c r="A319" s="6">
        <v>2</v>
      </c>
      <c r="B319" s="6" t="s">
        <v>282</v>
      </c>
      <c r="C319" s="6" t="s">
        <v>283</v>
      </c>
      <c r="D319" s="6">
        <v>0</v>
      </c>
      <c r="E319" s="6">
        <v>0</v>
      </c>
      <c r="F319" s="6">
        <v>0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>
        <v>94240534</v>
      </c>
    </row>
    <row r="320" spans="1:50" x14ac:dyDescent="0.2">
      <c r="A320" s="6">
        <v>1</v>
      </c>
      <c r="B320" s="6" t="s">
        <v>284</v>
      </c>
      <c r="C320" s="6" t="s">
        <v>285</v>
      </c>
      <c r="D320" s="6">
        <v>2026</v>
      </c>
      <c r="E320" s="6">
        <v>6</v>
      </c>
      <c r="F320" s="6">
        <v>1</v>
      </c>
      <c r="G320" s="6">
        <v>1</v>
      </c>
      <c r="H320" s="6">
        <v>0</v>
      </c>
      <c r="I320" s="6">
        <v>2</v>
      </c>
      <c r="J320" s="6">
        <v>1</v>
      </c>
      <c r="K320" s="6">
        <v>1</v>
      </c>
      <c r="L320" s="6">
        <v>1</v>
      </c>
      <c r="M320" s="6">
        <v>1</v>
      </c>
      <c r="N320" s="6">
        <v>1</v>
      </c>
      <c r="O320" s="6">
        <v>1</v>
      </c>
      <c r="P320" s="6">
        <v>1</v>
      </c>
      <c r="Q320" s="6">
        <v>1</v>
      </c>
      <c r="R320" s="6" t="s">
        <v>3</v>
      </c>
      <c r="S320" s="6" t="s">
        <v>3</v>
      </c>
      <c r="T320" s="6" t="s">
        <v>3</v>
      </c>
      <c r="U320" s="6" t="s">
        <v>3</v>
      </c>
      <c r="V320" s="6" t="s">
        <v>3</v>
      </c>
      <c r="W320" s="6" t="s">
        <v>3</v>
      </c>
      <c r="X320" s="6" t="s">
        <v>3</v>
      </c>
      <c r="Y320" s="6" t="s">
        <v>3</v>
      </c>
      <c r="Z320" s="6" t="s">
        <v>3</v>
      </c>
      <c r="AA320" s="6" t="s">
        <v>3</v>
      </c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>
        <v>94240535</v>
      </c>
      <c r="AO320" s="6" t="s">
        <v>286</v>
      </c>
      <c r="AP320" s="6" t="s">
        <v>287</v>
      </c>
      <c r="AQ320" s="6">
        <v>46164</v>
      </c>
      <c r="AR320" s="6">
        <v>417</v>
      </c>
      <c r="AS320" s="6" t="s">
        <v>288</v>
      </c>
      <c r="AT320" s="6" t="s">
        <v>3</v>
      </c>
      <c r="AU320" s="6" t="s">
        <v>287</v>
      </c>
      <c r="AV320" s="6">
        <v>45957</v>
      </c>
      <c r="AW320" s="6">
        <v>23615</v>
      </c>
      <c r="AX320" s="6" t="s">
        <v>289</v>
      </c>
    </row>
    <row r="324" spans="1:5" x14ac:dyDescent="0.2">
      <c r="A324">
        <v>65</v>
      </c>
      <c r="C324">
        <v>1</v>
      </c>
      <c r="D324">
        <v>0</v>
      </c>
      <c r="E324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290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21931</v>
      </c>
      <c r="M1" s="2">
        <v>10</v>
      </c>
      <c r="N1" s="2">
        <v>12</v>
      </c>
      <c r="O1" s="2">
        <v>1</v>
      </c>
      <c r="P1" s="2">
        <v>0</v>
      </c>
      <c r="Q1" s="2">
        <v>4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46161</v>
      </c>
      <c r="CT12" s="8">
        <v>567</v>
      </c>
      <c r="CU12" s="8">
        <v>18</v>
      </c>
      <c r="CV12" s="8" t="s">
        <v>397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94240533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14</v>
      </c>
      <c r="D16" s="9" t="s">
        <v>14</v>
      </c>
      <c r="E16" s="10">
        <f>ROUND((Source!F242)/1000,2)</f>
        <v>450.66</v>
      </c>
      <c r="F16" s="10">
        <f>ROUND((Source!F243)/1000,2)</f>
        <v>14.95</v>
      </c>
      <c r="G16" s="10">
        <f>ROUND((Source!F234)/1000,2)</f>
        <v>0</v>
      </c>
      <c r="H16" s="10">
        <f>ROUND((Source!F244)/1000+(Source!F245)/1000,2)</f>
        <v>0</v>
      </c>
      <c r="I16" s="10">
        <f>E16+F16+G16+H16</f>
        <v>465.61</v>
      </c>
      <c r="J16" s="10">
        <f>ROUND((Source!F240+Source!F239)/1000,2)</f>
        <v>144.93</v>
      </c>
      <c r="K16" s="10">
        <v>399.9</v>
      </c>
      <c r="L16" s="10">
        <v>0</v>
      </c>
      <c r="M16" s="10">
        <v>0</v>
      </c>
      <c r="N16" s="10">
        <f>I16+L16+M16</f>
        <v>465.61</v>
      </c>
      <c r="AI16" s="9">
        <v>0</v>
      </c>
      <c r="AJ16" s="9">
        <v>0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273337.57999999996</v>
      </c>
      <c r="AU16" s="10">
        <v>126967.12</v>
      </c>
      <c r="AV16" s="10">
        <v>0</v>
      </c>
      <c r="AW16" s="10">
        <v>0</v>
      </c>
      <c r="AX16" s="10">
        <v>0</v>
      </c>
      <c r="AY16" s="10">
        <v>1027.3100000000002</v>
      </c>
      <c r="AZ16" s="10">
        <v>1548.2200000000003</v>
      </c>
      <c r="BA16" s="10">
        <v>143386.59</v>
      </c>
      <c r="BB16" s="10">
        <v>450656.02</v>
      </c>
      <c r="BC16" s="10">
        <v>14945.54</v>
      </c>
      <c r="BD16" s="10">
        <v>0</v>
      </c>
      <c r="BE16" s="10">
        <v>0</v>
      </c>
      <c r="BF16" s="10">
        <v>212.83942999999999</v>
      </c>
      <c r="BG16" s="10">
        <v>2.1508750000000001</v>
      </c>
      <c r="BH16" s="10">
        <v>0</v>
      </c>
      <c r="BI16" s="10">
        <v>130932.32</v>
      </c>
      <c r="BJ16" s="10">
        <v>61331.66</v>
      </c>
      <c r="BK16" s="10">
        <v>465601.56</v>
      </c>
    </row>
    <row r="18" spans="1:16" x14ac:dyDescent="0.2">
      <c r="A18" s="2">
        <v>51</v>
      </c>
      <c r="E18" s="2">
        <v>450.66</v>
      </c>
      <c r="F18" s="2">
        <v>14.95</v>
      </c>
      <c r="G18" s="2">
        <v>0</v>
      </c>
      <c r="H18" s="2">
        <v>0</v>
      </c>
      <c r="I18" s="2">
        <v>465.61</v>
      </c>
      <c r="J18" s="2">
        <v>144.93</v>
      </c>
      <c r="K18" s="2">
        <v>399.9</v>
      </c>
      <c r="L18" s="2">
        <v>0</v>
      </c>
      <c r="M18" s="2">
        <v>0</v>
      </c>
      <c r="N18" s="2">
        <v>465.61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273337.57999999996</v>
      </c>
      <c r="G20" s="11" t="s">
        <v>42</v>
      </c>
      <c r="H20" s="11" t="s">
        <v>43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126967.12</v>
      </c>
      <c r="G21" s="11" t="s">
        <v>44</v>
      </c>
      <c r="H21" s="11" t="s">
        <v>45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46</v>
      </c>
      <c r="H22" s="11" t="s">
        <v>47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126967.12</v>
      </c>
      <c r="G23" s="11" t="s">
        <v>48</v>
      </c>
      <c r="H23" s="11" t="s">
        <v>49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126967.12</v>
      </c>
      <c r="G24" s="11" t="s">
        <v>50</v>
      </c>
      <c r="H24" s="11" t="s">
        <v>51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52</v>
      </c>
      <c r="H25" s="11" t="s">
        <v>53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126967.12</v>
      </c>
      <c r="G26" s="11" t="s">
        <v>54</v>
      </c>
      <c r="H26" s="11" t="s">
        <v>55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56</v>
      </c>
      <c r="H27" s="11" t="s">
        <v>57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58</v>
      </c>
      <c r="H28" s="11" t="s">
        <v>59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60</v>
      </c>
      <c r="H29" s="11" t="s">
        <v>61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1027.3100000000002</v>
      </c>
      <c r="G30" s="11" t="s">
        <v>62</v>
      </c>
      <c r="H30" s="11" t="s">
        <v>63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64</v>
      </c>
      <c r="H31" s="11" t="s">
        <v>65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1548.22</v>
      </c>
      <c r="G32" s="11" t="s">
        <v>66</v>
      </c>
      <c r="H32" s="11" t="s">
        <v>67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143386.59</v>
      </c>
      <c r="G33" s="11" t="s">
        <v>68</v>
      </c>
      <c r="H33" s="11" t="s">
        <v>69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70</v>
      </c>
      <c r="H34" s="11" t="s">
        <v>71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450656.02</v>
      </c>
      <c r="G35" s="11" t="s">
        <v>72</v>
      </c>
      <c r="H35" s="11" t="s">
        <v>73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14945.54</v>
      </c>
      <c r="G36" s="11" t="s">
        <v>74</v>
      </c>
      <c r="H36" s="11" t="s">
        <v>75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76</v>
      </c>
      <c r="H37" s="11" t="s">
        <v>77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78</v>
      </c>
      <c r="H38" s="11" t="s">
        <v>79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80</v>
      </c>
      <c r="H39" s="11" t="s">
        <v>81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212.83942999999999</v>
      </c>
      <c r="G40" s="11" t="s">
        <v>82</v>
      </c>
      <c r="H40" s="11" t="s">
        <v>83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2.1508750000000001</v>
      </c>
      <c r="G41" s="11" t="s">
        <v>84</v>
      </c>
      <c r="H41" s="11" t="s">
        <v>85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86</v>
      </c>
      <c r="H42" s="11" t="s">
        <v>87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408.34</v>
      </c>
      <c r="G43" s="11" t="s">
        <v>88</v>
      </c>
      <c r="H43" s="11" t="s">
        <v>89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130932.32</v>
      </c>
      <c r="G44" s="11" t="s">
        <v>90</v>
      </c>
      <c r="H44" s="11" t="s">
        <v>91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61331.66</v>
      </c>
      <c r="G45" s="11" t="s">
        <v>92</v>
      </c>
      <c r="H45" s="11" t="s">
        <v>93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465601.56</v>
      </c>
      <c r="G46" s="11" t="s">
        <v>94</v>
      </c>
      <c r="H46" s="11" t="s">
        <v>95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465601.56</v>
      </c>
      <c r="G47" s="11" t="s">
        <v>209</v>
      </c>
      <c r="H47" s="11" t="s">
        <v>209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102432.34</v>
      </c>
      <c r="G48" s="11" t="s">
        <v>210</v>
      </c>
      <c r="H48" s="11" t="s">
        <v>211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568033.9</v>
      </c>
      <c r="G49" s="11" t="s">
        <v>212</v>
      </c>
      <c r="H49" s="11" t="s">
        <v>213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281</v>
      </c>
      <c r="C54" s="12">
        <v>2026</v>
      </c>
      <c r="D54" s="12">
        <v>2</v>
      </c>
      <c r="E54" s="12">
        <v>0</v>
      </c>
      <c r="F54" s="12">
        <v>1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94240533</v>
      </c>
      <c r="O54" s="12">
        <v>1</v>
      </c>
    </row>
    <row r="55" spans="1:50" x14ac:dyDescent="0.2">
      <c r="A55" s="13">
        <v>2</v>
      </c>
      <c r="B55" s="13" t="s">
        <v>282</v>
      </c>
      <c r="C55" s="13" t="s">
        <v>283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94240534</v>
      </c>
    </row>
    <row r="56" spans="1:50" x14ac:dyDescent="0.2">
      <c r="A56" s="13">
        <v>1</v>
      </c>
      <c r="B56" s="13" t="s">
        <v>284</v>
      </c>
      <c r="C56" s="13" t="s">
        <v>285</v>
      </c>
      <c r="D56" s="13">
        <v>2026</v>
      </c>
      <c r="E56" s="13">
        <v>6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94240535</v>
      </c>
      <c r="AO56" s="13" t="s">
        <v>286</v>
      </c>
      <c r="AP56" s="13" t="s">
        <v>287</v>
      </c>
      <c r="AQ56" s="13">
        <v>46164</v>
      </c>
      <c r="AR56" s="13">
        <v>417</v>
      </c>
      <c r="AS56" s="13" t="s">
        <v>288</v>
      </c>
      <c r="AT56" s="13" t="s">
        <v>3</v>
      </c>
      <c r="AU56" s="13" t="s">
        <v>287</v>
      </c>
      <c r="AV56" s="13">
        <v>45957</v>
      </c>
      <c r="AW56" s="13">
        <v>23615</v>
      </c>
      <c r="AX56" s="13" t="s">
        <v>289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94240533</v>
      </c>
      <c r="C1">
        <v>94242648</v>
      </c>
      <c r="D1">
        <v>37064978</v>
      </c>
      <c r="E1">
        <v>118</v>
      </c>
      <c r="F1">
        <v>1</v>
      </c>
      <c r="G1">
        <v>1</v>
      </c>
      <c r="H1">
        <v>1</v>
      </c>
      <c r="I1" t="s">
        <v>291</v>
      </c>
      <c r="J1" t="s">
        <v>3</v>
      </c>
      <c r="K1" t="s">
        <v>292</v>
      </c>
      <c r="L1">
        <v>1191</v>
      </c>
      <c r="N1">
        <v>1013</v>
      </c>
      <c r="O1" t="s">
        <v>293</v>
      </c>
      <c r="P1" t="s">
        <v>293</v>
      </c>
      <c r="Q1">
        <v>1</v>
      </c>
      <c r="W1">
        <v>0</v>
      </c>
      <c r="X1">
        <v>32079103</v>
      </c>
      <c r="Y1">
        <f>(AT1*ROUND(1.15,7))</f>
        <v>37.639499999999991</v>
      </c>
      <c r="AA1">
        <v>0</v>
      </c>
      <c r="AB1">
        <v>0</v>
      </c>
      <c r="AC1">
        <v>0</v>
      </c>
      <c r="AD1">
        <v>673.79</v>
      </c>
      <c r="AE1">
        <v>0</v>
      </c>
      <c r="AF1">
        <v>0</v>
      </c>
      <c r="AG1">
        <v>0</v>
      </c>
      <c r="AH1">
        <v>673.79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32.729999999999997</v>
      </c>
      <c r="AU1" t="s">
        <v>23</v>
      </c>
      <c r="AV1">
        <v>1</v>
      </c>
      <c r="AW1">
        <v>2</v>
      </c>
      <c r="AX1">
        <v>94242658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22053.146699999998</v>
      </c>
      <c r="BN1">
        <v>32.729999999999997</v>
      </c>
      <c r="BO1">
        <v>0</v>
      </c>
      <c r="BP1">
        <v>1</v>
      </c>
      <c r="BQ1">
        <v>0</v>
      </c>
      <c r="BR1">
        <v>0</v>
      </c>
      <c r="BS1">
        <v>0</v>
      </c>
      <c r="BT1">
        <v>25361.118704999993</v>
      </c>
      <c r="BU1">
        <v>37.639499999999991</v>
      </c>
      <c r="BV1">
        <v>0</v>
      </c>
      <c r="BW1">
        <v>1</v>
      </c>
      <c r="CU1">
        <f>ROUND(AT1*Source!I28*AH1*AL1,2)</f>
        <v>48737.45</v>
      </c>
      <c r="CV1">
        <f>ROUND(Y1*Source!I28,7)</f>
        <v>83.183295000000001</v>
      </c>
      <c r="CW1">
        <v>0</v>
      </c>
      <c r="CX1">
        <f>ROUND(Y1*Source!I28,7)</f>
        <v>83.183295000000001</v>
      </c>
      <c r="CY1">
        <f>AD1</f>
        <v>673.79</v>
      </c>
      <c r="CZ1">
        <f>AH1</f>
        <v>673.79</v>
      </c>
      <c r="DA1">
        <f>AL1</f>
        <v>1</v>
      </c>
      <c r="DB1">
        <f>ROUND((ROUND(AT1*CZ1,2)*ROUND(1.15,7)),6)</f>
        <v>25361.122500000001</v>
      </c>
      <c r="DC1">
        <f>ROUND((ROUND(AT1*AG1,2)*ROUND(1.15,7)),6)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 t="shared" ref="DH1:DH32" si="0">ROUND(ROUND(AG1,2)*CX1,2)</f>
        <v>0</v>
      </c>
      <c r="DI1">
        <f t="shared" ref="DI1:DI32" si="1">ROUND(ROUND(AH1,2)*CX1,2)</f>
        <v>56048.07</v>
      </c>
      <c r="DJ1">
        <f>DI1</f>
        <v>56048.07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94240533</v>
      </c>
      <c r="C2">
        <v>94242648</v>
      </c>
      <c r="D2">
        <v>37064876</v>
      </c>
      <c r="E2">
        <v>118</v>
      </c>
      <c r="F2">
        <v>1</v>
      </c>
      <c r="G2">
        <v>1</v>
      </c>
      <c r="H2">
        <v>1</v>
      </c>
      <c r="I2" t="s">
        <v>294</v>
      </c>
      <c r="J2" t="s">
        <v>3</v>
      </c>
      <c r="K2" t="s">
        <v>295</v>
      </c>
      <c r="L2">
        <v>1191</v>
      </c>
      <c r="N2">
        <v>1013</v>
      </c>
      <c r="O2" t="s">
        <v>293</v>
      </c>
      <c r="P2" t="s">
        <v>293</v>
      </c>
      <c r="Q2">
        <v>1</v>
      </c>
      <c r="W2">
        <v>0</v>
      </c>
      <c r="X2">
        <v>-1417349443</v>
      </c>
      <c r="Y2">
        <f>(AT2*ROUND(1.25,7))</f>
        <v>0.13750000000000001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0.11</v>
      </c>
      <c r="AU2" t="s">
        <v>22</v>
      </c>
      <c r="AV2">
        <v>2</v>
      </c>
      <c r="AW2">
        <v>2</v>
      </c>
      <c r="AX2">
        <v>94242659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0.30387500000000001</v>
      </c>
      <c r="CY2">
        <f>AD2</f>
        <v>0</v>
      </c>
      <c r="CZ2">
        <f>AH2</f>
        <v>0</v>
      </c>
      <c r="DA2">
        <f>AL2</f>
        <v>1</v>
      </c>
      <c r="DB2">
        <f>ROUND((ROUND(AT2*CZ2,2)*ROUND(1.25,7)),6)</f>
        <v>0</v>
      </c>
      <c r="DC2">
        <f>ROUND((ROUND(AT2*AG2,2)*ROUND(1.25,7)),6)</f>
        <v>0</v>
      </c>
      <c r="DD2" t="s">
        <v>3</v>
      </c>
      <c r="DE2" t="s">
        <v>3</v>
      </c>
      <c r="DF2">
        <f>ROUND(ROUND(AE2,2)*CX2,2)</f>
        <v>0</v>
      </c>
      <c r="DG2">
        <f>ROUND(ROUND(AF2,2)*CX2,2)</f>
        <v>0</v>
      </c>
      <c r="DH2">
        <f t="shared" si="0"/>
        <v>0</v>
      </c>
      <c r="DI2">
        <f t="shared" si="1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94240533</v>
      </c>
      <c r="C3">
        <v>94242648</v>
      </c>
      <c r="D3">
        <v>90281901</v>
      </c>
      <c r="E3">
        <v>1</v>
      </c>
      <c r="F3">
        <v>1</v>
      </c>
      <c r="G3">
        <v>1</v>
      </c>
      <c r="H3">
        <v>2</v>
      </c>
      <c r="I3" t="s">
        <v>296</v>
      </c>
      <c r="J3" t="s">
        <v>297</v>
      </c>
      <c r="K3" t="s">
        <v>298</v>
      </c>
      <c r="L3">
        <v>1368</v>
      </c>
      <c r="N3">
        <v>1011</v>
      </c>
      <c r="O3" t="s">
        <v>299</v>
      </c>
      <c r="P3" t="s">
        <v>299</v>
      </c>
      <c r="Q3">
        <v>1</v>
      </c>
      <c r="W3">
        <v>0</v>
      </c>
      <c r="X3">
        <v>-1242511048</v>
      </c>
      <c r="Y3">
        <f>(AT3*ROUND(1.25,7))</f>
        <v>1.2500000000000001E-2</v>
      </c>
      <c r="AA3">
        <v>0</v>
      </c>
      <c r="AB3">
        <v>48.06</v>
      </c>
      <c r="AC3">
        <v>649.24</v>
      </c>
      <c r="AD3">
        <v>0</v>
      </c>
      <c r="AE3">
        <v>0</v>
      </c>
      <c r="AF3">
        <v>30.61</v>
      </c>
      <c r="AG3">
        <v>649.24</v>
      </c>
      <c r="AH3">
        <v>0</v>
      </c>
      <c r="AI3">
        <v>1</v>
      </c>
      <c r="AJ3">
        <v>1.57</v>
      </c>
      <c r="AK3">
        <v>1</v>
      </c>
      <c r="AL3">
        <v>1</v>
      </c>
      <c r="AM3">
        <v>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0.01</v>
      </c>
      <c r="AU3" t="s">
        <v>22</v>
      </c>
      <c r="AV3">
        <v>1</v>
      </c>
      <c r="AW3">
        <v>2</v>
      </c>
      <c r="AX3">
        <v>94242660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0.30609999999999998</v>
      </c>
      <c r="BL3">
        <v>6.4923999999999999</v>
      </c>
      <c r="BM3">
        <v>0</v>
      </c>
      <c r="BN3">
        <v>0</v>
      </c>
      <c r="BO3">
        <v>0.01</v>
      </c>
      <c r="BP3">
        <v>1</v>
      </c>
      <c r="BQ3">
        <v>0</v>
      </c>
      <c r="BR3">
        <v>0.38262499999999999</v>
      </c>
      <c r="BS3">
        <v>8.1155000000000008</v>
      </c>
      <c r="BT3">
        <v>0</v>
      </c>
      <c r="BU3">
        <v>0</v>
      </c>
      <c r="BV3">
        <v>1.2500000000000001E-2</v>
      </c>
      <c r="BW3">
        <v>1</v>
      </c>
      <c r="CV3">
        <v>0</v>
      </c>
      <c r="CW3">
        <f>ROUND(Y3*Source!I28*DO3,7)</f>
        <v>2.7625E-2</v>
      </c>
      <c r="CX3">
        <f>ROUND(Y3*Source!I28,7)</f>
        <v>2.7625E-2</v>
      </c>
      <c r="CY3">
        <f>AB3</f>
        <v>48.06</v>
      </c>
      <c r="CZ3">
        <f>AF3</f>
        <v>30.61</v>
      </c>
      <c r="DA3">
        <f>AJ3</f>
        <v>1.57</v>
      </c>
      <c r="DB3">
        <f>ROUND((ROUND(AT3*CZ3,2)*ROUND(1.25,7)),6)</f>
        <v>0.38750000000000001</v>
      </c>
      <c r="DC3">
        <f>ROUND((ROUND(AT3*AG3,2)*ROUND(1.25,7)),6)</f>
        <v>8.1125000000000007</v>
      </c>
      <c r="DD3" t="s">
        <v>3</v>
      </c>
      <c r="DE3" t="s">
        <v>3</v>
      </c>
      <c r="DF3">
        <f>ROUND(ROUND(AE3,2)*CX3,2)</f>
        <v>0</v>
      </c>
      <c r="DG3">
        <f>ROUND(ROUND(AF3*AJ3,2)*CX3,2)</f>
        <v>1.33</v>
      </c>
      <c r="DH3">
        <f t="shared" si="0"/>
        <v>17.940000000000001</v>
      </c>
      <c r="DI3">
        <f t="shared" si="1"/>
        <v>0</v>
      </c>
      <c r="DJ3">
        <f>DG3+DH3</f>
        <v>19.270000000000003</v>
      </c>
      <c r="DK3">
        <v>0</v>
      </c>
      <c r="DL3" t="s">
        <v>300</v>
      </c>
      <c r="DM3">
        <v>3</v>
      </c>
      <c r="DN3" t="s">
        <v>293</v>
      </c>
      <c r="DO3">
        <v>1</v>
      </c>
    </row>
    <row r="4" spans="1:119" x14ac:dyDescent="0.2">
      <c r="A4">
        <f>ROW(Source!A28)</f>
        <v>28</v>
      </c>
      <c r="B4">
        <v>94240533</v>
      </c>
      <c r="C4">
        <v>94242648</v>
      </c>
      <c r="D4">
        <v>90282618</v>
      </c>
      <c r="E4">
        <v>1</v>
      </c>
      <c r="F4">
        <v>1</v>
      </c>
      <c r="G4">
        <v>1</v>
      </c>
      <c r="H4">
        <v>2</v>
      </c>
      <c r="I4" t="s">
        <v>301</v>
      </c>
      <c r="J4" t="s">
        <v>302</v>
      </c>
      <c r="K4" t="s">
        <v>303</v>
      </c>
      <c r="L4">
        <v>1368</v>
      </c>
      <c r="N4">
        <v>1011</v>
      </c>
      <c r="O4" t="s">
        <v>299</v>
      </c>
      <c r="P4" t="s">
        <v>299</v>
      </c>
      <c r="Q4">
        <v>1</v>
      </c>
      <c r="W4">
        <v>0</v>
      </c>
      <c r="X4">
        <v>-312038840</v>
      </c>
      <c r="Y4">
        <f>(AT4*ROUND(1.25,7))</f>
        <v>0.125</v>
      </c>
      <c r="AA4">
        <v>0</v>
      </c>
      <c r="AB4">
        <v>544.91999999999996</v>
      </c>
      <c r="AC4">
        <v>731.08</v>
      </c>
      <c r="AD4">
        <v>0</v>
      </c>
      <c r="AE4">
        <v>0</v>
      </c>
      <c r="AF4">
        <v>544.91999999999996</v>
      </c>
      <c r="AG4">
        <v>731.08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0.1</v>
      </c>
      <c r="AU4" t="s">
        <v>22</v>
      </c>
      <c r="AV4">
        <v>1</v>
      </c>
      <c r="AW4">
        <v>2</v>
      </c>
      <c r="AX4">
        <v>94242661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54.491999999999997</v>
      </c>
      <c r="BL4">
        <v>73.108000000000004</v>
      </c>
      <c r="BM4">
        <v>0</v>
      </c>
      <c r="BN4">
        <v>0</v>
      </c>
      <c r="BO4">
        <v>0.1</v>
      </c>
      <c r="BP4">
        <v>1</v>
      </c>
      <c r="BQ4">
        <v>0</v>
      </c>
      <c r="BR4">
        <v>68.114999999999995</v>
      </c>
      <c r="BS4">
        <v>91.385000000000005</v>
      </c>
      <c r="BT4">
        <v>0</v>
      </c>
      <c r="BU4">
        <v>0</v>
      </c>
      <c r="BV4">
        <v>0.125</v>
      </c>
      <c r="BW4">
        <v>1</v>
      </c>
      <c r="CV4">
        <v>0</v>
      </c>
      <c r="CW4">
        <f>ROUND(Y4*Source!I28*DO4,7)</f>
        <v>0.27625</v>
      </c>
      <c r="CX4">
        <f>ROUND(Y4*Source!I28,7)</f>
        <v>0.27625</v>
      </c>
      <c r="CY4">
        <f>AB4</f>
        <v>544.91999999999996</v>
      </c>
      <c r="CZ4">
        <f>AF4</f>
        <v>544.91999999999996</v>
      </c>
      <c r="DA4">
        <f>AJ4</f>
        <v>1</v>
      </c>
      <c r="DB4">
        <f>ROUND((ROUND(AT4*CZ4,2)*ROUND(1.25,7)),6)</f>
        <v>68.112499999999997</v>
      </c>
      <c r="DC4">
        <f>ROUND((ROUND(AT4*AG4,2)*ROUND(1.25,7)),6)</f>
        <v>91.387500000000003</v>
      </c>
      <c r="DD4" t="s">
        <v>3</v>
      </c>
      <c r="DE4" t="s">
        <v>3</v>
      </c>
      <c r="DF4">
        <f>ROUND(ROUND(AE4,2)*CX4,2)</f>
        <v>0</v>
      </c>
      <c r="DG4">
        <f t="shared" ref="DG4:DG11" si="2">ROUND(ROUND(AF4,2)*CX4,2)</f>
        <v>150.53</v>
      </c>
      <c r="DH4">
        <f t="shared" si="0"/>
        <v>201.96</v>
      </c>
      <c r="DI4">
        <f t="shared" si="1"/>
        <v>0</v>
      </c>
      <c r="DJ4">
        <f>DG4+DH4</f>
        <v>352.49</v>
      </c>
      <c r="DK4">
        <v>1</v>
      </c>
      <c r="DL4" t="s">
        <v>304</v>
      </c>
      <c r="DM4">
        <v>4</v>
      </c>
      <c r="DN4" t="s">
        <v>293</v>
      </c>
      <c r="DO4">
        <v>1</v>
      </c>
    </row>
    <row r="5" spans="1:119" x14ac:dyDescent="0.2">
      <c r="A5">
        <f>ROW(Source!A28)</f>
        <v>28</v>
      </c>
      <c r="B5">
        <v>94240533</v>
      </c>
      <c r="C5">
        <v>94242648</v>
      </c>
      <c r="D5">
        <v>90234112</v>
      </c>
      <c r="E5">
        <v>1</v>
      </c>
      <c r="F5">
        <v>1</v>
      </c>
      <c r="G5">
        <v>1</v>
      </c>
      <c r="H5">
        <v>3</v>
      </c>
      <c r="I5" t="s">
        <v>305</v>
      </c>
      <c r="J5" t="s">
        <v>306</v>
      </c>
      <c r="K5" t="s">
        <v>307</v>
      </c>
      <c r="L5">
        <v>1327</v>
      </c>
      <c r="N5">
        <v>1005</v>
      </c>
      <c r="O5" t="s">
        <v>130</v>
      </c>
      <c r="P5" t="s">
        <v>130</v>
      </c>
      <c r="Q5">
        <v>1</v>
      </c>
      <c r="W5">
        <v>0</v>
      </c>
      <c r="X5">
        <v>-1743799079</v>
      </c>
      <c r="Y5">
        <f>AT5</f>
        <v>0.84</v>
      </c>
      <c r="AA5">
        <v>717.44</v>
      </c>
      <c r="AB5">
        <v>0</v>
      </c>
      <c r="AC5">
        <v>0</v>
      </c>
      <c r="AD5">
        <v>0</v>
      </c>
      <c r="AE5">
        <v>531.44000000000005</v>
      </c>
      <c r="AF5">
        <v>0</v>
      </c>
      <c r="AG5">
        <v>0</v>
      </c>
      <c r="AH5">
        <v>0</v>
      </c>
      <c r="AI5">
        <v>1.35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0.84</v>
      </c>
      <c r="AU5" t="s">
        <v>3</v>
      </c>
      <c r="AV5">
        <v>0</v>
      </c>
      <c r="AW5">
        <v>2</v>
      </c>
      <c r="AX5">
        <v>94242662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446.40960000000001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446.40960000000001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v>0</v>
      </c>
      <c r="CX5">
        <f>ROUND(Y5*Source!I28,7)</f>
        <v>1.8564000000000001</v>
      </c>
      <c r="CY5">
        <f>AA5</f>
        <v>717.44</v>
      </c>
      <c r="CZ5">
        <f>AE5</f>
        <v>531.44000000000005</v>
      </c>
      <c r="DA5">
        <f>AI5</f>
        <v>1.35</v>
      </c>
      <c r="DB5">
        <f>ROUND(ROUND(AT5*CZ5,2),6)</f>
        <v>446.41</v>
      </c>
      <c r="DC5">
        <f>ROUND(ROUND(AT5*AG5,2),6)</f>
        <v>0</v>
      </c>
      <c r="DD5" t="s">
        <v>3</v>
      </c>
      <c r="DE5" t="s">
        <v>3</v>
      </c>
      <c r="DF5">
        <f>ROUND(ROUND(AE5*AI5,2)*CX5,2)</f>
        <v>1331.86</v>
      </c>
      <c r="DG5">
        <f t="shared" si="2"/>
        <v>0</v>
      </c>
      <c r="DH5">
        <f t="shared" si="0"/>
        <v>0</v>
      </c>
      <c r="DI5">
        <f t="shared" si="1"/>
        <v>0</v>
      </c>
      <c r="DJ5">
        <f>DF5</f>
        <v>1331.86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ROW(Source!A28)</f>
        <v>28</v>
      </c>
      <c r="B6">
        <v>94240533</v>
      </c>
      <c r="C6">
        <v>94242648</v>
      </c>
      <c r="D6">
        <v>90234471</v>
      </c>
      <c r="E6">
        <v>1</v>
      </c>
      <c r="F6">
        <v>1</v>
      </c>
      <c r="G6">
        <v>1</v>
      </c>
      <c r="H6">
        <v>3</v>
      </c>
      <c r="I6" t="s">
        <v>308</v>
      </c>
      <c r="J6" t="s">
        <v>309</v>
      </c>
      <c r="K6" t="s">
        <v>310</v>
      </c>
      <c r="L6">
        <v>1346</v>
      </c>
      <c r="N6">
        <v>1009</v>
      </c>
      <c r="O6" t="s">
        <v>40</v>
      </c>
      <c r="P6" t="s">
        <v>40</v>
      </c>
      <c r="Q6">
        <v>1</v>
      </c>
      <c r="W6">
        <v>0</v>
      </c>
      <c r="X6">
        <v>651944166</v>
      </c>
      <c r="Y6">
        <f>AT6</f>
        <v>0.31</v>
      </c>
      <c r="AA6">
        <v>89.78</v>
      </c>
      <c r="AB6">
        <v>0</v>
      </c>
      <c r="AC6">
        <v>0</v>
      </c>
      <c r="AD6">
        <v>0</v>
      </c>
      <c r="AE6">
        <v>56.11</v>
      </c>
      <c r="AF6">
        <v>0</v>
      </c>
      <c r="AG6">
        <v>0</v>
      </c>
      <c r="AH6">
        <v>0</v>
      </c>
      <c r="AI6">
        <v>1.6</v>
      </c>
      <c r="AJ6">
        <v>1</v>
      </c>
      <c r="AK6">
        <v>1</v>
      </c>
      <c r="AL6">
        <v>1</v>
      </c>
      <c r="AM6">
        <v>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0.31</v>
      </c>
      <c r="AU6" t="s">
        <v>3</v>
      </c>
      <c r="AV6">
        <v>0</v>
      </c>
      <c r="AW6">
        <v>2</v>
      </c>
      <c r="AX6">
        <v>94242663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17.394099999999998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17.394099999999998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CV6">
        <v>0</v>
      </c>
      <c r="CW6">
        <v>0</v>
      </c>
      <c r="CX6">
        <f>ROUND(Y6*Source!I28,7)</f>
        <v>0.68510000000000004</v>
      </c>
      <c r="CY6">
        <f>AA6</f>
        <v>89.78</v>
      </c>
      <c r="CZ6">
        <f>AE6</f>
        <v>56.11</v>
      </c>
      <c r="DA6">
        <f>AI6</f>
        <v>1.6</v>
      </c>
      <c r="DB6">
        <f>ROUND(ROUND(AT6*CZ6,2),6)</f>
        <v>17.39</v>
      </c>
      <c r="DC6">
        <f>ROUND(ROUND(AT6*AG6,2),6)</f>
        <v>0</v>
      </c>
      <c r="DD6" t="s">
        <v>3</v>
      </c>
      <c r="DE6" t="s">
        <v>3</v>
      </c>
      <c r="DF6">
        <f>ROUND(ROUND(AE6*AI6,2)*CX6,2)</f>
        <v>61.51</v>
      </c>
      <c r="DG6">
        <f t="shared" si="2"/>
        <v>0</v>
      </c>
      <c r="DH6">
        <f t="shared" si="0"/>
        <v>0</v>
      </c>
      <c r="DI6">
        <f t="shared" si="1"/>
        <v>0</v>
      </c>
      <c r="DJ6">
        <f>DF6</f>
        <v>61.51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ROW(Source!A28)</f>
        <v>28</v>
      </c>
      <c r="B7">
        <v>94240533</v>
      </c>
      <c r="C7">
        <v>94242648</v>
      </c>
      <c r="D7">
        <v>90250719</v>
      </c>
      <c r="E7">
        <v>1</v>
      </c>
      <c r="F7">
        <v>1</v>
      </c>
      <c r="G7">
        <v>1</v>
      </c>
      <c r="H7">
        <v>3</v>
      </c>
      <c r="I7" t="s">
        <v>33</v>
      </c>
      <c r="J7" t="s">
        <v>36</v>
      </c>
      <c r="K7" t="s">
        <v>34</v>
      </c>
      <c r="L7">
        <v>1348</v>
      </c>
      <c r="N7">
        <v>1009</v>
      </c>
      <c r="O7" t="s">
        <v>35</v>
      </c>
      <c r="P7" t="s">
        <v>35</v>
      </c>
      <c r="Q7">
        <v>1000</v>
      </c>
      <c r="W7">
        <v>0</v>
      </c>
      <c r="X7">
        <v>88817008</v>
      </c>
      <c r="Y7">
        <f>AT7</f>
        <v>0.03</v>
      </c>
      <c r="AA7">
        <v>153414.73000000001</v>
      </c>
      <c r="AB7">
        <v>0</v>
      </c>
      <c r="AC7">
        <v>0</v>
      </c>
      <c r="AD7">
        <v>0</v>
      </c>
      <c r="AE7">
        <v>87665.56</v>
      </c>
      <c r="AF7">
        <v>0</v>
      </c>
      <c r="AG7">
        <v>0</v>
      </c>
      <c r="AH7">
        <v>0</v>
      </c>
      <c r="AI7">
        <v>1.75</v>
      </c>
      <c r="AJ7">
        <v>1</v>
      </c>
      <c r="AK7">
        <v>1</v>
      </c>
      <c r="AL7">
        <v>1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 t="s">
        <v>3</v>
      </c>
      <c r="AT7">
        <v>0.03</v>
      </c>
      <c r="AU7" t="s">
        <v>3</v>
      </c>
      <c r="AV7">
        <v>0</v>
      </c>
      <c r="AW7">
        <v>1</v>
      </c>
      <c r="AX7">
        <v>-1</v>
      </c>
      <c r="AY7">
        <v>0</v>
      </c>
      <c r="AZ7">
        <v>0</v>
      </c>
      <c r="BA7" t="s">
        <v>3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ROUND(Y7*Source!I28,7)</f>
        <v>6.6299999999999998E-2</v>
      </c>
      <c r="CY7">
        <f>AA7</f>
        <v>153414.73000000001</v>
      </c>
      <c r="CZ7">
        <f>AE7</f>
        <v>87665.56</v>
      </c>
      <c r="DA7">
        <f>AI7</f>
        <v>1.75</v>
      </c>
      <c r="DB7">
        <f>ROUND(ROUND(AT7*CZ7,2),6)</f>
        <v>2629.97</v>
      </c>
      <c r="DC7">
        <f>ROUND(ROUND(AT7*AG7,2),6)</f>
        <v>0</v>
      </c>
      <c r="DD7" t="s">
        <v>3</v>
      </c>
      <c r="DE7" t="s">
        <v>3</v>
      </c>
      <c r="DF7">
        <f>ROUND(ROUND(AE7*AI7,2)*CX7,2)</f>
        <v>10171.4</v>
      </c>
      <c r="DG7">
        <f t="shared" si="2"/>
        <v>0</v>
      </c>
      <c r="DH7">
        <f t="shared" si="0"/>
        <v>0</v>
      </c>
      <c r="DI7">
        <f t="shared" si="1"/>
        <v>0</v>
      </c>
      <c r="DJ7">
        <f>DF7</f>
        <v>10171.4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ROW(Source!A28)</f>
        <v>28</v>
      </c>
      <c r="B8">
        <v>94240533</v>
      </c>
      <c r="C8">
        <v>94242648</v>
      </c>
      <c r="D8">
        <v>90250749</v>
      </c>
      <c r="E8">
        <v>1</v>
      </c>
      <c r="F8">
        <v>1</v>
      </c>
      <c r="G8">
        <v>1</v>
      </c>
      <c r="H8">
        <v>3</v>
      </c>
      <c r="I8" t="s">
        <v>38</v>
      </c>
      <c r="J8" t="s">
        <v>41</v>
      </c>
      <c r="K8" t="s">
        <v>39</v>
      </c>
      <c r="L8">
        <v>1346</v>
      </c>
      <c r="N8">
        <v>1009</v>
      </c>
      <c r="O8" t="s">
        <v>40</v>
      </c>
      <c r="P8" t="s">
        <v>40</v>
      </c>
      <c r="Q8">
        <v>1</v>
      </c>
      <c r="W8">
        <v>0</v>
      </c>
      <c r="X8">
        <v>1546742732</v>
      </c>
      <c r="Y8">
        <f>AT8</f>
        <v>20</v>
      </c>
      <c r="AA8">
        <v>105.17</v>
      </c>
      <c r="AB8">
        <v>0</v>
      </c>
      <c r="AC8">
        <v>0</v>
      </c>
      <c r="AD8">
        <v>0</v>
      </c>
      <c r="AE8">
        <v>68.290000000000006</v>
      </c>
      <c r="AF8">
        <v>0</v>
      </c>
      <c r="AG8">
        <v>0</v>
      </c>
      <c r="AH8">
        <v>0</v>
      </c>
      <c r="AI8">
        <v>1.54</v>
      </c>
      <c r="AJ8">
        <v>1</v>
      </c>
      <c r="AK8">
        <v>1</v>
      </c>
      <c r="AL8">
        <v>1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 t="s">
        <v>3</v>
      </c>
      <c r="AT8">
        <v>20</v>
      </c>
      <c r="AU8" t="s">
        <v>3</v>
      </c>
      <c r="AV8">
        <v>0</v>
      </c>
      <c r="AW8">
        <v>1</v>
      </c>
      <c r="AX8">
        <v>-1</v>
      </c>
      <c r="AY8">
        <v>0</v>
      </c>
      <c r="AZ8">
        <v>0</v>
      </c>
      <c r="BA8" t="s">
        <v>3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v>0</v>
      </c>
      <c r="CX8">
        <f>ROUND(Y8*Source!I28,7)</f>
        <v>44.2</v>
      </c>
      <c r="CY8">
        <f>AA8</f>
        <v>105.17</v>
      </c>
      <c r="CZ8">
        <f>AE8</f>
        <v>68.290000000000006</v>
      </c>
      <c r="DA8">
        <f>AI8</f>
        <v>1.54</v>
      </c>
      <c r="DB8">
        <f>ROUND(ROUND(AT8*CZ8,2),6)</f>
        <v>1365.8</v>
      </c>
      <c r="DC8">
        <f>ROUND(ROUND(AT8*AG8,2),6)</f>
        <v>0</v>
      </c>
      <c r="DD8" t="s">
        <v>3</v>
      </c>
      <c r="DE8" t="s">
        <v>3</v>
      </c>
      <c r="DF8">
        <f>ROUND(ROUND(AE8*AI8,2)*CX8,2)</f>
        <v>4648.51</v>
      </c>
      <c r="DG8">
        <f t="shared" si="2"/>
        <v>0</v>
      </c>
      <c r="DH8">
        <f t="shared" si="0"/>
        <v>0</v>
      </c>
      <c r="DI8">
        <f t="shared" si="1"/>
        <v>0</v>
      </c>
      <c r="DJ8">
        <f>DF8</f>
        <v>4648.51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ROW(Source!A28)</f>
        <v>28</v>
      </c>
      <c r="B9">
        <v>94240533</v>
      </c>
      <c r="C9">
        <v>94242648</v>
      </c>
      <c r="D9">
        <v>90251265</v>
      </c>
      <c r="E9">
        <v>1</v>
      </c>
      <c r="F9">
        <v>1</v>
      </c>
      <c r="G9">
        <v>1</v>
      </c>
      <c r="H9">
        <v>3</v>
      </c>
      <c r="I9" t="s">
        <v>311</v>
      </c>
      <c r="J9" t="s">
        <v>312</v>
      </c>
      <c r="K9" t="s">
        <v>313</v>
      </c>
      <c r="L9">
        <v>1348</v>
      </c>
      <c r="N9">
        <v>1009</v>
      </c>
      <c r="O9" t="s">
        <v>35</v>
      </c>
      <c r="P9" t="s">
        <v>35</v>
      </c>
      <c r="Q9">
        <v>1000</v>
      </c>
      <c r="W9">
        <v>0</v>
      </c>
      <c r="X9">
        <v>-168462489</v>
      </c>
      <c r="Y9">
        <f>AT9</f>
        <v>5.0000000000000001E-3</v>
      </c>
      <c r="AA9">
        <v>76018.080000000002</v>
      </c>
      <c r="AB9">
        <v>0</v>
      </c>
      <c r="AC9">
        <v>0</v>
      </c>
      <c r="AD9">
        <v>0</v>
      </c>
      <c r="AE9">
        <v>52790.33</v>
      </c>
      <c r="AF9">
        <v>0</v>
      </c>
      <c r="AG9">
        <v>0</v>
      </c>
      <c r="AH9">
        <v>0</v>
      </c>
      <c r="AI9">
        <v>1.44</v>
      </c>
      <c r="AJ9">
        <v>1</v>
      </c>
      <c r="AK9">
        <v>1</v>
      </c>
      <c r="AL9">
        <v>1</v>
      </c>
      <c r="AM9">
        <v>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5.0000000000000001E-3</v>
      </c>
      <c r="AU9" t="s">
        <v>3</v>
      </c>
      <c r="AV9">
        <v>0</v>
      </c>
      <c r="AW9">
        <v>2</v>
      </c>
      <c r="AX9">
        <v>94242666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263.95165000000003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263.95165000000003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v>0</v>
      </c>
      <c r="CX9">
        <f>ROUND(Y9*Source!I28,7)</f>
        <v>1.1050000000000001E-2</v>
      </c>
      <c r="CY9">
        <f>AA9</f>
        <v>76018.080000000002</v>
      </c>
      <c r="CZ9">
        <f>AE9</f>
        <v>52790.33</v>
      </c>
      <c r="DA9">
        <f>AI9</f>
        <v>1.44</v>
      </c>
      <c r="DB9">
        <f>ROUND(ROUND(AT9*CZ9,2),6)</f>
        <v>263.95</v>
      </c>
      <c r="DC9">
        <f>ROUND(ROUND(AT9*AG9,2),6)</f>
        <v>0</v>
      </c>
      <c r="DD9" t="s">
        <v>3</v>
      </c>
      <c r="DE9" t="s">
        <v>3</v>
      </c>
      <c r="DF9">
        <f>ROUND(ROUND(AE9*AI9,2)*CX9,2)</f>
        <v>840</v>
      </c>
      <c r="DG9">
        <f t="shared" si="2"/>
        <v>0</v>
      </c>
      <c r="DH9">
        <f t="shared" si="0"/>
        <v>0</v>
      </c>
      <c r="DI9">
        <f t="shared" si="1"/>
        <v>0</v>
      </c>
      <c r="DJ9">
        <f>DF9</f>
        <v>840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ROW(Source!A70)</f>
        <v>70</v>
      </c>
      <c r="B10">
        <v>94240533</v>
      </c>
      <c r="C10">
        <v>94242627</v>
      </c>
      <c r="D10">
        <v>37064978</v>
      </c>
      <c r="E10">
        <v>118</v>
      </c>
      <c r="F10">
        <v>1</v>
      </c>
      <c r="G10">
        <v>1</v>
      </c>
      <c r="H10">
        <v>1</v>
      </c>
      <c r="I10" t="s">
        <v>291</v>
      </c>
      <c r="J10" t="s">
        <v>3</v>
      </c>
      <c r="K10" t="s">
        <v>292</v>
      </c>
      <c r="L10">
        <v>1191</v>
      </c>
      <c r="N10">
        <v>1013</v>
      </c>
      <c r="O10" t="s">
        <v>293</v>
      </c>
      <c r="P10" t="s">
        <v>293</v>
      </c>
      <c r="Q10">
        <v>1</v>
      </c>
      <c r="W10">
        <v>0</v>
      </c>
      <c r="X10">
        <v>32079103</v>
      </c>
      <c r="Y10">
        <f>(AT10*ROUND(1.15,7))</f>
        <v>37.639499999999991</v>
      </c>
      <c r="AA10">
        <v>0</v>
      </c>
      <c r="AB10">
        <v>0</v>
      </c>
      <c r="AC10">
        <v>0</v>
      </c>
      <c r="AD10">
        <v>673.79</v>
      </c>
      <c r="AE10">
        <v>0</v>
      </c>
      <c r="AF10">
        <v>0</v>
      </c>
      <c r="AG10">
        <v>0</v>
      </c>
      <c r="AH10">
        <v>673.79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32.729999999999997</v>
      </c>
      <c r="AU10" t="s">
        <v>23</v>
      </c>
      <c r="AV10">
        <v>1</v>
      </c>
      <c r="AW10">
        <v>2</v>
      </c>
      <c r="AX10">
        <v>94242637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22053.146699999998</v>
      </c>
      <c r="BN10">
        <v>32.729999999999997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25361.118704999993</v>
      </c>
      <c r="BU10">
        <v>37.639499999999991</v>
      </c>
      <c r="BV10">
        <v>0</v>
      </c>
      <c r="BW10">
        <v>1</v>
      </c>
      <c r="CU10">
        <f>ROUND(AT10*Source!I70*AH10*AL10,2)</f>
        <v>15878.27</v>
      </c>
      <c r="CV10">
        <f>ROUND(Y10*Source!I70,7)</f>
        <v>27.100439999999999</v>
      </c>
      <c r="CW10">
        <v>0</v>
      </c>
      <c r="CX10">
        <f>ROUND(Y10*Source!I70,7)</f>
        <v>27.100439999999999</v>
      </c>
      <c r="CY10">
        <f>AD10</f>
        <v>673.79</v>
      </c>
      <c r="CZ10">
        <f>AH10</f>
        <v>673.79</v>
      </c>
      <c r="DA10">
        <f>AL10</f>
        <v>1</v>
      </c>
      <c r="DB10">
        <f>ROUND((ROUND(AT10*CZ10,2)*ROUND(1.15,7)),6)</f>
        <v>25361.122500000001</v>
      </c>
      <c r="DC10">
        <f>ROUND((ROUND(AT10*AG10,2)*ROUND(1.15,7)),6)</f>
        <v>0</v>
      </c>
      <c r="DD10" t="s">
        <v>3</v>
      </c>
      <c r="DE10" t="s">
        <v>3</v>
      </c>
      <c r="DF10">
        <f>ROUND(ROUND(AE10,2)*CX10,2)</f>
        <v>0</v>
      </c>
      <c r="DG10">
        <f t="shared" si="2"/>
        <v>0</v>
      </c>
      <c r="DH10">
        <f t="shared" si="0"/>
        <v>0</v>
      </c>
      <c r="DI10">
        <f t="shared" si="1"/>
        <v>18260.009999999998</v>
      </c>
      <c r="DJ10">
        <f>DI10</f>
        <v>18260.009999999998</v>
      </c>
      <c r="DK10">
        <v>1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ROW(Source!A70)</f>
        <v>70</v>
      </c>
      <c r="B11">
        <v>94240533</v>
      </c>
      <c r="C11">
        <v>94242627</v>
      </c>
      <c r="D11">
        <v>37064876</v>
      </c>
      <c r="E11">
        <v>118</v>
      </c>
      <c r="F11">
        <v>1</v>
      </c>
      <c r="G11">
        <v>1</v>
      </c>
      <c r="H11">
        <v>1</v>
      </c>
      <c r="I11" t="s">
        <v>294</v>
      </c>
      <c r="J11" t="s">
        <v>3</v>
      </c>
      <c r="K11" t="s">
        <v>295</v>
      </c>
      <c r="L11">
        <v>1191</v>
      </c>
      <c r="N11">
        <v>1013</v>
      </c>
      <c r="O11" t="s">
        <v>293</v>
      </c>
      <c r="P11" t="s">
        <v>293</v>
      </c>
      <c r="Q11">
        <v>1</v>
      </c>
      <c r="W11">
        <v>0</v>
      </c>
      <c r="X11">
        <v>-1417349443</v>
      </c>
      <c r="Y11">
        <f>(AT11*ROUND(1.25,7))</f>
        <v>0.13750000000000001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0.11</v>
      </c>
      <c r="AU11" t="s">
        <v>22</v>
      </c>
      <c r="AV11">
        <v>2</v>
      </c>
      <c r="AW11">
        <v>2</v>
      </c>
      <c r="AX11">
        <v>94242638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ROUND(Y11*Source!I70,7)</f>
        <v>9.9000000000000005E-2</v>
      </c>
      <c r="CY11">
        <f>AD11</f>
        <v>0</v>
      </c>
      <c r="CZ11">
        <f>AH11</f>
        <v>0</v>
      </c>
      <c r="DA11">
        <f>AL11</f>
        <v>1</v>
      </c>
      <c r="DB11">
        <f>ROUND((ROUND(AT11*CZ11,2)*ROUND(1.25,7)),6)</f>
        <v>0</v>
      </c>
      <c r="DC11">
        <f>ROUND((ROUND(AT11*AG11,2)*ROUND(1.25,7)),6)</f>
        <v>0</v>
      </c>
      <c r="DD11" t="s">
        <v>3</v>
      </c>
      <c r="DE11" t="s">
        <v>3</v>
      </c>
      <c r="DF11">
        <f>ROUND(ROUND(AE11,2)*CX11,2)</f>
        <v>0</v>
      </c>
      <c r="DG11">
        <f t="shared" si="2"/>
        <v>0</v>
      </c>
      <c r="DH11">
        <f t="shared" si="0"/>
        <v>0</v>
      </c>
      <c r="DI11">
        <f t="shared" si="1"/>
        <v>0</v>
      </c>
      <c r="DJ11">
        <f>DI11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ROW(Source!A70)</f>
        <v>70</v>
      </c>
      <c r="B12">
        <v>94240533</v>
      </c>
      <c r="C12">
        <v>94242627</v>
      </c>
      <c r="D12">
        <v>90281901</v>
      </c>
      <c r="E12">
        <v>1</v>
      </c>
      <c r="F12">
        <v>1</v>
      </c>
      <c r="G12">
        <v>1</v>
      </c>
      <c r="H12">
        <v>2</v>
      </c>
      <c r="I12" t="s">
        <v>296</v>
      </c>
      <c r="J12" t="s">
        <v>297</v>
      </c>
      <c r="K12" t="s">
        <v>298</v>
      </c>
      <c r="L12">
        <v>1368</v>
      </c>
      <c r="N12">
        <v>1011</v>
      </c>
      <c r="O12" t="s">
        <v>299</v>
      </c>
      <c r="P12" t="s">
        <v>299</v>
      </c>
      <c r="Q12">
        <v>1</v>
      </c>
      <c r="W12">
        <v>0</v>
      </c>
      <c r="X12">
        <v>-1242511048</v>
      </c>
      <c r="Y12">
        <f>(AT12*ROUND(1.25,7))</f>
        <v>1.2500000000000001E-2</v>
      </c>
      <c r="AA12">
        <v>0</v>
      </c>
      <c r="AB12">
        <v>48.06</v>
      </c>
      <c r="AC12">
        <v>649.24</v>
      </c>
      <c r="AD12">
        <v>0</v>
      </c>
      <c r="AE12">
        <v>0</v>
      </c>
      <c r="AF12">
        <v>30.61</v>
      </c>
      <c r="AG12">
        <v>649.24</v>
      </c>
      <c r="AH12">
        <v>0</v>
      </c>
      <c r="AI12">
        <v>1</v>
      </c>
      <c r="AJ12">
        <v>1.57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0.01</v>
      </c>
      <c r="AU12" t="s">
        <v>22</v>
      </c>
      <c r="AV12">
        <v>1</v>
      </c>
      <c r="AW12">
        <v>2</v>
      </c>
      <c r="AX12">
        <v>94242639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0.30609999999999998</v>
      </c>
      <c r="BL12">
        <v>6.4923999999999999</v>
      </c>
      <c r="BM12">
        <v>0</v>
      </c>
      <c r="BN12">
        <v>0</v>
      </c>
      <c r="BO12">
        <v>0.01</v>
      </c>
      <c r="BP12">
        <v>1</v>
      </c>
      <c r="BQ12">
        <v>0</v>
      </c>
      <c r="BR12">
        <v>0.38262499999999999</v>
      </c>
      <c r="BS12">
        <v>8.1155000000000008</v>
      </c>
      <c r="BT12">
        <v>0</v>
      </c>
      <c r="BU12">
        <v>0</v>
      </c>
      <c r="BV12">
        <v>1.2500000000000001E-2</v>
      </c>
      <c r="BW12">
        <v>1</v>
      </c>
      <c r="CV12">
        <v>0</v>
      </c>
      <c r="CW12">
        <f>ROUND(Y12*Source!I70*DO12,7)</f>
        <v>8.9999999999999993E-3</v>
      </c>
      <c r="CX12">
        <f>ROUND(Y12*Source!I70,7)</f>
        <v>8.9999999999999993E-3</v>
      </c>
      <c r="CY12">
        <f>AB12</f>
        <v>48.06</v>
      </c>
      <c r="CZ12">
        <f>AF12</f>
        <v>30.61</v>
      </c>
      <c r="DA12">
        <f>AJ12</f>
        <v>1.57</v>
      </c>
      <c r="DB12">
        <f>ROUND((ROUND(AT12*CZ12,2)*ROUND(1.25,7)),6)</f>
        <v>0.38750000000000001</v>
      </c>
      <c r="DC12">
        <f>ROUND((ROUND(AT12*AG12,2)*ROUND(1.25,7)),6)</f>
        <v>8.1125000000000007</v>
      </c>
      <c r="DD12" t="s">
        <v>3</v>
      </c>
      <c r="DE12" t="s">
        <v>3</v>
      </c>
      <c r="DF12">
        <f>ROUND(ROUND(AE12,2)*CX12,2)</f>
        <v>0</v>
      </c>
      <c r="DG12">
        <f>ROUND(ROUND(AF12*AJ12,2)*CX12,2)</f>
        <v>0.43</v>
      </c>
      <c r="DH12">
        <f t="shared" si="0"/>
        <v>5.84</v>
      </c>
      <c r="DI12">
        <f t="shared" si="1"/>
        <v>0</v>
      </c>
      <c r="DJ12">
        <f>DG12+DH12</f>
        <v>6.27</v>
      </c>
      <c r="DK12">
        <v>0</v>
      </c>
      <c r="DL12" t="s">
        <v>300</v>
      </c>
      <c r="DM12">
        <v>3</v>
      </c>
      <c r="DN12" t="s">
        <v>293</v>
      </c>
      <c r="DO12">
        <v>1</v>
      </c>
    </row>
    <row r="13" spans="1:119" x14ac:dyDescent="0.2">
      <c r="A13">
        <f>ROW(Source!A70)</f>
        <v>70</v>
      </c>
      <c r="B13">
        <v>94240533</v>
      </c>
      <c r="C13">
        <v>94242627</v>
      </c>
      <c r="D13">
        <v>90282618</v>
      </c>
      <c r="E13">
        <v>1</v>
      </c>
      <c r="F13">
        <v>1</v>
      </c>
      <c r="G13">
        <v>1</v>
      </c>
      <c r="H13">
        <v>2</v>
      </c>
      <c r="I13" t="s">
        <v>301</v>
      </c>
      <c r="J13" t="s">
        <v>302</v>
      </c>
      <c r="K13" t="s">
        <v>303</v>
      </c>
      <c r="L13">
        <v>1368</v>
      </c>
      <c r="N13">
        <v>1011</v>
      </c>
      <c r="O13" t="s">
        <v>299</v>
      </c>
      <c r="P13" t="s">
        <v>299</v>
      </c>
      <c r="Q13">
        <v>1</v>
      </c>
      <c r="W13">
        <v>0</v>
      </c>
      <c r="X13">
        <v>-312038840</v>
      </c>
      <c r="Y13">
        <f>(AT13*ROUND(1.25,7))</f>
        <v>0.125</v>
      </c>
      <c r="AA13">
        <v>0</v>
      </c>
      <c r="AB13">
        <v>544.91999999999996</v>
      </c>
      <c r="AC13">
        <v>731.08</v>
      </c>
      <c r="AD13">
        <v>0</v>
      </c>
      <c r="AE13">
        <v>0</v>
      </c>
      <c r="AF13">
        <v>544.91999999999996</v>
      </c>
      <c r="AG13">
        <v>731.08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0.1</v>
      </c>
      <c r="AU13" t="s">
        <v>22</v>
      </c>
      <c r="AV13">
        <v>1</v>
      </c>
      <c r="AW13">
        <v>2</v>
      </c>
      <c r="AX13">
        <v>94242640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54.491999999999997</v>
      </c>
      <c r="BL13">
        <v>73.108000000000004</v>
      </c>
      <c r="BM13">
        <v>0</v>
      </c>
      <c r="BN13">
        <v>0</v>
      </c>
      <c r="BO13">
        <v>0.1</v>
      </c>
      <c r="BP13">
        <v>1</v>
      </c>
      <c r="BQ13">
        <v>0</v>
      </c>
      <c r="BR13">
        <v>68.114999999999995</v>
      </c>
      <c r="BS13">
        <v>91.385000000000005</v>
      </c>
      <c r="BT13">
        <v>0</v>
      </c>
      <c r="BU13">
        <v>0</v>
      </c>
      <c r="BV13">
        <v>0.125</v>
      </c>
      <c r="BW13">
        <v>1</v>
      </c>
      <c r="CV13">
        <v>0</v>
      </c>
      <c r="CW13">
        <f>ROUND(Y13*Source!I70*DO13,7)</f>
        <v>0.09</v>
      </c>
      <c r="CX13">
        <f>ROUND(Y13*Source!I70,7)</f>
        <v>0.09</v>
      </c>
      <c r="CY13">
        <f>AB13</f>
        <v>544.91999999999996</v>
      </c>
      <c r="CZ13">
        <f>AF13</f>
        <v>544.91999999999996</v>
      </c>
      <c r="DA13">
        <f>AJ13</f>
        <v>1</v>
      </c>
      <c r="DB13">
        <f>ROUND((ROUND(AT13*CZ13,2)*ROUND(1.25,7)),6)</f>
        <v>68.112499999999997</v>
      </c>
      <c r="DC13">
        <f>ROUND((ROUND(AT13*AG13,2)*ROUND(1.25,7)),6)</f>
        <v>91.387500000000003</v>
      </c>
      <c r="DD13" t="s">
        <v>3</v>
      </c>
      <c r="DE13" t="s">
        <v>3</v>
      </c>
      <c r="DF13">
        <f>ROUND(ROUND(AE13,2)*CX13,2)</f>
        <v>0</v>
      </c>
      <c r="DG13">
        <f t="shared" ref="DG13:DG22" si="3">ROUND(ROUND(AF13,2)*CX13,2)</f>
        <v>49.04</v>
      </c>
      <c r="DH13">
        <f t="shared" si="0"/>
        <v>65.8</v>
      </c>
      <c r="DI13">
        <f t="shared" si="1"/>
        <v>0</v>
      </c>
      <c r="DJ13">
        <f>DG13+DH13</f>
        <v>114.84</v>
      </c>
      <c r="DK13">
        <v>1</v>
      </c>
      <c r="DL13" t="s">
        <v>304</v>
      </c>
      <c r="DM13">
        <v>4</v>
      </c>
      <c r="DN13" t="s">
        <v>293</v>
      </c>
      <c r="DO13">
        <v>1</v>
      </c>
    </row>
    <row r="14" spans="1:119" x14ac:dyDescent="0.2">
      <c r="A14">
        <f>ROW(Source!A70)</f>
        <v>70</v>
      </c>
      <c r="B14">
        <v>94240533</v>
      </c>
      <c r="C14">
        <v>94242627</v>
      </c>
      <c r="D14">
        <v>90234112</v>
      </c>
      <c r="E14">
        <v>1</v>
      </c>
      <c r="F14">
        <v>1</v>
      </c>
      <c r="G14">
        <v>1</v>
      </c>
      <c r="H14">
        <v>3</v>
      </c>
      <c r="I14" t="s">
        <v>305</v>
      </c>
      <c r="J14" t="s">
        <v>306</v>
      </c>
      <c r="K14" t="s">
        <v>307</v>
      </c>
      <c r="L14">
        <v>1327</v>
      </c>
      <c r="N14">
        <v>1005</v>
      </c>
      <c r="O14" t="s">
        <v>130</v>
      </c>
      <c r="P14" t="s">
        <v>130</v>
      </c>
      <c r="Q14">
        <v>1</v>
      </c>
      <c r="W14">
        <v>0</v>
      </c>
      <c r="X14">
        <v>-1743799079</v>
      </c>
      <c r="Y14">
        <f t="shared" ref="Y14:Y24" si="4">AT14</f>
        <v>0.84</v>
      </c>
      <c r="AA14">
        <v>717.44</v>
      </c>
      <c r="AB14">
        <v>0</v>
      </c>
      <c r="AC14">
        <v>0</v>
      </c>
      <c r="AD14">
        <v>0</v>
      </c>
      <c r="AE14">
        <v>531.44000000000005</v>
      </c>
      <c r="AF14">
        <v>0</v>
      </c>
      <c r="AG14">
        <v>0</v>
      </c>
      <c r="AH14">
        <v>0</v>
      </c>
      <c r="AI14">
        <v>1.35</v>
      </c>
      <c r="AJ14">
        <v>1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0.84</v>
      </c>
      <c r="AU14" t="s">
        <v>3</v>
      </c>
      <c r="AV14">
        <v>0</v>
      </c>
      <c r="AW14">
        <v>2</v>
      </c>
      <c r="AX14">
        <v>94242641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446.40960000000001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446.40960000000001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v>0</v>
      </c>
      <c r="CX14">
        <f>ROUND(Y14*Source!I70,7)</f>
        <v>0.6048</v>
      </c>
      <c r="CY14">
        <f>AA14</f>
        <v>717.44</v>
      </c>
      <c r="CZ14">
        <f>AE14</f>
        <v>531.44000000000005</v>
      </c>
      <c r="DA14">
        <f>AI14</f>
        <v>1.35</v>
      </c>
      <c r="DB14">
        <f t="shared" ref="DB14:DB24" si="5">ROUND(ROUND(AT14*CZ14,2),6)</f>
        <v>446.41</v>
      </c>
      <c r="DC14">
        <f t="shared" ref="DC14:DC24" si="6">ROUND(ROUND(AT14*AG14,2),6)</f>
        <v>0</v>
      </c>
      <c r="DD14" t="s">
        <v>3</v>
      </c>
      <c r="DE14" t="s">
        <v>3</v>
      </c>
      <c r="DF14">
        <f>ROUND(ROUND(AE14*AI14,2)*CX14,2)</f>
        <v>433.91</v>
      </c>
      <c r="DG14">
        <f t="shared" si="3"/>
        <v>0</v>
      </c>
      <c r="DH14">
        <f t="shared" si="0"/>
        <v>0</v>
      </c>
      <c r="DI14">
        <f t="shared" si="1"/>
        <v>0</v>
      </c>
      <c r="DJ14">
        <f>DF14</f>
        <v>433.91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ROW(Source!A70)</f>
        <v>70</v>
      </c>
      <c r="B15">
        <v>94240533</v>
      </c>
      <c r="C15">
        <v>94242627</v>
      </c>
      <c r="D15">
        <v>90234471</v>
      </c>
      <c r="E15">
        <v>1</v>
      </c>
      <c r="F15">
        <v>1</v>
      </c>
      <c r="G15">
        <v>1</v>
      </c>
      <c r="H15">
        <v>3</v>
      </c>
      <c r="I15" t="s">
        <v>308</v>
      </c>
      <c r="J15" t="s">
        <v>309</v>
      </c>
      <c r="K15" t="s">
        <v>310</v>
      </c>
      <c r="L15">
        <v>1346</v>
      </c>
      <c r="N15">
        <v>1009</v>
      </c>
      <c r="O15" t="s">
        <v>40</v>
      </c>
      <c r="P15" t="s">
        <v>40</v>
      </c>
      <c r="Q15">
        <v>1</v>
      </c>
      <c r="W15">
        <v>0</v>
      </c>
      <c r="X15">
        <v>651944166</v>
      </c>
      <c r="Y15">
        <f t="shared" si="4"/>
        <v>0.31</v>
      </c>
      <c r="AA15">
        <v>89.78</v>
      </c>
      <c r="AB15">
        <v>0</v>
      </c>
      <c r="AC15">
        <v>0</v>
      </c>
      <c r="AD15">
        <v>0</v>
      </c>
      <c r="AE15">
        <v>56.11</v>
      </c>
      <c r="AF15">
        <v>0</v>
      </c>
      <c r="AG15">
        <v>0</v>
      </c>
      <c r="AH15">
        <v>0</v>
      </c>
      <c r="AI15">
        <v>1.6</v>
      </c>
      <c r="AJ15">
        <v>1</v>
      </c>
      <c r="AK15">
        <v>1</v>
      </c>
      <c r="AL15">
        <v>1</v>
      </c>
      <c r="AM15">
        <v>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0.31</v>
      </c>
      <c r="AU15" t="s">
        <v>3</v>
      </c>
      <c r="AV15">
        <v>0</v>
      </c>
      <c r="AW15">
        <v>2</v>
      </c>
      <c r="AX15">
        <v>94242642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17.394099999999998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17.394099999999998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v>0</v>
      </c>
      <c r="CX15">
        <f>ROUND(Y15*Source!I70,7)</f>
        <v>0.22320000000000001</v>
      </c>
      <c r="CY15">
        <f>AA15</f>
        <v>89.78</v>
      </c>
      <c r="CZ15">
        <f>AE15</f>
        <v>56.11</v>
      </c>
      <c r="DA15">
        <f>AI15</f>
        <v>1.6</v>
      </c>
      <c r="DB15">
        <f t="shared" si="5"/>
        <v>17.39</v>
      </c>
      <c r="DC15">
        <f t="shared" si="6"/>
        <v>0</v>
      </c>
      <c r="DD15" t="s">
        <v>3</v>
      </c>
      <c r="DE15" t="s">
        <v>3</v>
      </c>
      <c r="DF15">
        <f>ROUND(ROUND(AE15*AI15,2)*CX15,2)</f>
        <v>20.04</v>
      </c>
      <c r="DG15">
        <f t="shared" si="3"/>
        <v>0</v>
      </c>
      <c r="DH15">
        <f t="shared" si="0"/>
        <v>0</v>
      </c>
      <c r="DI15">
        <f t="shared" si="1"/>
        <v>0</v>
      </c>
      <c r="DJ15">
        <f>DF15</f>
        <v>20.04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ROW(Source!A70)</f>
        <v>70</v>
      </c>
      <c r="B16">
        <v>94240533</v>
      </c>
      <c r="C16">
        <v>94242627</v>
      </c>
      <c r="D16">
        <v>90250719</v>
      </c>
      <c r="E16">
        <v>1</v>
      </c>
      <c r="F16">
        <v>1</v>
      </c>
      <c r="G16">
        <v>1</v>
      </c>
      <c r="H16">
        <v>3</v>
      </c>
      <c r="I16" t="s">
        <v>33</v>
      </c>
      <c r="J16" t="s">
        <v>36</v>
      </c>
      <c r="K16" t="s">
        <v>34</v>
      </c>
      <c r="L16">
        <v>1348</v>
      </c>
      <c r="N16">
        <v>1009</v>
      </c>
      <c r="O16" t="s">
        <v>35</v>
      </c>
      <c r="P16" t="s">
        <v>35</v>
      </c>
      <c r="Q16">
        <v>1000</v>
      </c>
      <c r="W16">
        <v>0</v>
      </c>
      <c r="X16">
        <v>88817008</v>
      </c>
      <c r="Y16">
        <f t="shared" si="4"/>
        <v>0.03</v>
      </c>
      <c r="AA16">
        <v>153414.73000000001</v>
      </c>
      <c r="AB16">
        <v>0</v>
      </c>
      <c r="AC16">
        <v>0</v>
      </c>
      <c r="AD16">
        <v>0</v>
      </c>
      <c r="AE16">
        <v>87665.56</v>
      </c>
      <c r="AF16">
        <v>0</v>
      </c>
      <c r="AG16">
        <v>0</v>
      </c>
      <c r="AH16">
        <v>0</v>
      </c>
      <c r="AI16">
        <v>1.75</v>
      </c>
      <c r="AJ16">
        <v>1</v>
      </c>
      <c r="AK16">
        <v>1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0</v>
      </c>
      <c r="AS16" t="s">
        <v>3</v>
      </c>
      <c r="AT16">
        <v>0.03</v>
      </c>
      <c r="AU16" t="s">
        <v>3</v>
      </c>
      <c r="AV16">
        <v>0</v>
      </c>
      <c r="AW16">
        <v>1</v>
      </c>
      <c r="AX16">
        <v>-1</v>
      </c>
      <c r="AY16">
        <v>0</v>
      </c>
      <c r="AZ16">
        <v>0</v>
      </c>
      <c r="BA16" t="s">
        <v>3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ROUND(Y16*Source!I70,7)</f>
        <v>2.1600000000000001E-2</v>
      </c>
      <c r="CY16">
        <f>AA16</f>
        <v>153414.73000000001</v>
      </c>
      <c r="CZ16">
        <f>AE16</f>
        <v>87665.56</v>
      </c>
      <c r="DA16">
        <f>AI16</f>
        <v>1.75</v>
      </c>
      <c r="DB16">
        <f t="shared" si="5"/>
        <v>2629.97</v>
      </c>
      <c r="DC16">
        <f t="shared" si="6"/>
        <v>0</v>
      </c>
      <c r="DD16" t="s">
        <v>3</v>
      </c>
      <c r="DE16" t="s">
        <v>3</v>
      </c>
      <c r="DF16">
        <f>ROUND(ROUND(AE16*AI16,2)*CX16,2)</f>
        <v>3313.76</v>
      </c>
      <c r="DG16">
        <f t="shared" si="3"/>
        <v>0</v>
      </c>
      <c r="DH16">
        <f t="shared" si="0"/>
        <v>0</v>
      </c>
      <c r="DI16">
        <f t="shared" si="1"/>
        <v>0</v>
      </c>
      <c r="DJ16">
        <f>DF16</f>
        <v>3313.76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ROW(Source!A70)</f>
        <v>70</v>
      </c>
      <c r="B17">
        <v>94240533</v>
      </c>
      <c r="C17">
        <v>94242627</v>
      </c>
      <c r="D17">
        <v>90250749</v>
      </c>
      <c r="E17">
        <v>1</v>
      </c>
      <c r="F17">
        <v>1</v>
      </c>
      <c r="G17">
        <v>1</v>
      </c>
      <c r="H17">
        <v>3</v>
      </c>
      <c r="I17" t="s">
        <v>38</v>
      </c>
      <c r="J17" t="s">
        <v>41</v>
      </c>
      <c r="K17" t="s">
        <v>39</v>
      </c>
      <c r="L17">
        <v>1346</v>
      </c>
      <c r="N17">
        <v>1009</v>
      </c>
      <c r="O17" t="s">
        <v>40</v>
      </c>
      <c r="P17" t="s">
        <v>40</v>
      </c>
      <c r="Q17">
        <v>1</v>
      </c>
      <c r="W17">
        <v>0</v>
      </c>
      <c r="X17">
        <v>1546742732</v>
      </c>
      <c r="Y17">
        <f t="shared" si="4"/>
        <v>20</v>
      </c>
      <c r="AA17">
        <v>105.17</v>
      </c>
      <c r="AB17">
        <v>0</v>
      </c>
      <c r="AC17">
        <v>0</v>
      </c>
      <c r="AD17">
        <v>0</v>
      </c>
      <c r="AE17">
        <v>68.290000000000006</v>
      </c>
      <c r="AF17">
        <v>0</v>
      </c>
      <c r="AG17">
        <v>0</v>
      </c>
      <c r="AH17">
        <v>0</v>
      </c>
      <c r="AI17">
        <v>1.54</v>
      </c>
      <c r="AJ17">
        <v>1</v>
      </c>
      <c r="AK17">
        <v>1</v>
      </c>
      <c r="AL17">
        <v>1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 t="s">
        <v>3</v>
      </c>
      <c r="AT17">
        <v>20</v>
      </c>
      <c r="AU17" t="s">
        <v>3</v>
      </c>
      <c r="AV17">
        <v>0</v>
      </c>
      <c r="AW17">
        <v>1</v>
      </c>
      <c r="AX17">
        <v>-1</v>
      </c>
      <c r="AY17">
        <v>0</v>
      </c>
      <c r="AZ17">
        <v>0</v>
      </c>
      <c r="BA17" t="s">
        <v>3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ROUND(Y17*Source!I70,7)</f>
        <v>14.4</v>
      </c>
      <c r="CY17">
        <f>AA17</f>
        <v>105.17</v>
      </c>
      <c r="CZ17">
        <f>AE17</f>
        <v>68.290000000000006</v>
      </c>
      <c r="DA17">
        <f>AI17</f>
        <v>1.54</v>
      </c>
      <c r="DB17">
        <f t="shared" si="5"/>
        <v>1365.8</v>
      </c>
      <c r="DC17">
        <f t="shared" si="6"/>
        <v>0</v>
      </c>
      <c r="DD17" t="s">
        <v>3</v>
      </c>
      <c r="DE17" t="s">
        <v>3</v>
      </c>
      <c r="DF17">
        <f>ROUND(ROUND(AE17*AI17,2)*CX17,2)</f>
        <v>1514.45</v>
      </c>
      <c r="DG17">
        <f t="shared" si="3"/>
        <v>0</v>
      </c>
      <c r="DH17">
        <f t="shared" si="0"/>
        <v>0</v>
      </c>
      <c r="DI17">
        <f t="shared" si="1"/>
        <v>0</v>
      </c>
      <c r="DJ17">
        <f>DF17</f>
        <v>1514.45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ROW(Source!A70)</f>
        <v>70</v>
      </c>
      <c r="B18">
        <v>94240533</v>
      </c>
      <c r="C18">
        <v>94242627</v>
      </c>
      <c r="D18">
        <v>90251265</v>
      </c>
      <c r="E18">
        <v>1</v>
      </c>
      <c r="F18">
        <v>1</v>
      </c>
      <c r="G18">
        <v>1</v>
      </c>
      <c r="H18">
        <v>3</v>
      </c>
      <c r="I18" t="s">
        <v>311</v>
      </c>
      <c r="J18" t="s">
        <v>312</v>
      </c>
      <c r="K18" t="s">
        <v>313</v>
      </c>
      <c r="L18">
        <v>1348</v>
      </c>
      <c r="N18">
        <v>1009</v>
      </c>
      <c r="O18" t="s">
        <v>35</v>
      </c>
      <c r="P18" t="s">
        <v>35</v>
      </c>
      <c r="Q18">
        <v>1000</v>
      </c>
      <c r="W18">
        <v>0</v>
      </c>
      <c r="X18">
        <v>-168462489</v>
      </c>
      <c r="Y18">
        <f t="shared" si="4"/>
        <v>5.0000000000000001E-3</v>
      </c>
      <c r="AA18">
        <v>76018.080000000002</v>
      </c>
      <c r="AB18">
        <v>0</v>
      </c>
      <c r="AC18">
        <v>0</v>
      </c>
      <c r="AD18">
        <v>0</v>
      </c>
      <c r="AE18">
        <v>52790.33</v>
      </c>
      <c r="AF18">
        <v>0</v>
      </c>
      <c r="AG18">
        <v>0</v>
      </c>
      <c r="AH18">
        <v>0</v>
      </c>
      <c r="AI18">
        <v>1.44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5.0000000000000001E-3</v>
      </c>
      <c r="AU18" t="s">
        <v>3</v>
      </c>
      <c r="AV18">
        <v>0</v>
      </c>
      <c r="AW18">
        <v>2</v>
      </c>
      <c r="AX18">
        <v>94242645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263.95165000000003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263.95165000000003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ROUND(Y18*Source!I70,7)</f>
        <v>3.5999999999999999E-3</v>
      </c>
      <c r="CY18">
        <f>AA18</f>
        <v>76018.080000000002</v>
      </c>
      <c r="CZ18">
        <f>AE18</f>
        <v>52790.33</v>
      </c>
      <c r="DA18">
        <f>AI18</f>
        <v>1.44</v>
      </c>
      <c r="DB18">
        <f t="shared" si="5"/>
        <v>263.95</v>
      </c>
      <c r="DC18">
        <f t="shared" si="6"/>
        <v>0</v>
      </c>
      <c r="DD18" t="s">
        <v>3</v>
      </c>
      <c r="DE18" t="s">
        <v>3</v>
      </c>
      <c r="DF18">
        <f>ROUND(ROUND(AE18*AI18,2)*CX18,2)</f>
        <v>273.67</v>
      </c>
      <c r="DG18">
        <f t="shared" si="3"/>
        <v>0</v>
      </c>
      <c r="DH18">
        <f t="shared" si="0"/>
        <v>0</v>
      </c>
      <c r="DI18">
        <f t="shared" si="1"/>
        <v>0</v>
      </c>
      <c r="DJ18">
        <f>DF18</f>
        <v>273.67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ROW(Source!A73)</f>
        <v>73</v>
      </c>
      <c r="B19">
        <v>94240533</v>
      </c>
      <c r="C19">
        <v>94239714</v>
      </c>
      <c r="D19">
        <v>84342625</v>
      </c>
      <c r="E19">
        <v>116</v>
      </c>
      <c r="F19">
        <v>1</v>
      </c>
      <c r="G19">
        <v>1</v>
      </c>
      <c r="H19">
        <v>1</v>
      </c>
      <c r="I19" t="s">
        <v>314</v>
      </c>
      <c r="J19" t="s">
        <v>3</v>
      </c>
      <c r="K19" t="s">
        <v>315</v>
      </c>
      <c r="L19">
        <v>1191</v>
      </c>
      <c r="N19">
        <v>1013</v>
      </c>
      <c r="O19" t="s">
        <v>293</v>
      </c>
      <c r="P19" t="s">
        <v>293</v>
      </c>
      <c r="Q19">
        <v>1</v>
      </c>
      <c r="W19">
        <v>0</v>
      </c>
      <c r="X19">
        <v>370475345</v>
      </c>
      <c r="Y19">
        <f t="shared" si="4"/>
        <v>3.77</v>
      </c>
      <c r="AA19">
        <v>0</v>
      </c>
      <c r="AB19">
        <v>0</v>
      </c>
      <c r="AC19">
        <v>0</v>
      </c>
      <c r="AD19">
        <v>594.67999999999995</v>
      </c>
      <c r="AE19">
        <v>0</v>
      </c>
      <c r="AF19">
        <v>0</v>
      </c>
      <c r="AG19">
        <v>0</v>
      </c>
      <c r="AH19">
        <v>594.67999999999995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0</v>
      </c>
      <c r="AQ19">
        <v>1</v>
      </c>
      <c r="AR19">
        <v>0</v>
      </c>
      <c r="AS19" t="s">
        <v>3</v>
      </c>
      <c r="AT19">
        <v>3.77</v>
      </c>
      <c r="AU19" t="s">
        <v>3</v>
      </c>
      <c r="AV19">
        <v>1</v>
      </c>
      <c r="AW19">
        <v>2</v>
      </c>
      <c r="AX19">
        <v>94239717</v>
      </c>
      <c r="AY19">
        <v>2</v>
      </c>
      <c r="AZ19">
        <v>131072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2241.9435999999996</v>
      </c>
      <c r="BN19">
        <v>3.77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2241.9435999999996</v>
      </c>
      <c r="BU19">
        <v>3.77</v>
      </c>
      <c r="BV19">
        <v>0</v>
      </c>
      <c r="BW19">
        <v>1</v>
      </c>
      <c r="CU19">
        <f>ROUND(AT19*Source!I73*AH19*AL19,2)</f>
        <v>336.29</v>
      </c>
      <c r="CV19">
        <f>ROUND(Y19*Source!I73,7)</f>
        <v>0.5655</v>
      </c>
      <c r="CW19">
        <v>0</v>
      </c>
      <c r="CX19">
        <f>ROUND(Y19*Source!I73,7)</f>
        <v>0.5655</v>
      </c>
      <c r="CY19">
        <f>AD19</f>
        <v>594.67999999999995</v>
      </c>
      <c r="CZ19">
        <f>AH19</f>
        <v>594.67999999999995</v>
      </c>
      <c r="DA19">
        <f>AL19</f>
        <v>1</v>
      </c>
      <c r="DB19">
        <f t="shared" si="5"/>
        <v>2241.94</v>
      </c>
      <c r="DC19">
        <f t="shared" si="6"/>
        <v>0</v>
      </c>
      <c r="DD19" t="s">
        <v>3</v>
      </c>
      <c r="DE19" t="s">
        <v>3</v>
      </c>
      <c r="DF19">
        <f t="shared" ref="DF19:DF28" si="7">ROUND(ROUND(AE19,2)*CX19,2)</f>
        <v>0</v>
      </c>
      <c r="DG19">
        <f t="shared" si="3"/>
        <v>0</v>
      </c>
      <c r="DH19">
        <f t="shared" si="0"/>
        <v>0</v>
      </c>
      <c r="DI19">
        <f t="shared" si="1"/>
        <v>336.29</v>
      </c>
      <c r="DJ19">
        <f>DI19</f>
        <v>336.29</v>
      </c>
      <c r="DK19">
        <v>1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ROW(Source!A73)</f>
        <v>73</v>
      </c>
      <c r="B20">
        <v>94240533</v>
      </c>
      <c r="C20">
        <v>94239714</v>
      </c>
      <c r="D20">
        <v>84348657</v>
      </c>
      <c r="E20">
        <v>116</v>
      </c>
      <c r="F20">
        <v>1</v>
      </c>
      <c r="G20">
        <v>1</v>
      </c>
      <c r="H20">
        <v>3</v>
      </c>
      <c r="I20" t="s">
        <v>113</v>
      </c>
      <c r="J20" t="s">
        <v>3</v>
      </c>
      <c r="K20" t="s">
        <v>114</v>
      </c>
      <c r="L20">
        <v>1348</v>
      </c>
      <c r="N20">
        <v>1009</v>
      </c>
      <c r="O20" t="s">
        <v>35</v>
      </c>
      <c r="P20" t="s">
        <v>35</v>
      </c>
      <c r="Q20">
        <v>1000</v>
      </c>
      <c r="W20">
        <v>0</v>
      </c>
      <c r="X20">
        <v>2102561428</v>
      </c>
      <c r="Y20">
        <f t="shared" si="4"/>
        <v>0.11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0.11</v>
      </c>
      <c r="AU20" t="s">
        <v>3</v>
      </c>
      <c r="AV20">
        <v>0</v>
      </c>
      <c r="AW20">
        <v>2</v>
      </c>
      <c r="AX20">
        <v>94239718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ROUND(Y20*Source!I73,7)</f>
        <v>1.6500000000000001E-2</v>
      </c>
      <c r="CY20">
        <f>AA20</f>
        <v>0</v>
      </c>
      <c r="CZ20">
        <f>AE20</f>
        <v>0</v>
      </c>
      <c r="DA20">
        <f>AI20</f>
        <v>1</v>
      </c>
      <c r="DB20">
        <f t="shared" si="5"/>
        <v>0</v>
      </c>
      <c r="DC20">
        <f t="shared" si="6"/>
        <v>0</v>
      </c>
      <c r="DD20" t="s">
        <v>3</v>
      </c>
      <c r="DE20" t="s">
        <v>3</v>
      </c>
      <c r="DF20">
        <f t="shared" si="7"/>
        <v>0</v>
      </c>
      <c r="DG20">
        <f t="shared" si="3"/>
        <v>0</v>
      </c>
      <c r="DH20">
        <f t="shared" si="0"/>
        <v>0</v>
      </c>
      <c r="DI20">
        <f t="shared" si="1"/>
        <v>0</v>
      </c>
      <c r="DJ20">
        <f>DF20</f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ROW(Source!A75)</f>
        <v>75</v>
      </c>
      <c r="B21">
        <v>94240533</v>
      </c>
      <c r="C21">
        <v>94239720</v>
      </c>
      <c r="D21">
        <v>84342625</v>
      </c>
      <c r="E21">
        <v>116</v>
      </c>
      <c r="F21">
        <v>1</v>
      </c>
      <c r="G21">
        <v>1</v>
      </c>
      <c r="H21">
        <v>1</v>
      </c>
      <c r="I21" t="s">
        <v>314</v>
      </c>
      <c r="J21" t="s">
        <v>3</v>
      </c>
      <c r="K21" t="s">
        <v>315</v>
      </c>
      <c r="L21">
        <v>1191</v>
      </c>
      <c r="N21">
        <v>1013</v>
      </c>
      <c r="O21" t="s">
        <v>293</v>
      </c>
      <c r="P21" t="s">
        <v>293</v>
      </c>
      <c r="Q21">
        <v>1</v>
      </c>
      <c r="W21">
        <v>0</v>
      </c>
      <c r="X21">
        <v>370475345</v>
      </c>
      <c r="Y21">
        <f t="shared" si="4"/>
        <v>11.39</v>
      </c>
      <c r="AA21">
        <v>0</v>
      </c>
      <c r="AB21">
        <v>0</v>
      </c>
      <c r="AC21">
        <v>0</v>
      </c>
      <c r="AD21">
        <v>594.67999999999995</v>
      </c>
      <c r="AE21">
        <v>0</v>
      </c>
      <c r="AF21">
        <v>0</v>
      </c>
      <c r="AG21">
        <v>0</v>
      </c>
      <c r="AH21">
        <v>594.67999999999995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0</v>
      </c>
      <c r="AQ21">
        <v>1</v>
      </c>
      <c r="AR21">
        <v>0</v>
      </c>
      <c r="AS21" t="s">
        <v>3</v>
      </c>
      <c r="AT21">
        <v>11.39</v>
      </c>
      <c r="AU21" t="s">
        <v>3</v>
      </c>
      <c r="AV21">
        <v>1</v>
      </c>
      <c r="AW21">
        <v>2</v>
      </c>
      <c r="AX21">
        <v>94239725</v>
      </c>
      <c r="AY21">
        <v>2</v>
      </c>
      <c r="AZ21">
        <v>131072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6773.4052000000001</v>
      </c>
      <c r="BN21">
        <v>11.39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6773.4052000000001</v>
      </c>
      <c r="BU21">
        <v>11.39</v>
      </c>
      <c r="BV21">
        <v>0</v>
      </c>
      <c r="BW21">
        <v>1</v>
      </c>
      <c r="CU21">
        <f>ROUND(AT21*Source!I75*AH21*AL21,2)</f>
        <v>1490.15</v>
      </c>
      <c r="CV21">
        <f>ROUND(Y21*Source!I75,7)</f>
        <v>2.5057999999999998</v>
      </c>
      <c r="CW21">
        <v>0</v>
      </c>
      <c r="CX21">
        <f>ROUND(Y21*Source!I75,7)</f>
        <v>2.5057999999999998</v>
      </c>
      <c r="CY21">
        <f>AD21</f>
        <v>594.67999999999995</v>
      </c>
      <c r="CZ21">
        <f>AH21</f>
        <v>594.67999999999995</v>
      </c>
      <c r="DA21">
        <f>AL21</f>
        <v>1</v>
      </c>
      <c r="DB21">
        <f t="shared" si="5"/>
        <v>6773.41</v>
      </c>
      <c r="DC21">
        <f t="shared" si="6"/>
        <v>0</v>
      </c>
      <c r="DD21" t="s">
        <v>3</v>
      </c>
      <c r="DE21" t="s">
        <v>3</v>
      </c>
      <c r="DF21">
        <f t="shared" si="7"/>
        <v>0</v>
      </c>
      <c r="DG21">
        <f t="shared" si="3"/>
        <v>0</v>
      </c>
      <c r="DH21">
        <f t="shared" si="0"/>
        <v>0</v>
      </c>
      <c r="DI21">
        <f t="shared" si="1"/>
        <v>1490.15</v>
      </c>
      <c r="DJ21">
        <f>DI21</f>
        <v>1490.15</v>
      </c>
      <c r="DK21">
        <v>1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ROW(Source!A75)</f>
        <v>75</v>
      </c>
      <c r="B22">
        <v>94240533</v>
      </c>
      <c r="C22">
        <v>94239720</v>
      </c>
      <c r="D22">
        <v>84342860</v>
      </c>
      <c r="E22">
        <v>116</v>
      </c>
      <c r="F22">
        <v>1</v>
      </c>
      <c r="G22">
        <v>1</v>
      </c>
      <c r="H22">
        <v>1</v>
      </c>
      <c r="I22" t="s">
        <v>294</v>
      </c>
      <c r="J22" t="s">
        <v>3</v>
      </c>
      <c r="K22" t="s">
        <v>295</v>
      </c>
      <c r="L22">
        <v>1191</v>
      </c>
      <c r="N22">
        <v>1013</v>
      </c>
      <c r="O22" t="s">
        <v>293</v>
      </c>
      <c r="P22" t="s">
        <v>293</v>
      </c>
      <c r="Q22">
        <v>1</v>
      </c>
      <c r="W22">
        <v>0</v>
      </c>
      <c r="X22">
        <v>-1417349443</v>
      </c>
      <c r="Y22">
        <f t="shared" si="4"/>
        <v>0.13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0</v>
      </c>
      <c r="AQ22">
        <v>1</v>
      </c>
      <c r="AR22">
        <v>0</v>
      </c>
      <c r="AS22" t="s">
        <v>3</v>
      </c>
      <c r="AT22">
        <v>0.13</v>
      </c>
      <c r="AU22" t="s">
        <v>3</v>
      </c>
      <c r="AV22">
        <v>2</v>
      </c>
      <c r="AW22">
        <v>2</v>
      </c>
      <c r="AX22">
        <v>94239726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ROUND(Y22*Source!I75,7)</f>
        <v>2.86E-2</v>
      </c>
      <c r="CY22">
        <f>AD22</f>
        <v>0</v>
      </c>
      <c r="CZ22">
        <f>AH22</f>
        <v>0</v>
      </c>
      <c r="DA22">
        <f>AL22</f>
        <v>1</v>
      </c>
      <c r="DB22">
        <f t="shared" si="5"/>
        <v>0</v>
      </c>
      <c r="DC22">
        <f t="shared" si="6"/>
        <v>0</v>
      </c>
      <c r="DD22" t="s">
        <v>3</v>
      </c>
      <c r="DE22" t="s">
        <v>3</v>
      </c>
      <c r="DF22">
        <f t="shared" si="7"/>
        <v>0</v>
      </c>
      <c r="DG22">
        <f t="shared" si="3"/>
        <v>0</v>
      </c>
      <c r="DH22">
        <f t="shared" si="0"/>
        <v>0</v>
      </c>
      <c r="DI22">
        <f t="shared" si="1"/>
        <v>0</v>
      </c>
      <c r="DJ22">
        <f>DI22</f>
        <v>0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ROW(Source!A75)</f>
        <v>75</v>
      </c>
      <c r="B23">
        <v>94240533</v>
      </c>
      <c r="C23">
        <v>94239720</v>
      </c>
      <c r="D23">
        <v>84464037</v>
      </c>
      <c r="E23">
        <v>1</v>
      </c>
      <c r="F23">
        <v>1</v>
      </c>
      <c r="G23">
        <v>1</v>
      </c>
      <c r="H23">
        <v>2</v>
      </c>
      <c r="I23" t="s">
        <v>316</v>
      </c>
      <c r="J23" t="s">
        <v>317</v>
      </c>
      <c r="K23" t="s">
        <v>318</v>
      </c>
      <c r="L23">
        <v>1368</v>
      </c>
      <c r="N23">
        <v>1011</v>
      </c>
      <c r="O23" t="s">
        <v>299</v>
      </c>
      <c r="P23" t="s">
        <v>299</v>
      </c>
      <c r="Q23">
        <v>1</v>
      </c>
      <c r="W23">
        <v>0</v>
      </c>
      <c r="X23">
        <v>750870934</v>
      </c>
      <c r="Y23">
        <f t="shared" si="4"/>
        <v>0.13</v>
      </c>
      <c r="AA23">
        <v>0</v>
      </c>
      <c r="AB23">
        <v>58.59</v>
      </c>
      <c r="AC23">
        <v>649.24</v>
      </c>
      <c r="AD23">
        <v>0</v>
      </c>
      <c r="AE23">
        <v>0</v>
      </c>
      <c r="AF23">
        <v>37.32</v>
      </c>
      <c r="AG23">
        <v>649.24</v>
      </c>
      <c r="AH23">
        <v>0</v>
      </c>
      <c r="AI23">
        <v>1</v>
      </c>
      <c r="AJ23">
        <v>1.57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0</v>
      </c>
      <c r="AQ23">
        <v>1</v>
      </c>
      <c r="AR23">
        <v>0</v>
      </c>
      <c r="AS23" t="s">
        <v>3</v>
      </c>
      <c r="AT23">
        <v>0.13</v>
      </c>
      <c r="AU23" t="s">
        <v>3</v>
      </c>
      <c r="AV23">
        <v>1</v>
      </c>
      <c r="AW23">
        <v>2</v>
      </c>
      <c r="AX23">
        <v>94239727</v>
      </c>
      <c r="AY23">
        <v>2</v>
      </c>
      <c r="AZ23">
        <v>65536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4.8516000000000004</v>
      </c>
      <c r="BL23">
        <v>84.401200000000003</v>
      </c>
      <c r="BM23">
        <v>0</v>
      </c>
      <c r="BN23">
        <v>0</v>
      </c>
      <c r="BO23">
        <v>0.13</v>
      </c>
      <c r="BP23">
        <v>1</v>
      </c>
      <c r="BQ23">
        <v>0</v>
      </c>
      <c r="BR23">
        <v>4.8516000000000004</v>
      </c>
      <c r="BS23">
        <v>84.401200000000003</v>
      </c>
      <c r="BT23">
        <v>0</v>
      </c>
      <c r="BU23">
        <v>0</v>
      </c>
      <c r="BV23">
        <v>0.13</v>
      </c>
      <c r="BW23">
        <v>1</v>
      </c>
      <c r="CV23">
        <v>0</v>
      </c>
      <c r="CW23">
        <f>ROUND(Y23*Source!I75*DO23,7)</f>
        <v>2.86E-2</v>
      </c>
      <c r="CX23">
        <f>ROUND(Y23*Source!I75,7)</f>
        <v>2.86E-2</v>
      </c>
      <c r="CY23">
        <f>AB23</f>
        <v>58.59</v>
      </c>
      <c r="CZ23">
        <f>AF23</f>
        <v>37.32</v>
      </c>
      <c r="DA23">
        <f>AJ23</f>
        <v>1.57</v>
      </c>
      <c r="DB23">
        <f t="shared" si="5"/>
        <v>4.8499999999999996</v>
      </c>
      <c r="DC23">
        <f t="shared" si="6"/>
        <v>84.4</v>
      </c>
      <c r="DD23" t="s">
        <v>3</v>
      </c>
      <c r="DE23" t="s">
        <v>3</v>
      </c>
      <c r="DF23">
        <f t="shared" si="7"/>
        <v>0</v>
      </c>
      <c r="DG23">
        <f>ROUND(ROUND(AF23*AJ23,2)*CX23,2)</f>
        <v>1.68</v>
      </c>
      <c r="DH23">
        <f t="shared" si="0"/>
        <v>18.57</v>
      </c>
      <c r="DI23">
        <f t="shared" si="1"/>
        <v>0</v>
      </c>
      <c r="DJ23">
        <f>DG23+DH23</f>
        <v>20.25</v>
      </c>
      <c r="DK23">
        <v>0</v>
      </c>
      <c r="DL23" t="s">
        <v>300</v>
      </c>
      <c r="DM23">
        <v>3</v>
      </c>
      <c r="DN23" t="s">
        <v>293</v>
      </c>
      <c r="DO23">
        <v>1</v>
      </c>
    </row>
    <row r="24" spans="1:119" x14ac:dyDescent="0.2">
      <c r="A24">
        <f>ROW(Source!A75)</f>
        <v>75</v>
      </c>
      <c r="B24">
        <v>94240533</v>
      </c>
      <c r="C24">
        <v>94239720</v>
      </c>
      <c r="D24">
        <v>84348657</v>
      </c>
      <c r="E24">
        <v>116</v>
      </c>
      <c r="F24">
        <v>1</v>
      </c>
      <c r="G24">
        <v>1</v>
      </c>
      <c r="H24">
        <v>3</v>
      </c>
      <c r="I24" t="s">
        <v>113</v>
      </c>
      <c r="J24" t="s">
        <v>3</v>
      </c>
      <c r="K24" t="s">
        <v>114</v>
      </c>
      <c r="L24">
        <v>1348</v>
      </c>
      <c r="N24">
        <v>1009</v>
      </c>
      <c r="O24" t="s">
        <v>35</v>
      </c>
      <c r="P24" t="s">
        <v>35</v>
      </c>
      <c r="Q24">
        <v>1000</v>
      </c>
      <c r="W24">
        <v>0</v>
      </c>
      <c r="X24">
        <v>2102561428</v>
      </c>
      <c r="Y24">
        <f t="shared" si="4"/>
        <v>0.47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0</v>
      </c>
      <c r="AQ24">
        <v>0</v>
      </c>
      <c r="AR24">
        <v>0</v>
      </c>
      <c r="AS24" t="s">
        <v>3</v>
      </c>
      <c r="AT24">
        <v>0.47</v>
      </c>
      <c r="AU24" t="s">
        <v>3</v>
      </c>
      <c r="AV24">
        <v>0</v>
      </c>
      <c r="AW24">
        <v>2</v>
      </c>
      <c r="AX24">
        <v>94239728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ROUND(Y24*Source!I75,7)</f>
        <v>0.10340000000000001</v>
      </c>
      <c r="CY24">
        <f>AA24</f>
        <v>0</v>
      </c>
      <c r="CZ24">
        <f>AE24</f>
        <v>0</v>
      </c>
      <c r="DA24">
        <f>AI24</f>
        <v>1</v>
      </c>
      <c r="DB24">
        <f t="shared" si="5"/>
        <v>0</v>
      </c>
      <c r="DC24">
        <f t="shared" si="6"/>
        <v>0</v>
      </c>
      <c r="DD24" t="s">
        <v>3</v>
      </c>
      <c r="DE24" t="s">
        <v>3</v>
      </c>
      <c r="DF24">
        <f t="shared" si="7"/>
        <v>0</v>
      </c>
      <c r="DG24">
        <f t="shared" ref="DG24:DG40" si="8">ROUND(ROUND(AF24,2)*CX24,2)</f>
        <v>0</v>
      </c>
      <c r="DH24">
        <f t="shared" si="0"/>
        <v>0</v>
      </c>
      <c r="DI24">
        <f t="shared" si="1"/>
        <v>0</v>
      </c>
      <c r="DJ24">
        <f>DF24</f>
        <v>0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ROW(Source!A77)</f>
        <v>77</v>
      </c>
      <c r="B25">
        <v>94240533</v>
      </c>
      <c r="C25">
        <v>94242516</v>
      </c>
      <c r="D25">
        <v>37065248</v>
      </c>
      <c r="E25">
        <v>117</v>
      </c>
      <c r="F25">
        <v>1</v>
      </c>
      <c r="G25">
        <v>1</v>
      </c>
      <c r="H25">
        <v>1</v>
      </c>
      <c r="I25" t="s">
        <v>319</v>
      </c>
      <c r="J25" t="s">
        <v>3</v>
      </c>
      <c r="K25" t="s">
        <v>320</v>
      </c>
      <c r="L25">
        <v>1191</v>
      </c>
      <c r="N25">
        <v>1013</v>
      </c>
      <c r="O25" t="s">
        <v>293</v>
      </c>
      <c r="P25" t="s">
        <v>293</v>
      </c>
      <c r="Q25">
        <v>1</v>
      </c>
      <c r="W25">
        <v>0</v>
      </c>
      <c r="X25">
        <v>-1833565283</v>
      </c>
      <c r="Y25">
        <f>(AT25*ROUND(1.15,7))</f>
        <v>25.932499999999997</v>
      </c>
      <c r="AA25">
        <v>0</v>
      </c>
      <c r="AB25">
        <v>0</v>
      </c>
      <c r="AC25">
        <v>0</v>
      </c>
      <c r="AD25">
        <v>649.24</v>
      </c>
      <c r="AE25">
        <v>0</v>
      </c>
      <c r="AF25">
        <v>0</v>
      </c>
      <c r="AG25">
        <v>0</v>
      </c>
      <c r="AH25">
        <v>649.24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22.55</v>
      </c>
      <c r="AU25" t="s">
        <v>23</v>
      </c>
      <c r="AV25">
        <v>1</v>
      </c>
      <c r="AW25">
        <v>2</v>
      </c>
      <c r="AX25">
        <v>94242523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14640.362000000001</v>
      </c>
      <c r="BN25">
        <v>22.55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16836.416299999997</v>
      </c>
      <c r="BU25">
        <v>25.932499999999997</v>
      </c>
      <c r="BV25">
        <v>0</v>
      </c>
      <c r="BW25">
        <v>1</v>
      </c>
      <c r="CU25">
        <f>ROUND(AT25*Source!I77*AH25*AL25,2)</f>
        <v>3220.88</v>
      </c>
      <c r="CV25">
        <f>ROUND(Y25*Source!I77,7)</f>
        <v>5.7051499999999997</v>
      </c>
      <c r="CW25">
        <v>0</v>
      </c>
      <c r="CX25">
        <f>ROUND(Y25*Source!I77,7)</f>
        <v>5.7051499999999997</v>
      </c>
      <c r="CY25">
        <f>AD25</f>
        <v>649.24</v>
      </c>
      <c r="CZ25">
        <f>AH25</f>
        <v>649.24</v>
      </c>
      <c r="DA25">
        <f>AL25</f>
        <v>1</v>
      </c>
      <c r="DB25">
        <f>ROUND((ROUND(AT25*CZ25,2)*ROUND(1.15,7)),6)</f>
        <v>16836.414000000001</v>
      </c>
      <c r="DC25">
        <f>ROUND((ROUND(AT25*AG25,2)*ROUND(1.15,7)),6)</f>
        <v>0</v>
      </c>
      <c r="DD25" t="s">
        <v>3</v>
      </c>
      <c r="DE25" t="s">
        <v>3</v>
      </c>
      <c r="DF25">
        <f t="shared" si="7"/>
        <v>0</v>
      </c>
      <c r="DG25">
        <f t="shared" si="8"/>
        <v>0</v>
      </c>
      <c r="DH25">
        <f t="shared" si="0"/>
        <v>0</v>
      </c>
      <c r="DI25">
        <f t="shared" si="1"/>
        <v>3704.01</v>
      </c>
      <c r="DJ25">
        <f>DI25</f>
        <v>3704.01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ROW(Source!A77)</f>
        <v>77</v>
      </c>
      <c r="B26">
        <v>94240533</v>
      </c>
      <c r="C26">
        <v>94242516</v>
      </c>
      <c r="D26">
        <v>37064876</v>
      </c>
      <c r="E26">
        <v>117</v>
      </c>
      <c r="F26">
        <v>1</v>
      </c>
      <c r="G26">
        <v>1</v>
      </c>
      <c r="H26">
        <v>1</v>
      </c>
      <c r="I26" t="s">
        <v>294</v>
      </c>
      <c r="J26" t="s">
        <v>3</v>
      </c>
      <c r="K26" t="s">
        <v>295</v>
      </c>
      <c r="L26">
        <v>1191</v>
      </c>
      <c r="N26">
        <v>1013</v>
      </c>
      <c r="O26" t="s">
        <v>293</v>
      </c>
      <c r="P26" t="s">
        <v>293</v>
      </c>
      <c r="Q26">
        <v>1</v>
      </c>
      <c r="W26">
        <v>0</v>
      </c>
      <c r="X26">
        <v>-1417349443</v>
      </c>
      <c r="Y26">
        <f>(AT26*ROUND(1.25,7))</f>
        <v>0.125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0.1</v>
      </c>
      <c r="AU26" t="s">
        <v>22</v>
      </c>
      <c r="AV26">
        <v>2</v>
      </c>
      <c r="AW26">
        <v>2</v>
      </c>
      <c r="AX26">
        <v>94242524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ROUND(Y26*Source!I77,7)</f>
        <v>2.75E-2</v>
      </c>
      <c r="CY26">
        <f>AD26</f>
        <v>0</v>
      </c>
      <c r="CZ26">
        <f>AH26</f>
        <v>0</v>
      </c>
      <c r="DA26">
        <f>AL26</f>
        <v>1</v>
      </c>
      <c r="DB26">
        <f>ROUND((ROUND(AT26*CZ26,2)*ROUND(1.25,7)),6)</f>
        <v>0</v>
      </c>
      <c r="DC26">
        <f>ROUND((ROUND(AT26*AG26,2)*ROUND(1.25,7)),6)</f>
        <v>0</v>
      </c>
      <c r="DD26" t="s">
        <v>3</v>
      </c>
      <c r="DE26" t="s">
        <v>3</v>
      </c>
      <c r="DF26">
        <f t="shared" si="7"/>
        <v>0</v>
      </c>
      <c r="DG26">
        <f t="shared" si="8"/>
        <v>0</v>
      </c>
      <c r="DH26">
        <f t="shared" si="0"/>
        <v>0</v>
      </c>
      <c r="DI26">
        <f t="shared" si="1"/>
        <v>0</v>
      </c>
      <c r="DJ26">
        <f>DI26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ROW(Source!A77)</f>
        <v>77</v>
      </c>
      <c r="B27">
        <v>94240533</v>
      </c>
      <c r="C27">
        <v>94242516</v>
      </c>
      <c r="D27">
        <v>87237333</v>
      </c>
      <c r="E27">
        <v>1</v>
      </c>
      <c r="F27">
        <v>1</v>
      </c>
      <c r="G27">
        <v>1</v>
      </c>
      <c r="H27">
        <v>2</v>
      </c>
      <c r="I27" t="s">
        <v>301</v>
      </c>
      <c r="J27" t="s">
        <v>302</v>
      </c>
      <c r="K27" t="s">
        <v>303</v>
      </c>
      <c r="L27">
        <v>1368</v>
      </c>
      <c r="N27">
        <v>1011</v>
      </c>
      <c r="O27" t="s">
        <v>299</v>
      </c>
      <c r="P27" t="s">
        <v>299</v>
      </c>
      <c r="Q27">
        <v>1</v>
      </c>
      <c r="W27">
        <v>0</v>
      </c>
      <c r="X27">
        <v>-849950259</v>
      </c>
      <c r="Y27">
        <f>(AT27*ROUND(1.25,7))</f>
        <v>0.125</v>
      </c>
      <c r="AA27">
        <v>0</v>
      </c>
      <c r="AB27">
        <v>544.91999999999996</v>
      </c>
      <c r="AC27">
        <v>731.08</v>
      </c>
      <c r="AD27">
        <v>0</v>
      </c>
      <c r="AE27">
        <v>0</v>
      </c>
      <c r="AF27">
        <v>544.91999999999996</v>
      </c>
      <c r="AG27">
        <v>731.08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0.1</v>
      </c>
      <c r="AU27" t="s">
        <v>22</v>
      </c>
      <c r="AV27">
        <v>1</v>
      </c>
      <c r="AW27">
        <v>2</v>
      </c>
      <c r="AX27">
        <v>94242525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54.491999999999997</v>
      </c>
      <c r="BL27">
        <v>73.108000000000004</v>
      </c>
      <c r="BM27">
        <v>0</v>
      </c>
      <c r="BN27">
        <v>0</v>
      </c>
      <c r="BO27">
        <v>0.1</v>
      </c>
      <c r="BP27">
        <v>1</v>
      </c>
      <c r="BQ27">
        <v>0</v>
      </c>
      <c r="BR27">
        <v>68.114999999999995</v>
      </c>
      <c r="BS27">
        <v>91.385000000000005</v>
      </c>
      <c r="BT27">
        <v>0</v>
      </c>
      <c r="BU27">
        <v>0</v>
      </c>
      <c r="BV27">
        <v>0.125</v>
      </c>
      <c r="BW27">
        <v>1</v>
      </c>
      <c r="CV27">
        <v>0</v>
      </c>
      <c r="CW27">
        <f>ROUND(Y27*Source!I77*DO27,7)</f>
        <v>2.75E-2</v>
      </c>
      <c r="CX27">
        <f>ROUND(Y27*Source!I77,7)</f>
        <v>2.75E-2</v>
      </c>
      <c r="CY27">
        <f>AB27</f>
        <v>544.91999999999996</v>
      </c>
      <c r="CZ27">
        <f>AF27</f>
        <v>544.91999999999996</v>
      </c>
      <c r="DA27">
        <f>AJ27</f>
        <v>1</v>
      </c>
      <c r="DB27">
        <f>ROUND((ROUND(AT27*CZ27,2)*ROUND(1.25,7)),6)</f>
        <v>68.112499999999997</v>
      </c>
      <c r="DC27">
        <f>ROUND((ROUND(AT27*AG27,2)*ROUND(1.25,7)),6)</f>
        <v>91.387500000000003</v>
      </c>
      <c r="DD27" t="s">
        <v>3</v>
      </c>
      <c r="DE27" t="s">
        <v>3</v>
      </c>
      <c r="DF27">
        <f t="shared" si="7"/>
        <v>0</v>
      </c>
      <c r="DG27">
        <f t="shared" si="8"/>
        <v>14.99</v>
      </c>
      <c r="DH27">
        <f t="shared" si="0"/>
        <v>20.100000000000001</v>
      </c>
      <c r="DI27">
        <f t="shared" si="1"/>
        <v>0</v>
      </c>
      <c r="DJ27">
        <f>DG27+DH27</f>
        <v>35.090000000000003</v>
      </c>
      <c r="DK27">
        <v>1</v>
      </c>
      <c r="DL27" t="s">
        <v>304</v>
      </c>
      <c r="DM27">
        <v>4</v>
      </c>
      <c r="DN27" t="s">
        <v>293</v>
      </c>
      <c r="DO27">
        <v>1</v>
      </c>
    </row>
    <row r="28" spans="1:119" x14ac:dyDescent="0.2">
      <c r="A28">
        <f>ROW(Source!A77)</f>
        <v>77</v>
      </c>
      <c r="B28">
        <v>94240533</v>
      </c>
      <c r="C28">
        <v>94242516</v>
      </c>
      <c r="D28">
        <v>87304103</v>
      </c>
      <c r="E28">
        <v>1</v>
      </c>
      <c r="F28">
        <v>1</v>
      </c>
      <c r="G28">
        <v>1</v>
      </c>
      <c r="H28">
        <v>3</v>
      </c>
      <c r="I28" t="s">
        <v>321</v>
      </c>
      <c r="J28" t="s">
        <v>322</v>
      </c>
      <c r="K28" t="s">
        <v>323</v>
      </c>
      <c r="L28">
        <v>1383</v>
      </c>
      <c r="N28">
        <v>1013</v>
      </c>
      <c r="O28" t="s">
        <v>324</v>
      </c>
      <c r="P28" t="s">
        <v>324</v>
      </c>
      <c r="Q28">
        <v>1</v>
      </c>
      <c r="W28">
        <v>0</v>
      </c>
      <c r="X28">
        <v>1840299850</v>
      </c>
      <c r="Y28">
        <f>AT28</f>
        <v>0.58099999999999996</v>
      </c>
      <c r="AA28">
        <v>6.92</v>
      </c>
      <c r="AB28">
        <v>0</v>
      </c>
      <c r="AC28">
        <v>0</v>
      </c>
      <c r="AD28">
        <v>0</v>
      </c>
      <c r="AE28">
        <v>6.92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0.58099999999999996</v>
      </c>
      <c r="AU28" t="s">
        <v>3</v>
      </c>
      <c r="AV28">
        <v>0</v>
      </c>
      <c r="AW28">
        <v>2</v>
      </c>
      <c r="AX28">
        <v>94242526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4.0205199999999994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4.0205199999999994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CV28">
        <v>0</v>
      </c>
      <c r="CW28">
        <v>0</v>
      </c>
      <c r="CX28">
        <f>ROUND(Y28*Source!I77,7)</f>
        <v>0.12781999999999999</v>
      </c>
      <c r="CY28">
        <f>AA28</f>
        <v>6.92</v>
      </c>
      <c r="CZ28">
        <f>AE28</f>
        <v>6.92</v>
      </c>
      <c r="DA28">
        <f>AI28</f>
        <v>1</v>
      </c>
      <c r="DB28">
        <f>ROUND(ROUND(AT28*CZ28,2),6)</f>
        <v>4.0199999999999996</v>
      </c>
      <c r="DC28">
        <f>ROUND(ROUND(AT28*AG28,2),6)</f>
        <v>0</v>
      </c>
      <c r="DD28" t="s">
        <v>3</v>
      </c>
      <c r="DE28" t="s">
        <v>3</v>
      </c>
      <c r="DF28">
        <f t="shared" si="7"/>
        <v>0.88</v>
      </c>
      <c r="DG28">
        <f t="shared" si="8"/>
        <v>0</v>
      </c>
      <c r="DH28">
        <f t="shared" si="0"/>
        <v>0</v>
      </c>
      <c r="DI28">
        <f t="shared" si="1"/>
        <v>0</v>
      </c>
      <c r="DJ28">
        <f>DF28</f>
        <v>0.88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ROW(Source!A77)</f>
        <v>77</v>
      </c>
      <c r="B29">
        <v>94240533</v>
      </c>
      <c r="C29">
        <v>94242516</v>
      </c>
      <c r="D29">
        <v>87315786</v>
      </c>
      <c r="E29">
        <v>1</v>
      </c>
      <c r="F29">
        <v>1</v>
      </c>
      <c r="G29">
        <v>1</v>
      </c>
      <c r="H29">
        <v>3</v>
      </c>
      <c r="I29" t="s">
        <v>325</v>
      </c>
      <c r="J29" t="s">
        <v>326</v>
      </c>
      <c r="K29" t="s">
        <v>327</v>
      </c>
      <c r="L29">
        <v>1330</v>
      </c>
      <c r="N29">
        <v>1005</v>
      </c>
      <c r="O29" t="s">
        <v>328</v>
      </c>
      <c r="P29" t="s">
        <v>328</v>
      </c>
      <c r="Q29">
        <v>10</v>
      </c>
      <c r="W29">
        <v>0</v>
      </c>
      <c r="X29">
        <v>-679158470</v>
      </c>
      <c r="Y29">
        <f>AT29</f>
        <v>10.5</v>
      </c>
      <c r="AA29">
        <v>157.12</v>
      </c>
      <c r="AB29">
        <v>0</v>
      </c>
      <c r="AC29">
        <v>0</v>
      </c>
      <c r="AD29">
        <v>0</v>
      </c>
      <c r="AE29">
        <v>108.36</v>
      </c>
      <c r="AF29">
        <v>0</v>
      </c>
      <c r="AG29">
        <v>0</v>
      </c>
      <c r="AH29">
        <v>0</v>
      </c>
      <c r="AI29">
        <v>1.45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10.5</v>
      </c>
      <c r="AU29" t="s">
        <v>3</v>
      </c>
      <c r="AV29">
        <v>0</v>
      </c>
      <c r="AW29">
        <v>2</v>
      </c>
      <c r="AX29">
        <v>94242528</v>
      </c>
      <c r="AY29">
        <v>1</v>
      </c>
      <c r="AZ29">
        <v>0</v>
      </c>
      <c r="BA29">
        <v>30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1137.78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1137.78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v>0</v>
      </c>
      <c r="CX29">
        <f>ROUND(Y29*Source!I77,7)</f>
        <v>2.31</v>
      </c>
      <c r="CY29">
        <f>AA29</f>
        <v>157.12</v>
      </c>
      <c r="CZ29">
        <f>AE29</f>
        <v>108.36</v>
      </c>
      <c r="DA29">
        <f>AI29</f>
        <v>1.45</v>
      </c>
      <c r="DB29">
        <f>ROUND(ROUND(AT29*CZ29,2),6)</f>
        <v>1137.78</v>
      </c>
      <c r="DC29">
        <f>ROUND(ROUND(AT29*AG29,2),6)</f>
        <v>0</v>
      </c>
      <c r="DD29" t="s">
        <v>3</v>
      </c>
      <c r="DE29" t="s">
        <v>3</v>
      </c>
      <c r="DF29">
        <f>ROUND(ROUND(AE29*AI29,2)*CX29,2)</f>
        <v>362.95</v>
      </c>
      <c r="DG29">
        <f t="shared" si="8"/>
        <v>0</v>
      </c>
      <c r="DH29">
        <f t="shared" si="0"/>
        <v>0</v>
      </c>
      <c r="DI29">
        <f t="shared" si="1"/>
        <v>0</v>
      </c>
      <c r="DJ29">
        <f>DF29</f>
        <v>362.95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ROW(Source!A77)</f>
        <v>77</v>
      </c>
      <c r="B30">
        <v>94240533</v>
      </c>
      <c r="C30">
        <v>94242516</v>
      </c>
      <c r="D30">
        <v>0</v>
      </c>
      <c r="E30">
        <v>0</v>
      </c>
      <c r="F30">
        <v>1</v>
      </c>
      <c r="G30">
        <v>1</v>
      </c>
      <c r="H30">
        <v>3</v>
      </c>
      <c r="I30" t="s">
        <v>128</v>
      </c>
      <c r="J30" t="s">
        <v>128</v>
      </c>
      <c r="K30" t="s">
        <v>129</v>
      </c>
      <c r="L30">
        <v>1327</v>
      </c>
      <c r="N30">
        <v>1005</v>
      </c>
      <c r="O30" t="s">
        <v>130</v>
      </c>
      <c r="P30" t="s">
        <v>130</v>
      </c>
      <c r="Q30">
        <v>1</v>
      </c>
      <c r="W30">
        <v>0</v>
      </c>
      <c r="X30">
        <v>1559775362</v>
      </c>
      <c r="Y30">
        <f>AT30</f>
        <v>102.6818182</v>
      </c>
      <c r="AA30">
        <v>2213.11</v>
      </c>
      <c r="AB30">
        <v>0</v>
      </c>
      <c r="AC30">
        <v>0</v>
      </c>
      <c r="AD30">
        <v>0</v>
      </c>
      <c r="AE30">
        <v>2213.11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1</v>
      </c>
      <c r="AQ30">
        <v>0</v>
      </c>
      <c r="AR30">
        <v>0</v>
      </c>
      <c r="AS30" t="s">
        <v>3</v>
      </c>
      <c r="AT30">
        <v>102.6818182</v>
      </c>
      <c r="AU30" t="s">
        <v>3</v>
      </c>
      <c r="AV30">
        <v>0</v>
      </c>
      <c r="AW30">
        <v>1</v>
      </c>
      <c r="AX30">
        <v>-1</v>
      </c>
      <c r="AY30">
        <v>0</v>
      </c>
      <c r="AZ30">
        <v>0</v>
      </c>
      <c r="BA30" t="s">
        <v>3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ROUND(Y30*Source!I77,7)</f>
        <v>22.59</v>
      </c>
      <c r="CY30">
        <f>AA30</f>
        <v>2213.11</v>
      </c>
      <c r="CZ30">
        <f>AE30</f>
        <v>2213.11</v>
      </c>
      <c r="DA30">
        <f>AI30</f>
        <v>1</v>
      </c>
      <c r="DB30">
        <f>ROUND(ROUND(AT30*CZ30,2),6)</f>
        <v>227246.16</v>
      </c>
      <c r="DC30">
        <f>ROUND(ROUND(AT30*AG30,2),6)</f>
        <v>0</v>
      </c>
      <c r="DD30" t="s">
        <v>3</v>
      </c>
      <c r="DE30" t="s">
        <v>3</v>
      </c>
      <c r="DF30">
        <f t="shared" ref="DF30:DF45" si="9">ROUND(ROUND(AE30,2)*CX30,2)</f>
        <v>49994.15</v>
      </c>
      <c r="DG30">
        <f t="shared" si="8"/>
        <v>0</v>
      </c>
      <c r="DH30">
        <f t="shared" si="0"/>
        <v>0</v>
      </c>
      <c r="DI30">
        <f t="shared" si="1"/>
        <v>0</v>
      </c>
      <c r="DJ30">
        <f>DF30</f>
        <v>49994.15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ROW(Source!A79)</f>
        <v>79</v>
      </c>
      <c r="B31">
        <v>94240533</v>
      </c>
      <c r="C31">
        <v>94242534</v>
      </c>
      <c r="D31">
        <v>37082223</v>
      </c>
      <c r="E31">
        <v>117</v>
      </c>
      <c r="F31">
        <v>1</v>
      </c>
      <c r="G31">
        <v>1</v>
      </c>
      <c r="H31">
        <v>1</v>
      </c>
      <c r="I31" t="s">
        <v>329</v>
      </c>
      <c r="J31" t="s">
        <v>3</v>
      </c>
      <c r="K31" t="s">
        <v>330</v>
      </c>
      <c r="L31">
        <v>1191</v>
      </c>
      <c r="N31">
        <v>1013</v>
      </c>
      <c r="O31" t="s">
        <v>293</v>
      </c>
      <c r="P31" t="s">
        <v>293</v>
      </c>
      <c r="Q31">
        <v>1</v>
      </c>
      <c r="W31">
        <v>0</v>
      </c>
      <c r="X31">
        <v>174150515</v>
      </c>
      <c r="Y31">
        <f>(AT31*ROUND(1.15,7))</f>
        <v>10.361499999999999</v>
      </c>
      <c r="AA31">
        <v>0</v>
      </c>
      <c r="AB31">
        <v>0</v>
      </c>
      <c r="AC31">
        <v>0</v>
      </c>
      <c r="AD31">
        <v>371.86</v>
      </c>
      <c r="AE31">
        <v>0</v>
      </c>
      <c r="AF31">
        <v>0</v>
      </c>
      <c r="AG31">
        <v>0</v>
      </c>
      <c r="AH31">
        <v>371.86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9.01</v>
      </c>
      <c r="AU31" t="s">
        <v>23</v>
      </c>
      <c r="AV31">
        <v>1</v>
      </c>
      <c r="AW31">
        <v>2</v>
      </c>
      <c r="AX31">
        <v>94242541</v>
      </c>
      <c r="AY31">
        <v>2</v>
      </c>
      <c r="AZ31">
        <v>131072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3350.4585999999999</v>
      </c>
      <c r="BN31">
        <v>9.01</v>
      </c>
      <c r="BO31">
        <v>0</v>
      </c>
      <c r="BP31">
        <v>1</v>
      </c>
      <c r="BQ31">
        <v>0</v>
      </c>
      <c r="BR31">
        <v>0</v>
      </c>
      <c r="BS31">
        <v>0</v>
      </c>
      <c r="BT31">
        <v>3853.0273899999997</v>
      </c>
      <c r="BU31">
        <v>10.361499999999999</v>
      </c>
      <c r="BV31">
        <v>0</v>
      </c>
      <c r="BW31">
        <v>1</v>
      </c>
      <c r="CU31">
        <f>ROUND(AT31*Source!I79*AH31*AL31,2)</f>
        <v>502.57</v>
      </c>
      <c r="CV31">
        <f>ROUND(Y31*Source!I79,7)</f>
        <v>1.554225</v>
      </c>
      <c r="CW31">
        <v>0</v>
      </c>
      <c r="CX31">
        <f>ROUND(Y31*Source!I79,7)</f>
        <v>1.554225</v>
      </c>
      <c r="CY31">
        <f>AD31</f>
        <v>371.86</v>
      </c>
      <c r="CZ31">
        <f>AH31</f>
        <v>371.86</v>
      </c>
      <c r="DA31">
        <f>AL31</f>
        <v>1</v>
      </c>
      <c r="DB31">
        <f>ROUND((ROUND(AT31*CZ31,2)*ROUND(1.15,7)),6)</f>
        <v>3853.029</v>
      </c>
      <c r="DC31">
        <f>ROUND((ROUND(AT31*AG31,2)*ROUND(1.15,7)),6)</f>
        <v>0</v>
      </c>
      <c r="DD31" t="s">
        <v>3</v>
      </c>
      <c r="DE31" t="s">
        <v>3</v>
      </c>
      <c r="DF31">
        <f t="shared" si="9"/>
        <v>0</v>
      </c>
      <c r="DG31">
        <f t="shared" si="8"/>
        <v>0</v>
      </c>
      <c r="DH31">
        <f t="shared" si="0"/>
        <v>0</v>
      </c>
      <c r="DI31">
        <f t="shared" si="1"/>
        <v>577.95000000000005</v>
      </c>
      <c r="DJ31">
        <f>DI31</f>
        <v>577.95000000000005</v>
      </c>
      <c r="DK31">
        <v>1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ROW(Source!A79)</f>
        <v>79</v>
      </c>
      <c r="B32">
        <v>94240533</v>
      </c>
      <c r="C32">
        <v>94242534</v>
      </c>
      <c r="D32">
        <v>37064876</v>
      </c>
      <c r="E32">
        <v>117</v>
      </c>
      <c r="F32">
        <v>1</v>
      </c>
      <c r="G32">
        <v>1</v>
      </c>
      <c r="H32">
        <v>1</v>
      </c>
      <c r="I32" t="s">
        <v>294</v>
      </c>
      <c r="J32" t="s">
        <v>3</v>
      </c>
      <c r="K32" t="s">
        <v>295</v>
      </c>
      <c r="L32">
        <v>1191</v>
      </c>
      <c r="N32">
        <v>1013</v>
      </c>
      <c r="O32" t="s">
        <v>293</v>
      </c>
      <c r="P32" t="s">
        <v>293</v>
      </c>
      <c r="Q32">
        <v>1</v>
      </c>
      <c r="W32">
        <v>0</v>
      </c>
      <c r="X32">
        <v>-1417349443</v>
      </c>
      <c r="Y32">
        <f>(AT32*ROUND(1.25,7))</f>
        <v>0.05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0.04</v>
      </c>
      <c r="AU32" t="s">
        <v>22</v>
      </c>
      <c r="AV32">
        <v>2</v>
      </c>
      <c r="AW32">
        <v>2</v>
      </c>
      <c r="AX32">
        <v>94242542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V32">
        <v>0</v>
      </c>
      <c r="CW32">
        <v>0</v>
      </c>
      <c r="CX32">
        <f>ROUND(Y32*Source!I79,7)</f>
        <v>7.4999999999999997E-3</v>
      </c>
      <c r="CY32">
        <f>AD32</f>
        <v>0</v>
      </c>
      <c r="CZ32">
        <f>AH32</f>
        <v>0</v>
      </c>
      <c r="DA32">
        <f>AL32</f>
        <v>1</v>
      </c>
      <c r="DB32">
        <f>ROUND((ROUND(AT32*CZ32,2)*ROUND(1.25,7)),6)</f>
        <v>0</v>
      </c>
      <c r="DC32">
        <f>ROUND((ROUND(AT32*AG32,2)*ROUND(1.25,7)),6)</f>
        <v>0</v>
      </c>
      <c r="DD32" t="s">
        <v>3</v>
      </c>
      <c r="DE32" t="s">
        <v>3</v>
      </c>
      <c r="DF32">
        <f t="shared" si="9"/>
        <v>0</v>
      </c>
      <c r="DG32">
        <f t="shared" si="8"/>
        <v>0</v>
      </c>
      <c r="DH32">
        <f t="shared" si="0"/>
        <v>0</v>
      </c>
      <c r="DI32">
        <f t="shared" si="1"/>
        <v>0</v>
      </c>
      <c r="DJ32">
        <f>DI32</f>
        <v>0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ROW(Source!A79)</f>
        <v>79</v>
      </c>
      <c r="B33">
        <v>94240533</v>
      </c>
      <c r="C33">
        <v>94242534</v>
      </c>
      <c r="D33">
        <v>87236625</v>
      </c>
      <c r="E33">
        <v>1</v>
      </c>
      <c r="F33">
        <v>1</v>
      </c>
      <c r="G33">
        <v>1</v>
      </c>
      <c r="H33">
        <v>2</v>
      </c>
      <c r="I33" t="s">
        <v>316</v>
      </c>
      <c r="J33" t="s">
        <v>317</v>
      </c>
      <c r="K33" t="s">
        <v>318</v>
      </c>
      <c r="L33">
        <v>1368</v>
      </c>
      <c r="N33">
        <v>1011</v>
      </c>
      <c r="O33" t="s">
        <v>299</v>
      </c>
      <c r="P33" t="s">
        <v>299</v>
      </c>
      <c r="Q33">
        <v>1</v>
      </c>
      <c r="W33">
        <v>0</v>
      </c>
      <c r="X33">
        <v>945201097</v>
      </c>
      <c r="Y33">
        <f>(AT33*ROUND(1.25,7))</f>
        <v>6.2500000000000003E-3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5.0000000000000001E-3</v>
      </c>
      <c r="AU33" t="s">
        <v>22</v>
      </c>
      <c r="AV33">
        <v>1</v>
      </c>
      <c r="AW33">
        <v>2</v>
      </c>
      <c r="AX33">
        <v>94242543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5.0000000000000001E-3</v>
      </c>
      <c r="BP33">
        <v>1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6.2500000000000003E-3</v>
      </c>
      <c r="BW33">
        <v>1</v>
      </c>
      <c r="CV33">
        <v>0</v>
      </c>
      <c r="CW33">
        <f>ROUND(Y33*Source!I79*DO33,7)</f>
        <v>9.3749999999999997E-4</v>
      </c>
      <c r="CX33">
        <f>ROUND(Y33*Source!I79,7)</f>
        <v>9.3749999999999997E-4</v>
      </c>
      <c r="CY33">
        <f>AB33</f>
        <v>0</v>
      </c>
      <c r="CZ33">
        <f>AF33</f>
        <v>0</v>
      </c>
      <c r="DA33">
        <f>AJ33</f>
        <v>1</v>
      </c>
      <c r="DB33">
        <f>ROUND((ROUND(AT33*CZ33,2)*ROUND(1.25,7)),6)</f>
        <v>0</v>
      </c>
      <c r="DC33">
        <f>ROUND((ROUND(AT33*AG33,2)*ROUND(1.25,7)),6)</f>
        <v>0</v>
      </c>
      <c r="DD33" t="s">
        <v>3</v>
      </c>
      <c r="DE33" t="s">
        <v>3</v>
      </c>
      <c r="DF33">
        <f t="shared" si="9"/>
        <v>0</v>
      </c>
      <c r="DG33">
        <f t="shared" si="8"/>
        <v>0</v>
      </c>
      <c r="DH33">
        <f t="shared" ref="DH33:DH62" si="10">ROUND(ROUND(AG33,2)*CX33,2)</f>
        <v>0</v>
      </c>
      <c r="DI33">
        <f t="shared" ref="DI33:DI62" si="11">ROUND(ROUND(AH33,2)*CX33,2)</f>
        <v>0</v>
      </c>
      <c r="DJ33">
        <f>DG33+DH33</f>
        <v>0</v>
      </c>
      <c r="DK33">
        <v>0</v>
      </c>
      <c r="DL33" t="s">
        <v>300</v>
      </c>
      <c r="DM33">
        <v>3</v>
      </c>
      <c r="DN33" t="s">
        <v>293</v>
      </c>
      <c r="DO33">
        <v>1</v>
      </c>
    </row>
    <row r="34" spans="1:119" x14ac:dyDescent="0.2">
      <c r="A34">
        <f>ROW(Source!A79)</f>
        <v>79</v>
      </c>
      <c r="B34">
        <v>94240533</v>
      </c>
      <c r="C34">
        <v>94242534</v>
      </c>
      <c r="D34">
        <v>87237333</v>
      </c>
      <c r="E34">
        <v>1</v>
      </c>
      <c r="F34">
        <v>1</v>
      </c>
      <c r="G34">
        <v>1</v>
      </c>
      <c r="H34">
        <v>2</v>
      </c>
      <c r="I34" t="s">
        <v>301</v>
      </c>
      <c r="J34" t="s">
        <v>302</v>
      </c>
      <c r="K34" t="s">
        <v>303</v>
      </c>
      <c r="L34">
        <v>1368</v>
      </c>
      <c r="N34">
        <v>1011</v>
      </c>
      <c r="O34" t="s">
        <v>299</v>
      </c>
      <c r="P34" t="s">
        <v>299</v>
      </c>
      <c r="Q34">
        <v>1</v>
      </c>
      <c r="W34">
        <v>0</v>
      </c>
      <c r="X34">
        <v>-849950259</v>
      </c>
      <c r="Y34">
        <f>(AT34*ROUND(1.25,7))</f>
        <v>3.7499999999999999E-2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0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0.03</v>
      </c>
      <c r="AU34" t="s">
        <v>22</v>
      </c>
      <c r="AV34">
        <v>1</v>
      </c>
      <c r="AW34">
        <v>2</v>
      </c>
      <c r="AX34">
        <v>94242544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0.03</v>
      </c>
      <c r="BP34">
        <v>1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3.7499999999999999E-2</v>
      </c>
      <c r="BW34">
        <v>1</v>
      </c>
      <c r="CV34">
        <v>0</v>
      </c>
      <c r="CW34">
        <f>ROUND(Y34*Source!I79*DO34,7)</f>
        <v>5.6249999999999998E-3</v>
      </c>
      <c r="CX34">
        <f>ROUND(Y34*Source!I79,7)</f>
        <v>5.6249999999999998E-3</v>
      </c>
      <c r="CY34">
        <f>AB34</f>
        <v>0</v>
      </c>
      <c r="CZ34">
        <f>AF34</f>
        <v>0</v>
      </c>
      <c r="DA34">
        <f>AJ34</f>
        <v>1</v>
      </c>
      <c r="DB34">
        <f>ROUND((ROUND(AT34*CZ34,2)*ROUND(1.25,7)),6)</f>
        <v>0</v>
      </c>
      <c r="DC34">
        <f>ROUND((ROUND(AT34*AG34,2)*ROUND(1.25,7)),6)</f>
        <v>0</v>
      </c>
      <c r="DD34" t="s">
        <v>3</v>
      </c>
      <c r="DE34" t="s">
        <v>3</v>
      </c>
      <c r="DF34">
        <f t="shared" si="9"/>
        <v>0</v>
      </c>
      <c r="DG34">
        <f t="shared" si="8"/>
        <v>0</v>
      </c>
      <c r="DH34">
        <f t="shared" si="10"/>
        <v>0</v>
      </c>
      <c r="DI34">
        <f t="shared" si="11"/>
        <v>0</v>
      </c>
      <c r="DJ34">
        <f>DG34+DH34</f>
        <v>0</v>
      </c>
      <c r="DK34">
        <v>0</v>
      </c>
      <c r="DL34" t="s">
        <v>304</v>
      </c>
      <c r="DM34">
        <v>4</v>
      </c>
      <c r="DN34" t="s">
        <v>293</v>
      </c>
      <c r="DO34">
        <v>1</v>
      </c>
    </row>
    <row r="35" spans="1:119" x14ac:dyDescent="0.2">
      <c r="A35">
        <f>ROW(Source!A79)</f>
        <v>79</v>
      </c>
      <c r="B35">
        <v>94240533</v>
      </c>
      <c r="C35">
        <v>94242534</v>
      </c>
      <c r="D35">
        <v>87323049</v>
      </c>
      <c r="E35">
        <v>1</v>
      </c>
      <c r="F35">
        <v>1</v>
      </c>
      <c r="G35">
        <v>1</v>
      </c>
      <c r="H35">
        <v>3</v>
      </c>
      <c r="I35" t="s">
        <v>331</v>
      </c>
      <c r="J35" t="s">
        <v>332</v>
      </c>
      <c r="K35" t="s">
        <v>333</v>
      </c>
      <c r="L35">
        <v>1346</v>
      </c>
      <c r="N35">
        <v>1009</v>
      </c>
      <c r="O35" t="s">
        <v>40</v>
      </c>
      <c r="P35" t="s">
        <v>40</v>
      </c>
      <c r="Q35">
        <v>1</v>
      </c>
      <c r="W35">
        <v>0</v>
      </c>
      <c r="X35">
        <v>100333942</v>
      </c>
      <c r="Y35">
        <f t="shared" ref="Y35:Y41" si="12">AT35</f>
        <v>5.15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5.15</v>
      </c>
      <c r="AU35" t="s">
        <v>3</v>
      </c>
      <c r="AV35">
        <v>0</v>
      </c>
      <c r="AW35">
        <v>2</v>
      </c>
      <c r="AX35">
        <v>94242546</v>
      </c>
      <c r="AY35">
        <v>1</v>
      </c>
      <c r="AZ35">
        <v>0</v>
      </c>
      <c r="BA35">
        <v>36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ROUND(Y35*Source!I79,7)</f>
        <v>0.77249999999999996</v>
      </c>
      <c r="CY35">
        <f>AA35</f>
        <v>0</v>
      </c>
      <c r="CZ35">
        <f>AE35</f>
        <v>0</v>
      </c>
      <c r="DA35">
        <f>AI35</f>
        <v>1</v>
      </c>
      <c r="DB35">
        <f t="shared" ref="DB35:DB41" si="13">ROUND(ROUND(AT35*CZ35,2),6)</f>
        <v>0</v>
      </c>
      <c r="DC35">
        <f t="shared" ref="DC35:DC41" si="14">ROUND(ROUND(AT35*AG35,2),6)</f>
        <v>0</v>
      </c>
      <c r="DD35" t="s">
        <v>3</v>
      </c>
      <c r="DE35" t="s">
        <v>3</v>
      </c>
      <c r="DF35">
        <f t="shared" si="9"/>
        <v>0</v>
      </c>
      <c r="DG35">
        <f t="shared" si="8"/>
        <v>0</v>
      </c>
      <c r="DH35">
        <f t="shared" si="10"/>
        <v>0</v>
      </c>
      <c r="DI35">
        <f t="shared" si="11"/>
        <v>0</v>
      </c>
      <c r="DJ35">
        <f>DF35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ROW(Source!A79)</f>
        <v>79</v>
      </c>
      <c r="B36">
        <v>94240533</v>
      </c>
      <c r="C36">
        <v>94242534</v>
      </c>
      <c r="D36">
        <v>0</v>
      </c>
      <c r="E36">
        <v>0</v>
      </c>
      <c r="F36">
        <v>1</v>
      </c>
      <c r="G36">
        <v>1</v>
      </c>
      <c r="H36">
        <v>3</v>
      </c>
      <c r="I36" t="s">
        <v>138</v>
      </c>
      <c r="J36" t="s">
        <v>138</v>
      </c>
      <c r="K36" t="s">
        <v>139</v>
      </c>
      <c r="L36">
        <v>1301</v>
      </c>
      <c r="N36">
        <v>1003</v>
      </c>
      <c r="O36" t="s">
        <v>140</v>
      </c>
      <c r="P36" t="s">
        <v>140</v>
      </c>
      <c r="Q36">
        <v>1</v>
      </c>
      <c r="W36">
        <v>0</v>
      </c>
      <c r="X36">
        <v>-1228778196</v>
      </c>
      <c r="Y36">
        <f t="shared" si="12"/>
        <v>101</v>
      </c>
      <c r="AA36">
        <v>1106.56</v>
      </c>
      <c r="AB36">
        <v>0</v>
      </c>
      <c r="AC36">
        <v>0</v>
      </c>
      <c r="AD36">
        <v>0</v>
      </c>
      <c r="AE36">
        <v>1106.56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1</v>
      </c>
      <c r="AQ36">
        <v>0</v>
      </c>
      <c r="AR36">
        <v>0</v>
      </c>
      <c r="AS36" t="s">
        <v>3</v>
      </c>
      <c r="AT36">
        <v>101</v>
      </c>
      <c r="AU36" t="s">
        <v>3</v>
      </c>
      <c r="AV36">
        <v>0</v>
      </c>
      <c r="AW36">
        <v>1</v>
      </c>
      <c r="AX36">
        <v>-1</v>
      </c>
      <c r="AY36">
        <v>0</v>
      </c>
      <c r="AZ36">
        <v>0</v>
      </c>
      <c r="BA36" t="s">
        <v>3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ROUND(Y36*Source!I79,7)</f>
        <v>15.15</v>
      </c>
      <c r="CY36">
        <f>AA36</f>
        <v>1106.56</v>
      </c>
      <c r="CZ36">
        <f>AE36</f>
        <v>1106.56</v>
      </c>
      <c r="DA36">
        <f>AI36</f>
        <v>1</v>
      </c>
      <c r="DB36">
        <f t="shared" si="13"/>
        <v>111762.56</v>
      </c>
      <c r="DC36">
        <f t="shared" si="14"/>
        <v>0</v>
      </c>
      <c r="DD36" t="s">
        <v>3</v>
      </c>
      <c r="DE36" t="s">
        <v>3</v>
      </c>
      <c r="DF36">
        <f t="shared" si="9"/>
        <v>16764.38</v>
      </c>
      <c r="DG36">
        <f t="shared" si="8"/>
        <v>0</v>
      </c>
      <c r="DH36">
        <f t="shared" si="10"/>
        <v>0</v>
      </c>
      <c r="DI36">
        <f t="shared" si="11"/>
        <v>0</v>
      </c>
      <c r="DJ36">
        <f>DF36</f>
        <v>16764.38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ROW(Source!A81)</f>
        <v>81</v>
      </c>
      <c r="B37">
        <v>94240533</v>
      </c>
      <c r="C37">
        <v>94239758</v>
      </c>
      <c r="D37">
        <v>84342661</v>
      </c>
      <c r="E37">
        <v>116</v>
      </c>
      <c r="F37">
        <v>1</v>
      </c>
      <c r="G37">
        <v>1</v>
      </c>
      <c r="H37">
        <v>1</v>
      </c>
      <c r="I37" t="s">
        <v>334</v>
      </c>
      <c r="J37" t="s">
        <v>3</v>
      </c>
      <c r="K37" t="s">
        <v>335</v>
      </c>
      <c r="L37">
        <v>1191</v>
      </c>
      <c r="N37">
        <v>1013</v>
      </c>
      <c r="O37" t="s">
        <v>293</v>
      </c>
      <c r="P37" t="s">
        <v>293</v>
      </c>
      <c r="Q37">
        <v>1</v>
      </c>
      <c r="W37">
        <v>0</v>
      </c>
      <c r="X37">
        <v>1014935341</v>
      </c>
      <c r="Y37">
        <f t="shared" si="12"/>
        <v>34.51</v>
      </c>
      <c r="AA37">
        <v>0</v>
      </c>
      <c r="AB37">
        <v>0</v>
      </c>
      <c r="AC37">
        <v>0</v>
      </c>
      <c r="AD37">
        <v>643.78</v>
      </c>
      <c r="AE37">
        <v>0</v>
      </c>
      <c r="AF37">
        <v>0</v>
      </c>
      <c r="AG37">
        <v>0</v>
      </c>
      <c r="AH37">
        <v>643.78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0</v>
      </c>
      <c r="AP37">
        <v>1</v>
      </c>
      <c r="AQ37">
        <v>1</v>
      </c>
      <c r="AR37">
        <v>0</v>
      </c>
      <c r="AS37" t="s">
        <v>3</v>
      </c>
      <c r="AT37">
        <v>34.51</v>
      </c>
      <c r="AU37" t="s">
        <v>3</v>
      </c>
      <c r="AV37">
        <v>1</v>
      </c>
      <c r="AW37">
        <v>2</v>
      </c>
      <c r="AX37">
        <v>94239761</v>
      </c>
      <c r="AY37">
        <v>2</v>
      </c>
      <c r="AZ37">
        <v>131072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22216.8478</v>
      </c>
      <c r="BN37">
        <v>34.51</v>
      </c>
      <c r="BO37">
        <v>0</v>
      </c>
      <c r="BP37">
        <v>1</v>
      </c>
      <c r="BQ37">
        <v>0</v>
      </c>
      <c r="BR37">
        <v>0</v>
      </c>
      <c r="BS37">
        <v>0</v>
      </c>
      <c r="BT37">
        <v>22216.8478</v>
      </c>
      <c r="BU37">
        <v>34.51</v>
      </c>
      <c r="BV37">
        <v>0</v>
      </c>
      <c r="BW37">
        <v>1</v>
      </c>
      <c r="CU37">
        <f>ROUND(AT37*Source!I81*AH37*AL37,2)</f>
        <v>4887.71</v>
      </c>
      <c r="CV37">
        <f>ROUND(Y37*Source!I81,7)</f>
        <v>7.5922000000000001</v>
      </c>
      <c r="CW37">
        <v>0</v>
      </c>
      <c r="CX37">
        <f>ROUND(Y37*Source!I81,7)</f>
        <v>7.5922000000000001</v>
      </c>
      <c r="CY37">
        <f>AD37</f>
        <v>643.78</v>
      </c>
      <c r="CZ37">
        <f>AH37</f>
        <v>643.78</v>
      </c>
      <c r="DA37">
        <f>AL37</f>
        <v>1</v>
      </c>
      <c r="DB37">
        <f t="shared" si="13"/>
        <v>22216.85</v>
      </c>
      <c r="DC37">
        <f t="shared" si="14"/>
        <v>0</v>
      </c>
      <c r="DD37" t="s">
        <v>3</v>
      </c>
      <c r="DE37" t="s">
        <v>3</v>
      </c>
      <c r="DF37">
        <f t="shared" si="9"/>
        <v>0</v>
      </c>
      <c r="DG37">
        <f t="shared" si="8"/>
        <v>0</v>
      </c>
      <c r="DH37">
        <f t="shared" si="10"/>
        <v>0</v>
      </c>
      <c r="DI37">
        <f t="shared" si="11"/>
        <v>4887.71</v>
      </c>
      <c r="DJ37">
        <f>DI37</f>
        <v>4887.71</v>
      </c>
      <c r="DK37">
        <v>1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ROW(Source!A81)</f>
        <v>81</v>
      </c>
      <c r="B38">
        <v>94240533</v>
      </c>
      <c r="C38">
        <v>94239758</v>
      </c>
      <c r="D38">
        <v>84348656</v>
      </c>
      <c r="E38">
        <v>116</v>
      </c>
      <c r="F38">
        <v>1</v>
      </c>
      <c r="G38">
        <v>1</v>
      </c>
      <c r="H38">
        <v>3</v>
      </c>
      <c r="I38" t="s">
        <v>151</v>
      </c>
      <c r="J38" t="s">
        <v>3</v>
      </c>
      <c r="K38" t="s">
        <v>152</v>
      </c>
      <c r="L38">
        <v>1348</v>
      </c>
      <c r="N38">
        <v>1009</v>
      </c>
      <c r="O38" t="s">
        <v>35</v>
      </c>
      <c r="P38" t="s">
        <v>35</v>
      </c>
      <c r="Q38">
        <v>1000</v>
      </c>
      <c r="W38">
        <v>0</v>
      </c>
      <c r="X38">
        <v>-1296435862</v>
      </c>
      <c r="Y38">
        <f t="shared" si="12"/>
        <v>0.35599999999999998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0</v>
      </c>
      <c r="AR38">
        <v>0</v>
      </c>
      <c r="AS38" t="s">
        <v>3</v>
      </c>
      <c r="AT38">
        <v>0.35599999999999998</v>
      </c>
      <c r="AU38" t="s">
        <v>3</v>
      </c>
      <c r="AV38">
        <v>0</v>
      </c>
      <c r="AW38">
        <v>2</v>
      </c>
      <c r="AX38">
        <v>94239762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ROUND(Y38*Source!I81,7)</f>
        <v>7.8320000000000001E-2</v>
      </c>
      <c r="CY38">
        <f>AA38</f>
        <v>0</v>
      </c>
      <c r="CZ38">
        <f>AE38</f>
        <v>0</v>
      </c>
      <c r="DA38">
        <f>AI38</f>
        <v>1</v>
      </c>
      <c r="DB38">
        <f t="shared" si="13"/>
        <v>0</v>
      </c>
      <c r="DC38">
        <f t="shared" si="14"/>
        <v>0</v>
      </c>
      <c r="DD38" t="s">
        <v>3</v>
      </c>
      <c r="DE38" t="s">
        <v>3</v>
      </c>
      <c r="DF38">
        <f t="shared" si="9"/>
        <v>0</v>
      </c>
      <c r="DG38">
        <f t="shared" si="8"/>
        <v>0</v>
      </c>
      <c r="DH38">
        <f t="shared" si="10"/>
        <v>0</v>
      </c>
      <c r="DI38">
        <f t="shared" si="11"/>
        <v>0</v>
      </c>
      <c r="DJ38">
        <f>DF38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ROW(Source!A83)</f>
        <v>83</v>
      </c>
      <c r="B39">
        <v>94240533</v>
      </c>
      <c r="C39">
        <v>94239764</v>
      </c>
      <c r="D39">
        <v>84342641</v>
      </c>
      <c r="E39">
        <v>116</v>
      </c>
      <c r="F39">
        <v>1</v>
      </c>
      <c r="G39">
        <v>1</v>
      </c>
      <c r="H39">
        <v>1</v>
      </c>
      <c r="I39" t="s">
        <v>336</v>
      </c>
      <c r="J39" t="s">
        <v>3</v>
      </c>
      <c r="K39" t="s">
        <v>337</v>
      </c>
      <c r="L39">
        <v>1191</v>
      </c>
      <c r="N39">
        <v>1013</v>
      </c>
      <c r="O39" t="s">
        <v>293</v>
      </c>
      <c r="P39" t="s">
        <v>293</v>
      </c>
      <c r="Q39">
        <v>1</v>
      </c>
      <c r="W39">
        <v>0</v>
      </c>
      <c r="X39">
        <v>1689191095</v>
      </c>
      <c r="Y39">
        <f t="shared" si="12"/>
        <v>17.89</v>
      </c>
      <c r="AA39">
        <v>0</v>
      </c>
      <c r="AB39">
        <v>0</v>
      </c>
      <c r="AC39">
        <v>0</v>
      </c>
      <c r="AD39">
        <v>611.04999999999995</v>
      </c>
      <c r="AE39">
        <v>0</v>
      </c>
      <c r="AF39">
        <v>0</v>
      </c>
      <c r="AG39">
        <v>0</v>
      </c>
      <c r="AH39">
        <v>611.04999999999995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17.89</v>
      </c>
      <c r="AU39" t="s">
        <v>3</v>
      </c>
      <c r="AV39">
        <v>1</v>
      </c>
      <c r="AW39">
        <v>2</v>
      </c>
      <c r="AX39">
        <v>94239768</v>
      </c>
      <c r="AY39">
        <v>2</v>
      </c>
      <c r="AZ39">
        <v>131072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10931.684499999999</v>
      </c>
      <c r="BN39">
        <v>17.89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10931.684499999999</v>
      </c>
      <c r="BU39">
        <v>17.89</v>
      </c>
      <c r="BV39">
        <v>0</v>
      </c>
      <c r="BW39">
        <v>1</v>
      </c>
      <c r="CU39">
        <f>ROUND(AT39*Source!I83*AH39*AL39,2)</f>
        <v>437.27</v>
      </c>
      <c r="CV39">
        <f>ROUND(Y39*Source!I83,7)</f>
        <v>0.71560000000000001</v>
      </c>
      <c r="CW39">
        <v>0</v>
      </c>
      <c r="CX39">
        <f>ROUND(Y39*Source!I83,7)</f>
        <v>0.71560000000000001</v>
      </c>
      <c r="CY39">
        <f>AD39</f>
        <v>611.04999999999995</v>
      </c>
      <c r="CZ39">
        <f>AH39</f>
        <v>611.04999999999995</v>
      </c>
      <c r="DA39">
        <f>AL39</f>
        <v>1</v>
      </c>
      <c r="DB39">
        <f t="shared" si="13"/>
        <v>10931.68</v>
      </c>
      <c r="DC39">
        <f t="shared" si="14"/>
        <v>0</v>
      </c>
      <c r="DD39" t="s">
        <v>3</v>
      </c>
      <c r="DE39" t="s">
        <v>3</v>
      </c>
      <c r="DF39">
        <f t="shared" si="9"/>
        <v>0</v>
      </c>
      <c r="DG39">
        <f t="shared" si="8"/>
        <v>0</v>
      </c>
      <c r="DH39">
        <f t="shared" si="10"/>
        <v>0</v>
      </c>
      <c r="DI39">
        <f t="shared" si="11"/>
        <v>437.27</v>
      </c>
      <c r="DJ39">
        <f>DI39</f>
        <v>437.27</v>
      </c>
      <c r="DK39">
        <v>1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ROW(Source!A83)</f>
        <v>83</v>
      </c>
      <c r="B40">
        <v>94240533</v>
      </c>
      <c r="C40">
        <v>94239764</v>
      </c>
      <c r="D40">
        <v>84342860</v>
      </c>
      <c r="E40">
        <v>116</v>
      </c>
      <c r="F40">
        <v>1</v>
      </c>
      <c r="G40">
        <v>1</v>
      </c>
      <c r="H40">
        <v>1</v>
      </c>
      <c r="I40" t="s">
        <v>294</v>
      </c>
      <c r="J40" t="s">
        <v>3</v>
      </c>
      <c r="K40" t="s">
        <v>295</v>
      </c>
      <c r="L40">
        <v>1191</v>
      </c>
      <c r="N40">
        <v>1013</v>
      </c>
      <c r="O40" t="s">
        <v>293</v>
      </c>
      <c r="P40" t="s">
        <v>293</v>
      </c>
      <c r="Q40">
        <v>1</v>
      </c>
      <c r="W40">
        <v>0</v>
      </c>
      <c r="X40">
        <v>-1417349443</v>
      </c>
      <c r="Y40">
        <f t="shared" si="12"/>
        <v>0.08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0.08</v>
      </c>
      <c r="AU40" t="s">
        <v>3</v>
      </c>
      <c r="AV40">
        <v>2</v>
      </c>
      <c r="AW40">
        <v>2</v>
      </c>
      <c r="AX40">
        <v>94239769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ROUND(Y40*Source!I83,7)</f>
        <v>3.2000000000000002E-3</v>
      </c>
      <c r="CY40">
        <f>AD40</f>
        <v>0</v>
      </c>
      <c r="CZ40">
        <f>AH40</f>
        <v>0</v>
      </c>
      <c r="DA40">
        <f>AL40</f>
        <v>1</v>
      </c>
      <c r="DB40">
        <f t="shared" si="13"/>
        <v>0</v>
      </c>
      <c r="DC40">
        <f t="shared" si="14"/>
        <v>0</v>
      </c>
      <c r="DD40" t="s">
        <v>3</v>
      </c>
      <c r="DE40" t="s">
        <v>3</v>
      </c>
      <c r="DF40">
        <f t="shared" si="9"/>
        <v>0</v>
      </c>
      <c r="DG40">
        <f t="shared" si="8"/>
        <v>0</v>
      </c>
      <c r="DH40">
        <f t="shared" si="10"/>
        <v>0</v>
      </c>
      <c r="DI40">
        <f t="shared" si="11"/>
        <v>0</v>
      </c>
      <c r="DJ40">
        <f>DI40</f>
        <v>0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ROW(Source!A83)</f>
        <v>83</v>
      </c>
      <c r="B41">
        <v>94240533</v>
      </c>
      <c r="C41">
        <v>94239764</v>
      </c>
      <c r="D41">
        <v>84464037</v>
      </c>
      <c r="E41">
        <v>1</v>
      </c>
      <c r="F41">
        <v>1</v>
      </c>
      <c r="G41">
        <v>1</v>
      </c>
      <c r="H41">
        <v>2</v>
      </c>
      <c r="I41" t="s">
        <v>316</v>
      </c>
      <c r="J41" t="s">
        <v>317</v>
      </c>
      <c r="K41" t="s">
        <v>318</v>
      </c>
      <c r="L41">
        <v>1368</v>
      </c>
      <c r="N41">
        <v>1011</v>
      </c>
      <c r="O41" t="s">
        <v>299</v>
      </c>
      <c r="P41" t="s">
        <v>299</v>
      </c>
      <c r="Q41">
        <v>1</v>
      </c>
      <c r="W41">
        <v>0</v>
      </c>
      <c r="X41">
        <v>750870934</v>
      </c>
      <c r="Y41">
        <f t="shared" si="12"/>
        <v>0.08</v>
      </c>
      <c r="AA41">
        <v>0</v>
      </c>
      <c r="AB41">
        <v>58.59</v>
      </c>
      <c r="AC41">
        <v>649.24</v>
      </c>
      <c r="AD41">
        <v>0</v>
      </c>
      <c r="AE41">
        <v>0</v>
      </c>
      <c r="AF41">
        <v>37.32</v>
      </c>
      <c r="AG41">
        <v>649.24</v>
      </c>
      <c r="AH41">
        <v>0</v>
      </c>
      <c r="AI41">
        <v>1</v>
      </c>
      <c r="AJ41">
        <v>1.57</v>
      </c>
      <c r="AK41">
        <v>1</v>
      </c>
      <c r="AL41">
        <v>1</v>
      </c>
      <c r="AM41">
        <v>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0.08</v>
      </c>
      <c r="AU41" t="s">
        <v>3</v>
      </c>
      <c r="AV41">
        <v>1</v>
      </c>
      <c r="AW41">
        <v>2</v>
      </c>
      <c r="AX41">
        <v>94239770</v>
      </c>
      <c r="AY41">
        <v>2</v>
      </c>
      <c r="AZ41">
        <v>65536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2.9856000000000003</v>
      </c>
      <c r="BL41">
        <v>51.9392</v>
      </c>
      <c r="BM41">
        <v>0</v>
      </c>
      <c r="BN41">
        <v>0</v>
      </c>
      <c r="BO41">
        <v>0.08</v>
      </c>
      <c r="BP41">
        <v>1</v>
      </c>
      <c r="BQ41">
        <v>0</v>
      </c>
      <c r="BR41">
        <v>2.9856000000000003</v>
      </c>
      <c r="BS41">
        <v>51.9392</v>
      </c>
      <c r="BT41">
        <v>0</v>
      </c>
      <c r="BU41">
        <v>0</v>
      </c>
      <c r="BV41">
        <v>0.08</v>
      </c>
      <c r="BW41">
        <v>1</v>
      </c>
      <c r="CV41">
        <v>0</v>
      </c>
      <c r="CW41">
        <f>ROUND(Y41*Source!I83*DO41,7)</f>
        <v>3.2000000000000002E-3</v>
      </c>
      <c r="CX41">
        <f>ROUND(Y41*Source!I83,7)</f>
        <v>3.2000000000000002E-3</v>
      </c>
      <c r="CY41">
        <f>AB41</f>
        <v>58.59</v>
      </c>
      <c r="CZ41">
        <f>AF41</f>
        <v>37.32</v>
      </c>
      <c r="DA41">
        <f>AJ41</f>
        <v>1.57</v>
      </c>
      <c r="DB41">
        <f t="shared" si="13"/>
        <v>2.99</v>
      </c>
      <c r="DC41">
        <f t="shared" si="14"/>
        <v>51.94</v>
      </c>
      <c r="DD41" t="s">
        <v>3</v>
      </c>
      <c r="DE41" t="s">
        <v>3</v>
      </c>
      <c r="DF41">
        <f t="shared" si="9"/>
        <v>0</v>
      </c>
      <c r="DG41">
        <f>ROUND(ROUND(AF41*AJ41,2)*CX41,2)</f>
        <v>0.19</v>
      </c>
      <c r="DH41">
        <f t="shared" si="10"/>
        <v>2.08</v>
      </c>
      <c r="DI41">
        <f t="shared" si="11"/>
        <v>0</v>
      </c>
      <c r="DJ41">
        <f>DG41+DH41</f>
        <v>2.27</v>
      </c>
      <c r="DK41">
        <v>0</v>
      </c>
      <c r="DL41" t="s">
        <v>300</v>
      </c>
      <c r="DM41">
        <v>3</v>
      </c>
      <c r="DN41" t="s">
        <v>293</v>
      </c>
      <c r="DO41">
        <v>1</v>
      </c>
    </row>
    <row r="42" spans="1:119" x14ac:dyDescent="0.2">
      <c r="A42">
        <f>ROW(Source!A84)</f>
        <v>84</v>
      </c>
      <c r="B42">
        <v>94240533</v>
      </c>
      <c r="C42">
        <v>94239771</v>
      </c>
      <c r="D42">
        <v>84342683</v>
      </c>
      <c r="E42">
        <v>116</v>
      </c>
      <c r="F42">
        <v>1</v>
      </c>
      <c r="G42">
        <v>1</v>
      </c>
      <c r="H42">
        <v>1</v>
      </c>
      <c r="I42" t="s">
        <v>338</v>
      </c>
      <c r="J42" t="s">
        <v>3</v>
      </c>
      <c r="K42" t="s">
        <v>339</v>
      </c>
      <c r="L42">
        <v>1191</v>
      </c>
      <c r="N42">
        <v>1013</v>
      </c>
      <c r="O42" t="s">
        <v>293</v>
      </c>
      <c r="P42" t="s">
        <v>293</v>
      </c>
      <c r="Q42">
        <v>1</v>
      </c>
      <c r="W42">
        <v>0</v>
      </c>
      <c r="X42">
        <v>44848675</v>
      </c>
      <c r="Y42">
        <f>(AT42*ROUND(1.15,7))</f>
        <v>117.82899999999998</v>
      </c>
      <c r="AA42">
        <v>0</v>
      </c>
      <c r="AB42">
        <v>0</v>
      </c>
      <c r="AC42">
        <v>0</v>
      </c>
      <c r="AD42">
        <v>714.71</v>
      </c>
      <c r="AE42">
        <v>0</v>
      </c>
      <c r="AF42">
        <v>0</v>
      </c>
      <c r="AG42">
        <v>0</v>
      </c>
      <c r="AH42">
        <v>714.71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102.46</v>
      </c>
      <c r="AU42" t="s">
        <v>23</v>
      </c>
      <c r="AV42">
        <v>1</v>
      </c>
      <c r="AW42">
        <v>2</v>
      </c>
      <c r="AX42">
        <v>94239778</v>
      </c>
      <c r="AY42">
        <v>2</v>
      </c>
      <c r="AZ42">
        <v>131072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73229.186600000001</v>
      </c>
      <c r="BN42">
        <v>102.46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84213.564589999994</v>
      </c>
      <c r="BU42">
        <v>117.82899999999998</v>
      </c>
      <c r="BV42">
        <v>0</v>
      </c>
      <c r="BW42">
        <v>1</v>
      </c>
      <c r="CU42">
        <f>ROUND(AT42*Source!I84*AH42*AL42,2)</f>
        <v>16110.42</v>
      </c>
      <c r="CV42">
        <f>ROUND(Y42*Source!I84,7)</f>
        <v>25.92238</v>
      </c>
      <c r="CW42">
        <v>0</v>
      </c>
      <c r="CX42">
        <f>ROUND(Y42*Source!I84,7)</f>
        <v>25.92238</v>
      </c>
      <c r="CY42">
        <f>AD42</f>
        <v>714.71</v>
      </c>
      <c r="CZ42">
        <f>AH42</f>
        <v>714.71</v>
      </c>
      <c r="DA42">
        <f>AL42</f>
        <v>1</v>
      </c>
      <c r="DB42">
        <f>ROUND((ROUND(AT42*CZ42,2)*ROUND(1.15,7)),6)</f>
        <v>84213.568499999994</v>
      </c>
      <c r="DC42">
        <f>ROUND((ROUND(AT42*AG42,2)*ROUND(1.15,7)),6)</f>
        <v>0</v>
      </c>
      <c r="DD42" t="s">
        <v>3</v>
      </c>
      <c r="DE42" t="s">
        <v>3</v>
      </c>
      <c r="DF42">
        <f t="shared" si="9"/>
        <v>0</v>
      </c>
      <c r="DG42">
        <f>ROUND(ROUND(AF42,2)*CX42,2)</f>
        <v>0</v>
      </c>
      <c r="DH42">
        <f t="shared" si="10"/>
        <v>0</v>
      </c>
      <c r="DI42">
        <f t="shared" si="11"/>
        <v>18526.98</v>
      </c>
      <c r="DJ42">
        <f>DI42</f>
        <v>18526.98</v>
      </c>
      <c r="DK42">
        <v>1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ROW(Source!A84)</f>
        <v>84</v>
      </c>
      <c r="B43">
        <v>94240533</v>
      </c>
      <c r="C43">
        <v>94239771</v>
      </c>
      <c r="D43">
        <v>84342860</v>
      </c>
      <c r="E43">
        <v>116</v>
      </c>
      <c r="F43">
        <v>1</v>
      </c>
      <c r="G43">
        <v>1</v>
      </c>
      <c r="H43">
        <v>1</v>
      </c>
      <c r="I43" t="s">
        <v>294</v>
      </c>
      <c r="J43" t="s">
        <v>3</v>
      </c>
      <c r="K43" t="s">
        <v>295</v>
      </c>
      <c r="L43">
        <v>1191</v>
      </c>
      <c r="N43">
        <v>1013</v>
      </c>
      <c r="O43" t="s">
        <v>293</v>
      </c>
      <c r="P43" t="s">
        <v>293</v>
      </c>
      <c r="Q43">
        <v>1</v>
      </c>
      <c r="W43">
        <v>0</v>
      </c>
      <c r="X43">
        <v>-1417349443</v>
      </c>
      <c r="Y43">
        <f>(AT43*ROUND(1.25,7))</f>
        <v>6.6749999999999998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5.34</v>
      </c>
      <c r="AU43" t="s">
        <v>22</v>
      </c>
      <c r="AV43">
        <v>2</v>
      </c>
      <c r="AW43">
        <v>2</v>
      </c>
      <c r="AX43">
        <v>94239779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ROUND(Y43*Source!I84,7)</f>
        <v>1.4684999999999999</v>
      </c>
      <c r="CY43">
        <f>AD43</f>
        <v>0</v>
      </c>
      <c r="CZ43">
        <f>AH43</f>
        <v>0</v>
      </c>
      <c r="DA43">
        <f>AL43</f>
        <v>1</v>
      </c>
      <c r="DB43">
        <f>ROUND((ROUND(AT43*CZ43,2)*ROUND(1.25,7)),6)</f>
        <v>0</v>
      </c>
      <c r="DC43">
        <f>ROUND((ROUND(AT43*AG43,2)*ROUND(1.25,7)),6)</f>
        <v>0</v>
      </c>
      <c r="DD43" t="s">
        <v>3</v>
      </c>
      <c r="DE43" t="s">
        <v>3</v>
      </c>
      <c r="DF43">
        <f t="shared" si="9"/>
        <v>0</v>
      </c>
      <c r="DG43">
        <f>ROUND(ROUND(AF43,2)*CX43,2)</f>
        <v>0</v>
      </c>
      <c r="DH43">
        <f t="shared" si="10"/>
        <v>0</v>
      </c>
      <c r="DI43">
        <f t="shared" si="11"/>
        <v>0</v>
      </c>
      <c r="DJ43">
        <f>DI43</f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ROW(Source!A84)</f>
        <v>84</v>
      </c>
      <c r="B44">
        <v>94240533</v>
      </c>
      <c r="C44">
        <v>94239771</v>
      </c>
      <c r="D44">
        <v>84464037</v>
      </c>
      <c r="E44">
        <v>1</v>
      </c>
      <c r="F44">
        <v>1</v>
      </c>
      <c r="G44">
        <v>1</v>
      </c>
      <c r="H44">
        <v>2</v>
      </c>
      <c r="I44" t="s">
        <v>316</v>
      </c>
      <c r="J44" t="s">
        <v>317</v>
      </c>
      <c r="K44" t="s">
        <v>318</v>
      </c>
      <c r="L44">
        <v>1368</v>
      </c>
      <c r="N44">
        <v>1011</v>
      </c>
      <c r="O44" t="s">
        <v>299</v>
      </c>
      <c r="P44" t="s">
        <v>299</v>
      </c>
      <c r="Q44">
        <v>1</v>
      </c>
      <c r="W44">
        <v>0</v>
      </c>
      <c r="X44">
        <v>750870934</v>
      </c>
      <c r="Y44">
        <f>(AT44*ROUND(1.25,7))</f>
        <v>0.95</v>
      </c>
      <c r="AA44">
        <v>0</v>
      </c>
      <c r="AB44">
        <v>58.59</v>
      </c>
      <c r="AC44">
        <v>649.24</v>
      </c>
      <c r="AD44">
        <v>0</v>
      </c>
      <c r="AE44">
        <v>0</v>
      </c>
      <c r="AF44">
        <v>37.32</v>
      </c>
      <c r="AG44">
        <v>649.24</v>
      </c>
      <c r="AH44">
        <v>0</v>
      </c>
      <c r="AI44">
        <v>1</v>
      </c>
      <c r="AJ44">
        <v>1.57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0.76</v>
      </c>
      <c r="AU44" t="s">
        <v>22</v>
      </c>
      <c r="AV44">
        <v>1</v>
      </c>
      <c r="AW44">
        <v>2</v>
      </c>
      <c r="AX44">
        <v>94239780</v>
      </c>
      <c r="AY44">
        <v>2</v>
      </c>
      <c r="AZ44">
        <v>65536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28.363199999999999</v>
      </c>
      <c r="BL44">
        <v>493.42240000000004</v>
      </c>
      <c r="BM44">
        <v>0</v>
      </c>
      <c r="BN44">
        <v>0</v>
      </c>
      <c r="BO44">
        <v>0.76</v>
      </c>
      <c r="BP44">
        <v>1</v>
      </c>
      <c r="BQ44">
        <v>0</v>
      </c>
      <c r="BR44">
        <v>35.454000000000001</v>
      </c>
      <c r="BS44">
        <v>616.77800000000002</v>
      </c>
      <c r="BT44">
        <v>0</v>
      </c>
      <c r="BU44">
        <v>0</v>
      </c>
      <c r="BV44">
        <v>0.95</v>
      </c>
      <c r="BW44">
        <v>1</v>
      </c>
      <c r="CV44">
        <v>0</v>
      </c>
      <c r="CW44">
        <f>ROUND(Y44*Source!I84*DO44,7)</f>
        <v>0.20899999999999999</v>
      </c>
      <c r="CX44">
        <f>ROUND(Y44*Source!I84,7)</f>
        <v>0.20899999999999999</v>
      </c>
      <c r="CY44">
        <f>AB44</f>
        <v>58.59</v>
      </c>
      <c r="CZ44">
        <f>AF44</f>
        <v>37.32</v>
      </c>
      <c r="DA44">
        <f>AJ44</f>
        <v>1.57</v>
      </c>
      <c r="DB44">
        <f>ROUND((ROUND(AT44*CZ44,2)*ROUND(1.25,7)),6)</f>
        <v>35.450000000000003</v>
      </c>
      <c r="DC44">
        <f>ROUND((ROUND(AT44*AG44,2)*ROUND(1.25,7)),6)</f>
        <v>616.77499999999998</v>
      </c>
      <c r="DD44" t="s">
        <v>3</v>
      </c>
      <c r="DE44" t="s">
        <v>3</v>
      </c>
      <c r="DF44">
        <f t="shared" si="9"/>
        <v>0</v>
      </c>
      <c r="DG44">
        <f>ROUND(ROUND(AF44*AJ44,2)*CX44,2)</f>
        <v>12.25</v>
      </c>
      <c r="DH44">
        <f t="shared" si="10"/>
        <v>135.69</v>
      </c>
      <c r="DI44">
        <f t="shared" si="11"/>
        <v>0</v>
      </c>
      <c r="DJ44">
        <f>DG44+DH44</f>
        <v>147.94</v>
      </c>
      <c r="DK44">
        <v>0</v>
      </c>
      <c r="DL44" t="s">
        <v>300</v>
      </c>
      <c r="DM44">
        <v>3</v>
      </c>
      <c r="DN44" t="s">
        <v>293</v>
      </c>
      <c r="DO44">
        <v>1</v>
      </c>
    </row>
    <row r="45" spans="1:119" x14ac:dyDescent="0.2">
      <c r="A45">
        <f>ROW(Source!A84)</f>
        <v>84</v>
      </c>
      <c r="B45">
        <v>94240533</v>
      </c>
      <c r="C45">
        <v>94239771</v>
      </c>
      <c r="D45">
        <v>84464742</v>
      </c>
      <c r="E45">
        <v>1</v>
      </c>
      <c r="F45">
        <v>1</v>
      </c>
      <c r="G45">
        <v>1</v>
      </c>
      <c r="H45">
        <v>2</v>
      </c>
      <c r="I45" t="s">
        <v>301</v>
      </c>
      <c r="J45" t="s">
        <v>302</v>
      </c>
      <c r="K45" t="s">
        <v>303</v>
      </c>
      <c r="L45">
        <v>1368</v>
      </c>
      <c r="N45">
        <v>1011</v>
      </c>
      <c r="O45" t="s">
        <v>299</v>
      </c>
      <c r="P45" t="s">
        <v>299</v>
      </c>
      <c r="Q45">
        <v>1</v>
      </c>
      <c r="W45">
        <v>0</v>
      </c>
      <c r="X45">
        <v>-950105757</v>
      </c>
      <c r="Y45">
        <f>(AT45*ROUND(1.25,7))</f>
        <v>5.7249999999999996</v>
      </c>
      <c r="AA45">
        <v>0</v>
      </c>
      <c r="AB45">
        <v>544.91999999999996</v>
      </c>
      <c r="AC45">
        <v>731.08</v>
      </c>
      <c r="AD45">
        <v>0</v>
      </c>
      <c r="AE45">
        <v>0</v>
      </c>
      <c r="AF45">
        <v>544.91999999999996</v>
      </c>
      <c r="AG45">
        <v>731.08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4.58</v>
      </c>
      <c r="AU45" t="s">
        <v>22</v>
      </c>
      <c r="AV45">
        <v>1</v>
      </c>
      <c r="AW45">
        <v>2</v>
      </c>
      <c r="AX45">
        <v>94239781</v>
      </c>
      <c r="AY45">
        <v>2</v>
      </c>
      <c r="AZ45">
        <v>98304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2495.7336</v>
      </c>
      <c r="BL45">
        <v>3348.3464000000004</v>
      </c>
      <c r="BM45">
        <v>0</v>
      </c>
      <c r="BN45">
        <v>0</v>
      </c>
      <c r="BO45">
        <v>4.58</v>
      </c>
      <c r="BP45">
        <v>1</v>
      </c>
      <c r="BQ45">
        <v>0</v>
      </c>
      <c r="BR45">
        <v>3119.6669999999995</v>
      </c>
      <c r="BS45">
        <v>4185.433</v>
      </c>
      <c r="BT45">
        <v>0</v>
      </c>
      <c r="BU45">
        <v>0</v>
      </c>
      <c r="BV45">
        <v>5.7249999999999996</v>
      </c>
      <c r="BW45">
        <v>1</v>
      </c>
      <c r="CV45">
        <v>0</v>
      </c>
      <c r="CW45">
        <f>ROUND(Y45*Source!I84*DO45,7)</f>
        <v>1.2595000000000001</v>
      </c>
      <c r="CX45">
        <f>ROUND(Y45*Source!I84,7)</f>
        <v>1.2595000000000001</v>
      </c>
      <c r="CY45">
        <f>AB45</f>
        <v>544.91999999999996</v>
      </c>
      <c r="CZ45">
        <f>AF45</f>
        <v>544.91999999999996</v>
      </c>
      <c r="DA45">
        <f>AJ45</f>
        <v>1</v>
      </c>
      <c r="DB45">
        <f>ROUND((ROUND(AT45*CZ45,2)*ROUND(1.25,7)),6)</f>
        <v>3119.6624999999999</v>
      </c>
      <c r="DC45">
        <f>ROUND((ROUND(AT45*AG45,2)*ROUND(1.25,7)),6)</f>
        <v>4185.4375</v>
      </c>
      <c r="DD45" t="s">
        <v>3</v>
      </c>
      <c r="DE45" t="s">
        <v>3</v>
      </c>
      <c r="DF45">
        <f t="shared" si="9"/>
        <v>0</v>
      </c>
      <c r="DG45">
        <f t="shared" ref="DG45:DG55" si="15">ROUND(ROUND(AF45,2)*CX45,2)</f>
        <v>686.33</v>
      </c>
      <c r="DH45">
        <f t="shared" si="10"/>
        <v>920.8</v>
      </c>
      <c r="DI45">
        <f t="shared" si="11"/>
        <v>0</v>
      </c>
      <c r="DJ45">
        <f>DG45+DH45</f>
        <v>1607.13</v>
      </c>
      <c r="DK45">
        <v>1</v>
      </c>
      <c r="DL45" t="s">
        <v>304</v>
      </c>
      <c r="DM45">
        <v>4</v>
      </c>
      <c r="DN45" t="s">
        <v>293</v>
      </c>
      <c r="DO45">
        <v>1</v>
      </c>
    </row>
    <row r="46" spans="1:119" x14ac:dyDescent="0.2">
      <c r="A46">
        <f>ROW(Source!A84)</f>
        <v>84</v>
      </c>
      <c r="B46">
        <v>94240533</v>
      </c>
      <c r="C46">
        <v>94239771</v>
      </c>
      <c r="D46">
        <v>84414546</v>
      </c>
      <c r="E46">
        <v>1</v>
      </c>
      <c r="F46">
        <v>1</v>
      </c>
      <c r="G46">
        <v>1</v>
      </c>
      <c r="H46">
        <v>3</v>
      </c>
      <c r="I46" t="s">
        <v>167</v>
      </c>
      <c r="J46" t="s">
        <v>169</v>
      </c>
      <c r="K46" t="s">
        <v>168</v>
      </c>
      <c r="L46">
        <v>1327</v>
      </c>
      <c r="N46">
        <v>1005</v>
      </c>
      <c r="O46" t="s">
        <v>130</v>
      </c>
      <c r="P46" t="s">
        <v>130</v>
      </c>
      <c r="Q46">
        <v>1</v>
      </c>
      <c r="W46">
        <v>0</v>
      </c>
      <c r="X46">
        <v>-677450604</v>
      </c>
      <c r="Y46">
        <f t="shared" ref="Y46:Y53" si="16">AT46</f>
        <v>103</v>
      </c>
      <c r="AA46">
        <v>529.35</v>
      </c>
      <c r="AB46">
        <v>0</v>
      </c>
      <c r="AC46">
        <v>0</v>
      </c>
      <c r="AD46">
        <v>0</v>
      </c>
      <c r="AE46">
        <v>468.45</v>
      </c>
      <c r="AF46">
        <v>0</v>
      </c>
      <c r="AG46">
        <v>0</v>
      </c>
      <c r="AH46">
        <v>0</v>
      </c>
      <c r="AI46">
        <v>1.1299999999999999</v>
      </c>
      <c r="AJ46">
        <v>1</v>
      </c>
      <c r="AK46">
        <v>1</v>
      </c>
      <c r="AL46">
        <v>1</v>
      </c>
      <c r="AM46">
        <v>2</v>
      </c>
      <c r="AN46">
        <v>0</v>
      </c>
      <c r="AO46">
        <v>0</v>
      </c>
      <c r="AP46">
        <v>1</v>
      </c>
      <c r="AQ46">
        <v>0</v>
      </c>
      <c r="AR46">
        <v>0</v>
      </c>
      <c r="AS46" t="s">
        <v>3</v>
      </c>
      <c r="AT46">
        <v>103</v>
      </c>
      <c r="AU46" t="s">
        <v>3</v>
      </c>
      <c r="AV46">
        <v>0</v>
      </c>
      <c r="AW46">
        <v>1</v>
      </c>
      <c r="AX46">
        <v>-1</v>
      </c>
      <c r="AY46">
        <v>0</v>
      </c>
      <c r="AZ46">
        <v>0</v>
      </c>
      <c r="BA46" t="s">
        <v>3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ROUND(Y46*Source!I84,7)</f>
        <v>22.66</v>
      </c>
      <c r="CY46">
        <f>AA46</f>
        <v>529.35</v>
      </c>
      <c r="CZ46">
        <f>AE46</f>
        <v>468.45</v>
      </c>
      <c r="DA46">
        <f>AI46</f>
        <v>1.1299999999999999</v>
      </c>
      <c r="DB46">
        <f t="shared" ref="DB46:DB53" si="17">ROUND(ROUND(AT46*CZ46,2),6)</f>
        <v>48250.35</v>
      </c>
      <c r="DC46">
        <f t="shared" ref="DC46:DC53" si="18">ROUND(ROUND(AT46*AG46,2),6)</f>
        <v>0</v>
      </c>
      <c r="DD46" t="s">
        <v>3</v>
      </c>
      <c r="DE46" t="s">
        <v>3</v>
      </c>
      <c r="DF46">
        <f>ROUND(ROUND(AE46*AI46,2)*CX46,2)</f>
        <v>11995.07</v>
      </c>
      <c r="DG46">
        <f t="shared" si="15"/>
        <v>0</v>
      </c>
      <c r="DH46">
        <f t="shared" si="10"/>
        <v>0</v>
      </c>
      <c r="DI46">
        <f t="shared" si="11"/>
        <v>0</v>
      </c>
      <c r="DJ46">
        <f>DF46</f>
        <v>11995.07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ROW(Source!A84)</f>
        <v>84</v>
      </c>
      <c r="B47">
        <v>94240533</v>
      </c>
      <c r="C47">
        <v>94239771</v>
      </c>
      <c r="D47">
        <v>84414641</v>
      </c>
      <c r="E47">
        <v>1</v>
      </c>
      <c r="F47">
        <v>1</v>
      </c>
      <c r="G47">
        <v>1</v>
      </c>
      <c r="H47">
        <v>3</v>
      </c>
      <c r="I47" t="s">
        <v>321</v>
      </c>
      <c r="J47" t="s">
        <v>322</v>
      </c>
      <c r="K47" t="s">
        <v>323</v>
      </c>
      <c r="L47">
        <v>1383</v>
      </c>
      <c r="N47">
        <v>1013</v>
      </c>
      <c r="O47" t="s">
        <v>324</v>
      </c>
      <c r="P47" t="s">
        <v>324</v>
      </c>
      <c r="Q47">
        <v>1</v>
      </c>
      <c r="W47">
        <v>0</v>
      </c>
      <c r="X47">
        <v>-1504342657</v>
      </c>
      <c r="Y47">
        <f t="shared" si="16"/>
        <v>2.782</v>
      </c>
      <c r="AA47">
        <v>6.92</v>
      </c>
      <c r="AB47">
        <v>0</v>
      </c>
      <c r="AC47">
        <v>0</v>
      </c>
      <c r="AD47">
        <v>0</v>
      </c>
      <c r="AE47">
        <v>6.92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2.782</v>
      </c>
      <c r="AU47" t="s">
        <v>3</v>
      </c>
      <c r="AV47">
        <v>0</v>
      </c>
      <c r="AW47">
        <v>2</v>
      </c>
      <c r="AX47">
        <v>94239783</v>
      </c>
      <c r="AY47">
        <v>2</v>
      </c>
      <c r="AZ47">
        <v>16384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19.251439999999999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19.251439999999999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ROUND(Y47*Source!I84,7)</f>
        <v>0.61204000000000003</v>
      </c>
      <c r="CY47">
        <f>AA47</f>
        <v>6.92</v>
      </c>
      <c r="CZ47">
        <f>AE47</f>
        <v>6.92</v>
      </c>
      <c r="DA47">
        <f>AI47</f>
        <v>1</v>
      </c>
      <c r="DB47">
        <f t="shared" si="17"/>
        <v>19.25</v>
      </c>
      <c r="DC47">
        <f t="shared" si="18"/>
        <v>0</v>
      </c>
      <c r="DD47" t="s">
        <v>3</v>
      </c>
      <c r="DE47" t="s">
        <v>3</v>
      </c>
      <c r="DF47">
        <f>ROUND(ROUND(AE47,2)*CX47,2)</f>
        <v>4.24</v>
      </c>
      <c r="DG47">
        <f t="shared" si="15"/>
        <v>0</v>
      </c>
      <c r="DH47">
        <f t="shared" si="10"/>
        <v>0</v>
      </c>
      <c r="DI47">
        <f t="shared" si="11"/>
        <v>0</v>
      </c>
      <c r="DJ47">
        <f>DF47</f>
        <v>4.24</v>
      </c>
      <c r="DK47">
        <v>1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ROW(Source!A86)</f>
        <v>86</v>
      </c>
      <c r="B48">
        <v>94240533</v>
      </c>
      <c r="C48">
        <v>94239785</v>
      </c>
      <c r="D48">
        <v>84342814</v>
      </c>
      <c r="E48">
        <v>116</v>
      </c>
      <c r="F48">
        <v>1</v>
      </c>
      <c r="G48">
        <v>1</v>
      </c>
      <c r="H48">
        <v>1</v>
      </c>
      <c r="I48" t="s">
        <v>340</v>
      </c>
      <c r="J48" t="s">
        <v>3</v>
      </c>
      <c r="K48" t="s">
        <v>341</v>
      </c>
      <c r="L48">
        <v>1369</v>
      </c>
      <c r="N48">
        <v>1013</v>
      </c>
      <c r="O48" t="s">
        <v>342</v>
      </c>
      <c r="P48" t="s">
        <v>342</v>
      </c>
      <c r="Q48">
        <v>1</v>
      </c>
      <c r="W48">
        <v>0</v>
      </c>
      <c r="X48">
        <v>1187391579</v>
      </c>
      <c r="Y48">
        <f t="shared" si="16"/>
        <v>0.41</v>
      </c>
      <c r="AA48">
        <v>0</v>
      </c>
      <c r="AB48">
        <v>0</v>
      </c>
      <c r="AC48">
        <v>0</v>
      </c>
      <c r="AD48">
        <v>545.58000000000004</v>
      </c>
      <c r="AE48">
        <v>0</v>
      </c>
      <c r="AF48">
        <v>0</v>
      </c>
      <c r="AG48">
        <v>0</v>
      </c>
      <c r="AH48">
        <v>545.58000000000004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0.41</v>
      </c>
      <c r="AU48" t="s">
        <v>3</v>
      </c>
      <c r="AV48">
        <v>1</v>
      </c>
      <c r="AW48">
        <v>2</v>
      </c>
      <c r="AX48">
        <v>94239792</v>
      </c>
      <c r="AY48">
        <v>2</v>
      </c>
      <c r="AZ48">
        <v>131072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223.68780000000001</v>
      </c>
      <c r="BN48">
        <v>0.41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223.68780000000001</v>
      </c>
      <c r="BU48">
        <v>0.41</v>
      </c>
      <c r="BV48">
        <v>0</v>
      </c>
      <c r="BW48">
        <v>1</v>
      </c>
      <c r="CU48">
        <f>ROUND(AT48*Source!I86*AH48*AL48,2)</f>
        <v>8.9499999999999993</v>
      </c>
      <c r="CV48">
        <f>ROUND(Y48*Source!I86,7)</f>
        <v>1.6400000000000001E-2</v>
      </c>
      <c r="CW48">
        <v>0</v>
      </c>
      <c r="CX48">
        <f>ROUND(Y48*Source!I86,7)</f>
        <v>1.6400000000000001E-2</v>
      </c>
      <c r="CY48">
        <f>AD48</f>
        <v>545.58000000000004</v>
      </c>
      <c r="CZ48">
        <f>AH48</f>
        <v>545.58000000000004</v>
      </c>
      <c r="DA48">
        <f>AL48</f>
        <v>1</v>
      </c>
      <c r="DB48">
        <f t="shared" si="17"/>
        <v>223.69</v>
      </c>
      <c r="DC48">
        <f t="shared" si="18"/>
        <v>0</v>
      </c>
      <c r="DD48" t="s">
        <v>3</v>
      </c>
      <c r="DE48" t="s">
        <v>3</v>
      </c>
      <c r="DF48">
        <f>ROUND(ROUND(AE48,2)*CX48,2)</f>
        <v>0</v>
      </c>
      <c r="DG48">
        <f t="shared" si="15"/>
        <v>0</v>
      </c>
      <c r="DH48">
        <f t="shared" si="10"/>
        <v>0</v>
      </c>
      <c r="DI48">
        <f t="shared" si="11"/>
        <v>8.9499999999999993</v>
      </c>
      <c r="DJ48">
        <f>DI48</f>
        <v>8.9499999999999993</v>
      </c>
      <c r="DK48">
        <v>1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ROW(Source!A86)</f>
        <v>86</v>
      </c>
      <c r="B49">
        <v>94240533</v>
      </c>
      <c r="C49">
        <v>94239785</v>
      </c>
      <c r="D49">
        <v>84342824</v>
      </c>
      <c r="E49">
        <v>116</v>
      </c>
      <c r="F49">
        <v>1</v>
      </c>
      <c r="G49">
        <v>1</v>
      </c>
      <c r="H49">
        <v>1</v>
      </c>
      <c r="I49" t="s">
        <v>343</v>
      </c>
      <c r="J49" t="s">
        <v>3</v>
      </c>
      <c r="K49" t="s">
        <v>344</v>
      </c>
      <c r="L49">
        <v>1369</v>
      </c>
      <c r="N49">
        <v>1013</v>
      </c>
      <c r="O49" t="s">
        <v>342</v>
      </c>
      <c r="P49" t="s">
        <v>342</v>
      </c>
      <c r="Q49">
        <v>1</v>
      </c>
      <c r="W49">
        <v>0</v>
      </c>
      <c r="X49">
        <v>-512803540</v>
      </c>
      <c r="Y49">
        <f t="shared" si="16"/>
        <v>19.16</v>
      </c>
      <c r="AA49">
        <v>0</v>
      </c>
      <c r="AB49">
        <v>0</v>
      </c>
      <c r="AC49">
        <v>0</v>
      </c>
      <c r="AD49">
        <v>731.08</v>
      </c>
      <c r="AE49">
        <v>0</v>
      </c>
      <c r="AF49">
        <v>0</v>
      </c>
      <c r="AG49">
        <v>0</v>
      </c>
      <c r="AH49">
        <v>731.08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19.16</v>
      </c>
      <c r="AU49" t="s">
        <v>3</v>
      </c>
      <c r="AV49">
        <v>1</v>
      </c>
      <c r="AW49">
        <v>2</v>
      </c>
      <c r="AX49">
        <v>94239793</v>
      </c>
      <c r="AY49">
        <v>2</v>
      </c>
      <c r="AZ49">
        <v>131072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14007.4928</v>
      </c>
      <c r="BN49">
        <v>19.16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14007.4928</v>
      </c>
      <c r="BU49">
        <v>19.16</v>
      </c>
      <c r="BV49">
        <v>0</v>
      </c>
      <c r="BW49">
        <v>1</v>
      </c>
      <c r="CU49">
        <f>ROUND(AT49*Source!I86*AH49*AL49,2)</f>
        <v>560.29999999999995</v>
      </c>
      <c r="CV49">
        <f>ROUND(Y49*Source!I86,7)</f>
        <v>0.76639999999999997</v>
      </c>
      <c r="CW49">
        <v>0</v>
      </c>
      <c r="CX49">
        <f>ROUND(Y49*Source!I86,7)</f>
        <v>0.76639999999999997</v>
      </c>
      <c r="CY49">
        <f>AD49</f>
        <v>731.08</v>
      </c>
      <c r="CZ49">
        <f>AH49</f>
        <v>731.08</v>
      </c>
      <c r="DA49">
        <f>AL49</f>
        <v>1</v>
      </c>
      <c r="DB49">
        <f t="shared" si="17"/>
        <v>14007.49</v>
      </c>
      <c r="DC49">
        <f t="shared" si="18"/>
        <v>0</v>
      </c>
      <c r="DD49" t="s">
        <v>3</v>
      </c>
      <c r="DE49" t="s">
        <v>3</v>
      </c>
      <c r="DF49">
        <f>ROUND(ROUND(AE49,2)*CX49,2)</f>
        <v>0</v>
      </c>
      <c r="DG49">
        <f t="shared" si="15"/>
        <v>0</v>
      </c>
      <c r="DH49">
        <f t="shared" si="10"/>
        <v>0</v>
      </c>
      <c r="DI49">
        <f t="shared" si="11"/>
        <v>560.29999999999995</v>
      </c>
      <c r="DJ49">
        <f>DI49</f>
        <v>560.29999999999995</v>
      </c>
      <c r="DK49">
        <v>1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ROW(Source!A86)</f>
        <v>86</v>
      </c>
      <c r="B50">
        <v>94240533</v>
      </c>
      <c r="C50">
        <v>94239785</v>
      </c>
      <c r="D50">
        <v>84342860</v>
      </c>
      <c r="E50">
        <v>116</v>
      </c>
      <c r="F50">
        <v>1</v>
      </c>
      <c r="G50">
        <v>1</v>
      </c>
      <c r="H50">
        <v>1</v>
      </c>
      <c r="I50" t="s">
        <v>294</v>
      </c>
      <c r="J50" t="s">
        <v>3</v>
      </c>
      <c r="K50" t="s">
        <v>295</v>
      </c>
      <c r="L50">
        <v>1191</v>
      </c>
      <c r="N50">
        <v>1013</v>
      </c>
      <c r="O50" t="s">
        <v>293</v>
      </c>
      <c r="P50" t="s">
        <v>293</v>
      </c>
      <c r="Q50">
        <v>1</v>
      </c>
      <c r="W50">
        <v>0</v>
      </c>
      <c r="X50">
        <v>-1417349443</v>
      </c>
      <c r="Y50">
        <f t="shared" si="16"/>
        <v>0.28000000000000003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0.28000000000000003</v>
      </c>
      <c r="AU50" t="s">
        <v>3</v>
      </c>
      <c r="AV50">
        <v>2</v>
      </c>
      <c r="AW50">
        <v>2</v>
      </c>
      <c r="AX50">
        <v>94239794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v>0</v>
      </c>
      <c r="CX50">
        <f>ROUND(Y50*Source!I86,7)</f>
        <v>1.12E-2</v>
      </c>
      <c r="CY50">
        <f>AD50</f>
        <v>0</v>
      </c>
      <c r="CZ50">
        <f>AH50</f>
        <v>0</v>
      </c>
      <c r="DA50">
        <f>AL50</f>
        <v>1</v>
      </c>
      <c r="DB50">
        <f t="shared" si="17"/>
        <v>0</v>
      </c>
      <c r="DC50">
        <f t="shared" si="18"/>
        <v>0</v>
      </c>
      <c r="DD50" t="s">
        <v>3</v>
      </c>
      <c r="DE50" t="s">
        <v>3</v>
      </c>
      <c r="DF50">
        <f>ROUND(ROUND(AE50,2)*CX50,2)</f>
        <v>0</v>
      </c>
      <c r="DG50">
        <f t="shared" si="15"/>
        <v>0</v>
      </c>
      <c r="DH50">
        <f t="shared" si="10"/>
        <v>0</v>
      </c>
      <c r="DI50">
        <f t="shared" si="11"/>
        <v>0</v>
      </c>
      <c r="DJ50">
        <f>DI50</f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ROW(Source!A86)</f>
        <v>86</v>
      </c>
      <c r="B51">
        <v>94240533</v>
      </c>
      <c r="C51">
        <v>94239785</v>
      </c>
      <c r="D51">
        <v>84464742</v>
      </c>
      <c r="E51">
        <v>1</v>
      </c>
      <c r="F51">
        <v>1</v>
      </c>
      <c r="G51">
        <v>1</v>
      </c>
      <c r="H51">
        <v>2</v>
      </c>
      <c r="I51" t="s">
        <v>301</v>
      </c>
      <c r="J51" t="s">
        <v>302</v>
      </c>
      <c r="K51" t="s">
        <v>303</v>
      </c>
      <c r="L51">
        <v>1368</v>
      </c>
      <c r="N51">
        <v>1011</v>
      </c>
      <c r="O51" t="s">
        <v>299</v>
      </c>
      <c r="P51" t="s">
        <v>299</v>
      </c>
      <c r="Q51">
        <v>1</v>
      </c>
      <c r="W51">
        <v>0</v>
      </c>
      <c r="X51">
        <v>-950105757</v>
      </c>
      <c r="Y51">
        <f t="shared" si="16"/>
        <v>0.28000000000000003</v>
      </c>
      <c r="AA51">
        <v>0</v>
      </c>
      <c r="AB51">
        <v>544.91999999999996</v>
      </c>
      <c r="AC51">
        <v>731.08</v>
      </c>
      <c r="AD51">
        <v>0</v>
      </c>
      <c r="AE51">
        <v>0</v>
      </c>
      <c r="AF51">
        <v>544.91999999999996</v>
      </c>
      <c r="AG51">
        <v>731.08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0.28000000000000003</v>
      </c>
      <c r="AU51" t="s">
        <v>3</v>
      </c>
      <c r="AV51">
        <v>1</v>
      </c>
      <c r="AW51">
        <v>2</v>
      </c>
      <c r="AX51">
        <v>94239795</v>
      </c>
      <c r="AY51">
        <v>2</v>
      </c>
      <c r="AZ51">
        <v>98304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152.57759999999999</v>
      </c>
      <c r="BL51">
        <v>204.70240000000004</v>
      </c>
      <c r="BM51">
        <v>0</v>
      </c>
      <c r="BN51">
        <v>0</v>
      </c>
      <c r="BO51">
        <v>0.28000000000000003</v>
      </c>
      <c r="BP51">
        <v>1</v>
      </c>
      <c r="BQ51">
        <v>0</v>
      </c>
      <c r="BR51">
        <v>152.57759999999999</v>
      </c>
      <c r="BS51">
        <v>204.70240000000004</v>
      </c>
      <c r="BT51">
        <v>0</v>
      </c>
      <c r="BU51">
        <v>0</v>
      </c>
      <c r="BV51">
        <v>0.28000000000000003</v>
      </c>
      <c r="BW51">
        <v>1</v>
      </c>
      <c r="CV51">
        <v>0</v>
      </c>
      <c r="CW51">
        <f>ROUND(Y51*Source!I86*DO51,7)</f>
        <v>1.12E-2</v>
      </c>
      <c r="CX51">
        <f>ROUND(Y51*Source!I86,7)</f>
        <v>1.12E-2</v>
      </c>
      <c r="CY51">
        <f>AB51</f>
        <v>544.91999999999996</v>
      </c>
      <c r="CZ51">
        <f>AF51</f>
        <v>544.91999999999996</v>
      </c>
      <c r="DA51">
        <f>AJ51</f>
        <v>1</v>
      </c>
      <c r="DB51">
        <f t="shared" si="17"/>
        <v>152.58000000000001</v>
      </c>
      <c r="DC51">
        <f t="shared" si="18"/>
        <v>204.7</v>
      </c>
      <c r="DD51" t="s">
        <v>3</v>
      </c>
      <c r="DE51" t="s">
        <v>3</v>
      </c>
      <c r="DF51">
        <f>ROUND(ROUND(AE51,2)*CX51,2)</f>
        <v>0</v>
      </c>
      <c r="DG51">
        <f t="shared" si="15"/>
        <v>6.1</v>
      </c>
      <c r="DH51">
        <f t="shared" si="10"/>
        <v>8.19</v>
      </c>
      <c r="DI51">
        <f t="shared" si="11"/>
        <v>0</v>
      </c>
      <c r="DJ51">
        <f>DG51+DH51</f>
        <v>14.29</v>
      </c>
      <c r="DK51">
        <v>1</v>
      </c>
      <c r="DL51" t="s">
        <v>304</v>
      </c>
      <c r="DM51">
        <v>4</v>
      </c>
      <c r="DN51" t="s">
        <v>293</v>
      </c>
      <c r="DO51">
        <v>1</v>
      </c>
    </row>
    <row r="52" spans="1:119" x14ac:dyDescent="0.2">
      <c r="A52">
        <f>ROW(Source!A86)</f>
        <v>86</v>
      </c>
      <c r="B52">
        <v>94240533</v>
      </c>
      <c r="C52">
        <v>94239785</v>
      </c>
      <c r="D52">
        <v>84443427</v>
      </c>
      <c r="E52">
        <v>1</v>
      </c>
      <c r="F52">
        <v>1</v>
      </c>
      <c r="G52">
        <v>1</v>
      </c>
      <c r="H52">
        <v>3</v>
      </c>
      <c r="I52" t="s">
        <v>184</v>
      </c>
      <c r="J52" t="s">
        <v>186</v>
      </c>
      <c r="K52" t="s">
        <v>400</v>
      </c>
      <c r="L52">
        <v>1371</v>
      </c>
      <c r="N52">
        <v>1013</v>
      </c>
      <c r="O52" t="s">
        <v>185</v>
      </c>
      <c r="P52" t="s">
        <v>185</v>
      </c>
      <c r="Q52">
        <v>1</v>
      </c>
      <c r="W52">
        <v>0</v>
      </c>
      <c r="X52">
        <v>2142080712</v>
      </c>
      <c r="Y52">
        <f t="shared" si="16"/>
        <v>100</v>
      </c>
      <c r="AA52">
        <v>3374</v>
      </c>
      <c r="AB52">
        <v>0</v>
      </c>
      <c r="AC52">
        <v>0</v>
      </c>
      <c r="AD52">
        <v>0</v>
      </c>
      <c r="AE52">
        <v>2279.73</v>
      </c>
      <c r="AF52">
        <v>0</v>
      </c>
      <c r="AG52">
        <v>0</v>
      </c>
      <c r="AH52">
        <v>0</v>
      </c>
      <c r="AI52">
        <v>1.48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0</v>
      </c>
      <c r="AR52">
        <v>0</v>
      </c>
      <c r="AS52" t="s">
        <v>3</v>
      </c>
      <c r="AT52">
        <v>100</v>
      </c>
      <c r="AU52" t="s">
        <v>3</v>
      </c>
      <c r="AV52">
        <v>0</v>
      </c>
      <c r="AW52">
        <v>1</v>
      </c>
      <c r="AX52">
        <v>-1</v>
      </c>
      <c r="AY52">
        <v>0</v>
      </c>
      <c r="AZ52">
        <v>0</v>
      </c>
      <c r="BA52" t="s">
        <v>3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ROUND(Y52*Source!I86,7)</f>
        <v>4</v>
      </c>
      <c r="CY52">
        <f>AA52</f>
        <v>3374</v>
      </c>
      <c r="CZ52">
        <f>AE52</f>
        <v>2279.73</v>
      </c>
      <c r="DA52">
        <f>AI52</f>
        <v>1.48</v>
      </c>
      <c r="DB52">
        <f t="shared" si="17"/>
        <v>227973</v>
      </c>
      <c r="DC52">
        <f t="shared" si="18"/>
        <v>0</v>
      </c>
      <c r="DD52" t="s">
        <v>3</v>
      </c>
      <c r="DE52" t="s">
        <v>3</v>
      </c>
      <c r="DF52">
        <f>ROUND(ROUND(AE52*AI52,2)*CX52,2)</f>
        <v>13496</v>
      </c>
      <c r="DG52">
        <f t="shared" si="15"/>
        <v>0</v>
      </c>
      <c r="DH52">
        <f t="shared" si="10"/>
        <v>0</v>
      </c>
      <c r="DI52">
        <f t="shared" si="11"/>
        <v>0</v>
      </c>
      <c r="DJ52">
        <f>DF52</f>
        <v>13496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ROW(Source!A86)</f>
        <v>86</v>
      </c>
      <c r="B53">
        <v>94240533</v>
      </c>
      <c r="C53">
        <v>94239785</v>
      </c>
      <c r="D53">
        <v>84348652</v>
      </c>
      <c r="E53">
        <v>116</v>
      </c>
      <c r="F53">
        <v>1</v>
      </c>
      <c r="G53">
        <v>1</v>
      </c>
      <c r="H53">
        <v>3</v>
      </c>
      <c r="I53" t="s">
        <v>180</v>
      </c>
      <c r="J53" t="s">
        <v>3</v>
      </c>
      <c r="K53" t="s">
        <v>181</v>
      </c>
      <c r="L53">
        <v>3277935</v>
      </c>
      <c r="N53">
        <v>1013</v>
      </c>
      <c r="O53" t="s">
        <v>182</v>
      </c>
      <c r="P53" t="s">
        <v>182</v>
      </c>
      <c r="Q53">
        <v>1</v>
      </c>
      <c r="W53">
        <v>0</v>
      </c>
      <c r="X53">
        <v>274903907</v>
      </c>
      <c r="Y53">
        <f t="shared" si="16"/>
        <v>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0</v>
      </c>
      <c r="AQ53">
        <v>0</v>
      </c>
      <c r="AR53">
        <v>0</v>
      </c>
      <c r="AS53" t="s">
        <v>3</v>
      </c>
      <c r="AT53">
        <v>2</v>
      </c>
      <c r="AU53" t="s">
        <v>3</v>
      </c>
      <c r="AV53">
        <v>0</v>
      </c>
      <c r="AW53">
        <v>2</v>
      </c>
      <c r="AX53">
        <v>94239796</v>
      </c>
      <c r="AY53">
        <v>1</v>
      </c>
      <c r="AZ53">
        <v>0</v>
      </c>
      <c r="BA53">
        <v>52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ROUND(Y53*Source!I86,7)</f>
        <v>0.08</v>
      </c>
      <c r="CY53">
        <f>AA53</f>
        <v>0</v>
      </c>
      <c r="CZ53">
        <f>AE53</f>
        <v>0</v>
      </c>
      <c r="DA53">
        <f>AI53</f>
        <v>1</v>
      </c>
      <c r="DB53">
        <f t="shared" si="17"/>
        <v>0</v>
      </c>
      <c r="DC53">
        <f t="shared" si="18"/>
        <v>0</v>
      </c>
      <c r="DD53" t="s">
        <v>3</v>
      </c>
      <c r="DE53" t="s">
        <v>3</v>
      </c>
      <c r="DF53">
        <f>ROUND(ROUND(AE53,2)*CX53,2)</f>
        <v>0</v>
      </c>
      <c r="DG53">
        <f t="shared" si="15"/>
        <v>0</v>
      </c>
      <c r="DH53">
        <f t="shared" si="10"/>
        <v>0</v>
      </c>
      <c r="DI53">
        <f t="shared" si="11"/>
        <v>0</v>
      </c>
      <c r="DJ53">
        <f>DF53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ROW(Source!A154)</f>
        <v>154</v>
      </c>
      <c r="B54">
        <v>94240533</v>
      </c>
      <c r="C54">
        <v>94242554</v>
      </c>
      <c r="D54">
        <v>90155066</v>
      </c>
      <c r="E54">
        <v>118</v>
      </c>
      <c r="F54">
        <v>1</v>
      </c>
      <c r="G54">
        <v>1</v>
      </c>
      <c r="H54">
        <v>1</v>
      </c>
      <c r="I54" t="s">
        <v>291</v>
      </c>
      <c r="J54" t="s">
        <v>3</v>
      </c>
      <c r="K54" t="s">
        <v>292</v>
      </c>
      <c r="L54">
        <v>1191</v>
      </c>
      <c r="N54">
        <v>1013</v>
      </c>
      <c r="O54" t="s">
        <v>293</v>
      </c>
      <c r="P54" t="s">
        <v>293</v>
      </c>
      <c r="Q54">
        <v>1</v>
      </c>
      <c r="W54">
        <v>0</v>
      </c>
      <c r="X54">
        <v>32079103</v>
      </c>
      <c r="Y54">
        <f>(AT54*ROUND(1.15,7))</f>
        <v>37.639499999999991</v>
      </c>
      <c r="AA54">
        <v>0</v>
      </c>
      <c r="AB54">
        <v>0</v>
      </c>
      <c r="AC54">
        <v>0</v>
      </c>
      <c r="AD54">
        <v>673.79</v>
      </c>
      <c r="AE54">
        <v>0</v>
      </c>
      <c r="AF54">
        <v>0</v>
      </c>
      <c r="AG54">
        <v>0</v>
      </c>
      <c r="AH54">
        <v>673.79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32.729999999999997</v>
      </c>
      <c r="AU54" t="s">
        <v>23</v>
      </c>
      <c r="AV54">
        <v>1</v>
      </c>
      <c r="AW54">
        <v>2</v>
      </c>
      <c r="AX54">
        <v>94242612</v>
      </c>
      <c r="AY54">
        <v>1</v>
      </c>
      <c r="AZ54">
        <v>0</v>
      </c>
      <c r="BA54">
        <v>53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22053.146699999998</v>
      </c>
      <c r="BN54">
        <v>32.729999999999997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25361.118704999993</v>
      </c>
      <c r="BU54">
        <v>37.639499999999991</v>
      </c>
      <c r="BV54">
        <v>0</v>
      </c>
      <c r="BW54">
        <v>1</v>
      </c>
      <c r="CU54">
        <f>ROUND(AT54*Source!I154*AH54*AL54,2)</f>
        <v>33520.78</v>
      </c>
      <c r="CV54">
        <f>ROUND(Y54*Source!I154,7)</f>
        <v>57.212040000000002</v>
      </c>
      <c r="CW54">
        <v>0</v>
      </c>
      <c r="CX54">
        <f>ROUND(Y54*Source!I154,7)</f>
        <v>57.212040000000002</v>
      </c>
      <c r="CY54">
        <f>AD54</f>
        <v>673.79</v>
      </c>
      <c r="CZ54">
        <f>AH54</f>
        <v>673.79</v>
      </c>
      <c r="DA54">
        <f>AL54</f>
        <v>1</v>
      </c>
      <c r="DB54">
        <f>ROUND((ROUND(AT54*CZ54,2)*ROUND(1.15,7)),6)</f>
        <v>25361.122500000001</v>
      </c>
      <c r="DC54">
        <f>ROUND((ROUND(AT54*AG54,2)*ROUND(1.15,7)),6)</f>
        <v>0</v>
      </c>
      <c r="DD54" t="s">
        <v>3</v>
      </c>
      <c r="DE54" t="s">
        <v>3</v>
      </c>
      <c r="DF54">
        <f>ROUND(ROUND(AE54,2)*CX54,2)</f>
        <v>0</v>
      </c>
      <c r="DG54">
        <f t="shared" si="15"/>
        <v>0</v>
      </c>
      <c r="DH54">
        <f t="shared" si="10"/>
        <v>0</v>
      </c>
      <c r="DI54">
        <f t="shared" si="11"/>
        <v>38548.9</v>
      </c>
      <c r="DJ54">
        <f>DI54</f>
        <v>38548.9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ROW(Source!A154)</f>
        <v>154</v>
      </c>
      <c r="B55">
        <v>94240533</v>
      </c>
      <c r="C55">
        <v>94242554</v>
      </c>
      <c r="D55">
        <v>90155259</v>
      </c>
      <c r="E55">
        <v>118</v>
      </c>
      <c r="F55">
        <v>1</v>
      </c>
      <c r="G55">
        <v>1</v>
      </c>
      <c r="H55">
        <v>1</v>
      </c>
      <c r="I55" t="s">
        <v>294</v>
      </c>
      <c r="J55" t="s">
        <v>3</v>
      </c>
      <c r="K55" t="s">
        <v>295</v>
      </c>
      <c r="L55">
        <v>1191</v>
      </c>
      <c r="N55">
        <v>1013</v>
      </c>
      <c r="O55" t="s">
        <v>293</v>
      </c>
      <c r="P55" t="s">
        <v>293</v>
      </c>
      <c r="Q55">
        <v>1</v>
      </c>
      <c r="W55">
        <v>0</v>
      </c>
      <c r="X55">
        <v>-1417349443</v>
      </c>
      <c r="Y55">
        <f>(AT55*ROUND(1.25,7))</f>
        <v>0.13750000000000001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0.11</v>
      </c>
      <c r="AU55" t="s">
        <v>22</v>
      </c>
      <c r="AV55">
        <v>2</v>
      </c>
      <c r="AW55">
        <v>2</v>
      </c>
      <c r="AX55">
        <v>94242613</v>
      </c>
      <c r="AY55">
        <v>1</v>
      </c>
      <c r="AZ55">
        <v>0</v>
      </c>
      <c r="BA55">
        <v>54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ROUND(Y55*Source!I154,7)</f>
        <v>0.20899999999999999</v>
      </c>
      <c r="CY55">
        <f>AD55</f>
        <v>0</v>
      </c>
      <c r="CZ55">
        <f>AH55</f>
        <v>0</v>
      </c>
      <c r="DA55">
        <f>AL55</f>
        <v>1</v>
      </c>
      <c r="DB55">
        <f>ROUND((ROUND(AT55*CZ55,2)*ROUND(1.25,7)),6)</f>
        <v>0</v>
      </c>
      <c r="DC55">
        <f>ROUND((ROUND(AT55*AG55,2)*ROUND(1.25,7)),6)</f>
        <v>0</v>
      </c>
      <c r="DD55" t="s">
        <v>3</v>
      </c>
      <c r="DE55" t="s">
        <v>3</v>
      </c>
      <c r="DF55">
        <f>ROUND(ROUND(AE55,2)*CX55,2)</f>
        <v>0</v>
      </c>
      <c r="DG55">
        <f t="shared" si="15"/>
        <v>0</v>
      </c>
      <c r="DH55">
        <f t="shared" si="10"/>
        <v>0</v>
      </c>
      <c r="DI55">
        <f t="shared" si="11"/>
        <v>0</v>
      </c>
      <c r="DJ55">
        <f>DI55</f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ROW(Source!A154)</f>
        <v>154</v>
      </c>
      <c r="B56">
        <v>94240533</v>
      </c>
      <c r="C56">
        <v>94242554</v>
      </c>
      <c r="D56">
        <v>90281901</v>
      </c>
      <c r="E56">
        <v>1</v>
      </c>
      <c r="F56">
        <v>1</v>
      </c>
      <c r="G56">
        <v>1</v>
      </c>
      <c r="H56">
        <v>2</v>
      </c>
      <c r="I56" t="s">
        <v>296</v>
      </c>
      <c r="J56" t="s">
        <v>297</v>
      </c>
      <c r="K56" t="s">
        <v>298</v>
      </c>
      <c r="L56">
        <v>1368</v>
      </c>
      <c r="N56">
        <v>1011</v>
      </c>
      <c r="O56" t="s">
        <v>299</v>
      </c>
      <c r="P56" t="s">
        <v>299</v>
      </c>
      <c r="Q56">
        <v>1</v>
      </c>
      <c r="W56">
        <v>0</v>
      </c>
      <c r="X56">
        <v>-1242511048</v>
      </c>
      <c r="Y56">
        <f>(AT56*ROUND(1.25,7))</f>
        <v>1.2500000000000001E-2</v>
      </c>
      <c r="AA56">
        <v>0</v>
      </c>
      <c r="AB56">
        <v>48.06</v>
      </c>
      <c r="AC56">
        <v>649.24</v>
      </c>
      <c r="AD56">
        <v>0</v>
      </c>
      <c r="AE56">
        <v>0</v>
      </c>
      <c r="AF56">
        <v>30.61</v>
      </c>
      <c r="AG56">
        <v>649.24</v>
      </c>
      <c r="AH56">
        <v>0</v>
      </c>
      <c r="AI56">
        <v>1</v>
      </c>
      <c r="AJ56">
        <v>1.57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0.01</v>
      </c>
      <c r="AU56" t="s">
        <v>22</v>
      </c>
      <c r="AV56">
        <v>1</v>
      </c>
      <c r="AW56">
        <v>2</v>
      </c>
      <c r="AX56">
        <v>94242614</v>
      </c>
      <c r="AY56">
        <v>1</v>
      </c>
      <c r="AZ56">
        <v>0</v>
      </c>
      <c r="BA56">
        <v>55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0.30609999999999998</v>
      </c>
      <c r="BL56">
        <v>6.4923999999999999</v>
      </c>
      <c r="BM56">
        <v>0</v>
      </c>
      <c r="BN56">
        <v>0</v>
      </c>
      <c r="BO56">
        <v>0.01</v>
      </c>
      <c r="BP56">
        <v>1</v>
      </c>
      <c r="BQ56">
        <v>0</v>
      </c>
      <c r="BR56">
        <v>0.38262499999999999</v>
      </c>
      <c r="BS56">
        <v>8.1155000000000008</v>
      </c>
      <c r="BT56">
        <v>0</v>
      </c>
      <c r="BU56">
        <v>0</v>
      </c>
      <c r="BV56">
        <v>1.2500000000000001E-2</v>
      </c>
      <c r="BW56">
        <v>1</v>
      </c>
      <c r="CV56">
        <v>0</v>
      </c>
      <c r="CW56">
        <f>ROUND(Y56*Source!I154*DO56,7)</f>
        <v>1.9E-2</v>
      </c>
      <c r="CX56">
        <f>ROUND(Y56*Source!I154,7)</f>
        <v>1.9E-2</v>
      </c>
      <c r="CY56">
        <f>AB56</f>
        <v>48.06</v>
      </c>
      <c r="CZ56">
        <f>AF56</f>
        <v>30.61</v>
      </c>
      <c r="DA56">
        <f>AJ56</f>
        <v>1.57</v>
      </c>
      <c r="DB56">
        <f>ROUND((ROUND(AT56*CZ56,2)*ROUND(1.25,7)),6)</f>
        <v>0.38750000000000001</v>
      </c>
      <c r="DC56">
        <f>ROUND((ROUND(AT56*AG56,2)*ROUND(1.25,7)),6)</f>
        <v>8.1125000000000007</v>
      </c>
      <c r="DD56" t="s">
        <v>3</v>
      </c>
      <c r="DE56" t="s">
        <v>3</v>
      </c>
      <c r="DF56">
        <f>ROUND(ROUND(AE56,2)*CX56,2)</f>
        <v>0</v>
      </c>
      <c r="DG56">
        <f>ROUND(ROUND(AF56*AJ56,2)*CX56,2)</f>
        <v>0.91</v>
      </c>
      <c r="DH56">
        <f t="shared" si="10"/>
        <v>12.34</v>
      </c>
      <c r="DI56">
        <f t="shared" si="11"/>
        <v>0</v>
      </c>
      <c r="DJ56">
        <f>DG56+DH56</f>
        <v>13.25</v>
      </c>
      <c r="DK56">
        <v>0</v>
      </c>
      <c r="DL56" t="s">
        <v>300</v>
      </c>
      <c r="DM56">
        <v>3</v>
      </c>
      <c r="DN56" t="s">
        <v>293</v>
      </c>
      <c r="DO56">
        <v>1</v>
      </c>
    </row>
    <row r="57" spans="1:119" x14ac:dyDescent="0.2">
      <c r="A57">
        <f>ROW(Source!A154)</f>
        <v>154</v>
      </c>
      <c r="B57">
        <v>94240533</v>
      </c>
      <c r="C57">
        <v>94242554</v>
      </c>
      <c r="D57">
        <v>90282618</v>
      </c>
      <c r="E57">
        <v>1</v>
      </c>
      <c r="F57">
        <v>1</v>
      </c>
      <c r="G57">
        <v>1</v>
      </c>
      <c r="H57">
        <v>2</v>
      </c>
      <c r="I57" t="s">
        <v>301</v>
      </c>
      <c r="J57" t="s">
        <v>302</v>
      </c>
      <c r="K57" t="s">
        <v>303</v>
      </c>
      <c r="L57">
        <v>1368</v>
      </c>
      <c r="N57">
        <v>1011</v>
      </c>
      <c r="O57" t="s">
        <v>299</v>
      </c>
      <c r="P57" t="s">
        <v>299</v>
      </c>
      <c r="Q57">
        <v>1</v>
      </c>
      <c r="W57">
        <v>0</v>
      </c>
      <c r="X57">
        <v>-312038840</v>
      </c>
      <c r="Y57">
        <f>(AT57*ROUND(1.25,7))</f>
        <v>0.125</v>
      </c>
      <c r="AA57">
        <v>0</v>
      </c>
      <c r="AB57">
        <v>544.91999999999996</v>
      </c>
      <c r="AC57">
        <v>731.08</v>
      </c>
      <c r="AD57">
        <v>0</v>
      </c>
      <c r="AE57">
        <v>0</v>
      </c>
      <c r="AF57">
        <v>544.91999999999996</v>
      </c>
      <c r="AG57">
        <v>731.08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0.1</v>
      </c>
      <c r="AU57" t="s">
        <v>22</v>
      </c>
      <c r="AV57">
        <v>1</v>
      </c>
      <c r="AW57">
        <v>2</v>
      </c>
      <c r="AX57">
        <v>94242615</v>
      </c>
      <c r="AY57">
        <v>1</v>
      </c>
      <c r="AZ57">
        <v>0</v>
      </c>
      <c r="BA57">
        <v>56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54.491999999999997</v>
      </c>
      <c r="BL57">
        <v>73.108000000000004</v>
      </c>
      <c r="BM57">
        <v>0</v>
      </c>
      <c r="BN57">
        <v>0</v>
      </c>
      <c r="BO57">
        <v>0.1</v>
      </c>
      <c r="BP57">
        <v>1</v>
      </c>
      <c r="BQ57">
        <v>0</v>
      </c>
      <c r="BR57">
        <v>68.114999999999995</v>
      </c>
      <c r="BS57">
        <v>91.385000000000005</v>
      </c>
      <c r="BT57">
        <v>0</v>
      </c>
      <c r="BU57">
        <v>0</v>
      </c>
      <c r="BV57">
        <v>0.125</v>
      </c>
      <c r="BW57">
        <v>1</v>
      </c>
      <c r="CV57">
        <v>0</v>
      </c>
      <c r="CW57">
        <f>ROUND(Y57*Source!I154*DO57,7)</f>
        <v>0.19</v>
      </c>
      <c r="CX57">
        <f>ROUND(Y57*Source!I154,7)</f>
        <v>0.19</v>
      </c>
      <c r="CY57">
        <f>AB57</f>
        <v>544.91999999999996</v>
      </c>
      <c r="CZ57">
        <f>AF57</f>
        <v>544.91999999999996</v>
      </c>
      <c r="DA57">
        <f>AJ57</f>
        <v>1</v>
      </c>
      <c r="DB57">
        <f>ROUND((ROUND(AT57*CZ57,2)*ROUND(1.25,7)),6)</f>
        <v>68.112499999999997</v>
      </c>
      <c r="DC57">
        <f>ROUND((ROUND(AT57*AG57,2)*ROUND(1.25,7)),6)</f>
        <v>91.387500000000003</v>
      </c>
      <c r="DD57" t="s">
        <v>3</v>
      </c>
      <c r="DE57" t="s">
        <v>3</v>
      </c>
      <c r="DF57">
        <f>ROUND(ROUND(AE57,2)*CX57,2)</f>
        <v>0</v>
      </c>
      <c r="DG57">
        <f t="shared" ref="DG57:DG62" si="19">ROUND(ROUND(AF57,2)*CX57,2)</f>
        <v>103.53</v>
      </c>
      <c r="DH57">
        <f t="shared" si="10"/>
        <v>138.91</v>
      </c>
      <c r="DI57">
        <f t="shared" si="11"/>
        <v>0</v>
      </c>
      <c r="DJ57">
        <f>DG57+DH57</f>
        <v>242.44</v>
      </c>
      <c r="DK57">
        <v>1</v>
      </c>
      <c r="DL57" t="s">
        <v>304</v>
      </c>
      <c r="DM57">
        <v>4</v>
      </c>
      <c r="DN57" t="s">
        <v>293</v>
      </c>
      <c r="DO57">
        <v>1</v>
      </c>
    </row>
    <row r="58" spans="1:119" x14ac:dyDescent="0.2">
      <c r="A58">
        <f>ROW(Source!A154)</f>
        <v>154</v>
      </c>
      <c r="B58">
        <v>94240533</v>
      </c>
      <c r="C58">
        <v>94242554</v>
      </c>
      <c r="D58">
        <v>90234112</v>
      </c>
      <c r="E58">
        <v>1</v>
      </c>
      <c r="F58">
        <v>1</v>
      </c>
      <c r="G58">
        <v>1</v>
      </c>
      <c r="H58">
        <v>3</v>
      </c>
      <c r="I58" t="s">
        <v>305</v>
      </c>
      <c r="J58" t="s">
        <v>306</v>
      </c>
      <c r="K58" t="s">
        <v>307</v>
      </c>
      <c r="L58">
        <v>1327</v>
      </c>
      <c r="N58">
        <v>1005</v>
      </c>
      <c r="O58" t="s">
        <v>130</v>
      </c>
      <c r="P58" t="s">
        <v>130</v>
      </c>
      <c r="Q58">
        <v>1</v>
      </c>
      <c r="W58">
        <v>0</v>
      </c>
      <c r="X58">
        <v>-1743799079</v>
      </c>
      <c r="Y58">
        <f>AT58</f>
        <v>0.84</v>
      </c>
      <c r="AA58">
        <v>717.44</v>
      </c>
      <c r="AB58">
        <v>0</v>
      </c>
      <c r="AC58">
        <v>0</v>
      </c>
      <c r="AD58">
        <v>0</v>
      </c>
      <c r="AE58">
        <v>531.44000000000005</v>
      </c>
      <c r="AF58">
        <v>0</v>
      </c>
      <c r="AG58">
        <v>0</v>
      </c>
      <c r="AH58">
        <v>0</v>
      </c>
      <c r="AI58">
        <v>1.35</v>
      </c>
      <c r="AJ58">
        <v>1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0.84</v>
      </c>
      <c r="AU58" t="s">
        <v>3</v>
      </c>
      <c r="AV58">
        <v>0</v>
      </c>
      <c r="AW58">
        <v>2</v>
      </c>
      <c r="AX58">
        <v>94242616</v>
      </c>
      <c r="AY58">
        <v>1</v>
      </c>
      <c r="AZ58">
        <v>0</v>
      </c>
      <c r="BA58">
        <v>57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446.40960000000001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446.40960000000001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ROUND(Y58*Source!I154,7)</f>
        <v>1.2767999999999999</v>
      </c>
      <c r="CY58">
        <f>AA58</f>
        <v>717.44</v>
      </c>
      <c r="CZ58">
        <f>AE58</f>
        <v>531.44000000000005</v>
      </c>
      <c r="DA58">
        <f>AI58</f>
        <v>1.35</v>
      </c>
      <c r="DB58">
        <f>ROUND(ROUND(AT58*CZ58,2),6)</f>
        <v>446.41</v>
      </c>
      <c r="DC58">
        <f>ROUND(ROUND(AT58*AG58,2),6)</f>
        <v>0</v>
      </c>
      <c r="DD58" t="s">
        <v>3</v>
      </c>
      <c r="DE58" t="s">
        <v>3</v>
      </c>
      <c r="DF58">
        <f>ROUND(ROUND(AE58*AI58,2)*CX58,2)</f>
        <v>916.03</v>
      </c>
      <c r="DG58">
        <f t="shared" si="19"/>
        <v>0</v>
      </c>
      <c r="DH58">
        <f t="shared" si="10"/>
        <v>0</v>
      </c>
      <c r="DI58">
        <f t="shared" si="11"/>
        <v>0</v>
      </c>
      <c r="DJ58">
        <f>DF58</f>
        <v>916.03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ROW(Source!A154)</f>
        <v>154</v>
      </c>
      <c r="B59">
        <v>94240533</v>
      </c>
      <c r="C59">
        <v>94242554</v>
      </c>
      <c r="D59">
        <v>90234471</v>
      </c>
      <c r="E59">
        <v>1</v>
      </c>
      <c r="F59">
        <v>1</v>
      </c>
      <c r="G59">
        <v>1</v>
      </c>
      <c r="H59">
        <v>3</v>
      </c>
      <c r="I59" t="s">
        <v>308</v>
      </c>
      <c r="J59" t="s">
        <v>309</v>
      </c>
      <c r="K59" t="s">
        <v>310</v>
      </c>
      <c r="L59">
        <v>1346</v>
      </c>
      <c r="N59">
        <v>1009</v>
      </c>
      <c r="O59" t="s">
        <v>40</v>
      </c>
      <c r="P59" t="s">
        <v>40</v>
      </c>
      <c r="Q59">
        <v>1</v>
      </c>
      <c r="W59">
        <v>0</v>
      </c>
      <c r="X59">
        <v>651944166</v>
      </c>
      <c r="Y59">
        <f>AT59</f>
        <v>0.31</v>
      </c>
      <c r="AA59">
        <v>89.78</v>
      </c>
      <c r="AB59">
        <v>0</v>
      </c>
      <c r="AC59">
        <v>0</v>
      </c>
      <c r="AD59">
        <v>0</v>
      </c>
      <c r="AE59">
        <v>56.11</v>
      </c>
      <c r="AF59">
        <v>0</v>
      </c>
      <c r="AG59">
        <v>0</v>
      </c>
      <c r="AH59">
        <v>0</v>
      </c>
      <c r="AI59">
        <v>1.6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0.31</v>
      </c>
      <c r="AU59" t="s">
        <v>3</v>
      </c>
      <c r="AV59">
        <v>0</v>
      </c>
      <c r="AW59">
        <v>2</v>
      </c>
      <c r="AX59">
        <v>94242617</v>
      </c>
      <c r="AY59">
        <v>1</v>
      </c>
      <c r="AZ59">
        <v>0</v>
      </c>
      <c r="BA59">
        <v>58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17.394099999999998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17.394099999999998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ROUND(Y59*Source!I154,7)</f>
        <v>0.47120000000000001</v>
      </c>
      <c r="CY59">
        <f>AA59</f>
        <v>89.78</v>
      </c>
      <c r="CZ59">
        <f>AE59</f>
        <v>56.11</v>
      </c>
      <c r="DA59">
        <f>AI59</f>
        <v>1.6</v>
      </c>
      <c r="DB59">
        <f>ROUND(ROUND(AT59*CZ59,2),6)</f>
        <v>17.39</v>
      </c>
      <c r="DC59">
        <f>ROUND(ROUND(AT59*AG59,2),6)</f>
        <v>0</v>
      </c>
      <c r="DD59" t="s">
        <v>3</v>
      </c>
      <c r="DE59" t="s">
        <v>3</v>
      </c>
      <c r="DF59">
        <f>ROUND(ROUND(AE59*AI59,2)*CX59,2)</f>
        <v>42.3</v>
      </c>
      <c r="DG59">
        <f t="shared" si="19"/>
        <v>0</v>
      </c>
      <c r="DH59">
        <f t="shared" si="10"/>
        <v>0</v>
      </c>
      <c r="DI59">
        <f t="shared" si="11"/>
        <v>0</v>
      </c>
      <c r="DJ59">
        <f>DF59</f>
        <v>42.3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ROW(Source!A154)</f>
        <v>154</v>
      </c>
      <c r="B60">
        <v>94240533</v>
      </c>
      <c r="C60">
        <v>94242554</v>
      </c>
      <c r="D60">
        <v>90250719</v>
      </c>
      <c r="E60">
        <v>1</v>
      </c>
      <c r="F60">
        <v>1</v>
      </c>
      <c r="G60">
        <v>1</v>
      </c>
      <c r="H60">
        <v>3</v>
      </c>
      <c r="I60" t="s">
        <v>33</v>
      </c>
      <c r="J60" t="s">
        <v>36</v>
      </c>
      <c r="K60" t="s">
        <v>34</v>
      </c>
      <c r="L60">
        <v>1348</v>
      </c>
      <c r="N60">
        <v>1009</v>
      </c>
      <c r="O60" t="s">
        <v>35</v>
      </c>
      <c r="P60" t="s">
        <v>35</v>
      </c>
      <c r="Q60">
        <v>1000</v>
      </c>
      <c r="W60">
        <v>0</v>
      </c>
      <c r="X60">
        <v>88817008</v>
      </c>
      <c r="Y60">
        <f>AT60</f>
        <v>0.03</v>
      </c>
      <c r="AA60">
        <v>153414.73000000001</v>
      </c>
      <c r="AB60">
        <v>0</v>
      </c>
      <c r="AC60">
        <v>0</v>
      </c>
      <c r="AD60">
        <v>0</v>
      </c>
      <c r="AE60">
        <v>87665.56</v>
      </c>
      <c r="AF60">
        <v>0</v>
      </c>
      <c r="AG60">
        <v>0</v>
      </c>
      <c r="AH60">
        <v>0</v>
      </c>
      <c r="AI60">
        <v>1.75</v>
      </c>
      <c r="AJ60">
        <v>1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 t="s">
        <v>3</v>
      </c>
      <c r="AT60">
        <v>0.03</v>
      </c>
      <c r="AU60" t="s">
        <v>3</v>
      </c>
      <c r="AV60">
        <v>0</v>
      </c>
      <c r="AW60">
        <v>1</v>
      </c>
      <c r="AX60">
        <v>-1</v>
      </c>
      <c r="AY60">
        <v>0</v>
      </c>
      <c r="AZ60">
        <v>0</v>
      </c>
      <c r="BA60" t="s">
        <v>3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V60">
        <v>0</v>
      </c>
      <c r="CW60">
        <v>0</v>
      </c>
      <c r="CX60">
        <f>ROUND(Y60*Source!I154,7)</f>
        <v>4.5600000000000002E-2</v>
      </c>
      <c r="CY60">
        <f>AA60</f>
        <v>153414.73000000001</v>
      </c>
      <c r="CZ60">
        <f>AE60</f>
        <v>87665.56</v>
      </c>
      <c r="DA60">
        <f>AI60</f>
        <v>1.75</v>
      </c>
      <c r="DB60">
        <f>ROUND(ROUND(AT60*CZ60,2),6)</f>
        <v>2629.97</v>
      </c>
      <c r="DC60">
        <f>ROUND(ROUND(AT60*AG60,2),6)</f>
        <v>0</v>
      </c>
      <c r="DD60" t="s">
        <v>3</v>
      </c>
      <c r="DE60" t="s">
        <v>3</v>
      </c>
      <c r="DF60">
        <f>ROUND(ROUND(AE60*AI60,2)*CX60,2)</f>
        <v>6995.71</v>
      </c>
      <c r="DG60">
        <f t="shared" si="19"/>
        <v>0</v>
      </c>
      <c r="DH60">
        <f t="shared" si="10"/>
        <v>0</v>
      </c>
      <c r="DI60">
        <f t="shared" si="11"/>
        <v>0</v>
      </c>
      <c r="DJ60">
        <f>DF60</f>
        <v>6995.71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ROW(Source!A154)</f>
        <v>154</v>
      </c>
      <c r="B61">
        <v>94240533</v>
      </c>
      <c r="C61">
        <v>94242554</v>
      </c>
      <c r="D61">
        <v>90250749</v>
      </c>
      <c r="E61">
        <v>1</v>
      </c>
      <c r="F61">
        <v>1</v>
      </c>
      <c r="G61">
        <v>1</v>
      </c>
      <c r="H61">
        <v>3</v>
      </c>
      <c r="I61" t="s">
        <v>38</v>
      </c>
      <c r="J61" t="s">
        <v>41</v>
      </c>
      <c r="K61" t="s">
        <v>39</v>
      </c>
      <c r="L61">
        <v>1346</v>
      </c>
      <c r="N61">
        <v>1009</v>
      </c>
      <c r="O61" t="s">
        <v>40</v>
      </c>
      <c r="P61" t="s">
        <v>40</v>
      </c>
      <c r="Q61">
        <v>1</v>
      </c>
      <c r="W61">
        <v>0</v>
      </c>
      <c r="X61">
        <v>1546742732</v>
      </c>
      <c r="Y61">
        <f>AT61</f>
        <v>20</v>
      </c>
      <c r="AA61">
        <v>105.17</v>
      </c>
      <c r="AB61">
        <v>0</v>
      </c>
      <c r="AC61">
        <v>0</v>
      </c>
      <c r="AD61">
        <v>0</v>
      </c>
      <c r="AE61">
        <v>68.290000000000006</v>
      </c>
      <c r="AF61">
        <v>0</v>
      </c>
      <c r="AG61">
        <v>0</v>
      </c>
      <c r="AH61">
        <v>0</v>
      </c>
      <c r="AI61">
        <v>1.54</v>
      </c>
      <c r="AJ61">
        <v>1</v>
      </c>
      <c r="AK61">
        <v>1</v>
      </c>
      <c r="AL61">
        <v>1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 t="s">
        <v>3</v>
      </c>
      <c r="AT61">
        <v>20</v>
      </c>
      <c r="AU61" t="s">
        <v>3</v>
      </c>
      <c r="AV61">
        <v>0</v>
      </c>
      <c r="AW61">
        <v>1</v>
      </c>
      <c r="AX61">
        <v>-1</v>
      </c>
      <c r="AY61">
        <v>0</v>
      </c>
      <c r="AZ61">
        <v>0</v>
      </c>
      <c r="BA61" t="s">
        <v>3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ROUND(Y61*Source!I154,7)</f>
        <v>30.4</v>
      </c>
      <c r="CY61">
        <f>AA61</f>
        <v>105.17</v>
      </c>
      <c r="CZ61">
        <f>AE61</f>
        <v>68.290000000000006</v>
      </c>
      <c r="DA61">
        <f>AI61</f>
        <v>1.54</v>
      </c>
      <c r="DB61">
        <f>ROUND(ROUND(AT61*CZ61,2),6)</f>
        <v>1365.8</v>
      </c>
      <c r="DC61">
        <f>ROUND(ROUND(AT61*AG61,2),6)</f>
        <v>0</v>
      </c>
      <c r="DD61" t="s">
        <v>3</v>
      </c>
      <c r="DE61" t="s">
        <v>3</v>
      </c>
      <c r="DF61">
        <f>ROUND(ROUND(AE61*AI61,2)*CX61,2)</f>
        <v>3197.17</v>
      </c>
      <c r="DG61">
        <f t="shared" si="19"/>
        <v>0</v>
      </c>
      <c r="DH61">
        <f t="shared" si="10"/>
        <v>0</v>
      </c>
      <c r="DI61">
        <f t="shared" si="11"/>
        <v>0</v>
      </c>
      <c r="DJ61">
        <f>DF61</f>
        <v>3197.17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ROW(Source!A154)</f>
        <v>154</v>
      </c>
      <c r="B62">
        <v>94240533</v>
      </c>
      <c r="C62">
        <v>94242554</v>
      </c>
      <c r="D62">
        <v>90251265</v>
      </c>
      <c r="E62">
        <v>1</v>
      </c>
      <c r="F62">
        <v>1</v>
      </c>
      <c r="G62">
        <v>1</v>
      </c>
      <c r="H62">
        <v>3</v>
      </c>
      <c r="I62" t="s">
        <v>311</v>
      </c>
      <c r="J62" t="s">
        <v>312</v>
      </c>
      <c r="K62" t="s">
        <v>313</v>
      </c>
      <c r="L62">
        <v>1348</v>
      </c>
      <c r="N62">
        <v>1009</v>
      </c>
      <c r="O62" t="s">
        <v>35</v>
      </c>
      <c r="P62" t="s">
        <v>35</v>
      </c>
      <c r="Q62">
        <v>1000</v>
      </c>
      <c r="W62">
        <v>0</v>
      </c>
      <c r="X62">
        <v>-168462489</v>
      </c>
      <c r="Y62">
        <f>AT62</f>
        <v>5.0000000000000001E-3</v>
      </c>
      <c r="AA62">
        <v>76018.080000000002</v>
      </c>
      <c r="AB62">
        <v>0</v>
      </c>
      <c r="AC62">
        <v>0</v>
      </c>
      <c r="AD62">
        <v>0</v>
      </c>
      <c r="AE62">
        <v>52790.33</v>
      </c>
      <c r="AF62">
        <v>0</v>
      </c>
      <c r="AG62">
        <v>0</v>
      </c>
      <c r="AH62">
        <v>0</v>
      </c>
      <c r="AI62">
        <v>1.44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5.0000000000000001E-3</v>
      </c>
      <c r="AU62" t="s">
        <v>3</v>
      </c>
      <c r="AV62">
        <v>0</v>
      </c>
      <c r="AW62">
        <v>2</v>
      </c>
      <c r="AX62">
        <v>94242620</v>
      </c>
      <c r="AY62">
        <v>1</v>
      </c>
      <c r="AZ62">
        <v>0</v>
      </c>
      <c r="BA62">
        <v>61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263.95165000000003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263.95165000000003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ROUND(Y62*Source!I154,7)</f>
        <v>7.6E-3</v>
      </c>
      <c r="CY62">
        <f>AA62</f>
        <v>76018.080000000002</v>
      </c>
      <c r="CZ62">
        <f>AE62</f>
        <v>52790.33</v>
      </c>
      <c r="DA62">
        <f>AI62</f>
        <v>1.44</v>
      </c>
      <c r="DB62">
        <f>ROUND(ROUND(AT62*CZ62,2),6)</f>
        <v>263.95</v>
      </c>
      <c r="DC62">
        <f>ROUND(ROUND(AT62*AG62,2),6)</f>
        <v>0</v>
      </c>
      <c r="DD62" t="s">
        <v>3</v>
      </c>
      <c r="DE62" t="s">
        <v>3</v>
      </c>
      <c r="DF62">
        <f>ROUND(ROUND(AE62*AI62,2)*CX62,2)</f>
        <v>577.74</v>
      </c>
      <c r="DG62">
        <f t="shared" si="19"/>
        <v>0</v>
      </c>
      <c r="DH62">
        <f t="shared" si="10"/>
        <v>0</v>
      </c>
      <c r="DI62">
        <f t="shared" si="11"/>
        <v>0</v>
      </c>
      <c r="DJ62">
        <f>DF62</f>
        <v>577.74</v>
      </c>
      <c r="DK62">
        <v>0</v>
      </c>
      <c r="DL62" t="s">
        <v>3</v>
      </c>
      <c r="DM62">
        <v>0</v>
      </c>
      <c r="DN62" t="s">
        <v>3</v>
      </c>
      <c r="DO6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94242658</v>
      </c>
      <c r="C1">
        <v>94242648</v>
      </c>
      <c r="D1">
        <v>37064978</v>
      </c>
      <c r="E1">
        <v>118</v>
      </c>
      <c r="F1">
        <v>1</v>
      </c>
      <c r="G1">
        <v>1</v>
      </c>
      <c r="H1">
        <v>1</v>
      </c>
      <c r="I1" t="s">
        <v>291</v>
      </c>
      <c r="J1" t="s">
        <v>3</v>
      </c>
      <c r="K1" t="s">
        <v>292</v>
      </c>
      <c r="L1">
        <v>1191</v>
      </c>
      <c r="N1">
        <v>1013</v>
      </c>
      <c r="O1" t="s">
        <v>293</v>
      </c>
      <c r="P1" t="s">
        <v>293</v>
      </c>
      <c r="Q1">
        <v>1</v>
      </c>
      <c r="X1">
        <v>32.729999999999997</v>
      </c>
      <c r="Y1">
        <v>0</v>
      </c>
      <c r="Z1">
        <v>0</v>
      </c>
      <c r="AA1">
        <v>0</v>
      </c>
      <c r="AB1">
        <v>673.79</v>
      </c>
      <c r="AC1">
        <v>0</v>
      </c>
      <c r="AD1">
        <v>1</v>
      </c>
      <c r="AE1">
        <v>1</v>
      </c>
      <c r="AF1" t="s">
        <v>23</v>
      </c>
      <c r="AG1">
        <v>37.639499999999991</v>
      </c>
      <c r="AH1">
        <v>2</v>
      </c>
      <c r="AI1">
        <v>94242649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94242659</v>
      </c>
      <c r="C2">
        <v>94242648</v>
      </c>
      <c r="D2">
        <v>37064876</v>
      </c>
      <c r="E2">
        <v>118</v>
      </c>
      <c r="F2">
        <v>1</v>
      </c>
      <c r="G2">
        <v>1</v>
      </c>
      <c r="H2">
        <v>1</v>
      </c>
      <c r="I2" t="s">
        <v>294</v>
      </c>
      <c r="J2" t="s">
        <v>3</v>
      </c>
      <c r="K2" t="s">
        <v>295</v>
      </c>
      <c r="L2">
        <v>1191</v>
      </c>
      <c r="N2">
        <v>1013</v>
      </c>
      <c r="O2" t="s">
        <v>293</v>
      </c>
      <c r="P2" t="s">
        <v>293</v>
      </c>
      <c r="Q2">
        <v>1</v>
      </c>
      <c r="X2">
        <v>0.11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22</v>
      </c>
      <c r="AG2">
        <v>0.13750000000000001</v>
      </c>
      <c r="AH2">
        <v>2</v>
      </c>
      <c r="AI2">
        <v>94242650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94242660</v>
      </c>
      <c r="C3">
        <v>94242648</v>
      </c>
      <c r="D3">
        <v>90281901</v>
      </c>
      <c r="E3">
        <v>1</v>
      </c>
      <c r="F3">
        <v>1</v>
      </c>
      <c r="G3">
        <v>1</v>
      </c>
      <c r="H3">
        <v>2</v>
      </c>
      <c r="I3" t="s">
        <v>296</v>
      </c>
      <c r="J3" t="s">
        <v>297</v>
      </c>
      <c r="K3" t="s">
        <v>298</v>
      </c>
      <c r="L3">
        <v>1368</v>
      </c>
      <c r="N3">
        <v>1011</v>
      </c>
      <c r="O3" t="s">
        <v>299</v>
      </c>
      <c r="P3" t="s">
        <v>299</v>
      </c>
      <c r="Q3">
        <v>1</v>
      </c>
      <c r="X3">
        <v>0.01</v>
      </c>
      <c r="Y3">
        <v>0</v>
      </c>
      <c r="Z3">
        <v>30.61</v>
      </c>
      <c r="AA3">
        <v>649.24</v>
      </c>
      <c r="AB3">
        <v>0</v>
      </c>
      <c r="AC3">
        <v>0</v>
      </c>
      <c r="AD3">
        <v>1</v>
      </c>
      <c r="AE3">
        <v>0</v>
      </c>
      <c r="AF3" t="s">
        <v>22</v>
      </c>
      <c r="AG3">
        <v>1.2500000000000001E-2</v>
      </c>
      <c r="AH3">
        <v>2</v>
      </c>
      <c r="AI3">
        <v>94242651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94242661</v>
      </c>
      <c r="C4">
        <v>94242648</v>
      </c>
      <c r="D4">
        <v>90282618</v>
      </c>
      <c r="E4">
        <v>1</v>
      </c>
      <c r="F4">
        <v>1</v>
      </c>
      <c r="G4">
        <v>1</v>
      </c>
      <c r="H4">
        <v>2</v>
      </c>
      <c r="I4" t="s">
        <v>301</v>
      </c>
      <c r="J4" t="s">
        <v>302</v>
      </c>
      <c r="K4" t="s">
        <v>303</v>
      </c>
      <c r="L4">
        <v>1368</v>
      </c>
      <c r="N4">
        <v>1011</v>
      </c>
      <c r="O4" t="s">
        <v>299</v>
      </c>
      <c r="P4" t="s">
        <v>299</v>
      </c>
      <c r="Q4">
        <v>1</v>
      </c>
      <c r="X4">
        <v>0.1</v>
      </c>
      <c r="Y4">
        <v>0</v>
      </c>
      <c r="Z4">
        <v>544.91999999999996</v>
      </c>
      <c r="AA4">
        <v>731.08</v>
      </c>
      <c r="AB4">
        <v>0</v>
      </c>
      <c r="AC4">
        <v>0</v>
      </c>
      <c r="AD4">
        <v>1</v>
      </c>
      <c r="AE4">
        <v>0</v>
      </c>
      <c r="AF4" t="s">
        <v>22</v>
      </c>
      <c r="AG4">
        <v>0.125</v>
      </c>
      <c r="AH4">
        <v>2</v>
      </c>
      <c r="AI4">
        <v>94242652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94242662</v>
      </c>
      <c r="C5">
        <v>94242648</v>
      </c>
      <c r="D5">
        <v>90234112</v>
      </c>
      <c r="E5">
        <v>1</v>
      </c>
      <c r="F5">
        <v>1</v>
      </c>
      <c r="G5">
        <v>1</v>
      </c>
      <c r="H5">
        <v>3</v>
      </c>
      <c r="I5" t="s">
        <v>305</v>
      </c>
      <c r="J5" t="s">
        <v>306</v>
      </c>
      <c r="K5" t="s">
        <v>307</v>
      </c>
      <c r="L5">
        <v>1327</v>
      </c>
      <c r="N5">
        <v>1005</v>
      </c>
      <c r="O5" t="s">
        <v>130</v>
      </c>
      <c r="P5" t="s">
        <v>130</v>
      </c>
      <c r="Q5">
        <v>1</v>
      </c>
      <c r="X5">
        <v>0.84</v>
      </c>
      <c r="Y5">
        <v>531.44000000000005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0.84</v>
      </c>
      <c r="AH5">
        <v>2</v>
      </c>
      <c r="AI5">
        <v>94242653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94242663</v>
      </c>
      <c r="C6">
        <v>94242648</v>
      </c>
      <c r="D6">
        <v>90234471</v>
      </c>
      <c r="E6">
        <v>1</v>
      </c>
      <c r="F6">
        <v>1</v>
      </c>
      <c r="G6">
        <v>1</v>
      </c>
      <c r="H6">
        <v>3</v>
      </c>
      <c r="I6" t="s">
        <v>308</v>
      </c>
      <c r="J6" t="s">
        <v>309</v>
      </c>
      <c r="K6" t="s">
        <v>310</v>
      </c>
      <c r="L6">
        <v>1346</v>
      </c>
      <c r="N6">
        <v>1009</v>
      </c>
      <c r="O6" t="s">
        <v>40</v>
      </c>
      <c r="P6" t="s">
        <v>40</v>
      </c>
      <c r="Q6">
        <v>1</v>
      </c>
      <c r="X6">
        <v>0.31</v>
      </c>
      <c r="Y6">
        <v>56.11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0.31</v>
      </c>
      <c r="AH6">
        <v>2</v>
      </c>
      <c r="AI6">
        <v>94242654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94242664</v>
      </c>
      <c r="C7">
        <v>94242648</v>
      </c>
      <c r="D7">
        <v>90159099</v>
      </c>
      <c r="E7">
        <v>118</v>
      </c>
      <c r="F7">
        <v>1</v>
      </c>
      <c r="G7">
        <v>1</v>
      </c>
      <c r="H7">
        <v>3</v>
      </c>
      <c r="I7" t="s">
        <v>345</v>
      </c>
      <c r="J7" t="s">
        <v>3</v>
      </c>
      <c r="K7" t="s">
        <v>346</v>
      </c>
      <c r="L7">
        <v>1348</v>
      </c>
      <c r="N7">
        <v>1009</v>
      </c>
      <c r="O7" t="s">
        <v>35</v>
      </c>
      <c r="P7" t="s">
        <v>35</v>
      </c>
      <c r="Q7">
        <v>1000</v>
      </c>
      <c r="X7">
        <v>0.03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3</v>
      </c>
      <c r="AG7">
        <v>0.03</v>
      </c>
      <c r="AH7">
        <v>3</v>
      </c>
      <c r="AI7">
        <v>-1</v>
      </c>
      <c r="AJ7" t="s">
        <v>3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ROW(Source!A28)</f>
        <v>28</v>
      </c>
      <c r="B8">
        <v>94242665</v>
      </c>
      <c r="C8">
        <v>94242648</v>
      </c>
      <c r="D8">
        <v>90159118</v>
      </c>
      <c r="E8">
        <v>118</v>
      </c>
      <c r="F8">
        <v>1</v>
      </c>
      <c r="G8">
        <v>1</v>
      </c>
      <c r="H8">
        <v>3</v>
      </c>
      <c r="I8" t="s">
        <v>347</v>
      </c>
      <c r="J8" t="s">
        <v>3</v>
      </c>
      <c r="K8" t="s">
        <v>348</v>
      </c>
      <c r="L8">
        <v>1348</v>
      </c>
      <c r="N8">
        <v>1009</v>
      </c>
      <c r="O8" t="s">
        <v>35</v>
      </c>
      <c r="P8" t="s">
        <v>35</v>
      </c>
      <c r="Q8">
        <v>1000</v>
      </c>
      <c r="X8">
        <v>0.02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3</v>
      </c>
      <c r="AG8">
        <v>0.02</v>
      </c>
      <c r="AH8">
        <v>3</v>
      </c>
      <c r="AI8">
        <v>-1</v>
      </c>
      <c r="AJ8" t="s">
        <v>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ROW(Source!A28)</f>
        <v>28</v>
      </c>
      <c r="B9">
        <v>94242666</v>
      </c>
      <c r="C9">
        <v>94242648</v>
      </c>
      <c r="D9">
        <v>90251265</v>
      </c>
      <c r="E9">
        <v>1</v>
      </c>
      <c r="F9">
        <v>1</v>
      </c>
      <c r="G9">
        <v>1</v>
      </c>
      <c r="H9">
        <v>3</v>
      </c>
      <c r="I9" t="s">
        <v>311</v>
      </c>
      <c r="J9" t="s">
        <v>312</v>
      </c>
      <c r="K9" t="s">
        <v>313</v>
      </c>
      <c r="L9">
        <v>1348</v>
      </c>
      <c r="N9">
        <v>1009</v>
      </c>
      <c r="O9" t="s">
        <v>35</v>
      </c>
      <c r="P9" t="s">
        <v>35</v>
      </c>
      <c r="Q9">
        <v>1000</v>
      </c>
      <c r="X9">
        <v>5.0000000000000001E-3</v>
      </c>
      <c r="Y9">
        <v>52790.33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5.0000000000000001E-3</v>
      </c>
      <c r="AH9">
        <v>2</v>
      </c>
      <c r="AI9">
        <v>94242657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ROW(Source!A70)</f>
        <v>70</v>
      </c>
      <c r="B10">
        <v>94242637</v>
      </c>
      <c r="C10">
        <v>94242627</v>
      </c>
      <c r="D10">
        <v>37064978</v>
      </c>
      <c r="E10">
        <v>118</v>
      </c>
      <c r="F10">
        <v>1</v>
      </c>
      <c r="G10">
        <v>1</v>
      </c>
      <c r="H10">
        <v>1</v>
      </c>
      <c r="I10" t="s">
        <v>291</v>
      </c>
      <c r="J10" t="s">
        <v>3</v>
      </c>
      <c r="K10" t="s">
        <v>292</v>
      </c>
      <c r="L10">
        <v>1191</v>
      </c>
      <c r="N10">
        <v>1013</v>
      </c>
      <c r="O10" t="s">
        <v>293</v>
      </c>
      <c r="P10" t="s">
        <v>293</v>
      </c>
      <c r="Q10">
        <v>1</v>
      </c>
      <c r="X10">
        <v>32.729999999999997</v>
      </c>
      <c r="Y10">
        <v>0</v>
      </c>
      <c r="Z10">
        <v>0</v>
      </c>
      <c r="AA10">
        <v>0</v>
      </c>
      <c r="AB10">
        <v>673.79</v>
      </c>
      <c r="AC10">
        <v>0</v>
      </c>
      <c r="AD10">
        <v>1</v>
      </c>
      <c r="AE10">
        <v>1</v>
      </c>
      <c r="AF10" t="s">
        <v>23</v>
      </c>
      <c r="AG10">
        <v>37.639499999999991</v>
      </c>
      <c r="AH10">
        <v>2</v>
      </c>
      <c r="AI10">
        <v>94242628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ROW(Source!A70)</f>
        <v>70</v>
      </c>
      <c r="B11">
        <v>94242638</v>
      </c>
      <c r="C11">
        <v>94242627</v>
      </c>
      <c r="D11">
        <v>37064876</v>
      </c>
      <c r="E11">
        <v>118</v>
      </c>
      <c r="F11">
        <v>1</v>
      </c>
      <c r="G11">
        <v>1</v>
      </c>
      <c r="H11">
        <v>1</v>
      </c>
      <c r="I11" t="s">
        <v>294</v>
      </c>
      <c r="J11" t="s">
        <v>3</v>
      </c>
      <c r="K11" t="s">
        <v>295</v>
      </c>
      <c r="L11">
        <v>1191</v>
      </c>
      <c r="N11">
        <v>1013</v>
      </c>
      <c r="O11" t="s">
        <v>293</v>
      </c>
      <c r="P11" t="s">
        <v>293</v>
      </c>
      <c r="Q11">
        <v>1</v>
      </c>
      <c r="X11">
        <v>0.11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2</v>
      </c>
      <c r="AF11" t="s">
        <v>22</v>
      </c>
      <c r="AG11">
        <v>0.13750000000000001</v>
      </c>
      <c r="AH11">
        <v>2</v>
      </c>
      <c r="AI11">
        <v>94242629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ROW(Source!A70)</f>
        <v>70</v>
      </c>
      <c r="B12">
        <v>94242639</v>
      </c>
      <c r="C12">
        <v>94242627</v>
      </c>
      <c r="D12">
        <v>90281901</v>
      </c>
      <c r="E12">
        <v>1</v>
      </c>
      <c r="F12">
        <v>1</v>
      </c>
      <c r="G12">
        <v>1</v>
      </c>
      <c r="H12">
        <v>2</v>
      </c>
      <c r="I12" t="s">
        <v>296</v>
      </c>
      <c r="J12" t="s">
        <v>297</v>
      </c>
      <c r="K12" t="s">
        <v>298</v>
      </c>
      <c r="L12">
        <v>1368</v>
      </c>
      <c r="N12">
        <v>1011</v>
      </c>
      <c r="O12" t="s">
        <v>299</v>
      </c>
      <c r="P12" t="s">
        <v>299</v>
      </c>
      <c r="Q12">
        <v>1</v>
      </c>
      <c r="X12">
        <v>0.01</v>
      </c>
      <c r="Y12">
        <v>0</v>
      </c>
      <c r="Z12">
        <v>30.61</v>
      </c>
      <c r="AA12">
        <v>649.24</v>
      </c>
      <c r="AB12">
        <v>0</v>
      </c>
      <c r="AC12">
        <v>0</v>
      </c>
      <c r="AD12">
        <v>1</v>
      </c>
      <c r="AE12">
        <v>0</v>
      </c>
      <c r="AF12" t="s">
        <v>22</v>
      </c>
      <c r="AG12">
        <v>1.2500000000000001E-2</v>
      </c>
      <c r="AH12">
        <v>2</v>
      </c>
      <c r="AI12">
        <v>94242630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ROW(Source!A70)</f>
        <v>70</v>
      </c>
      <c r="B13">
        <v>94242640</v>
      </c>
      <c r="C13">
        <v>94242627</v>
      </c>
      <c r="D13">
        <v>90282618</v>
      </c>
      <c r="E13">
        <v>1</v>
      </c>
      <c r="F13">
        <v>1</v>
      </c>
      <c r="G13">
        <v>1</v>
      </c>
      <c r="H13">
        <v>2</v>
      </c>
      <c r="I13" t="s">
        <v>301</v>
      </c>
      <c r="J13" t="s">
        <v>302</v>
      </c>
      <c r="K13" t="s">
        <v>303</v>
      </c>
      <c r="L13">
        <v>1368</v>
      </c>
      <c r="N13">
        <v>1011</v>
      </c>
      <c r="O13" t="s">
        <v>299</v>
      </c>
      <c r="P13" t="s">
        <v>299</v>
      </c>
      <c r="Q13">
        <v>1</v>
      </c>
      <c r="X13">
        <v>0.1</v>
      </c>
      <c r="Y13">
        <v>0</v>
      </c>
      <c r="Z13">
        <v>544.91999999999996</v>
      </c>
      <c r="AA13">
        <v>731.08</v>
      </c>
      <c r="AB13">
        <v>0</v>
      </c>
      <c r="AC13">
        <v>0</v>
      </c>
      <c r="AD13">
        <v>1</v>
      </c>
      <c r="AE13">
        <v>0</v>
      </c>
      <c r="AF13" t="s">
        <v>22</v>
      </c>
      <c r="AG13">
        <v>0.125</v>
      </c>
      <c r="AH13">
        <v>2</v>
      </c>
      <c r="AI13">
        <v>94242631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ROW(Source!A70)</f>
        <v>70</v>
      </c>
      <c r="B14">
        <v>94242641</v>
      </c>
      <c r="C14">
        <v>94242627</v>
      </c>
      <c r="D14">
        <v>90234112</v>
      </c>
      <c r="E14">
        <v>1</v>
      </c>
      <c r="F14">
        <v>1</v>
      </c>
      <c r="G14">
        <v>1</v>
      </c>
      <c r="H14">
        <v>3</v>
      </c>
      <c r="I14" t="s">
        <v>305</v>
      </c>
      <c r="J14" t="s">
        <v>306</v>
      </c>
      <c r="K14" t="s">
        <v>307</v>
      </c>
      <c r="L14">
        <v>1327</v>
      </c>
      <c r="N14">
        <v>1005</v>
      </c>
      <c r="O14" t="s">
        <v>130</v>
      </c>
      <c r="P14" t="s">
        <v>130</v>
      </c>
      <c r="Q14">
        <v>1</v>
      </c>
      <c r="X14">
        <v>0.84</v>
      </c>
      <c r="Y14">
        <v>531.44000000000005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0.84</v>
      </c>
      <c r="AH14">
        <v>2</v>
      </c>
      <c r="AI14">
        <v>94242632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ROW(Source!A70)</f>
        <v>70</v>
      </c>
      <c r="B15">
        <v>94242642</v>
      </c>
      <c r="C15">
        <v>94242627</v>
      </c>
      <c r="D15">
        <v>90234471</v>
      </c>
      <c r="E15">
        <v>1</v>
      </c>
      <c r="F15">
        <v>1</v>
      </c>
      <c r="G15">
        <v>1</v>
      </c>
      <c r="H15">
        <v>3</v>
      </c>
      <c r="I15" t="s">
        <v>308</v>
      </c>
      <c r="J15" t="s">
        <v>309</v>
      </c>
      <c r="K15" t="s">
        <v>310</v>
      </c>
      <c r="L15">
        <v>1346</v>
      </c>
      <c r="N15">
        <v>1009</v>
      </c>
      <c r="O15" t="s">
        <v>40</v>
      </c>
      <c r="P15" t="s">
        <v>40</v>
      </c>
      <c r="Q15">
        <v>1</v>
      </c>
      <c r="X15">
        <v>0.31</v>
      </c>
      <c r="Y15">
        <v>56.11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0.31</v>
      </c>
      <c r="AH15">
        <v>2</v>
      </c>
      <c r="AI15">
        <v>94242633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ROW(Source!A70)</f>
        <v>70</v>
      </c>
      <c r="B16">
        <v>94242643</v>
      </c>
      <c r="C16">
        <v>94242627</v>
      </c>
      <c r="D16">
        <v>90159099</v>
      </c>
      <c r="E16">
        <v>118</v>
      </c>
      <c r="F16">
        <v>1</v>
      </c>
      <c r="G16">
        <v>1</v>
      </c>
      <c r="H16">
        <v>3</v>
      </c>
      <c r="I16" t="s">
        <v>345</v>
      </c>
      <c r="J16" t="s">
        <v>3</v>
      </c>
      <c r="K16" t="s">
        <v>346</v>
      </c>
      <c r="L16">
        <v>1348</v>
      </c>
      <c r="N16">
        <v>1009</v>
      </c>
      <c r="O16" t="s">
        <v>35</v>
      </c>
      <c r="P16" t="s">
        <v>35</v>
      </c>
      <c r="Q16">
        <v>1000</v>
      </c>
      <c r="X16">
        <v>0.03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3</v>
      </c>
      <c r="AG16">
        <v>0.03</v>
      </c>
      <c r="AH16">
        <v>3</v>
      </c>
      <c r="AI16">
        <v>-1</v>
      </c>
      <c r="AJ16" t="s">
        <v>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ROW(Source!A70)</f>
        <v>70</v>
      </c>
      <c r="B17">
        <v>94242644</v>
      </c>
      <c r="C17">
        <v>94242627</v>
      </c>
      <c r="D17">
        <v>90159118</v>
      </c>
      <c r="E17">
        <v>118</v>
      </c>
      <c r="F17">
        <v>1</v>
      </c>
      <c r="G17">
        <v>1</v>
      </c>
      <c r="H17">
        <v>3</v>
      </c>
      <c r="I17" t="s">
        <v>347</v>
      </c>
      <c r="J17" t="s">
        <v>3</v>
      </c>
      <c r="K17" t="s">
        <v>348</v>
      </c>
      <c r="L17">
        <v>1348</v>
      </c>
      <c r="N17">
        <v>1009</v>
      </c>
      <c r="O17" t="s">
        <v>35</v>
      </c>
      <c r="P17" t="s">
        <v>35</v>
      </c>
      <c r="Q17">
        <v>1000</v>
      </c>
      <c r="X17">
        <v>0.02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3</v>
      </c>
      <c r="AG17">
        <v>0.02</v>
      </c>
      <c r="AH17">
        <v>3</v>
      </c>
      <c r="AI17">
        <v>-1</v>
      </c>
      <c r="AJ17" t="s">
        <v>3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ROW(Source!A70)</f>
        <v>70</v>
      </c>
      <c r="B18">
        <v>94242645</v>
      </c>
      <c r="C18">
        <v>94242627</v>
      </c>
      <c r="D18">
        <v>90251265</v>
      </c>
      <c r="E18">
        <v>1</v>
      </c>
      <c r="F18">
        <v>1</v>
      </c>
      <c r="G18">
        <v>1</v>
      </c>
      <c r="H18">
        <v>3</v>
      </c>
      <c r="I18" t="s">
        <v>311</v>
      </c>
      <c r="J18" t="s">
        <v>312</v>
      </c>
      <c r="K18" t="s">
        <v>313</v>
      </c>
      <c r="L18">
        <v>1348</v>
      </c>
      <c r="N18">
        <v>1009</v>
      </c>
      <c r="O18" t="s">
        <v>35</v>
      </c>
      <c r="P18" t="s">
        <v>35</v>
      </c>
      <c r="Q18">
        <v>1000</v>
      </c>
      <c r="X18">
        <v>5.0000000000000001E-3</v>
      </c>
      <c r="Y18">
        <v>52790.33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5.0000000000000001E-3</v>
      </c>
      <c r="AH18">
        <v>2</v>
      </c>
      <c r="AI18">
        <v>94242636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ROW(Source!A73)</f>
        <v>73</v>
      </c>
      <c r="B19">
        <v>94239717</v>
      </c>
      <c r="C19">
        <v>94239714</v>
      </c>
      <c r="D19">
        <v>84342625</v>
      </c>
      <c r="E19">
        <v>116</v>
      </c>
      <c r="F19">
        <v>1</v>
      </c>
      <c r="G19">
        <v>1</v>
      </c>
      <c r="H19">
        <v>1</v>
      </c>
      <c r="I19" t="s">
        <v>314</v>
      </c>
      <c r="J19" t="s">
        <v>3</v>
      </c>
      <c r="K19" t="s">
        <v>315</v>
      </c>
      <c r="L19">
        <v>1191</v>
      </c>
      <c r="N19">
        <v>1013</v>
      </c>
      <c r="O19" t="s">
        <v>293</v>
      </c>
      <c r="P19" t="s">
        <v>293</v>
      </c>
      <c r="Q19">
        <v>1</v>
      </c>
      <c r="X19">
        <v>3.77</v>
      </c>
      <c r="Y19">
        <v>0</v>
      </c>
      <c r="Z19">
        <v>0</v>
      </c>
      <c r="AA19">
        <v>0</v>
      </c>
      <c r="AB19">
        <v>580.22</v>
      </c>
      <c r="AC19">
        <v>0</v>
      </c>
      <c r="AD19">
        <v>1</v>
      </c>
      <c r="AE19">
        <v>1</v>
      </c>
      <c r="AF19" t="s">
        <v>3</v>
      </c>
      <c r="AG19">
        <v>3.77</v>
      </c>
      <c r="AH19">
        <v>2</v>
      </c>
      <c r="AI19">
        <v>94239715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ROW(Source!A73)</f>
        <v>73</v>
      </c>
      <c r="B20">
        <v>94239718</v>
      </c>
      <c r="C20">
        <v>94239714</v>
      </c>
      <c r="D20">
        <v>84348657</v>
      </c>
      <c r="E20">
        <v>116</v>
      </c>
      <c r="F20">
        <v>1</v>
      </c>
      <c r="G20">
        <v>1</v>
      </c>
      <c r="H20">
        <v>3</v>
      </c>
      <c r="I20" t="s">
        <v>113</v>
      </c>
      <c r="J20" t="s">
        <v>3</v>
      </c>
      <c r="K20" t="s">
        <v>114</v>
      </c>
      <c r="L20">
        <v>1348</v>
      </c>
      <c r="N20">
        <v>1009</v>
      </c>
      <c r="O20" t="s">
        <v>35</v>
      </c>
      <c r="P20" t="s">
        <v>35</v>
      </c>
      <c r="Q20">
        <v>1000</v>
      </c>
      <c r="X20">
        <v>0.11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3</v>
      </c>
      <c r="AG20">
        <v>0.11</v>
      </c>
      <c r="AH20">
        <v>2</v>
      </c>
      <c r="AI20">
        <v>94239716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ROW(Source!A75)</f>
        <v>75</v>
      </c>
      <c r="B21">
        <v>94239725</v>
      </c>
      <c r="C21">
        <v>94239720</v>
      </c>
      <c r="D21">
        <v>84342625</v>
      </c>
      <c r="E21">
        <v>116</v>
      </c>
      <c r="F21">
        <v>1</v>
      </c>
      <c r="G21">
        <v>1</v>
      </c>
      <c r="H21">
        <v>1</v>
      </c>
      <c r="I21" t="s">
        <v>314</v>
      </c>
      <c r="J21" t="s">
        <v>3</v>
      </c>
      <c r="K21" t="s">
        <v>315</v>
      </c>
      <c r="L21">
        <v>1191</v>
      </c>
      <c r="N21">
        <v>1013</v>
      </c>
      <c r="O21" t="s">
        <v>293</v>
      </c>
      <c r="P21" t="s">
        <v>293</v>
      </c>
      <c r="Q21">
        <v>1</v>
      </c>
      <c r="X21">
        <v>11.39</v>
      </c>
      <c r="Y21">
        <v>0</v>
      </c>
      <c r="Z21">
        <v>0</v>
      </c>
      <c r="AA21">
        <v>0</v>
      </c>
      <c r="AB21">
        <v>580.22</v>
      </c>
      <c r="AC21">
        <v>0</v>
      </c>
      <c r="AD21">
        <v>1</v>
      </c>
      <c r="AE21">
        <v>1</v>
      </c>
      <c r="AF21" t="s">
        <v>3</v>
      </c>
      <c r="AG21">
        <v>11.39</v>
      </c>
      <c r="AH21">
        <v>2</v>
      </c>
      <c r="AI21">
        <v>94239721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ROW(Source!A75)</f>
        <v>75</v>
      </c>
      <c r="B22">
        <v>94239726</v>
      </c>
      <c r="C22">
        <v>94239720</v>
      </c>
      <c r="D22">
        <v>84342860</v>
      </c>
      <c r="E22">
        <v>116</v>
      </c>
      <c r="F22">
        <v>1</v>
      </c>
      <c r="G22">
        <v>1</v>
      </c>
      <c r="H22">
        <v>1</v>
      </c>
      <c r="I22" t="s">
        <v>294</v>
      </c>
      <c r="J22" t="s">
        <v>3</v>
      </c>
      <c r="K22" t="s">
        <v>295</v>
      </c>
      <c r="L22">
        <v>1191</v>
      </c>
      <c r="N22">
        <v>1013</v>
      </c>
      <c r="O22" t="s">
        <v>293</v>
      </c>
      <c r="P22" t="s">
        <v>293</v>
      </c>
      <c r="Q22">
        <v>1</v>
      </c>
      <c r="X22">
        <v>0.13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2</v>
      </c>
      <c r="AF22" t="s">
        <v>3</v>
      </c>
      <c r="AG22">
        <v>0.13</v>
      </c>
      <c r="AH22">
        <v>2</v>
      </c>
      <c r="AI22">
        <v>94239722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ROW(Source!A75)</f>
        <v>75</v>
      </c>
      <c r="B23">
        <v>94239727</v>
      </c>
      <c r="C23">
        <v>94239720</v>
      </c>
      <c r="D23">
        <v>84464037</v>
      </c>
      <c r="E23">
        <v>1</v>
      </c>
      <c r="F23">
        <v>1</v>
      </c>
      <c r="G23">
        <v>1</v>
      </c>
      <c r="H23">
        <v>2</v>
      </c>
      <c r="I23" t="s">
        <v>316</v>
      </c>
      <c r="J23" t="s">
        <v>317</v>
      </c>
      <c r="K23" t="s">
        <v>318</v>
      </c>
      <c r="L23">
        <v>1368</v>
      </c>
      <c r="N23">
        <v>1011</v>
      </c>
      <c r="O23" t="s">
        <v>299</v>
      </c>
      <c r="P23" t="s">
        <v>299</v>
      </c>
      <c r="Q23">
        <v>1</v>
      </c>
      <c r="X23">
        <v>0.13</v>
      </c>
      <c r="Y23">
        <v>0</v>
      </c>
      <c r="Z23">
        <v>37.32</v>
      </c>
      <c r="AA23">
        <v>633.45000000000005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0.13</v>
      </c>
      <c r="AH23">
        <v>2</v>
      </c>
      <c r="AI23">
        <v>94239723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ROW(Source!A75)</f>
        <v>75</v>
      </c>
      <c r="B24">
        <v>94239728</v>
      </c>
      <c r="C24">
        <v>94239720</v>
      </c>
      <c r="D24">
        <v>84348657</v>
      </c>
      <c r="E24">
        <v>116</v>
      </c>
      <c r="F24">
        <v>1</v>
      </c>
      <c r="G24">
        <v>1</v>
      </c>
      <c r="H24">
        <v>3</v>
      </c>
      <c r="I24" t="s">
        <v>113</v>
      </c>
      <c r="J24" t="s">
        <v>3</v>
      </c>
      <c r="K24" t="s">
        <v>114</v>
      </c>
      <c r="L24">
        <v>1348</v>
      </c>
      <c r="N24">
        <v>1009</v>
      </c>
      <c r="O24" t="s">
        <v>35</v>
      </c>
      <c r="P24" t="s">
        <v>35</v>
      </c>
      <c r="Q24">
        <v>1000</v>
      </c>
      <c r="X24">
        <v>0.47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t="s">
        <v>3</v>
      </c>
      <c r="AG24">
        <v>0.47</v>
      </c>
      <c r="AH24">
        <v>2</v>
      </c>
      <c r="AI24">
        <v>94239724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ROW(Source!A77)</f>
        <v>77</v>
      </c>
      <c r="B25">
        <v>94242523</v>
      </c>
      <c r="C25">
        <v>94242516</v>
      </c>
      <c r="D25">
        <v>37065248</v>
      </c>
      <c r="E25">
        <v>117</v>
      </c>
      <c r="F25">
        <v>1</v>
      </c>
      <c r="G25">
        <v>1</v>
      </c>
      <c r="H25">
        <v>1</v>
      </c>
      <c r="I25" t="s">
        <v>319</v>
      </c>
      <c r="J25" t="s">
        <v>3</v>
      </c>
      <c r="K25" t="s">
        <v>320</v>
      </c>
      <c r="L25">
        <v>1191</v>
      </c>
      <c r="N25">
        <v>1013</v>
      </c>
      <c r="O25" t="s">
        <v>293</v>
      </c>
      <c r="P25" t="s">
        <v>293</v>
      </c>
      <c r="Q25">
        <v>1</v>
      </c>
      <c r="X25">
        <v>22.55</v>
      </c>
      <c r="Y25">
        <v>0</v>
      </c>
      <c r="Z25">
        <v>0</v>
      </c>
      <c r="AA25">
        <v>0</v>
      </c>
      <c r="AB25">
        <v>649.24</v>
      </c>
      <c r="AC25">
        <v>0</v>
      </c>
      <c r="AD25">
        <v>1</v>
      </c>
      <c r="AE25">
        <v>1</v>
      </c>
      <c r="AF25" t="s">
        <v>23</v>
      </c>
      <c r="AG25">
        <v>25.932499999999997</v>
      </c>
      <c r="AH25">
        <v>2</v>
      </c>
      <c r="AI25">
        <v>94242517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ROW(Source!A77)</f>
        <v>77</v>
      </c>
      <c r="B26">
        <v>94242524</v>
      </c>
      <c r="C26">
        <v>94242516</v>
      </c>
      <c r="D26">
        <v>37064876</v>
      </c>
      <c r="E26">
        <v>117</v>
      </c>
      <c r="F26">
        <v>1</v>
      </c>
      <c r="G26">
        <v>1</v>
      </c>
      <c r="H26">
        <v>1</v>
      </c>
      <c r="I26" t="s">
        <v>294</v>
      </c>
      <c r="J26" t="s">
        <v>3</v>
      </c>
      <c r="K26" t="s">
        <v>295</v>
      </c>
      <c r="L26">
        <v>1191</v>
      </c>
      <c r="N26">
        <v>1013</v>
      </c>
      <c r="O26" t="s">
        <v>293</v>
      </c>
      <c r="P26" t="s">
        <v>293</v>
      </c>
      <c r="Q26">
        <v>1</v>
      </c>
      <c r="X26">
        <v>0.1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2</v>
      </c>
      <c r="AF26" t="s">
        <v>22</v>
      </c>
      <c r="AG26">
        <v>0.125</v>
      </c>
      <c r="AH26">
        <v>2</v>
      </c>
      <c r="AI26">
        <v>94242518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ROW(Source!A77)</f>
        <v>77</v>
      </c>
      <c r="B27">
        <v>94242525</v>
      </c>
      <c r="C27">
        <v>94242516</v>
      </c>
      <c r="D27">
        <v>87237333</v>
      </c>
      <c r="E27">
        <v>1</v>
      </c>
      <c r="F27">
        <v>1</v>
      </c>
      <c r="G27">
        <v>1</v>
      </c>
      <c r="H27">
        <v>2</v>
      </c>
      <c r="I27" t="s">
        <v>301</v>
      </c>
      <c r="J27" t="s">
        <v>302</v>
      </c>
      <c r="K27" t="s">
        <v>303</v>
      </c>
      <c r="L27">
        <v>1368</v>
      </c>
      <c r="N27">
        <v>1011</v>
      </c>
      <c r="O27" t="s">
        <v>299</v>
      </c>
      <c r="P27" t="s">
        <v>299</v>
      </c>
      <c r="Q27">
        <v>1</v>
      </c>
      <c r="X27">
        <v>0.1</v>
      </c>
      <c r="Y27">
        <v>0</v>
      </c>
      <c r="Z27">
        <v>544.91999999999996</v>
      </c>
      <c r="AA27">
        <v>731.08</v>
      </c>
      <c r="AB27">
        <v>0</v>
      </c>
      <c r="AC27">
        <v>0</v>
      </c>
      <c r="AD27">
        <v>1</v>
      </c>
      <c r="AE27">
        <v>0</v>
      </c>
      <c r="AF27" t="s">
        <v>22</v>
      </c>
      <c r="AG27">
        <v>0.125</v>
      </c>
      <c r="AH27">
        <v>2</v>
      </c>
      <c r="AI27">
        <v>94242519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ROW(Source!A77)</f>
        <v>77</v>
      </c>
      <c r="B28">
        <v>94242526</v>
      </c>
      <c r="C28">
        <v>94242516</v>
      </c>
      <c r="D28">
        <v>87304103</v>
      </c>
      <c r="E28">
        <v>1</v>
      </c>
      <c r="F28">
        <v>1</v>
      </c>
      <c r="G28">
        <v>1</v>
      </c>
      <c r="H28">
        <v>3</v>
      </c>
      <c r="I28" t="s">
        <v>321</v>
      </c>
      <c r="J28" t="s">
        <v>322</v>
      </c>
      <c r="K28" t="s">
        <v>323</v>
      </c>
      <c r="L28">
        <v>1383</v>
      </c>
      <c r="N28">
        <v>1013</v>
      </c>
      <c r="O28" t="s">
        <v>324</v>
      </c>
      <c r="P28" t="s">
        <v>324</v>
      </c>
      <c r="Q28">
        <v>1</v>
      </c>
      <c r="X28">
        <v>0.58099999999999996</v>
      </c>
      <c r="Y28">
        <v>6.92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0.58099999999999996</v>
      </c>
      <c r="AH28">
        <v>2</v>
      </c>
      <c r="AI28">
        <v>94242520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ROW(Source!A77)</f>
        <v>77</v>
      </c>
      <c r="B29">
        <v>94242527</v>
      </c>
      <c r="C29">
        <v>94242516</v>
      </c>
      <c r="D29">
        <v>87232900</v>
      </c>
      <c r="E29">
        <v>117</v>
      </c>
      <c r="F29">
        <v>1</v>
      </c>
      <c r="G29">
        <v>1</v>
      </c>
      <c r="H29">
        <v>3</v>
      </c>
      <c r="I29" t="s">
        <v>349</v>
      </c>
      <c r="J29" t="s">
        <v>3</v>
      </c>
      <c r="K29" t="s">
        <v>350</v>
      </c>
      <c r="L29">
        <v>1327</v>
      </c>
      <c r="N29">
        <v>1005</v>
      </c>
      <c r="O29" t="s">
        <v>130</v>
      </c>
      <c r="P29" t="s">
        <v>130</v>
      </c>
      <c r="Q29">
        <v>1</v>
      </c>
      <c r="X29">
        <v>102.5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3</v>
      </c>
      <c r="AG29">
        <v>102.5</v>
      </c>
      <c r="AH29">
        <v>3</v>
      </c>
      <c r="AI29">
        <v>-1</v>
      </c>
      <c r="AJ29" t="s">
        <v>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ROW(Source!A77)</f>
        <v>77</v>
      </c>
      <c r="B30">
        <v>94242528</v>
      </c>
      <c r="C30">
        <v>94242516</v>
      </c>
      <c r="D30">
        <v>87315786</v>
      </c>
      <c r="E30">
        <v>1</v>
      </c>
      <c r="F30">
        <v>1</v>
      </c>
      <c r="G30">
        <v>1</v>
      </c>
      <c r="H30">
        <v>3</v>
      </c>
      <c r="I30" t="s">
        <v>325</v>
      </c>
      <c r="J30" t="s">
        <v>326</v>
      </c>
      <c r="K30" t="s">
        <v>327</v>
      </c>
      <c r="L30">
        <v>1330</v>
      </c>
      <c r="N30">
        <v>1005</v>
      </c>
      <c r="O30" t="s">
        <v>328</v>
      </c>
      <c r="P30" t="s">
        <v>328</v>
      </c>
      <c r="Q30">
        <v>10</v>
      </c>
      <c r="X30">
        <v>10.5</v>
      </c>
      <c r="Y30">
        <v>108.36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10.5</v>
      </c>
      <c r="AH30">
        <v>2</v>
      </c>
      <c r="AI30">
        <v>94242521</v>
      </c>
      <c r="AJ30">
        <v>29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ROW(Source!A79)</f>
        <v>79</v>
      </c>
      <c r="B31">
        <v>94242541</v>
      </c>
      <c r="C31">
        <v>94242534</v>
      </c>
      <c r="D31">
        <v>37082223</v>
      </c>
      <c r="E31">
        <v>117</v>
      </c>
      <c r="F31">
        <v>1</v>
      </c>
      <c r="G31">
        <v>1</v>
      </c>
      <c r="H31">
        <v>1</v>
      </c>
      <c r="I31" t="s">
        <v>329</v>
      </c>
      <c r="J31" t="s">
        <v>3</v>
      </c>
      <c r="K31" t="s">
        <v>330</v>
      </c>
      <c r="L31">
        <v>1191</v>
      </c>
      <c r="N31">
        <v>1013</v>
      </c>
      <c r="O31" t="s">
        <v>293</v>
      </c>
      <c r="P31" t="s">
        <v>293</v>
      </c>
      <c r="Q31">
        <v>1</v>
      </c>
      <c r="X31">
        <v>9.01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1</v>
      </c>
      <c r="AF31" t="s">
        <v>23</v>
      </c>
      <c r="AG31">
        <v>10.361499999999999</v>
      </c>
      <c r="AH31">
        <v>2</v>
      </c>
      <c r="AI31">
        <v>94242535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ROW(Source!A79)</f>
        <v>79</v>
      </c>
      <c r="B32">
        <v>94242542</v>
      </c>
      <c r="C32">
        <v>94242534</v>
      </c>
      <c r="D32">
        <v>37064876</v>
      </c>
      <c r="E32">
        <v>117</v>
      </c>
      <c r="F32">
        <v>1</v>
      </c>
      <c r="G32">
        <v>1</v>
      </c>
      <c r="H32">
        <v>1</v>
      </c>
      <c r="I32" t="s">
        <v>294</v>
      </c>
      <c r="J32" t="s">
        <v>3</v>
      </c>
      <c r="K32" t="s">
        <v>295</v>
      </c>
      <c r="L32">
        <v>1191</v>
      </c>
      <c r="N32">
        <v>1013</v>
      </c>
      <c r="O32" t="s">
        <v>293</v>
      </c>
      <c r="P32" t="s">
        <v>293</v>
      </c>
      <c r="Q32">
        <v>1</v>
      </c>
      <c r="X32">
        <v>0.04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2</v>
      </c>
      <c r="AF32" t="s">
        <v>22</v>
      </c>
      <c r="AG32">
        <v>0.05</v>
      </c>
      <c r="AH32">
        <v>2</v>
      </c>
      <c r="AI32">
        <v>94242536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ROW(Source!A79)</f>
        <v>79</v>
      </c>
      <c r="B33">
        <v>94242543</v>
      </c>
      <c r="C33">
        <v>94242534</v>
      </c>
      <c r="D33">
        <v>87236625</v>
      </c>
      <c r="E33">
        <v>1</v>
      </c>
      <c r="F33">
        <v>1</v>
      </c>
      <c r="G33">
        <v>1</v>
      </c>
      <c r="H33">
        <v>2</v>
      </c>
      <c r="I33" t="s">
        <v>316</v>
      </c>
      <c r="J33" t="s">
        <v>317</v>
      </c>
      <c r="K33" t="s">
        <v>318</v>
      </c>
      <c r="L33">
        <v>1368</v>
      </c>
      <c r="N33">
        <v>1011</v>
      </c>
      <c r="O33" t="s">
        <v>299</v>
      </c>
      <c r="P33" t="s">
        <v>299</v>
      </c>
      <c r="Q33">
        <v>1</v>
      </c>
      <c r="X33">
        <v>5.0000000000000001E-3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22</v>
      </c>
      <c r="AG33">
        <v>6.2500000000000003E-3</v>
      </c>
      <c r="AH33">
        <v>2</v>
      </c>
      <c r="AI33">
        <v>94242537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ROW(Source!A79)</f>
        <v>79</v>
      </c>
      <c r="B34">
        <v>94242544</v>
      </c>
      <c r="C34">
        <v>94242534</v>
      </c>
      <c r="D34">
        <v>87237333</v>
      </c>
      <c r="E34">
        <v>1</v>
      </c>
      <c r="F34">
        <v>1</v>
      </c>
      <c r="G34">
        <v>1</v>
      </c>
      <c r="H34">
        <v>2</v>
      </c>
      <c r="I34" t="s">
        <v>301</v>
      </c>
      <c r="J34" t="s">
        <v>302</v>
      </c>
      <c r="K34" t="s">
        <v>303</v>
      </c>
      <c r="L34">
        <v>1368</v>
      </c>
      <c r="N34">
        <v>1011</v>
      </c>
      <c r="O34" t="s">
        <v>299</v>
      </c>
      <c r="P34" t="s">
        <v>299</v>
      </c>
      <c r="Q34">
        <v>1</v>
      </c>
      <c r="X34">
        <v>0.03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22</v>
      </c>
      <c r="AG34">
        <v>3.7499999999999999E-2</v>
      </c>
      <c r="AH34">
        <v>2</v>
      </c>
      <c r="AI34">
        <v>94242538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ROW(Source!A79)</f>
        <v>79</v>
      </c>
      <c r="B35">
        <v>94242545</v>
      </c>
      <c r="C35">
        <v>94242534</v>
      </c>
      <c r="D35">
        <v>87233088</v>
      </c>
      <c r="E35">
        <v>117</v>
      </c>
      <c r="F35">
        <v>1</v>
      </c>
      <c r="G35">
        <v>1</v>
      </c>
      <c r="H35">
        <v>3</v>
      </c>
      <c r="I35" t="s">
        <v>351</v>
      </c>
      <c r="J35" t="s">
        <v>3</v>
      </c>
      <c r="K35" t="s">
        <v>352</v>
      </c>
      <c r="L35">
        <v>1301</v>
      </c>
      <c r="N35">
        <v>1003</v>
      </c>
      <c r="O35" t="s">
        <v>140</v>
      </c>
      <c r="P35" t="s">
        <v>140</v>
      </c>
      <c r="Q35">
        <v>1</v>
      </c>
      <c r="X35">
        <v>101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t="s">
        <v>3</v>
      </c>
      <c r="AG35">
        <v>101</v>
      </c>
      <c r="AH35">
        <v>3</v>
      </c>
      <c r="AI35">
        <v>-1</v>
      </c>
      <c r="AJ35" t="s">
        <v>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ROW(Source!A79)</f>
        <v>79</v>
      </c>
      <c r="B36">
        <v>94242546</v>
      </c>
      <c r="C36">
        <v>94242534</v>
      </c>
      <c r="D36">
        <v>87323049</v>
      </c>
      <c r="E36">
        <v>1</v>
      </c>
      <c r="F36">
        <v>1</v>
      </c>
      <c r="G36">
        <v>1</v>
      </c>
      <c r="H36">
        <v>3</v>
      </c>
      <c r="I36" t="s">
        <v>331</v>
      </c>
      <c r="J36" t="s">
        <v>332</v>
      </c>
      <c r="K36" t="s">
        <v>333</v>
      </c>
      <c r="L36">
        <v>1346</v>
      </c>
      <c r="N36">
        <v>1009</v>
      </c>
      <c r="O36" t="s">
        <v>40</v>
      </c>
      <c r="P36" t="s">
        <v>40</v>
      </c>
      <c r="Q36">
        <v>1</v>
      </c>
      <c r="X36">
        <v>5.15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5.15</v>
      </c>
      <c r="AH36">
        <v>2</v>
      </c>
      <c r="AI36">
        <v>94242539</v>
      </c>
      <c r="AJ36">
        <v>35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ROW(Source!A81)</f>
        <v>81</v>
      </c>
      <c r="B37">
        <v>94239761</v>
      </c>
      <c r="C37">
        <v>94239758</v>
      </c>
      <c r="D37">
        <v>84342661</v>
      </c>
      <c r="E37">
        <v>116</v>
      </c>
      <c r="F37">
        <v>1</v>
      </c>
      <c r="G37">
        <v>1</v>
      </c>
      <c r="H37">
        <v>1</v>
      </c>
      <c r="I37" t="s">
        <v>334</v>
      </c>
      <c r="J37" t="s">
        <v>3</v>
      </c>
      <c r="K37" t="s">
        <v>335</v>
      </c>
      <c r="L37">
        <v>1191</v>
      </c>
      <c r="N37">
        <v>1013</v>
      </c>
      <c r="O37" t="s">
        <v>293</v>
      </c>
      <c r="P37" t="s">
        <v>293</v>
      </c>
      <c r="Q37">
        <v>1</v>
      </c>
      <c r="X37">
        <v>34.51</v>
      </c>
      <c r="Y37">
        <v>0</v>
      </c>
      <c r="Z37">
        <v>0</v>
      </c>
      <c r="AA37">
        <v>0</v>
      </c>
      <c r="AB37">
        <v>628.13</v>
      </c>
      <c r="AC37">
        <v>0</v>
      </c>
      <c r="AD37">
        <v>1</v>
      </c>
      <c r="AE37">
        <v>1</v>
      </c>
      <c r="AF37" t="s">
        <v>3</v>
      </c>
      <c r="AG37">
        <v>34.51</v>
      </c>
      <c r="AH37">
        <v>2</v>
      </c>
      <c r="AI37">
        <v>94239759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ROW(Source!A81)</f>
        <v>81</v>
      </c>
      <c r="B38">
        <v>94239762</v>
      </c>
      <c r="C38">
        <v>94239758</v>
      </c>
      <c r="D38">
        <v>84348656</v>
      </c>
      <c r="E38">
        <v>116</v>
      </c>
      <c r="F38">
        <v>1</v>
      </c>
      <c r="G38">
        <v>1</v>
      </c>
      <c r="H38">
        <v>3</v>
      </c>
      <c r="I38" t="s">
        <v>151</v>
      </c>
      <c r="J38" t="s">
        <v>3</v>
      </c>
      <c r="K38" t="s">
        <v>152</v>
      </c>
      <c r="L38">
        <v>1348</v>
      </c>
      <c r="N38">
        <v>1009</v>
      </c>
      <c r="O38" t="s">
        <v>35</v>
      </c>
      <c r="P38" t="s">
        <v>35</v>
      </c>
      <c r="Q38">
        <v>1000</v>
      </c>
      <c r="X38">
        <v>0.35599999999999998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s">
        <v>3</v>
      </c>
      <c r="AG38">
        <v>0.35599999999999998</v>
      </c>
      <c r="AH38">
        <v>2</v>
      </c>
      <c r="AI38">
        <v>94239760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ROW(Source!A83)</f>
        <v>83</v>
      </c>
      <c r="B39">
        <v>94239768</v>
      </c>
      <c r="C39">
        <v>94239764</v>
      </c>
      <c r="D39">
        <v>84342641</v>
      </c>
      <c r="E39">
        <v>116</v>
      </c>
      <c r="F39">
        <v>1</v>
      </c>
      <c r="G39">
        <v>1</v>
      </c>
      <c r="H39">
        <v>1</v>
      </c>
      <c r="I39" t="s">
        <v>336</v>
      </c>
      <c r="J39" t="s">
        <v>3</v>
      </c>
      <c r="K39" t="s">
        <v>337</v>
      </c>
      <c r="L39">
        <v>1191</v>
      </c>
      <c r="N39">
        <v>1013</v>
      </c>
      <c r="O39" t="s">
        <v>293</v>
      </c>
      <c r="P39" t="s">
        <v>293</v>
      </c>
      <c r="Q39">
        <v>1</v>
      </c>
      <c r="X39">
        <v>17.89</v>
      </c>
      <c r="Y39">
        <v>0</v>
      </c>
      <c r="Z39">
        <v>0</v>
      </c>
      <c r="AA39">
        <v>0</v>
      </c>
      <c r="AB39">
        <v>596.19000000000005</v>
      </c>
      <c r="AC39">
        <v>0</v>
      </c>
      <c r="AD39">
        <v>1</v>
      </c>
      <c r="AE39">
        <v>1</v>
      </c>
      <c r="AF39" t="s">
        <v>3</v>
      </c>
      <c r="AG39">
        <v>17.89</v>
      </c>
      <c r="AH39">
        <v>2</v>
      </c>
      <c r="AI39">
        <v>94239765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ROW(Source!A83)</f>
        <v>83</v>
      </c>
      <c r="B40">
        <v>94239769</v>
      </c>
      <c r="C40">
        <v>94239764</v>
      </c>
      <c r="D40">
        <v>84342860</v>
      </c>
      <c r="E40">
        <v>116</v>
      </c>
      <c r="F40">
        <v>1</v>
      </c>
      <c r="G40">
        <v>1</v>
      </c>
      <c r="H40">
        <v>1</v>
      </c>
      <c r="I40" t="s">
        <v>294</v>
      </c>
      <c r="J40" t="s">
        <v>3</v>
      </c>
      <c r="K40" t="s">
        <v>295</v>
      </c>
      <c r="L40">
        <v>1191</v>
      </c>
      <c r="N40">
        <v>1013</v>
      </c>
      <c r="O40" t="s">
        <v>293</v>
      </c>
      <c r="P40" t="s">
        <v>293</v>
      </c>
      <c r="Q40">
        <v>1</v>
      </c>
      <c r="X40">
        <v>0.08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2</v>
      </c>
      <c r="AF40" t="s">
        <v>3</v>
      </c>
      <c r="AG40">
        <v>0.08</v>
      </c>
      <c r="AH40">
        <v>2</v>
      </c>
      <c r="AI40">
        <v>94239766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ROW(Source!A83)</f>
        <v>83</v>
      </c>
      <c r="B41">
        <v>94239770</v>
      </c>
      <c r="C41">
        <v>94239764</v>
      </c>
      <c r="D41">
        <v>84464037</v>
      </c>
      <c r="E41">
        <v>1</v>
      </c>
      <c r="F41">
        <v>1</v>
      </c>
      <c r="G41">
        <v>1</v>
      </c>
      <c r="H41">
        <v>2</v>
      </c>
      <c r="I41" t="s">
        <v>316</v>
      </c>
      <c r="J41" t="s">
        <v>317</v>
      </c>
      <c r="K41" t="s">
        <v>318</v>
      </c>
      <c r="L41">
        <v>1368</v>
      </c>
      <c r="N41">
        <v>1011</v>
      </c>
      <c r="O41" t="s">
        <v>299</v>
      </c>
      <c r="P41" t="s">
        <v>299</v>
      </c>
      <c r="Q41">
        <v>1</v>
      </c>
      <c r="X41">
        <v>0.08</v>
      </c>
      <c r="Y41">
        <v>0</v>
      </c>
      <c r="Z41">
        <v>37.32</v>
      </c>
      <c r="AA41">
        <v>633.45000000000005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0.08</v>
      </c>
      <c r="AH41">
        <v>2</v>
      </c>
      <c r="AI41">
        <v>94239767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ROW(Source!A84)</f>
        <v>84</v>
      </c>
      <c r="B42">
        <v>94239778</v>
      </c>
      <c r="C42">
        <v>94239771</v>
      </c>
      <c r="D42">
        <v>84342683</v>
      </c>
      <c r="E42">
        <v>116</v>
      </c>
      <c r="F42">
        <v>1</v>
      </c>
      <c r="G42">
        <v>1</v>
      </c>
      <c r="H42">
        <v>1</v>
      </c>
      <c r="I42" t="s">
        <v>338</v>
      </c>
      <c r="J42" t="s">
        <v>3</v>
      </c>
      <c r="K42" t="s">
        <v>339</v>
      </c>
      <c r="L42">
        <v>1191</v>
      </c>
      <c r="N42">
        <v>1013</v>
      </c>
      <c r="O42" t="s">
        <v>293</v>
      </c>
      <c r="P42" t="s">
        <v>293</v>
      </c>
      <c r="Q42">
        <v>1</v>
      </c>
      <c r="X42">
        <v>102.46</v>
      </c>
      <c r="Y42">
        <v>0</v>
      </c>
      <c r="Z42">
        <v>0</v>
      </c>
      <c r="AA42">
        <v>0</v>
      </c>
      <c r="AB42">
        <v>697.33</v>
      </c>
      <c r="AC42">
        <v>0</v>
      </c>
      <c r="AD42">
        <v>1</v>
      </c>
      <c r="AE42">
        <v>1</v>
      </c>
      <c r="AF42" t="s">
        <v>23</v>
      </c>
      <c r="AG42">
        <v>117.82899999999998</v>
      </c>
      <c r="AH42">
        <v>2</v>
      </c>
      <c r="AI42">
        <v>94239772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ROW(Source!A84)</f>
        <v>84</v>
      </c>
      <c r="B43">
        <v>94239779</v>
      </c>
      <c r="C43">
        <v>94239771</v>
      </c>
      <c r="D43">
        <v>84342860</v>
      </c>
      <c r="E43">
        <v>116</v>
      </c>
      <c r="F43">
        <v>1</v>
      </c>
      <c r="G43">
        <v>1</v>
      </c>
      <c r="H43">
        <v>1</v>
      </c>
      <c r="I43" t="s">
        <v>294</v>
      </c>
      <c r="J43" t="s">
        <v>3</v>
      </c>
      <c r="K43" t="s">
        <v>295</v>
      </c>
      <c r="L43">
        <v>1191</v>
      </c>
      <c r="N43">
        <v>1013</v>
      </c>
      <c r="O43" t="s">
        <v>293</v>
      </c>
      <c r="P43" t="s">
        <v>293</v>
      </c>
      <c r="Q43">
        <v>1</v>
      </c>
      <c r="X43">
        <v>5.34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2</v>
      </c>
      <c r="AF43" t="s">
        <v>22</v>
      </c>
      <c r="AG43">
        <v>6.6749999999999998</v>
      </c>
      <c r="AH43">
        <v>2</v>
      </c>
      <c r="AI43">
        <v>94239773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ROW(Source!A84)</f>
        <v>84</v>
      </c>
      <c r="B44">
        <v>94239780</v>
      </c>
      <c r="C44">
        <v>94239771</v>
      </c>
      <c r="D44">
        <v>84464037</v>
      </c>
      <c r="E44">
        <v>1</v>
      </c>
      <c r="F44">
        <v>1</v>
      </c>
      <c r="G44">
        <v>1</v>
      </c>
      <c r="H44">
        <v>2</v>
      </c>
      <c r="I44" t="s">
        <v>316</v>
      </c>
      <c r="J44" t="s">
        <v>317</v>
      </c>
      <c r="K44" t="s">
        <v>318</v>
      </c>
      <c r="L44">
        <v>1368</v>
      </c>
      <c r="N44">
        <v>1011</v>
      </c>
      <c r="O44" t="s">
        <v>299</v>
      </c>
      <c r="P44" t="s">
        <v>299</v>
      </c>
      <c r="Q44">
        <v>1</v>
      </c>
      <c r="X44">
        <v>0.76</v>
      </c>
      <c r="Y44">
        <v>0</v>
      </c>
      <c r="Z44">
        <v>37.32</v>
      </c>
      <c r="AA44">
        <v>633.45000000000005</v>
      </c>
      <c r="AB44">
        <v>0</v>
      </c>
      <c r="AC44">
        <v>0</v>
      </c>
      <c r="AD44">
        <v>1</v>
      </c>
      <c r="AE44">
        <v>0</v>
      </c>
      <c r="AF44" t="s">
        <v>22</v>
      </c>
      <c r="AG44">
        <v>0.95</v>
      </c>
      <c r="AH44">
        <v>2</v>
      </c>
      <c r="AI44">
        <v>94239774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ROW(Source!A84)</f>
        <v>84</v>
      </c>
      <c r="B45">
        <v>94239781</v>
      </c>
      <c r="C45">
        <v>94239771</v>
      </c>
      <c r="D45">
        <v>84464742</v>
      </c>
      <c r="E45">
        <v>1</v>
      </c>
      <c r="F45">
        <v>1</v>
      </c>
      <c r="G45">
        <v>1</v>
      </c>
      <c r="H45">
        <v>2</v>
      </c>
      <c r="I45" t="s">
        <v>301</v>
      </c>
      <c r="J45" t="s">
        <v>302</v>
      </c>
      <c r="K45" t="s">
        <v>303</v>
      </c>
      <c r="L45">
        <v>1368</v>
      </c>
      <c r="N45">
        <v>1011</v>
      </c>
      <c r="O45" t="s">
        <v>299</v>
      </c>
      <c r="P45" t="s">
        <v>299</v>
      </c>
      <c r="Q45">
        <v>1</v>
      </c>
      <c r="X45">
        <v>4.58</v>
      </c>
      <c r="Y45">
        <v>0</v>
      </c>
      <c r="Z45">
        <v>640.84</v>
      </c>
      <c r="AA45">
        <v>713.3</v>
      </c>
      <c r="AB45">
        <v>0</v>
      </c>
      <c r="AC45">
        <v>0</v>
      </c>
      <c r="AD45">
        <v>1</v>
      </c>
      <c r="AE45">
        <v>0</v>
      </c>
      <c r="AF45" t="s">
        <v>22</v>
      </c>
      <c r="AG45">
        <v>5.7249999999999996</v>
      </c>
      <c r="AH45">
        <v>2</v>
      </c>
      <c r="AI45">
        <v>94239775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ROW(Source!A84)</f>
        <v>84</v>
      </c>
      <c r="B46">
        <v>94239782</v>
      </c>
      <c r="C46">
        <v>94239771</v>
      </c>
      <c r="D46">
        <v>84343174</v>
      </c>
      <c r="E46">
        <v>116</v>
      </c>
      <c r="F46">
        <v>1</v>
      </c>
      <c r="G46">
        <v>1</v>
      </c>
      <c r="H46">
        <v>3</v>
      </c>
      <c r="I46" t="s">
        <v>353</v>
      </c>
      <c r="J46" t="s">
        <v>3</v>
      </c>
      <c r="K46" t="s">
        <v>354</v>
      </c>
      <c r="L46">
        <v>1327</v>
      </c>
      <c r="N46">
        <v>1005</v>
      </c>
      <c r="O46" t="s">
        <v>130</v>
      </c>
      <c r="P46" t="s">
        <v>130</v>
      </c>
      <c r="Q46">
        <v>1</v>
      </c>
      <c r="X46">
        <v>103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3</v>
      </c>
      <c r="AG46">
        <v>103</v>
      </c>
      <c r="AH46">
        <v>3</v>
      </c>
      <c r="AI46">
        <v>-1</v>
      </c>
      <c r="AJ46" t="s">
        <v>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ROW(Source!A84)</f>
        <v>84</v>
      </c>
      <c r="B47">
        <v>94239783</v>
      </c>
      <c r="C47">
        <v>94239771</v>
      </c>
      <c r="D47">
        <v>84414641</v>
      </c>
      <c r="E47">
        <v>1</v>
      </c>
      <c r="F47">
        <v>1</v>
      </c>
      <c r="G47">
        <v>1</v>
      </c>
      <c r="H47">
        <v>3</v>
      </c>
      <c r="I47" t="s">
        <v>321</v>
      </c>
      <c r="J47" t="s">
        <v>322</v>
      </c>
      <c r="K47" t="s">
        <v>323</v>
      </c>
      <c r="L47">
        <v>1383</v>
      </c>
      <c r="N47">
        <v>1013</v>
      </c>
      <c r="O47" t="s">
        <v>324</v>
      </c>
      <c r="P47" t="s">
        <v>324</v>
      </c>
      <c r="Q47">
        <v>1</v>
      </c>
      <c r="X47">
        <v>2.782</v>
      </c>
      <c r="Y47">
        <v>6.46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2.782</v>
      </c>
      <c r="AH47">
        <v>2</v>
      </c>
      <c r="AI47">
        <v>94239777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ROW(Source!A86)</f>
        <v>86</v>
      </c>
      <c r="B48">
        <v>94239792</v>
      </c>
      <c r="C48">
        <v>94239785</v>
      </c>
      <c r="D48">
        <v>84342814</v>
      </c>
      <c r="E48">
        <v>116</v>
      </c>
      <c r="F48">
        <v>1</v>
      </c>
      <c r="G48">
        <v>1</v>
      </c>
      <c r="H48">
        <v>1</v>
      </c>
      <c r="I48" t="s">
        <v>340</v>
      </c>
      <c r="J48" t="s">
        <v>3</v>
      </c>
      <c r="K48" t="s">
        <v>341</v>
      </c>
      <c r="L48">
        <v>1369</v>
      </c>
      <c r="N48">
        <v>1013</v>
      </c>
      <c r="O48" t="s">
        <v>342</v>
      </c>
      <c r="P48" t="s">
        <v>342</v>
      </c>
      <c r="Q48">
        <v>1</v>
      </c>
      <c r="X48">
        <v>0.41</v>
      </c>
      <c r="Y48">
        <v>0</v>
      </c>
      <c r="Z48">
        <v>0</v>
      </c>
      <c r="AA48">
        <v>0</v>
      </c>
      <c r="AB48">
        <v>532.30999999999995</v>
      </c>
      <c r="AC48">
        <v>0</v>
      </c>
      <c r="AD48">
        <v>1</v>
      </c>
      <c r="AE48">
        <v>1</v>
      </c>
      <c r="AF48" t="s">
        <v>3</v>
      </c>
      <c r="AG48">
        <v>0.41</v>
      </c>
      <c r="AH48">
        <v>2</v>
      </c>
      <c r="AI48">
        <v>94239786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ROW(Source!A86)</f>
        <v>86</v>
      </c>
      <c r="B49">
        <v>94239793</v>
      </c>
      <c r="C49">
        <v>94239785</v>
      </c>
      <c r="D49">
        <v>84342824</v>
      </c>
      <c r="E49">
        <v>116</v>
      </c>
      <c r="F49">
        <v>1</v>
      </c>
      <c r="G49">
        <v>1</v>
      </c>
      <c r="H49">
        <v>1</v>
      </c>
      <c r="I49" t="s">
        <v>343</v>
      </c>
      <c r="J49" t="s">
        <v>3</v>
      </c>
      <c r="K49" t="s">
        <v>344</v>
      </c>
      <c r="L49">
        <v>1369</v>
      </c>
      <c r="N49">
        <v>1013</v>
      </c>
      <c r="O49" t="s">
        <v>342</v>
      </c>
      <c r="P49" t="s">
        <v>342</v>
      </c>
      <c r="Q49">
        <v>1</v>
      </c>
      <c r="X49">
        <v>19.16</v>
      </c>
      <c r="Y49">
        <v>0</v>
      </c>
      <c r="Z49">
        <v>0</v>
      </c>
      <c r="AA49">
        <v>0</v>
      </c>
      <c r="AB49">
        <v>713.3</v>
      </c>
      <c r="AC49">
        <v>0</v>
      </c>
      <c r="AD49">
        <v>1</v>
      </c>
      <c r="AE49">
        <v>1</v>
      </c>
      <c r="AF49" t="s">
        <v>3</v>
      </c>
      <c r="AG49">
        <v>19.16</v>
      </c>
      <c r="AH49">
        <v>2</v>
      </c>
      <c r="AI49">
        <v>94239787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ROW(Source!A86)</f>
        <v>86</v>
      </c>
      <c r="B50">
        <v>94239794</v>
      </c>
      <c r="C50">
        <v>94239785</v>
      </c>
      <c r="D50">
        <v>84342860</v>
      </c>
      <c r="E50">
        <v>116</v>
      </c>
      <c r="F50">
        <v>1</v>
      </c>
      <c r="G50">
        <v>1</v>
      </c>
      <c r="H50">
        <v>1</v>
      </c>
      <c r="I50" t="s">
        <v>294</v>
      </c>
      <c r="J50" t="s">
        <v>3</v>
      </c>
      <c r="K50" t="s">
        <v>295</v>
      </c>
      <c r="L50">
        <v>1191</v>
      </c>
      <c r="N50">
        <v>1013</v>
      </c>
      <c r="O50" t="s">
        <v>293</v>
      </c>
      <c r="P50" t="s">
        <v>293</v>
      </c>
      <c r="Q50">
        <v>1</v>
      </c>
      <c r="X50">
        <v>0.28000000000000003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2</v>
      </c>
      <c r="AF50" t="s">
        <v>3</v>
      </c>
      <c r="AG50">
        <v>0.28000000000000003</v>
      </c>
      <c r="AH50">
        <v>2</v>
      </c>
      <c r="AI50">
        <v>94239788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ROW(Source!A86)</f>
        <v>86</v>
      </c>
      <c r="B51">
        <v>94239795</v>
      </c>
      <c r="C51">
        <v>94239785</v>
      </c>
      <c r="D51">
        <v>84464742</v>
      </c>
      <c r="E51">
        <v>1</v>
      </c>
      <c r="F51">
        <v>1</v>
      </c>
      <c r="G51">
        <v>1</v>
      </c>
      <c r="H51">
        <v>2</v>
      </c>
      <c r="I51" t="s">
        <v>301</v>
      </c>
      <c r="J51" t="s">
        <v>302</v>
      </c>
      <c r="K51" t="s">
        <v>303</v>
      </c>
      <c r="L51">
        <v>1368</v>
      </c>
      <c r="N51">
        <v>1011</v>
      </c>
      <c r="O51" t="s">
        <v>299</v>
      </c>
      <c r="P51" t="s">
        <v>299</v>
      </c>
      <c r="Q51">
        <v>1</v>
      </c>
      <c r="X51">
        <v>0.28000000000000003</v>
      </c>
      <c r="Y51">
        <v>0</v>
      </c>
      <c r="Z51">
        <v>640.84</v>
      </c>
      <c r="AA51">
        <v>713.3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0.28000000000000003</v>
      </c>
      <c r="AH51">
        <v>2</v>
      </c>
      <c r="AI51">
        <v>94239789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ROW(Source!A86)</f>
        <v>86</v>
      </c>
      <c r="B52">
        <v>94239796</v>
      </c>
      <c r="C52">
        <v>94239785</v>
      </c>
      <c r="D52">
        <v>84348652</v>
      </c>
      <c r="E52">
        <v>116</v>
      </c>
      <c r="F52">
        <v>1</v>
      </c>
      <c r="G52">
        <v>1</v>
      </c>
      <c r="H52">
        <v>3</v>
      </c>
      <c r="I52" t="s">
        <v>180</v>
      </c>
      <c r="J52" t="s">
        <v>3</v>
      </c>
      <c r="K52" t="s">
        <v>181</v>
      </c>
      <c r="L52">
        <v>3277935</v>
      </c>
      <c r="N52">
        <v>1013</v>
      </c>
      <c r="O52" t="s">
        <v>182</v>
      </c>
      <c r="P52" t="s">
        <v>182</v>
      </c>
      <c r="Q52">
        <v>1</v>
      </c>
      <c r="X52">
        <v>2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s">
        <v>3</v>
      </c>
      <c r="AG52">
        <v>2</v>
      </c>
      <c r="AH52">
        <v>2</v>
      </c>
      <c r="AI52">
        <v>94239791</v>
      </c>
      <c r="AJ52">
        <v>53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ROW(Source!A154)</f>
        <v>154</v>
      </c>
      <c r="B53">
        <v>94242612</v>
      </c>
      <c r="C53">
        <v>94242554</v>
      </c>
      <c r="D53">
        <v>90155066</v>
      </c>
      <c r="E53">
        <v>118</v>
      </c>
      <c r="F53">
        <v>1</v>
      </c>
      <c r="G53">
        <v>1</v>
      </c>
      <c r="H53">
        <v>1</v>
      </c>
      <c r="I53" t="s">
        <v>291</v>
      </c>
      <c r="J53" t="s">
        <v>3</v>
      </c>
      <c r="K53" t="s">
        <v>292</v>
      </c>
      <c r="L53">
        <v>1191</v>
      </c>
      <c r="N53">
        <v>1013</v>
      </c>
      <c r="O53" t="s">
        <v>293</v>
      </c>
      <c r="P53" t="s">
        <v>293</v>
      </c>
      <c r="Q53">
        <v>1</v>
      </c>
      <c r="X53">
        <v>32.729999999999997</v>
      </c>
      <c r="Y53">
        <v>0</v>
      </c>
      <c r="Z53">
        <v>0</v>
      </c>
      <c r="AA53">
        <v>0</v>
      </c>
      <c r="AB53">
        <v>673.79</v>
      </c>
      <c r="AC53">
        <v>0</v>
      </c>
      <c r="AD53">
        <v>1</v>
      </c>
      <c r="AE53">
        <v>1</v>
      </c>
      <c r="AF53" t="s">
        <v>23</v>
      </c>
      <c r="AG53">
        <v>37.639499999999991</v>
      </c>
      <c r="AH53">
        <v>2</v>
      </c>
      <c r="AI53">
        <v>94242612</v>
      </c>
      <c r="AJ53">
        <v>54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ROW(Source!A154)</f>
        <v>154</v>
      </c>
      <c r="B54">
        <v>94242613</v>
      </c>
      <c r="C54">
        <v>94242554</v>
      </c>
      <c r="D54">
        <v>90155259</v>
      </c>
      <c r="E54">
        <v>118</v>
      </c>
      <c r="F54">
        <v>1</v>
      </c>
      <c r="G54">
        <v>1</v>
      </c>
      <c r="H54">
        <v>1</v>
      </c>
      <c r="I54" t="s">
        <v>294</v>
      </c>
      <c r="J54" t="s">
        <v>3</v>
      </c>
      <c r="K54" t="s">
        <v>295</v>
      </c>
      <c r="L54">
        <v>1191</v>
      </c>
      <c r="N54">
        <v>1013</v>
      </c>
      <c r="O54" t="s">
        <v>293</v>
      </c>
      <c r="P54" t="s">
        <v>293</v>
      </c>
      <c r="Q54">
        <v>1</v>
      </c>
      <c r="X54">
        <v>0.11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2</v>
      </c>
      <c r="AF54" t="s">
        <v>22</v>
      </c>
      <c r="AG54">
        <v>0.13750000000000001</v>
      </c>
      <c r="AH54">
        <v>2</v>
      </c>
      <c r="AI54">
        <v>94242613</v>
      </c>
      <c r="AJ54">
        <v>55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ROW(Source!A154)</f>
        <v>154</v>
      </c>
      <c r="B55">
        <v>94242614</v>
      </c>
      <c r="C55">
        <v>94242554</v>
      </c>
      <c r="D55">
        <v>90281901</v>
      </c>
      <c r="E55">
        <v>1</v>
      </c>
      <c r="F55">
        <v>1</v>
      </c>
      <c r="G55">
        <v>1</v>
      </c>
      <c r="H55">
        <v>2</v>
      </c>
      <c r="I55" t="s">
        <v>296</v>
      </c>
      <c r="J55" t="s">
        <v>297</v>
      </c>
      <c r="K55" t="s">
        <v>298</v>
      </c>
      <c r="L55">
        <v>1368</v>
      </c>
      <c r="N55">
        <v>1011</v>
      </c>
      <c r="O55" t="s">
        <v>299</v>
      </c>
      <c r="P55" t="s">
        <v>299</v>
      </c>
      <c r="Q55">
        <v>1</v>
      </c>
      <c r="X55">
        <v>0.01</v>
      </c>
      <c r="Y55">
        <v>0</v>
      </c>
      <c r="Z55">
        <v>30.61</v>
      </c>
      <c r="AA55">
        <v>649.24</v>
      </c>
      <c r="AB55">
        <v>0</v>
      </c>
      <c r="AC55">
        <v>0</v>
      </c>
      <c r="AD55">
        <v>1</v>
      </c>
      <c r="AE55">
        <v>0</v>
      </c>
      <c r="AF55" t="s">
        <v>22</v>
      </c>
      <c r="AG55">
        <v>1.2500000000000001E-2</v>
      </c>
      <c r="AH55">
        <v>2</v>
      </c>
      <c r="AI55">
        <v>94242614</v>
      </c>
      <c r="AJ55">
        <v>56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ROW(Source!A154)</f>
        <v>154</v>
      </c>
      <c r="B56">
        <v>94242615</v>
      </c>
      <c r="C56">
        <v>94242554</v>
      </c>
      <c r="D56">
        <v>90282618</v>
      </c>
      <c r="E56">
        <v>1</v>
      </c>
      <c r="F56">
        <v>1</v>
      </c>
      <c r="G56">
        <v>1</v>
      </c>
      <c r="H56">
        <v>2</v>
      </c>
      <c r="I56" t="s">
        <v>301</v>
      </c>
      <c r="J56" t="s">
        <v>302</v>
      </c>
      <c r="K56" t="s">
        <v>303</v>
      </c>
      <c r="L56">
        <v>1368</v>
      </c>
      <c r="N56">
        <v>1011</v>
      </c>
      <c r="O56" t="s">
        <v>299</v>
      </c>
      <c r="P56" t="s">
        <v>299</v>
      </c>
      <c r="Q56">
        <v>1</v>
      </c>
      <c r="X56">
        <v>0.1</v>
      </c>
      <c r="Y56">
        <v>0</v>
      </c>
      <c r="Z56">
        <v>544.91999999999996</v>
      </c>
      <c r="AA56">
        <v>731.08</v>
      </c>
      <c r="AB56">
        <v>0</v>
      </c>
      <c r="AC56">
        <v>0</v>
      </c>
      <c r="AD56">
        <v>1</v>
      </c>
      <c r="AE56">
        <v>0</v>
      </c>
      <c r="AF56" t="s">
        <v>22</v>
      </c>
      <c r="AG56">
        <v>0.125</v>
      </c>
      <c r="AH56">
        <v>2</v>
      </c>
      <c r="AI56">
        <v>94242615</v>
      </c>
      <c r="AJ56">
        <v>57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ROW(Source!A154)</f>
        <v>154</v>
      </c>
      <c r="B57">
        <v>94242616</v>
      </c>
      <c r="C57">
        <v>94242554</v>
      </c>
      <c r="D57">
        <v>90234112</v>
      </c>
      <c r="E57">
        <v>1</v>
      </c>
      <c r="F57">
        <v>1</v>
      </c>
      <c r="G57">
        <v>1</v>
      </c>
      <c r="H57">
        <v>3</v>
      </c>
      <c r="I57" t="s">
        <v>305</v>
      </c>
      <c r="J57" t="s">
        <v>306</v>
      </c>
      <c r="K57" t="s">
        <v>307</v>
      </c>
      <c r="L57">
        <v>1327</v>
      </c>
      <c r="N57">
        <v>1005</v>
      </c>
      <c r="O57" t="s">
        <v>130</v>
      </c>
      <c r="P57" t="s">
        <v>130</v>
      </c>
      <c r="Q57">
        <v>1</v>
      </c>
      <c r="X57">
        <v>0.84</v>
      </c>
      <c r="Y57">
        <v>531.44000000000005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0.84</v>
      </c>
      <c r="AH57">
        <v>2</v>
      </c>
      <c r="AI57">
        <v>94242616</v>
      </c>
      <c r="AJ57">
        <v>58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ROW(Source!A154)</f>
        <v>154</v>
      </c>
      <c r="B58">
        <v>94242617</v>
      </c>
      <c r="C58">
        <v>94242554</v>
      </c>
      <c r="D58">
        <v>90234471</v>
      </c>
      <c r="E58">
        <v>1</v>
      </c>
      <c r="F58">
        <v>1</v>
      </c>
      <c r="G58">
        <v>1</v>
      </c>
      <c r="H58">
        <v>3</v>
      </c>
      <c r="I58" t="s">
        <v>308</v>
      </c>
      <c r="J58" t="s">
        <v>309</v>
      </c>
      <c r="K58" t="s">
        <v>310</v>
      </c>
      <c r="L58">
        <v>1346</v>
      </c>
      <c r="N58">
        <v>1009</v>
      </c>
      <c r="O58" t="s">
        <v>40</v>
      </c>
      <c r="P58" t="s">
        <v>40</v>
      </c>
      <c r="Q58">
        <v>1</v>
      </c>
      <c r="X58">
        <v>0.31</v>
      </c>
      <c r="Y58">
        <v>56.11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0.31</v>
      </c>
      <c r="AH58">
        <v>2</v>
      </c>
      <c r="AI58">
        <v>94242617</v>
      </c>
      <c r="AJ58">
        <v>59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ROW(Source!A154)</f>
        <v>154</v>
      </c>
      <c r="B59">
        <v>94242618</v>
      </c>
      <c r="C59">
        <v>94242554</v>
      </c>
      <c r="D59">
        <v>90159099</v>
      </c>
      <c r="E59">
        <v>118</v>
      </c>
      <c r="F59">
        <v>1</v>
      </c>
      <c r="G59">
        <v>1</v>
      </c>
      <c r="H59">
        <v>3</v>
      </c>
      <c r="I59" t="s">
        <v>345</v>
      </c>
      <c r="J59" t="s">
        <v>3</v>
      </c>
      <c r="K59" t="s">
        <v>346</v>
      </c>
      <c r="L59">
        <v>1348</v>
      </c>
      <c r="N59">
        <v>1009</v>
      </c>
      <c r="O59" t="s">
        <v>35</v>
      </c>
      <c r="P59" t="s">
        <v>35</v>
      </c>
      <c r="Q59">
        <v>1000</v>
      </c>
      <c r="X59">
        <v>0.03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 t="s">
        <v>3</v>
      </c>
      <c r="AG59">
        <v>0.03</v>
      </c>
      <c r="AH59">
        <v>3</v>
      </c>
      <c r="AI59">
        <v>-1</v>
      </c>
      <c r="AJ59" t="s">
        <v>3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ROW(Source!A154)</f>
        <v>154</v>
      </c>
      <c r="B60">
        <v>94242619</v>
      </c>
      <c r="C60">
        <v>94242554</v>
      </c>
      <c r="D60">
        <v>90159118</v>
      </c>
      <c r="E60">
        <v>118</v>
      </c>
      <c r="F60">
        <v>1</v>
      </c>
      <c r="G60">
        <v>1</v>
      </c>
      <c r="H60">
        <v>3</v>
      </c>
      <c r="I60" t="s">
        <v>347</v>
      </c>
      <c r="J60" t="s">
        <v>3</v>
      </c>
      <c r="K60" t="s">
        <v>348</v>
      </c>
      <c r="L60">
        <v>1348</v>
      </c>
      <c r="N60">
        <v>1009</v>
      </c>
      <c r="O60" t="s">
        <v>35</v>
      </c>
      <c r="P60" t="s">
        <v>35</v>
      </c>
      <c r="Q60">
        <v>1000</v>
      </c>
      <c r="X60">
        <v>0.02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 t="s">
        <v>3</v>
      </c>
      <c r="AG60">
        <v>0.02</v>
      </c>
      <c r="AH60">
        <v>3</v>
      </c>
      <c r="AI60">
        <v>-1</v>
      </c>
      <c r="AJ60" t="s">
        <v>3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ROW(Source!A154)</f>
        <v>154</v>
      </c>
      <c r="B61">
        <v>94242620</v>
      </c>
      <c r="C61">
        <v>94242554</v>
      </c>
      <c r="D61">
        <v>90251265</v>
      </c>
      <c r="E61">
        <v>1</v>
      </c>
      <c r="F61">
        <v>1</v>
      </c>
      <c r="G61">
        <v>1</v>
      </c>
      <c r="H61">
        <v>3</v>
      </c>
      <c r="I61" t="s">
        <v>311</v>
      </c>
      <c r="J61" t="s">
        <v>312</v>
      </c>
      <c r="K61" t="s">
        <v>313</v>
      </c>
      <c r="L61">
        <v>1348</v>
      </c>
      <c r="N61">
        <v>1009</v>
      </c>
      <c r="O61" t="s">
        <v>35</v>
      </c>
      <c r="P61" t="s">
        <v>35</v>
      </c>
      <c r="Q61">
        <v>1000</v>
      </c>
      <c r="X61">
        <v>5.0000000000000001E-3</v>
      </c>
      <c r="Y61">
        <v>52790.33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5.0000000000000001E-3</v>
      </c>
      <c r="AH61">
        <v>2</v>
      </c>
      <c r="AI61">
        <v>94242620</v>
      </c>
      <c r="AJ61">
        <v>62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28</v>
      </c>
      <c r="B1">
        <v>1</v>
      </c>
      <c r="C1" t="s">
        <v>3</v>
      </c>
      <c r="D1" t="s">
        <v>3</v>
      </c>
      <c r="E1" t="s">
        <v>22</v>
      </c>
      <c r="F1" t="s">
        <v>22</v>
      </c>
      <c r="G1" t="s">
        <v>23</v>
      </c>
      <c r="H1" t="s">
        <v>3</v>
      </c>
      <c r="I1" t="s">
        <v>23</v>
      </c>
      <c r="J1" t="s">
        <v>22</v>
      </c>
      <c r="K1" t="s">
        <v>3</v>
      </c>
      <c r="L1" t="s">
        <v>24</v>
      </c>
      <c r="M1" t="s">
        <v>25</v>
      </c>
      <c r="N1" t="s">
        <v>3</v>
      </c>
      <c r="O1" t="s">
        <v>22</v>
      </c>
      <c r="P1" t="s">
        <v>3</v>
      </c>
      <c r="Q1" t="s">
        <v>3</v>
      </c>
      <c r="R1" t="s">
        <v>3</v>
      </c>
      <c r="S1" t="s">
        <v>355</v>
      </c>
      <c r="T1" t="s">
        <v>398</v>
      </c>
      <c r="U1" t="s">
        <v>356</v>
      </c>
    </row>
    <row r="2" spans="1:21" x14ac:dyDescent="0.2">
      <c r="A2">
        <v>70</v>
      </c>
      <c r="B2">
        <v>1</v>
      </c>
      <c r="C2" t="s">
        <v>3</v>
      </c>
      <c r="D2" t="s">
        <v>3</v>
      </c>
      <c r="E2" t="s">
        <v>22</v>
      </c>
      <c r="F2" t="s">
        <v>22</v>
      </c>
      <c r="G2" t="s">
        <v>23</v>
      </c>
      <c r="H2" t="s">
        <v>3</v>
      </c>
      <c r="I2" t="s">
        <v>23</v>
      </c>
      <c r="J2" t="s">
        <v>22</v>
      </c>
      <c r="K2" t="s">
        <v>3</v>
      </c>
      <c r="L2" t="s">
        <v>24</v>
      </c>
      <c r="M2" t="s">
        <v>25</v>
      </c>
      <c r="N2" t="s">
        <v>3</v>
      </c>
      <c r="O2" t="s">
        <v>22</v>
      </c>
      <c r="P2" t="s">
        <v>3</v>
      </c>
      <c r="Q2" t="s">
        <v>3</v>
      </c>
      <c r="R2" t="s">
        <v>3</v>
      </c>
      <c r="S2" t="s">
        <v>355</v>
      </c>
      <c r="T2" t="s">
        <v>398</v>
      </c>
      <c r="U2" t="s">
        <v>356</v>
      </c>
    </row>
    <row r="3" spans="1:21" x14ac:dyDescent="0.2">
      <c r="A3">
        <v>79</v>
      </c>
      <c r="B3">
        <v>1</v>
      </c>
      <c r="C3" t="s">
        <v>3</v>
      </c>
      <c r="D3" t="s">
        <v>3</v>
      </c>
      <c r="E3" t="s">
        <v>22</v>
      </c>
      <c r="F3" t="s">
        <v>22</v>
      </c>
      <c r="G3" t="s">
        <v>23</v>
      </c>
      <c r="H3" t="s">
        <v>3</v>
      </c>
      <c r="I3" t="s">
        <v>23</v>
      </c>
      <c r="J3" t="s">
        <v>22</v>
      </c>
      <c r="K3" t="s">
        <v>3</v>
      </c>
      <c r="L3" t="s">
        <v>24</v>
      </c>
      <c r="M3" t="s">
        <v>25</v>
      </c>
      <c r="N3" t="s">
        <v>3</v>
      </c>
      <c r="O3" t="s">
        <v>22</v>
      </c>
      <c r="P3" t="s">
        <v>3</v>
      </c>
      <c r="Q3" t="s">
        <v>3</v>
      </c>
      <c r="R3" t="s">
        <v>3</v>
      </c>
      <c r="S3" t="s">
        <v>355</v>
      </c>
      <c r="T3" t="s">
        <v>398</v>
      </c>
      <c r="U3" t="s">
        <v>356</v>
      </c>
    </row>
    <row r="4" spans="1:21" x14ac:dyDescent="0.2">
      <c r="A4">
        <v>84</v>
      </c>
      <c r="B4">
        <v>1</v>
      </c>
      <c r="C4" t="s">
        <v>3</v>
      </c>
      <c r="D4" t="s">
        <v>3</v>
      </c>
      <c r="E4" t="s">
        <v>22</v>
      </c>
      <c r="F4" t="s">
        <v>22</v>
      </c>
      <c r="G4" t="s">
        <v>23</v>
      </c>
      <c r="H4" t="s">
        <v>3</v>
      </c>
      <c r="I4" t="s">
        <v>23</v>
      </c>
      <c r="J4" t="s">
        <v>22</v>
      </c>
      <c r="K4" t="s">
        <v>3</v>
      </c>
      <c r="L4" t="s">
        <v>24</v>
      </c>
      <c r="M4" t="s">
        <v>25</v>
      </c>
      <c r="N4" t="s">
        <v>3</v>
      </c>
      <c r="O4" t="s">
        <v>22</v>
      </c>
      <c r="P4" t="s">
        <v>3</v>
      </c>
      <c r="Q4" t="s">
        <v>3</v>
      </c>
      <c r="R4" t="s">
        <v>3</v>
      </c>
      <c r="S4" t="s">
        <v>355</v>
      </c>
      <c r="T4" t="s">
        <v>398</v>
      </c>
      <c r="U4" t="s">
        <v>356</v>
      </c>
    </row>
    <row r="5" spans="1:21" x14ac:dyDescent="0.2">
      <c r="A5">
        <v>154</v>
      </c>
      <c r="B5">
        <v>1</v>
      </c>
      <c r="C5" t="s">
        <v>3</v>
      </c>
      <c r="D5" t="s">
        <v>3</v>
      </c>
      <c r="E5" t="s">
        <v>22</v>
      </c>
      <c r="F5" t="s">
        <v>22</v>
      </c>
      <c r="G5" t="s">
        <v>23</v>
      </c>
      <c r="H5" t="s">
        <v>3</v>
      </c>
      <c r="I5" t="s">
        <v>23</v>
      </c>
      <c r="J5" t="s">
        <v>22</v>
      </c>
      <c r="K5" t="s">
        <v>3</v>
      </c>
      <c r="L5" t="s">
        <v>24</v>
      </c>
      <c r="M5" t="s">
        <v>25</v>
      </c>
      <c r="N5" t="s">
        <v>3</v>
      </c>
      <c r="O5" t="s">
        <v>22</v>
      </c>
      <c r="P5" t="s">
        <v>3</v>
      </c>
      <c r="Q5" t="s">
        <v>3</v>
      </c>
      <c r="R5" t="s">
        <v>3</v>
      </c>
      <c r="S5" t="s">
        <v>355</v>
      </c>
      <c r="T5" t="s">
        <v>398</v>
      </c>
      <c r="U5" t="s">
        <v>356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>Новый объект_(Копия)</v>
      </c>
      <c r="G12" t="str">
        <f>Source!G12</f>
        <v>Ремонт в пом 500 , 308,  1холл до 600тр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  <row r="14" spans="1:103" x14ac:dyDescent="0.2">
      <c r="E14" t="s">
        <v>357</v>
      </c>
      <c r="AD14">
        <v>4</v>
      </c>
    </row>
    <row r="15" spans="1:103" x14ac:dyDescent="0.2">
      <c r="B15" t="s">
        <v>358</v>
      </c>
      <c r="C15">
        <v>0</v>
      </c>
      <c r="D15" t="s">
        <v>359</v>
      </c>
      <c r="E15" t="s">
        <v>360</v>
      </c>
      <c r="F15" t="s">
        <v>361</v>
      </c>
      <c r="G15" t="s">
        <v>130</v>
      </c>
      <c r="H15">
        <v>2278.69</v>
      </c>
      <c r="I15">
        <v>2780</v>
      </c>
      <c r="J15">
        <v>0</v>
      </c>
      <c r="K15">
        <v>2278.69</v>
      </c>
      <c r="L15">
        <v>22</v>
      </c>
      <c r="M15">
        <v>46121</v>
      </c>
      <c r="N15">
        <v>2</v>
      </c>
      <c r="O15" t="s">
        <v>362</v>
      </c>
      <c r="P15" t="s">
        <v>363</v>
      </c>
      <c r="Q15" t="s">
        <v>364</v>
      </c>
      <c r="R15" t="s">
        <v>365</v>
      </c>
      <c r="S15" t="s">
        <v>3</v>
      </c>
      <c r="T15" t="s">
        <v>366</v>
      </c>
      <c r="U15">
        <v>0</v>
      </c>
      <c r="V15">
        <v>0</v>
      </c>
      <c r="W15">
        <v>0</v>
      </c>
      <c r="X15">
        <v>0</v>
      </c>
      <c r="Y15" t="s">
        <v>3</v>
      </c>
      <c r="Z15" t="s">
        <v>367</v>
      </c>
      <c r="AA15">
        <v>0</v>
      </c>
      <c r="AB15" t="s">
        <v>3</v>
      </c>
      <c r="AC15">
        <v>2278.69</v>
      </c>
      <c r="AD15">
        <v>1</v>
      </c>
      <c r="AE15">
        <v>0</v>
      </c>
      <c r="AF15">
        <v>1</v>
      </c>
      <c r="AG15">
        <v>3</v>
      </c>
      <c r="AH15" t="s">
        <v>130</v>
      </c>
      <c r="AI15" t="s">
        <v>129</v>
      </c>
      <c r="AJ15">
        <v>46220.392835648148</v>
      </c>
      <c r="AK15">
        <v>94242530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3</v>
      </c>
      <c r="AT15">
        <v>0</v>
      </c>
      <c r="AU15">
        <v>0</v>
      </c>
    </row>
    <row r="16" spans="1:103" x14ac:dyDescent="0.2">
      <c r="B16" t="s">
        <v>368</v>
      </c>
      <c r="C16">
        <v>1</v>
      </c>
      <c r="D16" t="s">
        <v>128</v>
      </c>
      <c r="E16" t="s">
        <v>369</v>
      </c>
      <c r="F16" t="s">
        <v>361</v>
      </c>
      <c r="G16" t="s">
        <v>130</v>
      </c>
      <c r="H16">
        <v>2213.11</v>
      </c>
      <c r="I16">
        <v>2700</v>
      </c>
      <c r="J16">
        <v>0</v>
      </c>
      <c r="K16">
        <v>2213.11</v>
      </c>
      <c r="L16">
        <v>22</v>
      </c>
      <c r="M16">
        <v>46128</v>
      </c>
      <c r="N16">
        <v>2</v>
      </c>
      <c r="O16" t="s">
        <v>370</v>
      </c>
      <c r="P16" t="s">
        <v>371</v>
      </c>
      <c r="Q16" t="s">
        <v>372</v>
      </c>
      <c r="R16" t="s">
        <v>373</v>
      </c>
      <c r="S16" t="s">
        <v>3</v>
      </c>
      <c r="T16" t="s">
        <v>374</v>
      </c>
      <c r="U16">
        <v>0</v>
      </c>
      <c r="V16">
        <v>0</v>
      </c>
      <c r="W16">
        <v>0</v>
      </c>
      <c r="X16">
        <v>0</v>
      </c>
      <c r="Y16" t="s">
        <v>3</v>
      </c>
      <c r="Z16" t="s">
        <v>367</v>
      </c>
      <c r="AA16">
        <v>0</v>
      </c>
      <c r="AB16" t="s">
        <v>3</v>
      </c>
      <c r="AC16">
        <v>2213.11</v>
      </c>
      <c r="AD16">
        <v>1</v>
      </c>
      <c r="AE16">
        <v>0</v>
      </c>
      <c r="AF16">
        <v>1</v>
      </c>
      <c r="AG16">
        <v>3</v>
      </c>
      <c r="AH16" t="s">
        <v>130</v>
      </c>
      <c r="AI16" t="s">
        <v>129</v>
      </c>
      <c r="AJ16">
        <v>46220.392835648148</v>
      </c>
      <c r="AK16">
        <v>94242530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3</v>
      </c>
      <c r="AT16">
        <v>0</v>
      </c>
      <c r="AU16">
        <v>0</v>
      </c>
    </row>
    <row r="17" spans="2:47" x14ac:dyDescent="0.2">
      <c r="B17" t="s">
        <v>375</v>
      </c>
      <c r="C17">
        <v>0</v>
      </c>
      <c r="D17" t="s">
        <v>376</v>
      </c>
      <c r="E17" t="s">
        <v>369</v>
      </c>
      <c r="F17" t="s">
        <v>361</v>
      </c>
      <c r="G17" t="s">
        <v>130</v>
      </c>
      <c r="H17">
        <v>2254.1</v>
      </c>
      <c r="I17">
        <v>2750</v>
      </c>
      <c r="J17">
        <v>0</v>
      </c>
      <c r="K17">
        <v>2254.1</v>
      </c>
      <c r="L17">
        <v>22</v>
      </c>
      <c r="M17">
        <v>46122</v>
      </c>
      <c r="N17">
        <v>2</v>
      </c>
      <c r="O17" t="s">
        <v>377</v>
      </c>
      <c r="P17" t="s">
        <v>378</v>
      </c>
      <c r="Q17" t="s">
        <v>379</v>
      </c>
      <c r="R17" t="s">
        <v>380</v>
      </c>
      <c r="S17" t="s">
        <v>3</v>
      </c>
      <c r="T17" t="s">
        <v>366</v>
      </c>
      <c r="U17">
        <v>0</v>
      </c>
      <c r="V17">
        <v>0</v>
      </c>
      <c r="W17">
        <v>0</v>
      </c>
      <c r="X17">
        <v>0</v>
      </c>
      <c r="Y17" t="s">
        <v>3</v>
      </c>
      <c r="Z17" t="s">
        <v>367</v>
      </c>
      <c r="AA17">
        <v>0</v>
      </c>
      <c r="AB17" t="s">
        <v>3</v>
      </c>
      <c r="AC17">
        <v>2254.1</v>
      </c>
      <c r="AD17">
        <v>1</v>
      </c>
      <c r="AE17">
        <v>0</v>
      </c>
      <c r="AF17">
        <v>1</v>
      </c>
      <c r="AG17">
        <v>3</v>
      </c>
      <c r="AH17" t="s">
        <v>130</v>
      </c>
      <c r="AI17" t="s">
        <v>129</v>
      </c>
      <c r="AJ17">
        <v>46220.392835648148</v>
      </c>
      <c r="AK17">
        <v>94242530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3</v>
      </c>
      <c r="AT17">
        <v>0</v>
      </c>
      <c r="AU17">
        <v>0</v>
      </c>
    </row>
    <row r="18" spans="2:47" x14ac:dyDescent="0.2">
      <c r="B18" t="s">
        <v>381</v>
      </c>
      <c r="C18">
        <v>0</v>
      </c>
      <c r="D18" t="s">
        <v>382</v>
      </c>
      <c r="E18" t="s">
        <v>383</v>
      </c>
      <c r="F18" t="s">
        <v>384</v>
      </c>
      <c r="G18" t="s">
        <v>140</v>
      </c>
      <c r="H18">
        <v>1139.3399999999999</v>
      </c>
      <c r="I18">
        <v>1390</v>
      </c>
      <c r="J18">
        <v>0</v>
      </c>
      <c r="K18">
        <v>1139.3399999999999</v>
      </c>
      <c r="L18">
        <v>22</v>
      </c>
      <c r="M18">
        <v>46121</v>
      </c>
      <c r="N18">
        <v>2</v>
      </c>
      <c r="O18" t="s">
        <v>362</v>
      </c>
      <c r="P18" t="s">
        <v>363</v>
      </c>
      <c r="Q18" t="s">
        <v>364</v>
      </c>
      <c r="R18" t="s">
        <v>365</v>
      </c>
      <c r="S18" t="s">
        <v>3</v>
      </c>
      <c r="T18" t="s">
        <v>366</v>
      </c>
      <c r="U18">
        <v>0</v>
      </c>
      <c r="V18">
        <v>0</v>
      </c>
      <c r="W18">
        <v>0</v>
      </c>
      <c r="X18">
        <v>0</v>
      </c>
      <c r="Y18" t="s">
        <v>3</v>
      </c>
      <c r="Z18" t="s">
        <v>367</v>
      </c>
      <c r="AA18">
        <v>0</v>
      </c>
      <c r="AB18" t="s">
        <v>3</v>
      </c>
      <c r="AC18">
        <v>1139.3399999999999</v>
      </c>
      <c r="AD18">
        <v>1</v>
      </c>
      <c r="AE18">
        <v>0</v>
      </c>
      <c r="AF18">
        <v>1</v>
      </c>
      <c r="AG18">
        <v>3</v>
      </c>
      <c r="AH18" t="s">
        <v>140</v>
      </c>
      <c r="AI18" t="s">
        <v>139</v>
      </c>
      <c r="AJ18">
        <v>46220.389733796299</v>
      </c>
      <c r="AK18">
        <v>94242548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s">
        <v>3</v>
      </c>
      <c r="AT18">
        <v>0</v>
      </c>
      <c r="AU18">
        <v>0</v>
      </c>
    </row>
    <row r="19" spans="2:47" x14ac:dyDescent="0.2">
      <c r="B19" t="s">
        <v>385</v>
      </c>
      <c r="C19">
        <v>1</v>
      </c>
      <c r="D19" t="s">
        <v>138</v>
      </c>
      <c r="E19" t="s">
        <v>383</v>
      </c>
      <c r="F19" t="s">
        <v>384</v>
      </c>
      <c r="G19" t="s">
        <v>140</v>
      </c>
      <c r="H19">
        <v>1106.56</v>
      </c>
      <c r="I19">
        <v>1350</v>
      </c>
      <c r="J19">
        <v>0</v>
      </c>
      <c r="K19">
        <v>1106.56</v>
      </c>
      <c r="L19">
        <v>22</v>
      </c>
      <c r="M19">
        <v>46084</v>
      </c>
      <c r="N19">
        <v>2</v>
      </c>
      <c r="O19" t="s">
        <v>386</v>
      </c>
      <c r="P19" t="s">
        <v>387</v>
      </c>
      <c r="Q19" t="s">
        <v>388</v>
      </c>
      <c r="R19" t="s">
        <v>389</v>
      </c>
      <c r="S19" t="s">
        <v>3</v>
      </c>
      <c r="T19" t="s">
        <v>366</v>
      </c>
      <c r="U19">
        <v>0</v>
      </c>
      <c r="V19">
        <v>0</v>
      </c>
      <c r="W19">
        <v>0</v>
      </c>
      <c r="X19">
        <v>0</v>
      </c>
      <c r="Y19" t="s">
        <v>3</v>
      </c>
      <c r="Z19" t="s">
        <v>367</v>
      </c>
      <c r="AA19">
        <v>0</v>
      </c>
      <c r="AB19" t="s">
        <v>3</v>
      </c>
      <c r="AC19">
        <v>1106.56</v>
      </c>
      <c r="AD19">
        <v>1</v>
      </c>
      <c r="AE19">
        <v>0</v>
      </c>
      <c r="AF19">
        <v>1</v>
      </c>
      <c r="AG19">
        <v>3</v>
      </c>
      <c r="AH19" t="s">
        <v>140</v>
      </c>
      <c r="AI19" t="s">
        <v>139</v>
      </c>
      <c r="AJ19">
        <v>46220.389733796299</v>
      </c>
      <c r="AK19">
        <v>94242548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3</v>
      </c>
      <c r="AT19">
        <v>0</v>
      </c>
      <c r="AU19">
        <v>0</v>
      </c>
    </row>
    <row r="20" spans="2:47" x14ac:dyDescent="0.2">
      <c r="B20" t="s">
        <v>390</v>
      </c>
      <c r="C20">
        <v>0</v>
      </c>
      <c r="D20" t="s">
        <v>391</v>
      </c>
      <c r="E20" t="s">
        <v>383</v>
      </c>
      <c r="F20" t="s">
        <v>384</v>
      </c>
      <c r="G20" t="s">
        <v>140</v>
      </c>
      <c r="H20">
        <v>1147.54</v>
      </c>
      <c r="I20">
        <v>1400</v>
      </c>
      <c r="J20">
        <v>0</v>
      </c>
      <c r="K20">
        <v>1147.54</v>
      </c>
      <c r="L20">
        <v>22</v>
      </c>
      <c r="M20">
        <v>46128</v>
      </c>
      <c r="N20">
        <v>2</v>
      </c>
      <c r="O20" t="s">
        <v>392</v>
      </c>
      <c r="P20" t="s">
        <v>393</v>
      </c>
      <c r="Q20" t="s">
        <v>394</v>
      </c>
      <c r="R20" t="s">
        <v>395</v>
      </c>
      <c r="S20" t="s">
        <v>3</v>
      </c>
      <c r="T20" t="s">
        <v>396</v>
      </c>
      <c r="U20">
        <v>0</v>
      </c>
      <c r="V20">
        <v>0</v>
      </c>
      <c r="W20">
        <v>0</v>
      </c>
      <c r="X20">
        <v>0</v>
      </c>
      <c r="Y20" t="s">
        <v>3</v>
      </c>
      <c r="Z20" t="s">
        <v>367</v>
      </c>
      <c r="AA20">
        <v>0</v>
      </c>
      <c r="AB20" t="s">
        <v>3</v>
      </c>
      <c r="AC20">
        <v>1147.54</v>
      </c>
      <c r="AD20">
        <v>1</v>
      </c>
      <c r="AE20">
        <v>0</v>
      </c>
      <c r="AF20">
        <v>1</v>
      </c>
      <c r="AG20">
        <v>3</v>
      </c>
      <c r="AH20" t="s">
        <v>140</v>
      </c>
      <c r="AI20" t="s">
        <v>139</v>
      </c>
      <c r="AJ20">
        <v>46220.389733796299</v>
      </c>
      <c r="AK20">
        <v>94242548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0</v>
      </c>
      <c r="AU2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Смета по ФСНБ 421+557прРИМ</vt:lpstr>
      <vt:lpstr>Дефектная ведомость</vt:lpstr>
      <vt:lpstr>Конъюнктурный анализ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'Конъюнктурный анализ'!Заголовки_для_печати</vt:lpstr>
      <vt:lpstr>'Смета по ФСНБ 421+557прРИМ'!Заголовки_для_печати</vt:lpstr>
      <vt:lpstr>'Дефектная ведомость'!Область_печати</vt:lpstr>
      <vt:lpstr>'Конъюнктурный анализ'!Область_печати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Старостенко Наталья Александровна</cp:lastModifiedBy>
  <dcterms:created xsi:type="dcterms:W3CDTF">2026-07-17T12:03:49Z</dcterms:created>
  <dcterms:modified xsi:type="dcterms:W3CDTF">2026-07-23T09:40:47Z</dcterms:modified>
</cp:coreProperties>
</file>