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351 Поставка офисной мебели\"/>
    </mc:Choice>
  </mc:AlternateContent>
  <xr:revisionPtr revIDLastSave="0" documentId="8_{56F96568-1210-4AEB-9224-222F6EF9BA10}" xr6:coauthVersionLast="47" xr6:coauthVersionMax="47" xr10:uidLastSave="{00000000-0000-0000-0000-000000000000}"/>
  <bookViews>
    <workbookView xWindow="-120" yWindow="-120" windowWidth="29040" windowHeight="15840" xr2:uid="{61E9C3FC-B59C-404E-8DAE-7E992CE6BF13}"/>
  </bookViews>
  <sheets>
    <sheet name="НМЦ" sheetId="1" r:id="rId1"/>
  </sheets>
  <externalReferences>
    <externalReference r:id="rId2"/>
  </externalReferences>
  <definedNames>
    <definedName name="ДаНет">#N/A</definedName>
    <definedName name="_xlnm.Print_Area" localSheetId="0">НМЦ!$A$3:$M$36</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1" l="1"/>
  <c r="B33" i="1"/>
  <c r="K30" i="1"/>
  <c r="B30" i="1"/>
  <c r="K25" i="1"/>
  <c r="L25" i="1" s="1"/>
  <c r="M25" i="1" s="1"/>
  <c r="J25" i="1"/>
  <c r="I25" i="1"/>
  <c r="D25" i="1"/>
  <c r="C25" i="1"/>
  <c r="B25" i="1"/>
  <c r="L24" i="1"/>
  <c r="M24" i="1" s="1"/>
  <c r="K24" i="1"/>
  <c r="J24" i="1"/>
  <c r="I24" i="1"/>
  <c r="D24" i="1"/>
  <c r="C24" i="1"/>
  <c r="B24" i="1"/>
  <c r="J23" i="1"/>
  <c r="I23" i="1"/>
  <c r="K23" i="1" s="1"/>
  <c r="L23" i="1" s="1"/>
  <c r="M23" i="1" s="1"/>
  <c r="D23" i="1"/>
  <c r="C23" i="1"/>
  <c r="B23" i="1"/>
  <c r="J22" i="1"/>
  <c r="K22" i="1" s="1"/>
  <c r="L22" i="1" s="1"/>
  <c r="M22" i="1" s="1"/>
  <c r="I22" i="1"/>
  <c r="D22" i="1"/>
  <c r="C22" i="1"/>
  <c r="B22" i="1"/>
  <c r="S21" i="1"/>
  <c r="R21" i="1"/>
  <c r="J21" i="1"/>
  <c r="K21" i="1" s="1"/>
  <c r="L21" i="1" s="1"/>
  <c r="M21" i="1" s="1"/>
  <c r="I21" i="1"/>
  <c r="D21" i="1"/>
  <c r="C21" i="1"/>
  <c r="B21" i="1"/>
  <c r="A21" i="1"/>
  <c r="A22" i="1" s="1"/>
  <c r="A23" i="1" s="1"/>
  <c r="A24" i="1" s="1"/>
  <c r="A25" i="1" s="1"/>
  <c r="S20" i="1"/>
  <c r="R20" i="1"/>
  <c r="J20" i="1"/>
  <c r="K20" i="1" s="1"/>
  <c r="L20" i="1" s="1"/>
  <c r="M20" i="1" s="1"/>
  <c r="I20" i="1"/>
  <c r="D20" i="1"/>
  <c r="F26" i="1" s="1"/>
  <c r="C20" i="1"/>
  <c r="B20" i="1"/>
  <c r="A20" i="1"/>
  <c r="S19" i="1"/>
  <c r="R19" i="1"/>
  <c r="J19" i="1"/>
  <c r="I19" i="1"/>
  <c r="K19" i="1" s="1"/>
  <c r="L19" i="1" s="1"/>
  <c r="M19" i="1" s="1"/>
  <c r="M26" i="1" s="1"/>
  <c r="D19" i="1"/>
  <c r="E26" i="1" s="1"/>
  <c r="C19" i="1"/>
  <c r="B19" i="1"/>
  <c r="S18" i="1"/>
  <c r="R18" i="1"/>
  <c r="E18" i="1"/>
  <c r="F18" i="1" s="1"/>
  <c r="G18" i="1" s="1"/>
  <c r="H18" i="1" s="1"/>
  <c r="I18" i="1" s="1"/>
  <c r="J18" i="1" s="1"/>
  <c r="K18" i="1" s="1"/>
  <c r="L18" i="1" s="1"/>
  <c r="M18" i="1" s="1"/>
  <c r="S17" i="1"/>
  <c r="R17" i="1"/>
  <c r="F10" i="1"/>
  <c r="F9" i="1"/>
  <c r="F8" i="1"/>
  <c r="F7" i="1"/>
  <c r="F6" i="1"/>
  <c r="G26" i="1" l="1"/>
  <c r="I26" i="1" s="1"/>
  <c r="H26" i="1"/>
  <c r="J26" i="1" l="1"/>
  <c r="K26" i="1" s="1"/>
  <c r="C35" i="1" l="1"/>
  <c r="F12" i="1"/>
</calcChain>
</file>

<file path=xl/sharedStrings.xml><?xml version="1.0" encoding="utf-8"?>
<sst xmlns="http://schemas.openxmlformats.org/spreadsheetml/2006/main" count="56" uniqueCount="51">
  <si>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</si>
  <si>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</si>
  <si>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</si>
  <si>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</si>
  <si>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</si>
  <si>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</si>
  <si>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</si>
  <si>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</si>
  <si>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</si>
  <si>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</si>
  <si>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</si>
  <si>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</si>
  <si>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</si>
  <si>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</si>
  <si>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 за единицу всех позиций товара составляет:</t>
  </si>
  <si>
    <t>31 821-00 (тридцать одна тысяча восемьсот двадцать один) рубль 00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</si>
  <si>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</si>
  <si>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</si>
  <si>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</si>
  <si>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</si>
  <si>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</si>
  <si>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</si>
  <si>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</si>
  <si>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</si>
  <si>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</si>
  <si>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</si>
  <si>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</si>
  <si>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</si>
  <si>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</si>
  <si>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</si>
  <si>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</si>
  <si>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</si>
  <si>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</si>
  <si>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</si>
  <si>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</si>
  <si>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</si>
  <si>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</si>
  <si>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</si>
  <si>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</si>
  <si>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</si>
  <si>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 xml:space="preserve">№4 </t>
  </si>
  <si>
    <t>№5</t>
  </si>
  <si>
    <t>формулы</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</si>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</sst>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name val="Times New Roman"/>
      <family val="1"/>
      <charset val="204"/>
    </font>
    <font>
      <sz val="12"/>
      <color rgb="FFFF0000"/>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83">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0" fillId="0" borderId="0" xfId="0" applyFont="1" applyAlignment="1">
      <alignment horizontal="left" vertical="top" wrapText="1"/>
    </xf>
    <xf numFmtId="0" fontId="11" fillId="0" borderId="1" xfId="0" applyFont="1" applyBorder="1" applyAlignment="1">
      <alignment horizontal="left" vertical="center" wrapText="1" indent="3"/>
    </xf>
    <xf numFmtId="0" fontId="14" fillId="0" borderId="1" xfId="0" applyFont="1" applyBorder="1" applyAlignment="1">
      <alignment vertical="center" wrapText="1"/>
    </xf>
    <xf numFmtId="0" fontId="11"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3"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6"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80E7A4FA-684E-4891-995B-C5D0C464F2EE}"/>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2;&#1090;&#1091;&#1072;&#1083;/&#1050;&#1086;&#1084;&#1087;&#1083;&#1077;&#1082;&#1090;%20&#1085;&#1072;%20&#1086;&#1092;&#1080;&#1089;&#1085;&#1091;&#1102;%20&#1084;&#1077;&#1073;&#1077;&#1083;&#1100;%20(&#1082;&#1088;&#1077;&#1089;&#1083;&#1072;,%20&#1089;&#1090;&#1091;&#1083;&#110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46174</v>
          </cell>
        </row>
        <row r="4">
          <cell r="C4" t="str">
            <v>Начальник ХО</v>
          </cell>
          <cell r="D4" t="str">
            <v>А.С. Большакова</v>
          </cell>
        </row>
        <row r="66">
          <cell r="C66" t="str">
            <v>Поставка офисной мебели (кресла, стулья)</v>
          </cell>
        </row>
        <row r="67">
          <cell r="C67" t="str">
            <v xml:space="preserve">метод сопоставимых рыночных цен (анализа рынка) </v>
          </cell>
        </row>
        <row r="68">
          <cell r="C68" t="str">
            <v xml:space="preserve">в течение 10 календарных дней с даты поступления письменной заявки </v>
          </cell>
        </row>
        <row r="69">
          <cell r="C69" t="str">
            <v xml:space="preserve">Исх. №69-2887 от 06.04.26, Исх.№69-2888 от 06.04.26, Исх.№69-2889 от 06.04.26, Исх.№.69-2890 от 06.04.26, Исх.№69-2891 от 06.04.26 </v>
          </cell>
        </row>
        <row r="70">
          <cell r="C70" t="str">
            <v xml:space="preserve">Вх.№ 2240 от 17.04.26, Вх.№ 2241 от 17.04.26, Вх.№ 2495 от 29.04.26   </v>
          </cell>
        </row>
        <row r="77">
          <cell r="C77" t="str">
            <v>Специалист по административно-хозяйственному обеспечению Пикалова Л.Д.</v>
          </cell>
        </row>
        <row r="78">
          <cell r="C78" t="str">
            <v>64-09</v>
          </cell>
        </row>
      </sheetData>
      <sheetData sheetId="8"/>
      <sheetData sheetId="9"/>
      <sheetData sheetId="10"/>
      <sheetData sheetId="11"/>
      <sheetData sheetId="12">
        <row r="10">
          <cell r="B10" t="str">
            <v xml:space="preserve">Стул офисный Серна    </v>
          </cell>
          <cell r="D10" t="str">
            <v>шт</v>
          </cell>
          <cell r="E10">
            <v>1</v>
          </cell>
        </row>
        <row r="11">
          <cell r="B11" t="str">
            <v xml:space="preserve">Кресло руководителя ткань Бюрократ Т-898/ЗС1GR </v>
          </cell>
          <cell r="D11" t="str">
            <v>шт</v>
          </cell>
          <cell r="E11">
            <v>1</v>
          </cell>
        </row>
        <row r="12">
          <cell r="B12" t="str">
            <v>Крестовина для кресла</v>
          </cell>
          <cell r="D12" t="str">
            <v>шт</v>
          </cell>
          <cell r="E12">
            <v>1</v>
          </cell>
        </row>
        <row r="13">
          <cell r="B13" t="str">
            <v>Газлифт</v>
          </cell>
          <cell r="D13" t="str">
            <v>шт</v>
          </cell>
          <cell r="E13">
            <v>1</v>
          </cell>
        </row>
        <row r="14">
          <cell r="B14" t="str">
            <v>Механизм качания для кресла (пиастра)</v>
          </cell>
          <cell r="D14" t="str">
            <v>шт</v>
          </cell>
          <cell r="E14">
            <v>1</v>
          </cell>
        </row>
        <row r="15">
          <cell r="B15" t="str">
            <v>Диван офисный</v>
          </cell>
          <cell r="D15" t="str">
            <v>шт</v>
          </cell>
          <cell r="E15">
            <v>1</v>
          </cell>
        </row>
        <row r="16">
          <cell r="B16" t="str">
            <v>Вешалка-стойка</v>
          </cell>
          <cell r="D16" t="str">
            <v>шт</v>
          </cell>
          <cell r="E16">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76B9-968C-4F0A-8FCC-0506E3602F8C}">
  <sheetPr>
    <tabColor rgb="FF00B050"/>
    <pageSetUpPr fitToPage="1"/>
  </sheetPr>
  <dimension ref="A1:W43"/>
  <sheetViews>
    <sheetView tabSelected="1" view="pageBreakPreview" topLeftCell="A3" zoomScale="80" zoomScaleNormal="100" zoomScaleSheetLayoutView="80" workbookViewId="0">
      <selection activeCell="A10" sqref="A10:E10"/>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7" width="12.140625" style="2" customWidth="1"/>
    <col min="8" max="8" width="17.570312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Поставка офисной мебели (кресла, стулья)</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36.6" customHeight="1" x14ac:dyDescent="0.25">
      <c r="A8" s="19" t="s">
        <v>9</v>
      </c>
      <c r="B8" s="19"/>
      <c r="C8" s="19"/>
      <c r="D8" s="19"/>
      <c r="E8" s="19"/>
      <c r="F8" s="19" t="str">
        <f>[1]ЗАКУПКА!C68</f>
        <v xml:space="preserve">в течение 10 календарных дней с даты поступления письменной заявки </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 xml:space="preserve">Исх. №69-2887 от 06.04.26, Исх.№69-2888 от 06.04.26, Исх.№69-2889 от 06.04.26, Исх.№.69-2890 от 06.04.26, Исх.№69-2891 от 06.04.26 </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 xml:space="preserve">Вх.№ 2240 от 17.04.26, Вх.№ 2241 от 17.04.26, Вх.№ 2495 от 29.04.26   </v>
      </c>
      <c r="G10" s="23"/>
      <c r="H10" s="23"/>
      <c r="I10" s="23"/>
      <c r="J10" s="23"/>
      <c r="K10" s="23"/>
      <c r="L10" s="23"/>
      <c r="M10" s="23"/>
      <c r="N10" s="24" t="s">
        <v>13</v>
      </c>
      <c r="O10" s="25"/>
      <c r="P10" s="25"/>
      <c r="Q10" s="25"/>
      <c r="R10" s="17"/>
    </row>
    <row r="11" spans="1:23" ht="48" customHeight="1" x14ac:dyDescent="0.25">
      <c r="A11" s="19" t="s">
        <v>14</v>
      </c>
      <c r="B11" s="19"/>
      <c r="C11" s="19"/>
      <c r="D11" s="19"/>
      <c r="E11" s="19"/>
      <c r="F11" s="26" t="s">
        <v>15</v>
      </c>
      <c r="G11" s="26"/>
      <c r="H11" s="26"/>
      <c r="I11" s="26"/>
      <c r="J11" s="26"/>
      <c r="K11" s="26"/>
      <c r="L11" s="26"/>
      <c r="M11" s="26"/>
      <c r="N11" s="27" t="s">
        <v>16</v>
      </c>
      <c r="O11" s="17"/>
      <c r="P11" s="17"/>
      <c r="R11" s="17"/>
      <c r="S11" s="17"/>
      <c r="T11" s="17"/>
    </row>
    <row r="12" spans="1:23" ht="21" customHeight="1" x14ac:dyDescent="0.25">
      <c r="A12" s="19" t="s">
        <v>17</v>
      </c>
      <c r="B12" s="19"/>
      <c r="C12" s="19"/>
      <c r="D12" s="19"/>
      <c r="E12" s="19"/>
      <c r="F12" s="28">
        <f ca="1">[1]ЗАКУПКА!B1</f>
        <v>46174</v>
      </c>
      <c r="G12" s="28"/>
      <c r="H12" s="28"/>
      <c r="I12" s="28"/>
      <c r="J12" s="28"/>
      <c r="K12" s="28"/>
      <c r="L12" s="28"/>
      <c r="M12" s="28"/>
      <c r="N12" s="29" t="s">
        <v>18</v>
      </c>
      <c r="O12" s="17"/>
      <c r="P12" s="17"/>
      <c r="Q12" s="17"/>
      <c r="R12" s="17"/>
      <c r="S12" s="17"/>
      <c r="T12" s="17"/>
    </row>
    <row r="13" spans="1:23" ht="15" customHeight="1" x14ac:dyDescent="0.25">
      <c r="A13" s="30"/>
      <c r="B13" s="30"/>
      <c r="C13" s="30"/>
      <c r="D13" s="30"/>
      <c r="E13" s="30"/>
      <c r="F13" s="30"/>
      <c r="G13" s="30"/>
      <c r="H13" s="30"/>
      <c r="I13" s="30"/>
      <c r="J13" s="30"/>
      <c r="K13" s="30"/>
      <c r="L13" s="30"/>
      <c r="M13" s="30"/>
      <c r="N13" s="17"/>
      <c r="O13" s="17"/>
      <c r="P13" s="17"/>
      <c r="Q13" s="17"/>
      <c r="R13" s="17"/>
      <c r="S13" s="17"/>
      <c r="T13" s="17"/>
    </row>
    <row r="14" spans="1:23" ht="15" customHeight="1" x14ac:dyDescent="0.25">
      <c r="A14" s="31" t="s">
        <v>19</v>
      </c>
      <c r="B14" s="31"/>
      <c r="C14" s="31"/>
      <c r="D14" s="31"/>
      <c r="E14" s="31"/>
      <c r="F14" s="31"/>
      <c r="G14" s="31"/>
      <c r="H14" s="31"/>
      <c r="I14" s="31"/>
      <c r="J14" s="31"/>
      <c r="K14" s="31"/>
      <c r="L14" s="31"/>
      <c r="M14" s="31"/>
      <c r="N14" s="17"/>
      <c r="O14" s="17"/>
      <c r="P14" s="17"/>
      <c r="Q14" s="17"/>
      <c r="R14" s="17"/>
      <c r="S14" s="17"/>
      <c r="T14" s="17"/>
    </row>
    <row r="15" spans="1:23" x14ac:dyDescent="0.25">
      <c r="Q15" s="32" t="s">
        <v>20</v>
      </c>
    </row>
    <row r="16" spans="1:23" s="38" customFormat="1" ht="30.75" customHeight="1" x14ac:dyDescent="0.25">
      <c r="A16" s="33" t="s">
        <v>21</v>
      </c>
      <c r="B16" s="33" t="s">
        <v>22</v>
      </c>
      <c r="C16" s="33" t="s">
        <v>23</v>
      </c>
      <c r="D16" s="33" t="s">
        <v>24</v>
      </c>
      <c r="E16" s="34" t="s">
        <v>25</v>
      </c>
      <c r="F16" s="35"/>
      <c r="G16" s="35"/>
      <c r="H16" s="36"/>
      <c r="I16" s="33" t="s">
        <v>26</v>
      </c>
      <c r="J16" s="33" t="s">
        <v>27</v>
      </c>
      <c r="K16" s="33" t="s">
        <v>28</v>
      </c>
      <c r="L16" s="37" t="s">
        <v>29</v>
      </c>
      <c r="M16" s="33" t="s">
        <v>30</v>
      </c>
      <c r="O16" s="39"/>
      <c r="P16" s="40" t="s">
        <v>31</v>
      </c>
      <c r="Q16" s="40" t="s">
        <v>32</v>
      </c>
      <c r="R16" s="6" t="s">
        <v>33</v>
      </c>
      <c r="S16" s="6" t="s">
        <v>34</v>
      </c>
    </row>
    <row r="17" spans="1:20" s="38" customFormat="1" ht="128.25" customHeight="1" x14ac:dyDescent="0.25">
      <c r="A17" s="41"/>
      <c r="B17" s="41"/>
      <c r="C17" s="41"/>
      <c r="D17" s="41"/>
      <c r="E17" s="6" t="s">
        <v>35</v>
      </c>
      <c r="F17" s="6" t="s">
        <v>36</v>
      </c>
      <c r="G17" s="6" t="s">
        <v>37</v>
      </c>
      <c r="H17" s="42" t="s">
        <v>38</v>
      </c>
      <c r="I17" s="41"/>
      <c r="J17" s="41"/>
      <c r="K17" s="41"/>
      <c r="L17" s="43"/>
      <c r="M17" s="41"/>
      <c r="O17" s="17"/>
      <c r="P17" s="44" t="s">
        <v>35</v>
      </c>
      <c r="Q17" s="45">
        <v>2723123664</v>
      </c>
      <c r="R17" s="45" t="str">
        <f>VLOOKUP(Q17,[1]Контрагенты!$A$3:$H$3248,4,FALSE)</f>
        <v>ООО "ЦЛХ"</v>
      </c>
      <c r="S17" s="46">
        <f>VLOOKUP(Q17,[1]Контрагенты!$A$3:$H$3248,7,FALSE)</f>
        <v>0</v>
      </c>
      <c r="T17" s="47" t="s">
        <v>39</v>
      </c>
    </row>
    <row r="18" spans="1:20" ht="14.25" customHeight="1" x14ac:dyDescent="0.25">
      <c r="A18" s="48">
        <v>1</v>
      </c>
      <c r="B18" s="48">
        <v>2</v>
      </c>
      <c r="C18" s="48">
        <v>3</v>
      </c>
      <c r="D18" s="48">
        <v>4</v>
      </c>
      <c r="E18" s="48">
        <f>D18+1</f>
        <v>5</v>
      </c>
      <c r="F18" s="48">
        <f t="shared" ref="F18:M18" si="0">E18+1</f>
        <v>6</v>
      </c>
      <c r="G18" s="48">
        <f t="shared" si="0"/>
        <v>7</v>
      </c>
      <c r="H18" s="48">
        <f t="shared" si="0"/>
        <v>8</v>
      </c>
      <c r="I18" s="48">
        <f t="shared" si="0"/>
        <v>9</v>
      </c>
      <c r="J18" s="48">
        <f t="shared" si="0"/>
        <v>10</v>
      </c>
      <c r="K18" s="48">
        <f t="shared" si="0"/>
        <v>11</v>
      </c>
      <c r="L18" s="48">
        <f t="shared" si="0"/>
        <v>12</v>
      </c>
      <c r="M18" s="48">
        <f t="shared" si="0"/>
        <v>13</v>
      </c>
      <c r="O18" s="17"/>
      <c r="P18" s="6" t="s">
        <v>36</v>
      </c>
      <c r="Q18" s="49"/>
      <c r="R18" s="8" t="str">
        <f>VLOOKUP(Q18,[1]Контрагенты!$A$3:$H$3248,4,FALSE)</f>
        <v>ООО "Сантехресурс+"</v>
      </c>
      <c r="S18" s="50" t="str">
        <f>VLOOKUP(Q18,[1]Контрагенты!$A$3:$H$3248,7,FALSE)</f>
        <v/>
      </c>
    </row>
    <row r="19" spans="1:20" x14ac:dyDescent="0.25">
      <c r="A19" s="48">
        <v>1</v>
      </c>
      <c r="B19" s="48" t="str">
        <f>'[1]Спец-я'!B10</f>
        <v xml:space="preserve">Стул офисный Серна    </v>
      </c>
      <c r="C19" s="48" t="str">
        <f>'[1]Спец-я'!D10</f>
        <v>шт</v>
      </c>
      <c r="D19" s="51">
        <f>'[1]Спец-я'!E10</f>
        <v>1</v>
      </c>
      <c r="E19" s="52">
        <v>3300</v>
      </c>
      <c r="F19" s="52">
        <v>2097</v>
      </c>
      <c r="G19" s="52">
        <v>2125</v>
      </c>
      <c r="H19" s="53"/>
      <c r="I19" s="52">
        <f>IFERROR(ROUND(AVERAGEIF(E19:G19,"&gt;0"),2),"")</f>
        <v>2507.33</v>
      </c>
      <c r="J19" s="54">
        <f>IFERROR(_xlfn.STDEV.P($E19:$G19),"")</f>
        <v>560.61652570084743</v>
      </c>
      <c r="K19" s="54">
        <f>IFERROR(J19/I19,"")</f>
        <v>0.22359104134710925</v>
      </c>
      <c r="L19" s="54">
        <f t="shared" ref="L19:L25" si="1">IF(K19&lt;0.06,I19,IF(K19&gt;0.32,$N$26,MIN(E19:G19)))</f>
        <v>2097</v>
      </c>
      <c r="M19" s="54">
        <f>IFERROR(L19*D19,"")</f>
        <v>2097</v>
      </c>
      <c r="O19" s="17"/>
      <c r="P19" s="6" t="s">
        <v>37</v>
      </c>
      <c r="Q19" s="49"/>
      <c r="R19" s="8" t="str">
        <f>VLOOKUP(Q19,[1]Контрагенты!$A$3:$H$3248,4,FALSE)</f>
        <v>ООО "Сантехресурс+"</v>
      </c>
      <c r="S19" s="50" t="str">
        <f>VLOOKUP(Q19,[1]Контрагенты!$A$3:$H$3248,7,FALSE)</f>
        <v/>
      </c>
    </row>
    <row r="20" spans="1:20" ht="47.25" outlineLevel="1" x14ac:dyDescent="0.25">
      <c r="A20" s="48">
        <f>A19+1</f>
        <v>2</v>
      </c>
      <c r="B20" s="48" t="str">
        <f>'[1]Спец-я'!B11</f>
        <v xml:space="preserve">Кресло руководителя ткань Бюрократ Т-898/ЗС1GR </v>
      </c>
      <c r="C20" s="48" t="str">
        <f>'[1]Спец-я'!D11</f>
        <v>шт</v>
      </c>
      <c r="D20" s="51">
        <f>'[1]Спец-я'!E11</f>
        <v>1</v>
      </c>
      <c r="E20" s="52">
        <v>12900</v>
      </c>
      <c r="F20" s="52">
        <v>10625</v>
      </c>
      <c r="G20" s="52">
        <v>17969</v>
      </c>
      <c r="H20" s="53"/>
      <c r="I20" s="52">
        <f>IFERROR(ROUND(AVERAGEIF(E20:G20,"&gt;0"),2),"")</f>
        <v>13831.33</v>
      </c>
      <c r="J20" s="54">
        <f t="shared" ref="J20:J25" si="2">IFERROR(_xlfn.STDEV.P($E20:$G20),"")</f>
        <v>3069.6493104080942</v>
      </c>
      <c r="K20" s="54">
        <f>IFERROR(J20/I20,"")</f>
        <v>0.22193450018241875</v>
      </c>
      <c r="L20" s="54">
        <f t="shared" si="1"/>
        <v>10625</v>
      </c>
      <c r="M20" s="54">
        <f t="shared" ref="M20:M25" si="3">IFERROR(L20*D20,"")</f>
        <v>10625</v>
      </c>
      <c r="O20" s="17"/>
      <c r="P20" s="6" t="s">
        <v>40</v>
      </c>
      <c r="Q20" s="49"/>
      <c r="R20" s="8" t="str">
        <f>VLOOKUP(Q20,[1]Контрагенты!$A$3:$H$3248,4,FALSE)</f>
        <v>ООО "Сантехресурс+"</v>
      </c>
      <c r="S20" s="50" t="str">
        <f>VLOOKUP(Q20,[1]Контрагенты!$A$3:$H$3248,7,FALSE)</f>
        <v/>
      </c>
    </row>
    <row r="21" spans="1:20" ht="31.5" outlineLevel="1" x14ac:dyDescent="0.25">
      <c r="A21" s="48">
        <f t="shared" ref="A21:A25" si="4">A20+1</f>
        <v>3</v>
      </c>
      <c r="B21" s="48" t="str">
        <f>'[1]Спец-я'!B12</f>
        <v>Крестовина для кресла</v>
      </c>
      <c r="C21" s="48" t="str">
        <f>'[1]Спец-я'!D12</f>
        <v>шт</v>
      </c>
      <c r="D21" s="51">
        <f>'[1]Спец-я'!E12</f>
        <v>1</v>
      </c>
      <c r="E21" s="52">
        <v>1700</v>
      </c>
      <c r="F21" s="52">
        <v>1461</v>
      </c>
      <c r="G21" s="52">
        <v>1615</v>
      </c>
      <c r="H21" s="53"/>
      <c r="I21" s="52">
        <f t="shared" ref="I21:I26" si="5">IFERROR(ROUND(AVERAGEIF(E21:G21,"&gt;0"),2),"")</f>
        <v>1592</v>
      </c>
      <c r="J21" s="54">
        <f t="shared" si="2"/>
        <v>98.917474020855721</v>
      </c>
      <c r="K21" s="54">
        <f t="shared" ref="K21:K25" si="6">IFERROR(J21/I21,"")</f>
        <v>6.2134091721643039E-2</v>
      </c>
      <c r="L21" s="54">
        <f t="shared" si="1"/>
        <v>1461</v>
      </c>
      <c r="M21" s="54">
        <f t="shared" si="3"/>
        <v>1461</v>
      </c>
      <c r="O21" s="17"/>
      <c r="P21" s="6" t="s">
        <v>41</v>
      </c>
      <c r="Q21" s="49"/>
      <c r="R21" s="8" t="str">
        <f>VLOOKUP(Q21,[1]Контрагенты!$A$3:$H$3248,4,FALSE)</f>
        <v>ООО "Сантехресурс+"</v>
      </c>
      <c r="S21" s="50" t="str">
        <f>VLOOKUP(Q21,[1]Контрагенты!$A$3:$H$3248,7,FALSE)</f>
        <v/>
      </c>
    </row>
    <row r="22" spans="1:20" outlineLevel="1" x14ac:dyDescent="0.25">
      <c r="A22" s="48">
        <f t="shared" si="4"/>
        <v>4</v>
      </c>
      <c r="B22" s="48" t="str">
        <f>'[1]Спец-я'!B13</f>
        <v>Газлифт</v>
      </c>
      <c r="C22" s="48" t="str">
        <f>'[1]Спец-я'!D13</f>
        <v>шт</v>
      </c>
      <c r="D22" s="51">
        <f>'[1]Спец-я'!E13</f>
        <v>1</v>
      </c>
      <c r="E22" s="52">
        <v>1150</v>
      </c>
      <c r="F22" s="52">
        <v>732</v>
      </c>
      <c r="G22" s="52">
        <v>1445</v>
      </c>
      <c r="H22" s="53"/>
      <c r="I22" s="52">
        <f t="shared" si="5"/>
        <v>1109</v>
      </c>
      <c r="J22" s="54">
        <f t="shared" si="2"/>
        <v>292.52122430118925</v>
      </c>
      <c r="K22" s="54">
        <f t="shared" si="6"/>
        <v>0.26377026537528336</v>
      </c>
      <c r="L22" s="54">
        <f t="shared" si="1"/>
        <v>732</v>
      </c>
      <c r="M22" s="54">
        <f t="shared" si="3"/>
        <v>732</v>
      </c>
      <c r="O22" s="17"/>
      <c r="P22" s="17"/>
      <c r="Q22" s="17"/>
      <c r="R22" s="55" t="s">
        <v>42</v>
      </c>
      <c r="S22" s="55" t="s">
        <v>42</v>
      </c>
    </row>
    <row r="23" spans="1:20" ht="31.5" outlineLevel="1" x14ac:dyDescent="0.25">
      <c r="A23" s="48">
        <f t="shared" si="4"/>
        <v>5</v>
      </c>
      <c r="B23" s="48" t="str">
        <f>'[1]Спец-я'!B14</f>
        <v>Механизм качания для кресла (пиастра)</v>
      </c>
      <c r="C23" s="48" t="str">
        <f>'[1]Спец-я'!D14</f>
        <v>шт</v>
      </c>
      <c r="D23" s="51">
        <f>'[1]Спец-я'!E14</f>
        <v>1</v>
      </c>
      <c r="E23" s="52">
        <v>1700</v>
      </c>
      <c r="F23" s="52">
        <v>1134</v>
      </c>
      <c r="G23" s="52">
        <v>1445</v>
      </c>
      <c r="H23" s="53"/>
      <c r="I23" s="52">
        <f t="shared" si="5"/>
        <v>1426.33</v>
      </c>
      <c r="J23" s="54">
        <f t="shared" si="2"/>
        <v>231.44521790023853</v>
      </c>
      <c r="K23" s="54">
        <f t="shared" si="6"/>
        <v>0.16226624827370842</v>
      </c>
      <c r="L23" s="54">
        <f t="shared" si="1"/>
        <v>1134</v>
      </c>
      <c r="M23" s="54">
        <f t="shared" si="3"/>
        <v>1134</v>
      </c>
      <c r="O23" s="17"/>
      <c r="P23" s="17"/>
      <c r="Q23" s="17"/>
      <c r="R23" s="55"/>
      <c r="S23" s="55"/>
    </row>
    <row r="24" spans="1:20" outlineLevel="1" x14ac:dyDescent="0.25">
      <c r="A24" s="48">
        <f t="shared" si="4"/>
        <v>6</v>
      </c>
      <c r="B24" s="48" t="str">
        <f>'[1]Спец-я'!B15</f>
        <v>Диван офисный</v>
      </c>
      <c r="C24" s="48" t="str">
        <f>'[1]Спец-я'!D15</f>
        <v>шт</v>
      </c>
      <c r="D24" s="51">
        <f>'[1]Спец-я'!E15</f>
        <v>1</v>
      </c>
      <c r="E24" s="52">
        <v>16800</v>
      </c>
      <c r="F24" s="52">
        <v>13195</v>
      </c>
      <c r="G24" s="52">
        <v>14195</v>
      </c>
      <c r="H24" s="53"/>
      <c r="I24" s="52">
        <f t="shared" si="5"/>
        <v>14730</v>
      </c>
      <c r="J24" s="54">
        <f t="shared" si="2"/>
        <v>1519.5777922392347</v>
      </c>
      <c r="K24" s="54">
        <f t="shared" si="6"/>
        <v>0.10316210402167242</v>
      </c>
      <c r="L24" s="54">
        <f t="shared" si="1"/>
        <v>13195</v>
      </c>
      <c r="M24" s="54">
        <f t="shared" si="3"/>
        <v>13195</v>
      </c>
      <c r="O24" s="17"/>
      <c r="P24" s="17"/>
      <c r="Q24" s="17"/>
      <c r="R24" s="17"/>
      <c r="S24" s="17"/>
    </row>
    <row r="25" spans="1:20" outlineLevel="1" x14ac:dyDescent="0.25">
      <c r="A25" s="48">
        <f t="shared" si="4"/>
        <v>7</v>
      </c>
      <c r="B25" s="48" t="str">
        <f>'[1]Спец-я'!B16</f>
        <v>Вешалка-стойка</v>
      </c>
      <c r="C25" s="48" t="str">
        <f>'[1]Спец-я'!D16</f>
        <v>шт</v>
      </c>
      <c r="D25" s="51">
        <f>'[1]Спец-я'!E16</f>
        <v>1</v>
      </c>
      <c r="E25" s="52">
        <v>4200</v>
      </c>
      <c r="F25" s="52">
        <v>2577</v>
      </c>
      <c r="G25" s="52">
        <v>4000</v>
      </c>
      <c r="H25" s="53"/>
      <c r="I25" s="52">
        <f t="shared" si="5"/>
        <v>3592.33</v>
      </c>
      <c r="J25" s="54">
        <f t="shared" si="2"/>
        <v>722.57702396046022</v>
      </c>
      <c r="K25" s="54">
        <f t="shared" si="6"/>
        <v>0.20114438928507689</v>
      </c>
      <c r="L25" s="54">
        <f t="shared" si="1"/>
        <v>2577</v>
      </c>
      <c r="M25" s="54">
        <f t="shared" si="3"/>
        <v>2577</v>
      </c>
      <c r="P25" s="17"/>
      <c r="Q25" s="17"/>
      <c r="R25" s="17"/>
      <c r="S25" s="17"/>
    </row>
    <row r="26" spans="1:20" s="63" customFormat="1" ht="48" customHeight="1" x14ac:dyDescent="0.25">
      <c r="A26" s="56"/>
      <c r="B26" s="57" t="s">
        <v>43</v>
      </c>
      <c r="C26" s="58" t="s">
        <v>44</v>
      </c>
      <c r="D26" s="58" t="s">
        <v>44</v>
      </c>
      <c r="E26" s="59">
        <f>IFERROR(SUMPRODUCT($D$19:$D$25,E19:E25),"Х")</f>
        <v>41750</v>
      </c>
      <c r="F26" s="59">
        <f>IFERROR(SUMPRODUCT($D$19:$D$25,F19:F25),"Х")</f>
        <v>31821</v>
      </c>
      <c r="G26" s="59">
        <f>IFERROR(SUMPRODUCT($D$19:$D$25,G19:G25),"Х")</f>
        <v>42794</v>
      </c>
      <c r="H26" s="52">
        <f>IFERROR(SUMPRODUCT($D$19:$D$25,H19:H25),"Х")</f>
        <v>0</v>
      </c>
      <c r="I26" s="52">
        <f t="shared" si="5"/>
        <v>38788.33</v>
      </c>
      <c r="J26" s="54">
        <f>_xlfn.STDEV.P($E26:$G26)</f>
        <v>4945.0503424018734</v>
      </c>
      <c r="K26" s="54">
        <f>IFERROR(J26/I26,"")</f>
        <v>0.12748809609493045</v>
      </c>
      <c r="L26" s="58" t="s">
        <v>45</v>
      </c>
      <c r="M26" s="60">
        <f>SUM(M19:M25)</f>
        <v>31821</v>
      </c>
      <c r="N26" s="61" t="s">
        <v>46</v>
      </c>
      <c r="O26" s="17"/>
      <c r="P26" s="62"/>
      <c r="Q26" s="17"/>
      <c r="R26" s="17"/>
      <c r="S26" s="62"/>
    </row>
    <row r="27" spans="1:20" ht="31.5" x14ac:dyDescent="0.25">
      <c r="A27" s="64"/>
      <c r="B27" s="65" t="s">
        <v>47</v>
      </c>
      <c r="C27" s="66"/>
      <c r="D27" s="66"/>
      <c r="E27" s="67">
        <v>46129</v>
      </c>
      <c r="F27" s="67">
        <v>46129</v>
      </c>
      <c r="G27" s="67">
        <v>46141</v>
      </c>
      <c r="H27" s="66"/>
      <c r="I27" s="66"/>
      <c r="J27" s="68"/>
      <c r="K27" s="69"/>
      <c r="L27" s="69"/>
      <c r="M27" s="68"/>
      <c r="O27" s="17"/>
      <c r="P27" s="17"/>
      <c r="R27" s="17"/>
      <c r="S27" s="17"/>
    </row>
    <row r="28" spans="1:20" x14ac:dyDescent="0.25">
      <c r="A28" s="70"/>
      <c r="B28" s="70"/>
      <c r="C28" s="70"/>
      <c r="D28" s="70"/>
      <c r="E28" s="70"/>
      <c r="F28" s="70"/>
      <c r="G28" s="70"/>
      <c r="H28" s="70"/>
      <c r="I28" s="70"/>
      <c r="J28" s="70"/>
      <c r="K28" s="70"/>
      <c r="L28" s="70"/>
      <c r="M28" s="70"/>
      <c r="O28" s="17"/>
      <c r="P28" s="17"/>
      <c r="Q28" s="17"/>
      <c r="R28" s="17"/>
      <c r="S28" s="17"/>
    </row>
    <row r="29" spans="1:20" x14ac:dyDescent="0.25">
      <c r="A29" s="71"/>
      <c r="B29" s="71"/>
      <c r="C29" s="71"/>
      <c r="D29" s="71"/>
      <c r="E29" s="71"/>
      <c r="F29" s="71"/>
      <c r="G29" s="71"/>
      <c r="H29" s="71"/>
      <c r="I29" s="71"/>
      <c r="J29" s="71"/>
      <c r="K29" s="71"/>
      <c r="L29" s="71"/>
      <c r="M29" s="71"/>
      <c r="O29" s="17"/>
    </row>
    <row r="30" spans="1:20" ht="18.75" x14ac:dyDescent="0.3">
      <c r="B30" s="72" t="str">
        <f>[1]ЗАКУПКА!C4</f>
        <v>Начальник ХО</v>
      </c>
      <c r="C30" s="3"/>
      <c r="D30" s="3"/>
      <c r="E30" s="3"/>
      <c r="F30" s="3"/>
      <c r="G30" s="3"/>
      <c r="H30" s="73"/>
      <c r="I30" s="73"/>
      <c r="J30" s="74"/>
      <c r="K30" s="75" t="str">
        <f>[1]ЗАКУПКА!D4</f>
        <v>А.С. Большакова</v>
      </c>
      <c r="L30" s="38"/>
    </row>
    <row r="31" spans="1:20" ht="18.75" x14ac:dyDescent="0.3">
      <c r="B31" s="3"/>
      <c r="C31" s="3"/>
      <c r="D31" s="3"/>
      <c r="E31" s="3"/>
      <c r="F31" s="3"/>
      <c r="G31" s="3"/>
      <c r="H31" s="3"/>
      <c r="I31" s="3"/>
      <c r="J31" s="3"/>
      <c r="K31" s="3"/>
    </row>
    <row r="32" spans="1:20" ht="18.75" x14ac:dyDescent="0.3">
      <c r="B32" s="3"/>
      <c r="C32" s="3"/>
      <c r="D32" s="3"/>
      <c r="E32" s="3"/>
      <c r="F32" s="3"/>
      <c r="G32" s="3"/>
      <c r="H32" s="3"/>
      <c r="I32" s="3"/>
      <c r="J32" s="3"/>
      <c r="K32" s="3"/>
    </row>
    <row r="33" spans="1:13" ht="18.75" x14ac:dyDescent="0.3">
      <c r="B33" s="76" t="str">
        <f>[1]ЗАКУПКА!C77</f>
        <v>Специалист по административно-хозяйственному обеспечению Пикалова Л.Д.</v>
      </c>
      <c r="C33" s="3"/>
      <c r="D33" s="3"/>
      <c r="E33" s="3"/>
      <c r="F33" s="3"/>
      <c r="G33" s="3"/>
      <c r="H33" s="3"/>
      <c r="I33" s="3"/>
      <c r="J33" s="3"/>
      <c r="K33" s="3"/>
    </row>
    <row r="34" spans="1:13" ht="18.75" x14ac:dyDescent="0.3">
      <c r="B34" s="77" t="str">
        <f>[1]ЗАКУПКА!C78</f>
        <v>64-09</v>
      </c>
      <c r="C34" s="3"/>
      <c r="D34" s="3"/>
      <c r="E34" s="3"/>
      <c r="F34" s="3"/>
      <c r="G34" s="3"/>
      <c r="H34" s="3"/>
      <c r="I34" s="3"/>
      <c r="J34" s="3"/>
      <c r="K34" s="3"/>
    </row>
    <row r="35" spans="1:13" ht="18.75" x14ac:dyDescent="0.3">
      <c r="B35" s="78" t="s">
        <v>48</v>
      </c>
      <c r="C35" s="79">
        <f ca="1">[1]ЗАКУПКА!B1</f>
        <v>46174</v>
      </c>
      <c r="D35" s="79"/>
      <c r="E35" s="3"/>
      <c r="F35" s="3"/>
      <c r="G35" s="3"/>
      <c r="H35" s="3"/>
      <c r="I35" s="3"/>
      <c r="J35" s="3"/>
      <c r="K35" s="3"/>
    </row>
    <row r="36" spans="1:13" ht="18.75" x14ac:dyDescent="0.3">
      <c r="B36" s="3"/>
      <c r="C36" s="3"/>
      <c r="D36" s="3"/>
      <c r="E36" s="3"/>
      <c r="F36" s="3"/>
      <c r="G36" s="3"/>
      <c r="H36" s="3"/>
      <c r="I36" s="3"/>
      <c r="J36" s="3"/>
      <c r="K36" s="3"/>
    </row>
    <row r="37" spans="1:13" ht="15.75" customHeight="1" x14ac:dyDescent="0.25"/>
    <row r="39" spans="1:13" outlineLevel="1" x14ac:dyDescent="0.25">
      <c r="A39" s="80" t="s">
        <v>49</v>
      </c>
    </row>
    <row r="40" spans="1:13" ht="170.25" customHeight="1" outlineLevel="1" x14ac:dyDescent="0.25">
      <c r="A40" s="81" t="s">
        <v>50</v>
      </c>
      <c r="B40" s="81"/>
      <c r="C40" s="81"/>
      <c r="D40" s="81"/>
      <c r="E40" s="81"/>
      <c r="F40" s="81"/>
      <c r="G40" s="81"/>
      <c r="H40" s="81"/>
      <c r="I40" s="81"/>
      <c r="J40" s="81"/>
      <c r="K40" s="81"/>
      <c r="L40" s="81"/>
      <c r="M40" s="81"/>
    </row>
    <row r="43" spans="1:13" x14ac:dyDescent="0.25">
      <c r="M43" s="82"/>
    </row>
  </sheetData>
  <mergeCells count="32">
    <mergeCell ref="A40:M40"/>
    <mergeCell ref="I16:I17"/>
    <mergeCell ref="J16:J17"/>
    <mergeCell ref="K16:K17"/>
    <mergeCell ref="L16:L17"/>
    <mergeCell ref="M16:M17"/>
    <mergeCell ref="C35:D35"/>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9"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2026-06-01T05:22:46Z</dcterms:created>
  <dcterms:modified xsi:type="dcterms:W3CDTF">2026-06-01T05:23:07Z</dcterms:modified>
</cp:coreProperties>
</file>