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182 Поставка средств индивидуальной защиты 1000000\"/>
    </mc:Choice>
  </mc:AlternateContent>
  <xr:revisionPtr revIDLastSave="0" documentId="8_{0D882C29-9AB0-4EFD-AA2A-A07A3160887A}" xr6:coauthVersionLast="47" xr6:coauthVersionMax="47" xr10:uidLastSave="{00000000-0000-0000-0000-000000000000}"/>
  <bookViews>
    <workbookView xWindow="-120" yWindow="-120" windowWidth="29040" windowHeight="15840" xr2:uid="{3D15BA6B-C9FA-45FA-A29A-ADFE00EDB23E}"/>
  </bookViews>
  <sheets>
    <sheet name="НМЦ" sheetId="1" r:id="rId1"/>
  </sheets>
  <externalReferences>
    <externalReference r:id="rId2"/>
  </externalReferences>
  <definedNames>
    <definedName name="ДаНет">#N/A</definedName>
    <definedName name="_xlnm.Print_Area" localSheetId="0">НМЦ!$A$3:$P$53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1" l="1"/>
  <c r="B50" i="1"/>
  <c r="N47" i="1"/>
  <c r="B47" i="1"/>
  <c r="M42" i="1"/>
  <c r="N42" i="1" s="1"/>
  <c r="O42" i="1" s="1"/>
  <c r="P42" i="1" s="1"/>
  <c r="L42" i="1"/>
  <c r="D42" i="1"/>
  <c r="C42" i="1"/>
  <c r="B42" i="1"/>
  <c r="M41" i="1"/>
  <c r="N41" i="1" s="1"/>
  <c r="O41" i="1" s="1"/>
  <c r="P41" i="1" s="1"/>
  <c r="L41" i="1"/>
  <c r="D41" i="1"/>
  <c r="C41" i="1"/>
  <c r="B41" i="1"/>
  <c r="M40" i="1"/>
  <c r="L40" i="1"/>
  <c r="N40" i="1" s="1"/>
  <c r="O40" i="1" s="1"/>
  <c r="P40" i="1" s="1"/>
  <c r="D40" i="1"/>
  <c r="C40" i="1"/>
  <c r="B40" i="1"/>
  <c r="M39" i="1"/>
  <c r="N39" i="1" s="1"/>
  <c r="O39" i="1" s="1"/>
  <c r="P39" i="1" s="1"/>
  <c r="L39" i="1"/>
  <c r="D39" i="1"/>
  <c r="C39" i="1"/>
  <c r="B39" i="1"/>
  <c r="M38" i="1"/>
  <c r="L38" i="1"/>
  <c r="N38" i="1" s="1"/>
  <c r="O38" i="1" s="1"/>
  <c r="P38" i="1" s="1"/>
  <c r="D38" i="1"/>
  <c r="C38" i="1"/>
  <c r="B38" i="1"/>
  <c r="M37" i="1"/>
  <c r="N37" i="1" s="1"/>
  <c r="O37" i="1" s="1"/>
  <c r="P37" i="1" s="1"/>
  <c r="L37" i="1"/>
  <c r="D37" i="1"/>
  <c r="C37" i="1"/>
  <c r="B37" i="1"/>
  <c r="N36" i="1"/>
  <c r="O36" i="1" s="1"/>
  <c r="P36" i="1" s="1"/>
  <c r="M36" i="1"/>
  <c r="L36" i="1"/>
  <c r="D36" i="1"/>
  <c r="C36" i="1"/>
  <c r="B36" i="1"/>
  <c r="M35" i="1"/>
  <c r="N35" i="1" s="1"/>
  <c r="O35" i="1" s="1"/>
  <c r="P35" i="1" s="1"/>
  <c r="L35" i="1"/>
  <c r="D35" i="1"/>
  <c r="C35" i="1"/>
  <c r="B35" i="1"/>
  <c r="M34" i="1"/>
  <c r="L34" i="1"/>
  <c r="N34" i="1" s="1"/>
  <c r="O34" i="1" s="1"/>
  <c r="P34" i="1" s="1"/>
  <c r="D34" i="1"/>
  <c r="C34" i="1"/>
  <c r="B34" i="1"/>
  <c r="M33" i="1"/>
  <c r="N33" i="1" s="1"/>
  <c r="O33" i="1" s="1"/>
  <c r="P33" i="1" s="1"/>
  <c r="L33" i="1"/>
  <c r="D33" i="1"/>
  <c r="C33" i="1"/>
  <c r="B33" i="1"/>
  <c r="N32" i="1"/>
  <c r="O32" i="1" s="1"/>
  <c r="P32" i="1" s="1"/>
  <c r="M32" i="1"/>
  <c r="L32" i="1"/>
  <c r="D32" i="1"/>
  <c r="C32" i="1"/>
  <c r="B32" i="1"/>
  <c r="M31" i="1"/>
  <c r="N31" i="1" s="1"/>
  <c r="O31" i="1" s="1"/>
  <c r="P31" i="1" s="1"/>
  <c r="L31" i="1"/>
  <c r="D31" i="1"/>
  <c r="C31" i="1"/>
  <c r="B31" i="1"/>
  <c r="M30" i="1"/>
  <c r="L30" i="1"/>
  <c r="N30" i="1" s="1"/>
  <c r="O30" i="1" s="1"/>
  <c r="P30" i="1" s="1"/>
  <c r="D30" i="1"/>
  <c r="C30" i="1"/>
  <c r="B30" i="1"/>
  <c r="M29" i="1"/>
  <c r="N29" i="1" s="1"/>
  <c r="O29" i="1" s="1"/>
  <c r="P29" i="1" s="1"/>
  <c r="L29" i="1"/>
  <c r="D29" i="1"/>
  <c r="C29" i="1"/>
  <c r="B29" i="1"/>
  <c r="N28" i="1"/>
  <c r="O28" i="1" s="1"/>
  <c r="P28" i="1" s="1"/>
  <c r="M28" i="1"/>
  <c r="L28" i="1"/>
  <c r="D28" i="1"/>
  <c r="C28" i="1"/>
  <c r="B28" i="1"/>
  <c r="M27" i="1"/>
  <c r="N27" i="1" s="1"/>
  <c r="O27" i="1" s="1"/>
  <c r="P27" i="1" s="1"/>
  <c r="L27" i="1"/>
  <c r="D27" i="1"/>
  <c r="C27" i="1"/>
  <c r="B27" i="1"/>
  <c r="M26" i="1"/>
  <c r="L26" i="1"/>
  <c r="N26" i="1" s="1"/>
  <c r="O26" i="1" s="1"/>
  <c r="P26" i="1" s="1"/>
  <c r="D26" i="1"/>
  <c r="C26" i="1"/>
  <c r="B26" i="1"/>
  <c r="M25" i="1"/>
  <c r="N25" i="1" s="1"/>
  <c r="O25" i="1" s="1"/>
  <c r="P25" i="1" s="1"/>
  <c r="L25" i="1"/>
  <c r="D25" i="1"/>
  <c r="C25" i="1"/>
  <c r="B25" i="1"/>
  <c r="N24" i="1"/>
  <c r="O24" i="1" s="1"/>
  <c r="P24" i="1" s="1"/>
  <c r="M24" i="1"/>
  <c r="L24" i="1"/>
  <c r="D24" i="1"/>
  <c r="C24" i="1"/>
  <c r="B24" i="1"/>
  <c r="K23" i="1"/>
  <c r="M23" i="1" s="1"/>
  <c r="D23" i="1"/>
  <c r="C23" i="1"/>
  <c r="B23" i="1"/>
  <c r="M22" i="1"/>
  <c r="N22" i="1" s="1"/>
  <c r="O22" i="1" s="1"/>
  <c r="P22" i="1" s="1"/>
  <c r="L22" i="1"/>
  <c r="D22" i="1"/>
  <c r="C22" i="1"/>
  <c r="B22" i="1"/>
  <c r="V21" i="1"/>
  <c r="U21" i="1"/>
  <c r="M21" i="1"/>
  <c r="L21" i="1"/>
  <c r="N21" i="1" s="1"/>
  <c r="O21" i="1" s="1"/>
  <c r="P21" i="1" s="1"/>
  <c r="D21" i="1"/>
  <c r="C21" i="1"/>
  <c r="B21" i="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V20" i="1"/>
  <c r="U20" i="1"/>
  <c r="M20" i="1"/>
  <c r="N20" i="1" s="1"/>
  <c r="O20" i="1" s="1"/>
  <c r="P20" i="1" s="1"/>
  <c r="L20" i="1"/>
  <c r="D20" i="1"/>
  <c r="H43" i="1" s="1"/>
  <c r="C20" i="1"/>
  <c r="B20" i="1"/>
  <c r="A20" i="1"/>
  <c r="V19" i="1"/>
  <c r="U19" i="1"/>
  <c r="N19" i="1"/>
  <c r="O19" i="1" s="1"/>
  <c r="P19" i="1" s="1"/>
  <c r="M19" i="1"/>
  <c r="L19" i="1"/>
  <c r="D19" i="1"/>
  <c r="K43" i="1" s="1"/>
  <c r="C19" i="1"/>
  <c r="B19" i="1"/>
  <c r="V18" i="1"/>
  <c r="U18" i="1"/>
  <c r="N18" i="1"/>
  <c r="O18" i="1" s="1"/>
  <c r="P18" i="1" s="1"/>
  <c r="M18" i="1"/>
  <c r="K18" i="1"/>
  <c r="E18" i="1"/>
  <c r="V17" i="1"/>
  <c r="U17" i="1"/>
  <c r="F10" i="1"/>
  <c r="F9" i="1"/>
  <c r="F8" i="1"/>
  <c r="F7" i="1"/>
  <c r="F6" i="1"/>
  <c r="L23" i="1" l="1"/>
  <c r="N23" i="1" s="1"/>
  <c r="O23" i="1" s="1"/>
  <c r="P23" i="1" s="1"/>
  <c r="P43" i="1" s="1"/>
  <c r="F11" i="1" s="1"/>
  <c r="E43" i="1"/>
  <c r="I43" i="1"/>
  <c r="F43" i="1"/>
  <c r="J43" i="1"/>
  <c r="G43" i="1"/>
  <c r="M43" i="1" l="1"/>
  <c r="L43" i="1"/>
  <c r="C52" i="1" l="1"/>
  <c r="F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Воропаев Р.В.</author>
  </authors>
  <commentList>
    <comment ref="E17" authorId="0" shapeId="0" xr:uid="{FDF1B3D7-C121-4D2D-8169-83B3DF6D7D0D}">
      <text>
        <r>
          <rPr>
            <b/>
            <sz val="9"/>
            <color indexed="81"/>
            <rFont val="Tahoma"/>
            <family val="2"/>
            <charset val="204"/>
          </rPr>
          <t>Сварочный дом</t>
        </r>
      </text>
    </comment>
    <comment ref="F17" authorId="0" shapeId="0" xr:uid="{EC0CADFA-B196-4FE7-AFFB-C25467C89FA3}">
      <text>
        <r>
          <rPr>
            <b/>
            <sz val="9"/>
            <color indexed="81"/>
            <rFont val="Tahoma"/>
            <family val="2"/>
            <charset val="204"/>
          </rPr>
          <t>Техноавиа</t>
        </r>
      </text>
    </comment>
    <comment ref="G17" authorId="0" shapeId="0" xr:uid="{B82575B5-77EA-4AA1-9A87-6386FAD77B4E}">
      <text>
        <r>
          <rPr>
            <b/>
            <sz val="9"/>
            <color indexed="81"/>
            <rFont val="Tahoma"/>
            <family val="2"/>
            <charset val="204"/>
          </rPr>
          <t>ВсеИнструменты</t>
        </r>
      </text>
    </comment>
    <comment ref="H17" authorId="0" shapeId="0" xr:uid="{845E6E54-E1A2-4FB6-B9C0-6AFB9E889BA5}">
      <text>
        <r>
          <rPr>
            <b/>
            <sz val="9"/>
            <color indexed="81"/>
            <rFont val="Tahoma"/>
            <family val="2"/>
            <charset val="204"/>
          </rPr>
          <t>Спецобъдинение-Алтай</t>
        </r>
      </text>
    </comment>
    <comment ref="I17" authorId="0" shapeId="0" xr:uid="{62CF9CD0-12C4-4FB4-BEEA-51CCD44B40C1}">
      <text>
        <r>
          <rPr>
            <b/>
            <sz val="9"/>
            <color indexed="81"/>
            <rFont val="Tahoma"/>
            <family val="2"/>
            <charset val="204"/>
          </rPr>
          <t>Спецодежда</t>
        </r>
      </text>
    </comment>
    <comment ref="J17" authorId="0" shapeId="0" xr:uid="{883F91A6-D0EC-4301-B808-0E7F4BF5CF65}">
      <text>
        <r>
          <rPr>
            <b/>
            <sz val="9"/>
            <color indexed="81"/>
            <rFont val="Tahoma"/>
            <family val="2"/>
            <charset val="204"/>
          </rPr>
          <t>Восток-сервис</t>
        </r>
      </text>
    </comment>
  </commentList>
</comments>
</file>

<file path=xl/sharedStrings.xml><?xml version="1.0" encoding="utf-8"?>
<sst xmlns="http://schemas.openxmlformats.org/spreadsheetml/2006/main" count="60" uniqueCount="57">
  <si>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</si>
  <si>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</si>
  <si>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</si>
  <si>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</si>
  <si>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</si>
  <si>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</si>
  <si>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</si>
  <si>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</si>
  <si>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</si>
  <si>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</si>
  <si>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</si>
  <si>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</si>
  <si>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</si>
  <si>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</si>
  <si>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 всех единиц товаров устанавливается в размере:</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</si>
  <si>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</si>
  <si>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</si>
  <si>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</si>
  <si>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</si>
  <si>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</si>
  <si>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</si>
  <si>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</si>
  <si>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</si>
  <si>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</si>
  <si>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</si>
  <si>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</si>
  <si>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</si>
  <si>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</si>
  <si>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</si>
  <si>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</si>
  <si>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</si>
  <si>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</si>
  <si>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</si>
  <si>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</si>
  <si>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№1*</t>
  </si>
  <si>
    <t>№2*</t>
  </si>
  <si>
    <t>№3*</t>
  </si>
  <si>
    <t>№4*</t>
  </si>
  <si>
    <t>№5*</t>
  </si>
  <si>
    <t>№6*</t>
  </si>
  <si>
    <t>Договор №561/а-25 от 08.08.2025 г. с учетом ИПЦ 2025-2026 (1,051) в соответствии с Методикой №357</t>
  </si>
  <si>
    <t xml:space="preserve">№1* </t>
  </si>
  <si>
    <t>пример</t>
  </si>
  <si>
    <t xml:space="preserve">№2* </t>
  </si>
  <si>
    <t xml:space="preserve">№3* </t>
  </si>
  <si>
    <t xml:space="preserve">№4 </t>
  </si>
  <si>
    <t>№5</t>
  </si>
  <si>
    <t>формулы</t>
  </si>
  <si>
    <t>Итого:</t>
  </si>
  <si>
    <t>X</t>
  </si>
  <si>
    <t>Х</t>
  </si>
  <si>
    <t>ОШИБКА!!</t>
  </si>
  <si>
    <t>Даты сбора информации</t>
  </si>
  <si>
    <t>Позиции №4, 19 по ценам Договора №561/а-25 от 08.08.2025 г. исключены из расчета в связи с превышением коэффициента вариации 0,32, как имеющие наибольшее отклонение от средней арифметической величины.
Позиция №6 в КП №6* исключена из расчета в связи с несоответствием ТЗ.</t>
  </si>
  <si>
    <t xml:space="preserve">подпись________________ </t>
  </si>
  <si>
    <t>Примечание:</t>
  </si>
  <si>
    <t xml:space="preserve">1. Если коэффициент вариации находится в диапазоне от 0 до 0,05 (включительно), то НМЦ может определяться как среднее арифметическое значение цен на товар (работы, услуги)  (п. 6.10. Методики).                                                                                                                                                                                                                                                                                                                                                                       2. Если коэффициент вариации, находится в диапазоне от 0,06 до 0,32, НМЦ определяется с учетом минимального значения, указанного в принятом к расчету источнике ценовой информации (п. 6.11. Методики).                                                                                                                                                                                                                                                                                                                                                                          3. Если коэффициент вариации превышает 0,32, из расчета исключается значение цены, имеющее наибольшее отклонение от средней арифметической величины полученных цен, 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</si>
</sst>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2" x14ac:knownFonts="1">
    <font>
      <sz val="11"/>
      <color rgb="FF000000"/>
      <name val="Calibri"/>
      <family val="2"/>
      <charset val="1"/>
    </font>
    <font>
      <sz val="11"/>
      <color rgb="FF000000"/>
      <name val="Calibri"/>
      <family val="2"/>
      <charset val="1"/>
    </font>
    <font>
      <b/>
      <sz val="14"/>
      <name val="Times New Roman"/>
      <family val="1"/>
      <charset val="204"/>
    </font>
    <font>
      <sz val="12"/>
      <name val="Times New Roman"/>
      <family val="1"/>
      <charset val="204"/>
    </font>
    <font>
      <sz val="14"/>
      <name val="Times New Roman"/>
      <family val="1"/>
      <charset val="204"/>
    </font>
    <font>
      <b/>
      <sz val="12"/>
      <name val="Times New Roman"/>
      <family val="1"/>
      <charset val="204"/>
    </font>
    <font>
      <b/>
      <i/>
      <sz val="12"/>
      <name val="Times New Roman"/>
      <family val="1"/>
      <charset val="204"/>
    </font>
    <font>
      <sz val="10"/>
      <name val="Times New Roman"/>
      <family val="1"/>
      <charset val="204"/>
    </font>
    <font>
      <b/>
      <sz val="10"/>
      <name val="Times New Roman"/>
      <family val="1"/>
      <charset val="204"/>
    </font>
    <font>
      <sz val="11"/>
      <color rgb="FF000000"/>
      <name val="Calibri"/>
      <family val="2"/>
      <charset val="204"/>
    </font>
    <font>
      <i/>
      <sz val="12"/>
      <name val="Times New Roman"/>
      <family val="1"/>
      <charset val="204"/>
    </font>
    <font>
      <b/>
      <sz val="9"/>
      <color indexed="81"/>
      <name val="Tahoma"/>
      <family val="2"/>
      <charset val="204"/>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9" fillId="0" borderId="0" applyAlignment="0"/>
  </cellStyleXfs>
  <cellXfs count="100">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3"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3"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xf numFmtId="0" fontId="7" fillId="0" borderId="0" xfId="0" applyFont="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left"/>
    </xf>
    <xf numFmtId="0" fontId="8" fillId="0" borderId="1" xfId="0" applyFont="1" applyBorder="1"/>
    <xf numFmtId="0" fontId="8"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3" fontId="3" fillId="0" borderId="12"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2" fontId="3" fillId="0" borderId="0" xfId="0" applyNumberFormat="1" applyFont="1"/>
    <xf numFmtId="0" fontId="5" fillId="0" borderId="1" xfId="0" applyFont="1" applyBorder="1" applyAlignment="1">
      <alignment horizontal="left"/>
    </xf>
    <xf numFmtId="0" fontId="5" fillId="0" borderId="1" xfId="0" applyFont="1" applyBorder="1" applyAlignment="1">
      <alignment vertical="center"/>
    </xf>
    <xf numFmtId="4" fontId="3" fillId="0" borderId="15"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0" fontId="3" fillId="0" borderId="12" xfId="0" applyFont="1" applyBorder="1" applyAlignment="1">
      <alignment horizontal="center" vertical="center" wrapText="1"/>
    </xf>
    <xf numFmtId="4" fontId="5" fillId="0" borderId="17" xfId="0" applyNumberFormat="1" applyFont="1" applyBorder="1" applyAlignment="1">
      <alignment horizontal="center" vertical="center" wrapText="1"/>
    </xf>
    <xf numFmtId="4" fontId="5" fillId="0" borderId="18" xfId="0" applyNumberFormat="1" applyFont="1" applyBorder="1" applyAlignment="1">
      <alignment horizontal="center" vertical="center" wrapText="1"/>
    </xf>
    <xf numFmtId="4" fontId="5" fillId="0" borderId="19"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165" fontId="5" fillId="0" borderId="1" xfId="1" applyFont="1" applyFill="1" applyBorder="1" applyAlignment="1">
      <alignment vertical="center" wrapText="1"/>
    </xf>
    <xf numFmtId="2" fontId="5" fillId="0" borderId="0" xfId="3" applyNumberFormat="1" applyFont="1" applyAlignment="1">
      <alignment horizontal="left" vertical="center"/>
    </xf>
    <xf numFmtId="14" fontId="3" fillId="0" borderId="1" xfId="0" applyNumberFormat="1" applyFont="1" applyBorder="1" applyAlignment="1">
      <alignment horizontal="center" vertical="center" wrapText="1"/>
    </xf>
    <xf numFmtId="14" fontId="3" fillId="0" borderId="7"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10" fillId="0" borderId="0" xfId="0" applyFont="1" applyAlignment="1">
      <alignment horizontal="left" vertical="top" wrapText="1"/>
    </xf>
    <xf numFmtId="0" fontId="2" fillId="0" borderId="0" xfId="0" applyFont="1" applyAlignment="1">
      <alignment horizontal="left"/>
    </xf>
    <xf numFmtId="0" fontId="4" fillId="0" borderId="20" xfId="0" applyFont="1" applyBorder="1"/>
    <xf numFmtId="0" fontId="2" fillId="0" borderId="20"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D5C64033-EBA5-4362-923B-3B7F97E69FBA}"/>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057;&#1048;&#10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46254</v>
          </cell>
        </row>
        <row r="4">
          <cell r="C4" t="str">
            <v>Ведущий инженер</v>
          </cell>
          <cell r="D4" t="str">
            <v>Трубникова Е.В.</v>
          </cell>
        </row>
        <row r="11">
          <cell r="C11" t="str">
            <v>Поставка средств индивидуальной защиты</v>
          </cell>
        </row>
        <row r="50">
          <cell r="C50" t="str">
            <v>в течение 10 (десяти) рабочих дней со дня направления Заявки</v>
          </cell>
        </row>
        <row r="67">
          <cell r="C67" t="str">
            <v xml:space="preserve">метод сопоставимых рыночных цен (анализа рынка) </v>
          </cell>
        </row>
        <row r="69">
          <cell r="C69" t="str">
            <v>запрос КП исх. №59-4794 от 03.06.2026 г. направлен по E-mail для 20 получателей от 03.06.2026 г., для 12 получателей 30.07.2026 г.</v>
          </cell>
        </row>
        <row r="70">
          <cell r="C70" t="str">
            <v>получено 6 КП: вх. №59-581, 59-582, 59-583, 59-584, 59-585, 59-586 от 31.07.2026 г.</v>
          </cell>
        </row>
        <row r="77">
          <cell r="C77" t="str">
            <v>Ведущий инженер Воропаев Р.В.</v>
          </cell>
        </row>
        <row r="78">
          <cell r="C78" t="str">
            <v>60-25</v>
          </cell>
        </row>
      </sheetData>
      <sheetData sheetId="8"/>
      <sheetData sheetId="9"/>
      <sheetData sheetId="10">
        <row r="19">
          <cell r="B19" t="str">
            <v>Коврик диэлектрический</v>
          </cell>
          <cell r="C19" t="str">
            <v>штука</v>
          </cell>
          <cell r="D19">
            <v>1</v>
          </cell>
        </row>
        <row r="20">
          <cell r="B20" t="str">
            <v>Боты диэлектрические</v>
          </cell>
          <cell r="C20" t="str">
            <v>пара</v>
          </cell>
          <cell r="D20">
            <v>1</v>
          </cell>
        </row>
        <row r="21">
          <cell r="B21" t="str">
            <v>Защитный лицевой щиток РОСОМЗ НБТ2 ВИЗИОН TITAN 424390</v>
          </cell>
          <cell r="C21" t="str">
            <v>штука</v>
          </cell>
          <cell r="D21">
            <v>1</v>
          </cell>
        </row>
        <row r="22">
          <cell r="B22" t="str">
            <v>Очки закрытые РОСОМЗ ЗН11 PANORAMA STRONG GLASS 21137</v>
          </cell>
          <cell r="C22" t="str">
            <v>штука</v>
          </cell>
          <cell r="D22">
            <v>1</v>
          </cell>
        </row>
        <row r="23">
          <cell r="B23" t="str">
            <v>Очки газосварочные РОСОМЗ О2 SPECTRUM (3) мин.стекло, 10222</v>
          </cell>
          <cell r="C23" t="str">
            <v>штука</v>
          </cell>
          <cell r="D23">
            <v>1</v>
          </cell>
        </row>
        <row r="24">
          <cell r="B24" t="str">
            <v>Маска сварщика ХАМЕЛЕОН GROVERS PROFFI FX-980</v>
          </cell>
          <cell r="C24" t="str">
            <v>штука</v>
          </cell>
          <cell r="D24">
            <v>1</v>
          </cell>
        </row>
        <row r="25">
          <cell r="B25" t="str">
            <v>Каска защитная РОСОМЗ СОМЗ-55 Favori®T RAPID</v>
          </cell>
          <cell r="C25" t="str">
            <v>штука</v>
          </cell>
          <cell r="D25">
            <v>1</v>
          </cell>
        </row>
        <row r="26">
          <cell r="B26" t="str">
            <v>Подшлемник утепленный х/б</v>
          </cell>
          <cell r="C26" t="str">
            <v>штука</v>
          </cell>
          <cell r="D26">
            <v>1</v>
          </cell>
        </row>
        <row r="27">
          <cell r="B27" t="str">
            <v>Подшлемник х/б</v>
          </cell>
          <cell r="C27" t="str">
            <v>штука</v>
          </cell>
          <cell r="D27">
            <v>1</v>
          </cell>
        </row>
        <row r="28">
          <cell r="B28" t="str">
            <v>Косынка из 100% хлопка (бязь)</v>
          </cell>
          <cell r="C28" t="str">
            <v>штука</v>
          </cell>
          <cell r="D28">
            <v>1</v>
          </cell>
        </row>
        <row r="29">
          <cell r="B29" t="str">
            <v>Бандана из 100% хлопка (бязь)</v>
          </cell>
          <cell r="C29" t="str">
            <v>штука</v>
          </cell>
          <cell r="D29">
            <v>1</v>
          </cell>
        </row>
        <row r="30">
          <cell r="B30" t="str">
            <v>Наушники противошумные</v>
          </cell>
          <cell r="C30" t="str">
            <v>штука</v>
          </cell>
          <cell r="D30">
            <v>1</v>
          </cell>
        </row>
        <row r="31">
          <cell r="B31" t="str">
            <v>Страховочные системы (привязь и другие элементы систем обеспечения безопасности при работе на высоте).</v>
          </cell>
          <cell r="C31" t="str">
            <v>штука</v>
          </cell>
          <cell r="D31">
            <v>1</v>
          </cell>
        </row>
        <row r="32">
          <cell r="B32" t="str">
            <v>Строп ленточный с амортизатором может применяться как отдельная соединительная деталь, узел или компонент в системе с привязями и с анкерной точкой.</v>
          </cell>
          <cell r="C32" t="str">
            <v>штука</v>
          </cell>
          <cell r="D32">
            <v>1</v>
          </cell>
        </row>
        <row r="33">
          <cell r="B33" t="str">
            <v>Веревка страховочная (100 м)</v>
          </cell>
          <cell r="C33" t="str">
            <v>штука</v>
          </cell>
          <cell r="D33">
            <v>1</v>
          </cell>
        </row>
        <row r="34">
          <cell r="B34" t="str">
            <v>Антиэлектростатический браслет. Сопротивление не более 106 Ом</v>
          </cell>
          <cell r="C34" t="str">
            <v>штука</v>
          </cell>
          <cell r="D34">
            <v>1</v>
          </cell>
        </row>
        <row r="35">
          <cell r="B35" t="str">
            <v>Виброгасящие стельки</v>
          </cell>
          <cell r="C35" t="str">
            <v>штука</v>
          </cell>
          <cell r="D35">
            <v>1</v>
          </cell>
        </row>
        <row r="36">
          <cell r="B36" t="str">
            <v>Фартук прорезиненный с нагрудником</v>
          </cell>
          <cell r="C36" t="str">
            <v>штука</v>
          </cell>
          <cell r="D36">
            <v>1</v>
          </cell>
        </row>
        <row r="37">
          <cell r="B37" t="str">
            <v>Фартук х/б (диагональ)</v>
          </cell>
          <cell r="C37" t="str">
            <v>штука</v>
          </cell>
          <cell r="D37">
            <v>1</v>
          </cell>
        </row>
        <row r="38">
          <cell r="B38" t="str">
            <v>Нарукавники прорезиненные</v>
          </cell>
          <cell r="C38" t="str">
            <v>штука</v>
          </cell>
          <cell r="D38">
            <v>1</v>
          </cell>
        </row>
        <row r="39">
          <cell r="B39" t="str">
            <v>Нарукавники спилковые для сварщика</v>
          </cell>
          <cell r="C39" t="str">
            <v>штука</v>
          </cell>
          <cell r="D39">
            <v>1</v>
          </cell>
        </row>
        <row r="40">
          <cell r="B40" t="str">
            <v>Нарукавники х/б</v>
          </cell>
          <cell r="C40" t="str">
            <v>штука</v>
          </cell>
          <cell r="D40">
            <v>1</v>
          </cell>
        </row>
        <row r="41">
          <cell r="B41" t="str">
            <v>Жилет сигнальный 2 класса</v>
          </cell>
          <cell r="C41" t="str">
            <v>штука</v>
          </cell>
          <cell r="D41">
            <v>1</v>
          </cell>
        </row>
        <row r="42">
          <cell r="B42" t="str">
            <v>Плащ для защиты от воды</v>
          </cell>
          <cell r="C42" t="str">
            <v>штука</v>
          </cell>
          <cell r="D42">
            <v>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A47D-8AA2-4F96-A3FC-8A42BF8CB4E8}">
  <sheetPr>
    <tabColor rgb="FF00B050"/>
    <pageSetUpPr fitToPage="1"/>
  </sheetPr>
  <dimension ref="A1:Z60"/>
  <sheetViews>
    <sheetView tabSelected="1" view="pageBreakPreview" topLeftCell="A3" zoomScaleNormal="100" zoomScaleSheetLayoutView="100" workbookViewId="0">
      <selection activeCell="G49" sqref="G49"/>
    </sheetView>
  </sheetViews>
  <sheetFormatPr defaultColWidth="9.140625" defaultRowHeight="15.75" outlineLevelRow="1" outlineLevelCol="1" x14ac:dyDescent="0.25"/>
  <cols>
    <col min="1" max="1" width="5.7109375" style="2" customWidth="1"/>
    <col min="2" max="2" width="32.140625" style="2" customWidth="1"/>
    <col min="3" max="3" width="9.28515625" style="2" customWidth="1"/>
    <col min="4" max="4" width="8.5703125" style="2" customWidth="1"/>
    <col min="5" max="10" width="11.42578125" style="2" customWidth="1"/>
    <col min="11" max="11" width="17.5703125" style="2" customWidth="1" outlineLevel="1"/>
    <col min="12" max="12" width="15.5703125" style="2" customWidth="1"/>
    <col min="13" max="13" width="12.85546875" style="2" customWidth="1"/>
    <col min="14" max="14" width="12.7109375" style="2" customWidth="1"/>
    <col min="15" max="15" width="18.5703125" style="2" customWidth="1"/>
    <col min="16" max="16" width="16.5703125" style="2" customWidth="1"/>
    <col min="17" max="17" width="14.28515625" style="2" customWidth="1"/>
    <col min="18" max="19" width="8.5703125" style="2" customWidth="1"/>
    <col min="20" max="20" width="25.42578125" style="2" customWidth="1"/>
    <col min="21" max="21" width="28.140625" style="2" customWidth="1"/>
    <col min="22" max="22" width="12" style="2" customWidth="1"/>
    <col min="23" max="23" width="8.5703125" style="2" customWidth="1"/>
    <col min="24" max="24" width="10.28515625" style="2" customWidth="1"/>
    <col min="25" max="1023" width="8.7109375" style="2" customWidth="1"/>
    <col min="1024" max="16384" width="9.140625" style="2"/>
  </cols>
  <sheetData>
    <row r="1" spans="1:26" ht="18.75" hidden="1" outlineLevel="1" x14ac:dyDescent="0.3">
      <c r="A1" s="1" t="s">
        <v>0</v>
      </c>
      <c r="B1" s="1"/>
      <c r="C1" s="1"/>
      <c r="D1" s="1"/>
      <c r="E1" s="1"/>
      <c r="F1" s="1"/>
      <c r="G1" s="1"/>
      <c r="H1" s="1"/>
      <c r="I1" s="1"/>
      <c r="J1" s="1"/>
      <c r="K1" s="1"/>
      <c r="L1" s="1"/>
      <c r="M1" s="1"/>
      <c r="N1" s="1"/>
      <c r="O1" s="1"/>
      <c r="P1" s="1"/>
    </row>
    <row r="2" spans="1:26" ht="18.75" hidden="1" outlineLevel="1" x14ac:dyDescent="0.3">
      <c r="C2" s="3"/>
      <c r="D2" s="3"/>
      <c r="P2" s="4" t="s">
        <v>1</v>
      </c>
    </row>
    <row r="3" spans="1:26" ht="18.75" collapsed="1" x14ac:dyDescent="0.25">
      <c r="A3" s="5" t="s">
        <v>2</v>
      </c>
      <c r="B3" s="5"/>
      <c r="C3" s="5"/>
      <c r="D3" s="5"/>
      <c r="E3" s="5"/>
      <c r="F3" s="5"/>
      <c r="G3" s="5"/>
      <c r="H3" s="5"/>
      <c r="I3" s="5"/>
      <c r="J3" s="5"/>
      <c r="K3" s="5"/>
      <c r="L3" s="5"/>
      <c r="M3" s="5"/>
      <c r="N3" s="5"/>
      <c r="O3" s="5"/>
      <c r="P3" s="5"/>
      <c r="V3" s="6" t="s">
        <v>3</v>
      </c>
      <c r="W3" s="7" t="s">
        <v>4</v>
      </c>
      <c r="X3" s="8" t="s">
        <v>5</v>
      </c>
      <c r="Y3" s="8"/>
      <c r="Z3" s="8"/>
    </row>
    <row r="4" spans="1:26" ht="18.75" x14ac:dyDescent="0.25">
      <c r="A4" s="9" t="s">
        <v>6</v>
      </c>
      <c r="B4" s="9"/>
      <c r="C4" s="9"/>
      <c r="D4" s="9"/>
      <c r="E4" s="9"/>
      <c r="F4" s="9"/>
      <c r="G4" s="9"/>
      <c r="H4" s="9"/>
      <c r="I4" s="9"/>
      <c r="J4" s="9"/>
      <c r="K4" s="9"/>
      <c r="L4" s="9"/>
      <c r="M4" s="9"/>
      <c r="N4" s="9"/>
      <c r="O4" s="9"/>
      <c r="P4" s="9"/>
      <c r="Q4" s="10"/>
      <c r="R4" s="10"/>
      <c r="S4" s="11"/>
      <c r="T4" s="11"/>
      <c r="U4" s="11"/>
      <c r="V4" s="12">
        <v>2023</v>
      </c>
      <c r="W4" s="13"/>
      <c r="X4" s="14"/>
      <c r="Y4" s="14"/>
      <c r="Z4" s="14"/>
    </row>
    <row r="5" spans="1:26" ht="15.75" customHeight="1" x14ac:dyDescent="0.25">
      <c r="A5" s="15"/>
      <c r="Q5" s="16"/>
      <c r="R5" s="17"/>
      <c r="S5" s="17"/>
      <c r="T5" s="17"/>
      <c r="U5" s="17"/>
      <c r="V5" s="12">
        <v>2024</v>
      </c>
      <c r="W5" s="13">
        <v>108.5</v>
      </c>
      <c r="X5" s="18">
        <v>1.085</v>
      </c>
      <c r="Y5" s="14"/>
      <c r="Z5" s="14"/>
    </row>
    <row r="6" spans="1:26" ht="38.25" customHeight="1" x14ac:dyDescent="0.25">
      <c r="A6" s="19" t="s">
        <v>7</v>
      </c>
      <c r="B6" s="19"/>
      <c r="C6" s="19"/>
      <c r="D6" s="19"/>
      <c r="E6" s="19"/>
      <c r="F6" s="19" t="str">
        <f>[1]ЗАКУПКА!C11</f>
        <v>Поставка средств индивидуальной защиты</v>
      </c>
      <c r="G6" s="19"/>
      <c r="H6" s="19"/>
      <c r="I6" s="19"/>
      <c r="J6" s="19"/>
      <c r="K6" s="19"/>
      <c r="L6" s="19"/>
      <c r="M6" s="19"/>
      <c r="N6" s="19"/>
      <c r="O6" s="19"/>
      <c r="P6" s="19"/>
      <c r="Q6" s="16"/>
      <c r="R6" s="17"/>
      <c r="S6" s="17"/>
      <c r="T6" s="17"/>
      <c r="U6" s="17"/>
      <c r="V6" s="12">
        <v>2025</v>
      </c>
      <c r="W6" s="13">
        <v>109</v>
      </c>
      <c r="X6" s="18">
        <v>1.0900000000000001</v>
      </c>
      <c r="Y6" s="14"/>
      <c r="Z6" s="14"/>
    </row>
    <row r="7" spans="1:26"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9"/>
      <c r="O7" s="19"/>
      <c r="P7" s="19"/>
      <c r="Q7" s="16"/>
      <c r="R7" s="17"/>
      <c r="S7" s="17"/>
      <c r="T7" s="17"/>
      <c r="U7" s="17"/>
      <c r="V7" s="12">
        <v>2026</v>
      </c>
      <c r="W7" s="13">
        <v>105.1</v>
      </c>
      <c r="X7" s="18">
        <v>1.0509999999999999</v>
      </c>
      <c r="Y7" s="14"/>
      <c r="Z7" s="14"/>
    </row>
    <row r="8" spans="1:26" ht="36.6" customHeight="1" x14ac:dyDescent="0.25">
      <c r="A8" s="19" t="s">
        <v>9</v>
      </c>
      <c r="B8" s="19"/>
      <c r="C8" s="19"/>
      <c r="D8" s="19"/>
      <c r="E8" s="19"/>
      <c r="F8" s="19" t="str">
        <f>[1]ЗАКУПКА!C50</f>
        <v>в течение 10 (десяти) рабочих дней со дня направления Заявки</v>
      </c>
      <c r="G8" s="19"/>
      <c r="H8" s="19"/>
      <c r="I8" s="19"/>
      <c r="J8" s="19"/>
      <c r="K8" s="19"/>
      <c r="L8" s="19"/>
      <c r="M8" s="19"/>
      <c r="N8" s="19"/>
      <c r="O8" s="19"/>
      <c r="P8" s="19"/>
      <c r="Q8" s="20"/>
      <c r="R8" s="17"/>
      <c r="S8" s="17"/>
      <c r="T8" s="17"/>
      <c r="U8" s="17"/>
      <c r="V8" s="21">
        <v>2027</v>
      </c>
      <c r="W8" s="22">
        <v>104</v>
      </c>
      <c r="X8" s="18">
        <v>1.04</v>
      </c>
      <c r="Y8" s="14"/>
      <c r="Z8" s="14"/>
    </row>
    <row r="9" spans="1:26" ht="40.5" customHeight="1" x14ac:dyDescent="0.25">
      <c r="A9" s="19" t="s">
        <v>10</v>
      </c>
      <c r="B9" s="19"/>
      <c r="C9" s="19"/>
      <c r="D9" s="19"/>
      <c r="E9" s="19"/>
      <c r="F9" s="19" t="str">
        <f>[1]ЗАКУПКА!C69</f>
        <v>запрос КП исх. №59-4794 от 03.06.2026 г. направлен по E-mail для 20 получателей от 03.06.2026 г., для 12 получателей 30.07.2026 г.</v>
      </c>
      <c r="G9" s="19"/>
      <c r="H9" s="19"/>
      <c r="I9" s="19"/>
      <c r="J9" s="19"/>
      <c r="K9" s="19"/>
      <c r="L9" s="19"/>
      <c r="M9" s="19"/>
      <c r="N9" s="19"/>
      <c r="O9" s="19"/>
      <c r="P9" s="19"/>
      <c r="Q9" s="23" t="s">
        <v>11</v>
      </c>
      <c r="R9" s="24"/>
      <c r="S9" s="24"/>
      <c r="T9" s="24"/>
      <c r="U9" s="17"/>
      <c r="V9" s="21">
        <v>2028</v>
      </c>
      <c r="W9" s="22">
        <v>104</v>
      </c>
      <c r="X9" s="18">
        <v>1.04</v>
      </c>
      <c r="Y9" s="14"/>
      <c r="Z9" s="14"/>
    </row>
    <row r="10" spans="1:26" ht="40.5" customHeight="1" x14ac:dyDescent="0.25">
      <c r="A10" s="19" t="s">
        <v>12</v>
      </c>
      <c r="B10" s="19"/>
      <c r="C10" s="19"/>
      <c r="D10" s="19"/>
      <c r="E10" s="19"/>
      <c r="F10" s="19" t="str">
        <f>[1]ЗАКУПКА!C70</f>
        <v>получено 6 КП: вх. №59-581, 59-582, 59-583, 59-584, 59-585, 59-586 от 31.07.2026 г.</v>
      </c>
      <c r="G10" s="19"/>
      <c r="H10" s="19"/>
      <c r="I10" s="19"/>
      <c r="J10" s="19"/>
      <c r="K10" s="19"/>
      <c r="L10" s="19"/>
      <c r="M10" s="19"/>
      <c r="N10" s="19"/>
      <c r="O10" s="19"/>
      <c r="P10" s="19"/>
      <c r="Q10" s="23" t="s">
        <v>13</v>
      </c>
      <c r="R10" s="24"/>
      <c r="S10" s="24"/>
      <c r="T10" s="24"/>
      <c r="U10" s="17"/>
    </row>
    <row r="11" spans="1:26" ht="48.75" customHeight="1" x14ac:dyDescent="0.25">
      <c r="A11" s="19" t="s">
        <v>14</v>
      </c>
      <c r="B11" s="19"/>
      <c r="C11" s="19"/>
      <c r="D11" s="19"/>
      <c r="E11" s="19"/>
      <c r="F11" s="19" t="str">
        <f>CONCATENATE(FIXED(P43,2)," (Тридцать три тысячи шестьсот два) рубля 79 копеек, с учетом НДС 22%.")</f>
        <v>33 602,79 (Тридцать три тысячи шестьсот два) рубля 79 копеек, с учетом НДС 22%.</v>
      </c>
      <c r="G11" s="19"/>
      <c r="H11" s="19"/>
      <c r="I11" s="19"/>
      <c r="J11" s="19"/>
      <c r="K11" s="19"/>
      <c r="L11" s="19"/>
      <c r="M11" s="19"/>
      <c r="N11" s="19"/>
      <c r="O11" s="19"/>
      <c r="P11" s="19"/>
      <c r="Q11" s="25" t="s">
        <v>15</v>
      </c>
      <c r="R11" s="17"/>
      <c r="S11" s="17"/>
      <c r="U11" s="17"/>
      <c r="V11" s="17"/>
      <c r="W11" s="17"/>
    </row>
    <row r="12" spans="1:26" ht="21" customHeight="1" x14ac:dyDescent="0.25">
      <c r="A12" s="19" t="s">
        <v>16</v>
      </c>
      <c r="B12" s="19"/>
      <c r="C12" s="19"/>
      <c r="D12" s="19"/>
      <c r="E12" s="19"/>
      <c r="F12" s="26">
        <f ca="1">[1]ЗАКУПКА!B1</f>
        <v>46254</v>
      </c>
      <c r="G12" s="26"/>
      <c r="H12" s="26"/>
      <c r="I12" s="26"/>
      <c r="J12" s="26"/>
      <c r="K12" s="26"/>
      <c r="L12" s="26"/>
      <c r="M12" s="26"/>
      <c r="N12" s="26"/>
      <c r="O12" s="26"/>
      <c r="P12" s="26"/>
      <c r="Q12" s="27" t="s">
        <v>17</v>
      </c>
      <c r="R12" s="17"/>
      <c r="S12" s="17"/>
      <c r="T12" s="17"/>
      <c r="U12" s="17"/>
      <c r="V12" s="17"/>
      <c r="W12" s="17"/>
    </row>
    <row r="13" spans="1:26" ht="15" customHeight="1" x14ac:dyDescent="0.25">
      <c r="A13" s="28"/>
      <c r="B13" s="28"/>
      <c r="C13" s="28"/>
      <c r="D13" s="28"/>
      <c r="E13" s="28"/>
      <c r="F13" s="28"/>
      <c r="G13" s="28"/>
      <c r="H13" s="28"/>
      <c r="I13" s="28"/>
      <c r="J13" s="28"/>
      <c r="K13" s="28"/>
      <c r="L13" s="28"/>
      <c r="M13" s="28"/>
      <c r="N13" s="28"/>
      <c r="O13" s="28"/>
      <c r="P13" s="28"/>
      <c r="Q13" s="17"/>
      <c r="R13" s="17"/>
      <c r="S13" s="17"/>
      <c r="T13" s="17"/>
      <c r="U13" s="17"/>
      <c r="V13" s="17"/>
      <c r="W13" s="17"/>
    </row>
    <row r="14" spans="1:26" ht="15" customHeight="1" x14ac:dyDescent="0.25">
      <c r="A14" s="29" t="s">
        <v>18</v>
      </c>
      <c r="B14" s="29"/>
      <c r="C14" s="29"/>
      <c r="D14" s="29"/>
      <c r="E14" s="29"/>
      <c r="F14" s="29"/>
      <c r="G14" s="29"/>
      <c r="H14" s="29"/>
      <c r="I14" s="29"/>
      <c r="J14" s="29"/>
      <c r="K14" s="29"/>
      <c r="L14" s="29"/>
      <c r="M14" s="29"/>
      <c r="N14" s="29"/>
      <c r="O14" s="29"/>
      <c r="P14" s="29"/>
      <c r="Q14" s="17"/>
      <c r="R14" s="17"/>
      <c r="S14" s="17"/>
      <c r="T14" s="17"/>
      <c r="U14" s="17"/>
      <c r="V14" s="17"/>
      <c r="W14" s="17"/>
    </row>
    <row r="15" spans="1:26" x14ac:dyDescent="0.25">
      <c r="T15" s="2" t="s">
        <v>19</v>
      </c>
    </row>
    <row r="16" spans="1:26" s="35" customFormat="1" ht="30.75" customHeight="1" thickBot="1" x14ac:dyDescent="0.3">
      <c r="A16" s="30" t="s">
        <v>20</v>
      </c>
      <c r="B16" s="30" t="s">
        <v>21</v>
      </c>
      <c r="C16" s="30" t="s">
        <v>22</v>
      </c>
      <c r="D16" s="30" t="s">
        <v>23</v>
      </c>
      <c r="E16" s="31" t="s">
        <v>24</v>
      </c>
      <c r="F16" s="32"/>
      <c r="G16" s="32"/>
      <c r="H16" s="32"/>
      <c r="I16" s="32"/>
      <c r="J16" s="32"/>
      <c r="K16" s="33"/>
      <c r="L16" s="30" t="s">
        <v>25</v>
      </c>
      <c r="M16" s="30" t="s">
        <v>26</v>
      </c>
      <c r="N16" s="30" t="s">
        <v>27</v>
      </c>
      <c r="O16" s="34" t="s">
        <v>28</v>
      </c>
      <c r="P16" s="30" t="s">
        <v>29</v>
      </c>
      <c r="R16" s="36"/>
      <c r="S16" s="37" t="s">
        <v>30</v>
      </c>
      <c r="T16" s="37" t="s">
        <v>31</v>
      </c>
      <c r="U16" s="6" t="s">
        <v>32</v>
      </c>
      <c r="V16" s="6" t="s">
        <v>33</v>
      </c>
    </row>
    <row r="17" spans="1:23" s="35" customFormat="1" ht="129" customHeight="1" x14ac:dyDescent="0.25">
      <c r="A17" s="38"/>
      <c r="B17" s="38"/>
      <c r="C17" s="38"/>
      <c r="D17" s="39"/>
      <c r="E17" s="40" t="s">
        <v>34</v>
      </c>
      <c r="F17" s="41" t="s">
        <v>35</v>
      </c>
      <c r="G17" s="41" t="s">
        <v>36</v>
      </c>
      <c r="H17" s="41" t="s">
        <v>37</v>
      </c>
      <c r="I17" s="41" t="s">
        <v>38</v>
      </c>
      <c r="J17" s="42" t="s">
        <v>39</v>
      </c>
      <c r="K17" s="43" t="s">
        <v>40</v>
      </c>
      <c r="L17" s="38"/>
      <c r="M17" s="38"/>
      <c r="N17" s="38"/>
      <c r="O17" s="44"/>
      <c r="P17" s="38"/>
      <c r="R17" s="17"/>
      <c r="S17" s="45" t="s">
        <v>41</v>
      </c>
      <c r="T17" s="46">
        <v>2723123664</v>
      </c>
      <c r="U17" s="46" t="str">
        <f>VLOOKUP(T17,[1]Контрагенты!$A$3:$H$3248,4,FALSE)</f>
        <v>ООО "ЦЛХ"</v>
      </c>
      <c r="V17" s="47">
        <f>VLOOKUP(T17,[1]Контрагенты!$A$3:$H$3248,7,FALSE)</f>
        <v>0</v>
      </c>
      <c r="W17" s="48" t="s">
        <v>42</v>
      </c>
    </row>
    <row r="18" spans="1:23" s="54" customFormat="1" ht="14.25" customHeight="1" x14ac:dyDescent="0.2">
      <c r="A18" s="49">
        <v>1</v>
      </c>
      <c r="B18" s="49">
        <v>2</v>
      </c>
      <c r="C18" s="49">
        <v>3</v>
      </c>
      <c r="D18" s="50">
        <v>4</v>
      </c>
      <c r="E18" s="51">
        <f>D18+1</f>
        <v>5</v>
      </c>
      <c r="F18" s="49">
        <v>6</v>
      </c>
      <c r="G18" s="49">
        <v>7</v>
      </c>
      <c r="H18" s="49"/>
      <c r="I18" s="49">
        <v>8</v>
      </c>
      <c r="J18" s="52">
        <v>9</v>
      </c>
      <c r="K18" s="53">
        <f>F18+1</f>
        <v>7</v>
      </c>
      <c r="L18" s="49">
        <v>10</v>
      </c>
      <c r="M18" s="49">
        <f t="shared" ref="M18:P18" si="0">L18+1</f>
        <v>11</v>
      </c>
      <c r="N18" s="49">
        <f t="shared" si="0"/>
        <v>12</v>
      </c>
      <c r="O18" s="49">
        <f t="shared" si="0"/>
        <v>13</v>
      </c>
      <c r="P18" s="49">
        <f t="shared" si="0"/>
        <v>14</v>
      </c>
      <c r="R18" s="55"/>
      <c r="S18" s="56" t="s">
        <v>43</v>
      </c>
      <c r="T18" s="57"/>
      <c r="U18" s="58" t="str">
        <f>VLOOKUP(T18,[1]Контрагенты!$A$3:$H$3248,4,FALSE)</f>
        <v>ООО "Сантехресурс+"</v>
      </c>
      <c r="V18" s="59" t="str">
        <f>VLOOKUP(T18,[1]Контрагенты!$A$3:$H$3248,7,FALSE)</f>
        <v/>
      </c>
    </row>
    <row r="19" spans="1:23" ht="23.25" customHeight="1" x14ac:dyDescent="0.25">
      <c r="A19" s="60">
        <v>1</v>
      </c>
      <c r="B19" s="61" t="str">
        <f>[1]ТЗ!B19</f>
        <v>Коврик диэлектрический</v>
      </c>
      <c r="C19" s="60" t="str">
        <f>[1]ТЗ!C19</f>
        <v>штука</v>
      </c>
      <c r="D19" s="62">
        <f>[1]ТЗ!D19</f>
        <v>1</v>
      </c>
      <c r="E19" s="63">
        <v>873.18</v>
      </c>
      <c r="F19" s="64">
        <v>740</v>
      </c>
      <c r="G19" s="64"/>
      <c r="H19" s="64">
        <v>756.4</v>
      </c>
      <c r="I19" s="64">
        <v>930</v>
      </c>
      <c r="J19" s="65">
        <v>885</v>
      </c>
      <c r="K19" s="66">
        <v>1051.6831499999998</v>
      </c>
      <c r="L19" s="64">
        <f>IFERROR(ROUND(AVERAGEIF(E19:K19,"&gt;0"),2),"")</f>
        <v>872.71</v>
      </c>
      <c r="M19" s="67">
        <f>IFERROR(_xlfn.STDEV.P($E19:$K19),"")</f>
        <v>105.36030065072661</v>
      </c>
      <c r="N19" s="67">
        <f>IFERROR(M19/L19,"")</f>
        <v>0.12072773389869099</v>
      </c>
      <c r="O19" s="67">
        <f t="shared" ref="O19:O42" si="1">IF(N19&lt;0.06,L19,IF(N19&gt;0.32,$Q$43,MIN(E19:K19)))</f>
        <v>740</v>
      </c>
      <c r="P19" s="67">
        <f t="shared" ref="P19:P42" si="2">IFERROR(O19*D19,"")</f>
        <v>740</v>
      </c>
      <c r="Q19" s="68"/>
      <c r="R19" s="17"/>
      <c r="S19" s="6" t="s">
        <v>44</v>
      </c>
      <c r="T19" s="69"/>
      <c r="U19" s="8" t="str">
        <f>VLOOKUP(T19,[1]Контрагенты!$A$3:$H$3248,4,FALSE)</f>
        <v>ООО "Сантехресурс+"</v>
      </c>
      <c r="V19" s="70" t="str">
        <f>VLOOKUP(T19,[1]Контрагенты!$A$3:$H$3248,7,FALSE)</f>
        <v/>
      </c>
    </row>
    <row r="20" spans="1:23" ht="23.25" customHeight="1" outlineLevel="1" x14ac:dyDescent="0.25">
      <c r="A20" s="60">
        <f>A19+1</f>
        <v>2</v>
      </c>
      <c r="B20" s="61" t="str">
        <f>[1]ТЗ!B20</f>
        <v>Боты диэлектрические</v>
      </c>
      <c r="C20" s="60" t="str">
        <f>[1]ТЗ!C20</f>
        <v>пара</v>
      </c>
      <c r="D20" s="62">
        <f>[1]ТЗ!D20</f>
        <v>1</v>
      </c>
      <c r="E20" s="63">
        <v>1680</v>
      </c>
      <c r="F20" s="64">
        <v>1566</v>
      </c>
      <c r="G20" s="64"/>
      <c r="H20" s="64">
        <v>1769</v>
      </c>
      <c r="I20" s="64">
        <v>1980</v>
      </c>
      <c r="J20" s="65">
        <v>1678</v>
      </c>
      <c r="K20" s="66">
        <v>1532.3579999999999</v>
      </c>
      <c r="L20" s="64">
        <f t="shared" ref="L20:L42" si="3">IFERROR(ROUND(AVERAGEIF(E20:K20,"&gt;0"),2),"")</f>
        <v>1700.89</v>
      </c>
      <c r="M20" s="67">
        <f t="shared" ref="M20:M42" si="4">IFERROR(_xlfn.STDEV.P($E20:$K20),"")</f>
        <v>147.25264879903975</v>
      </c>
      <c r="N20" s="67">
        <f t="shared" ref="N20:N42" si="5">IFERROR(M20/L20,"")</f>
        <v>8.6573881202805431E-2</v>
      </c>
      <c r="O20" s="67">
        <f t="shared" si="1"/>
        <v>1532.3579999999999</v>
      </c>
      <c r="P20" s="67">
        <f t="shared" si="2"/>
        <v>1532.3579999999999</v>
      </c>
      <c r="Q20" s="68"/>
      <c r="R20" s="17"/>
      <c r="S20" s="6" t="s">
        <v>45</v>
      </c>
      <c r="T20" s="69"/>
      <c r="U20" s="8" t="str">
        <f>VLOOKUP(T20,[1]Контрагенты!$A$3:$H$3248,4,FALSE)</f>
        <v>ООО "Сантехресурс+"</v>
      </c>
      <c r="V20" s="70" t="str">
        <f>VLOOKUP(T20,[1]Контрагенты!$A$3:$H$3248,7,FALSE)</f>
        <v/>
      </c>
    </row>
    <row r="21" spans="1:23" ht="51" customHeight="1" outlineLevel="1" x14ac:dyDescent="0.25">
      <c r="A21" s="60">
        <f t="shared" ref="A21:A42" si="6">A20+1</f>
        <v>3</v>
      </c>
      <c r="B21" s="61" t="str">
        <f>[1]ТЗ!B21</f>
        <v>Защитный лицевой щиток РОСОМЗ НБТ2 ВИЗИОН TITAN 424390</v>
      </c>
      <c r="C21" s="60" t="str">
        <f>[1]ТЗ!C21</f>
        <v>штука</v>
      </c>
      <c r="D21" s="62">
        <f>[1]ТЗ!D21</f>
        <v>1</v>
      </c>
      <c r="E21" s="63">
        <v>539.72</v>
      </c>
      <c r="F21" s="64">
        <v>539</v>
      </c>
      <c r="G21" s="64">
        <v>519</v>
      </c>
      <c r="H21" s="64">
        <v>390.4</v>
      </c>
      <c r="I21" s="64">
        <v>590</v>
      </c>
      <c r="J21" s="65">
        <v>482</v>
      </c>
      <c r="K21" s="66">
        <v>430.55266</v>
      </c>
      <c r="L21" s="64">
        <f t="shared" si="3"/>
        <v>498.67</v>
      </c>
      <c r="M21" s="67">
        <f t="shared" si="4"/>
        <v>64.038317732122678</v>
      </c>
      <c r="N21" s="67">
        <f t="shared" si="5"/>
        <v>0.12841822795059393</v>
      </c>
      <c r="O21" s="67">
        <f t="shared" si="1"/>
        <v>390.4</v>
      </c>
      <c r="P21" s="67">
        <f t="shared" si="2"/>
        <v>390.4</v>
      </c>
      <c r="Q21" s="68"/>
      <c r="R21" s="17"/>
      <c r="S21" s="6" t="s">
        <v>46</v>
      </c>
      <c r="T21" s="69"/>
      <c r="U21" s="8" t="str">
        <f>VLOOKUP(T21,[1]Контрагенты!$A$3:$H$3248,4,FALSE)</f>
        <v>ООО "Сантехресурс+"</v>
      </c>
      <c r="V21" s="70" t="str">
        <f>VLOOKUP(T21,[1]Контрагенты!$A$3:$H$3248,7,FALSE)</f>
        <v/>
      </c>
    </row>
    <row r="22" spans="1:23" ht="51" customHeight="1" outlineLevel="1" x14ac:dyDescent="0.25">
      <c r="A22" s="60">
        <f t="shared" si="6"/>
        <v>4</v>
      </c>
      <c r="B22" s="61" t="str">
        <f>[1]ТЗ!B22</f>
        <v>Очки закрытые РОСОМЗ ЗН11 PANORAMA STRONG GLASS 21137</v>
      </c>
      <c r="C22" s="60" t="str">
        <f>[1]ТЗ!C22</f>
        <v>штука</v>
      </c>
      <c r="D22" s="62">
        <f>[1]ТЗ!D22</f>
        <v>1</v>
      </c>
      <c r="E22" s="63">
        <v>768.6</v>
      </c>
      <c r="F22" s="64">
        <v>577</v>
      </c>
      <c r="G22" s="64"/>
      <c r="H22" s="64">
        <v>549</v>
      </c>
      <c r="I22" s="64">
        <v>750</v>
      </c>
      <c r="J22" s="65">
        <v>686</v>
      </c>
      <c r="K22" s="66"/>
      <c r="L22" s="64">
        <f t="shared" si="3"/>
        <v>666.12</v>
      </c>
      <c r="M22" s="67">
        <f t="shared" si="4"/>
        <v>88.986165216847354</v>
      </c>
      <c r="N22" s="67">
        <f t="shared" si="5"/>
        <v>0.13358879063359058</v>
      </c>
      <c r="O22" s="67">
        <f t="shared" si="1"/>
        <v>549</v>
      </c>
      <c r="P22" s="67">
        <f t="shared" si="2"/>
        <v>549</v>
      </c>
      <c r="Q22" s="68"/>
      <c r="R22" s="17"/>
      <c r="S22" s="17"/>
      <c r="T22" s="17"/>
      <c r="U22" s="17" t="s">
        <v>47</v>
      </c>
      <c r="V22" s="17" t="s">
        <v>47</v>
      </c>
    </row>
    <row r="23" spans="1:23" ht="51" customHeight="1" outlineLevel="1" x14ac:dyDescent="0.25">
      <c r="A23" s="60">
        <f t="shared" si="6"/>
        <v>5</v>
      </c>
      <c r="B23" s="61" t="str">
        <f>[1]ТЗ!B23</f>
        <v>Очки газосварочные РОСОМЗ О2 SPECTRUM (3) мин.стекло, 10222</v>
      </c>
      <c r="C23" s="60" t="str">
        <f>[1]ТЗ!C23</f>
        <v>штука</v>
      </c>
      <c r="D23" s="62">
        <f>[1]ТЗ!D23</f>
        <v>1</v>
      </c>
      <c r="E23" s="63">
        <v>888.16</v>
      </c>
      <c r="F23" s="64">
        <v>795</v>
      </c>
      <c r="G23" s="64">
        <v>745</v>
      </c>
      <c r="H23" s="64">
        <v>900</v>
      </c>
      <c r="I23" s="64">
        <v>880</v>
      </c>
      <c r="J23" s="65">
        <v>650</v>
      </c>
      <c r="K23" s="66">
        <f>842.98*1.051</f>
        <v>885.97197999999992</v>
      </c>
      <c r="L23" s="64">
        <f t="shared" si="3"/>
        <v>820.59</v>
      </c>
      <c r="M23" s="67">
        <f t="shared" si="4"/>
        <v>87.949375623674968</v>
      </c>
      <c r="N23" s="67">
        <f t="shared" si="5"/>
        <v>0.10717822009002664</v>
      </c>
      <c r="O23" s="67">
        <f t="shared" si="1"/>
        <v>650</v>
      </c>
      <c r="P23" s="67">
        <f t="shared" si="2"/>
        <v>650</v>
      </c>
      <c r="Q23" s="68"/>
      <c r="R23" s="17"/>
      <c r="S23" s="17"/>
      <c r="T23" s="17"/>
      <c r="U23" s="17"/>
      <c r="V23" s="17"/>
    </row>
    <row r="24" spans="1:23" ht="51" customHeight="1" outlineLevel="1" x14ac:dyDescent="0.25">
      <c r="A24" s="60">
        <f t="shared" si="6"/>
        <v>6</v>
      </c>
      <c r="B24" s="61" t="str">
        <f>[1]ТЗ!B24</f>
        <v>Маска сварщика ХАМЕЛЕОН GROVERS PROFFI FX-980</v>
      </c>
      <c r="C24" s="60" t="str">
        <f>[1]ТЗ!C24</f>
        <v>штука</v>
      </c>
      <c r="D24" s="62">
        <f>[1]ТЗ!D24</f>
        <v>1</v>
      </c>
      <c r="E24" s="63">
        <v>10342.5</v>
      </c>
      <c r="F24" s="64">
        <v>10248</v>
      </c>
      <c r="G24" s="64">
        <v>9473</v>
      </c>
      <c r="H24" s="64">
        <v>12000</v>
      </c>
      <c r="I24" s="64">
        <v>12800</v>
      </c>
      <c r="J24" s="65"/>
      <c r="K24" s="66">
        <v>10480.046499999999</v>
      </c>
      <c r="L24" s="64">
        <f t="shared" si="3"/>
        <v>10890.59</v>
      </c>
      <c r="M24" s="67">
        <f t="shared" si="4"/>
        <v>1137.8392553348053</v>
      </c>
      <c r="N24" s="67">
        <f t="shared" si="5"/>
        <v>0.10447911961930487</v>
      </c>
      <c r="O24" s="67">
        <f t="shared" si="1"/>
        <v>9473</v>
      </c>
      <c r="P24" s="67">
        <f t="shared" si="2"/>
        <v>9473</v>
      </c>
      <c r="Q24" s="68"/>
      <c r="R24" s="17"/>
      <c r="S24" s="17"/>
      <c r="T24" s="17"/>
      <c r="U24" s="17"/>
      <c r="V24" s="17"/>
    </row>
    <row r="25" spans="1:23" ht="31.5" outlineLevel="1" x14ac:dyDescent="0.25">
      <c r="A25" s="60">
        <f t="shared" si="6"/>
        <v>7</v>
      </c>
      <c r="B25" s="61" t="str">
        <f>[1]ТЗ!B25</f>
        <v>Каска защитная РОСОМЗ СОМЗ-55 Favori®T RAPID</v>
      </c>
      <c r="C25" s="60" t="str">
        <f>[1]ТЗ!C25</f>
        <v>штука</v>
      </c>
      <c r="D25" s="62">
        <f>[1]ТЗ!D25</f>
        <v>1</v>
      </c>
      <c r="E25" s="63">
        <v>683.2</v>
      </c>
      <c r="F25" s="64">
        <v>513</v>
      </c>
      <c r="G25" s="64">
        <v>425</v>
      </c>
      <c r="H25" s="64">
        <v>488</v>
      </c>
      <c r="I25" s="64">
        <v>585</v>
      </c>
      <c r="J25" s="65">
        <v>650</v>
      </c>
      <c r="K25" s="66">
        <v>448.06231999999994</v>
      </c>
      <c r="L25" s="64">
        <f t="shared" si="3"/>
        <v>541.75</v>
      </c>
      <c r="M25" s="67">
        <f t="shared" si="4"/>
        <v>92.365961852141936</v>
      </c>
      <c r="N25" s="67">
        <f t="shared" si="5"/>
        <v>0.17049554564308617</v>
      </c>
      <c r="O25" s="67">
        <f t="shared" si="1"/>
        <v>425</v>
      </c>
      <c r="P25" s="67">
        <f t="shared" si="2"/>
        <v>425</v>
      </c>
      <c r="Q25" s="68"/>
      <c r="R25" s="17"/>
      <c r="S25" s="17"/>
      <c r="T25" s="17"/>
      <c r="U25" s="17"/>
      <c r="V25" s="17"/>
    </row>
    <row r="26" spans="1:23" ht="23.25" customHeight="1" outlineLevel="1" x14ac:dyDescent="0.25">
      <c r="A26" s="60">
        <f t="shared" si="6"/>
        <v>8</v>
      </c>
      <c r="B26" s="61" t="str">
        <f>[1]ТЗ!B26</f>
        <v>Подшлемник утепленный х/б</v>
      </c>
      <c r="C26" s="60" t="str">
        <f>[1]ТЗ!C26</f>
        <v>штука</v>
      </c>
      <c r="D26" s="62">
        <f>[1]ТЗ!D26</f>
        <v>1</v>
      </c>
      <c r="E26" s="63">
        <v>203</v>
      </c>
      <c r="F26" s="64"/>
      <c r="G26" s="64">
        <v>295</v>
      </c>
      <c r="H26" s="64">
        <v>366</v>
      </c>
      <c r="I26" s="64">
        <v>500</v>
      </c>
      <c r="J26" s="65">
        <v>302</v>
      </c>
      <c r="K26" s="66">
        <v>430.38449999999995</v>
      </c>
      <c r="L26" s="64">
        <f t="shared" si="3"/>
        <v>349.4</v>
      </c>
      <c r="M26" s="67">
        <f t="shared" si="4"/>
        <v>96.741484724503593</v>
      </c>
      <c r="N26" s="67">
        <f t="shared" si="5"/>
        <v>0.27687889159846479</v>
      </c>
      <c r="O26" s="67">
        <f t="shared" si="1"/>
        <v>203</v>
      </c>
      <c r="P26" s="67">
        <f t="shared" si="2"/>
        <v>203</v>
      </c>
      <c r="Q26" s="68"/>
      <c r="R26" s="17"/>
      <c r="S26" s="17"/>
      <c r="T26" s="17"/>
      <c r="U26" s="17"/>
      <c r="V26" s="17"/>
    </row>
    <row r="27" spans="1:23" ht="23.25" customHeight="1" outlineLevel="1" x14ac:dyDescent="0.25">
      <c r="A27" s="60">
        <f t="shared" si="6"/>
        <v>9</v>
      </c>
      <c r="B27" s="61" t="str">
        <f>[1]ТЗ!B27</f>
        <v>Подшлемник х/б</v>
      </c>
      <c r="C27" s="60" t="str">
        <f>[1]ТЗ!C27</f>
        <v>штука</v>
      </c>
      <c r="D27" s="62">
        <f>[1]ТЗ!D27</f>
        <v>1</v>
      </c>
      <c r="E27" s="63">
        <v>294</v>
      </c>
      <c r="F27" s="64">
        <v>439</v>
      </c>
      <c r="G27" s="64"/>
      <c r="H27" s="64"/>
      <c r="I27" s="64">
        <v>450</v>
      </c>
      <c r="J27" s="65"/>
      <c r="K27" s="66">
        <v>307.41749999999996</v>
      </c>
      <c r="L27" s="64">
        <f t="shared" si="3"/>
        <v>372.6</v>
      </c>
      <c r="M27" s="67">
        <f t="shared" si="4"/>
        <v>72.156839990550097</v>
      </c>
      <c r="N27" s="67">
        <f t="shared" si="5"/>
        <v>0.19365764892793905</v>
      </c>
      <c r="O27" s="67">
        <f t="shared" si="1"/>
        <v>294</v>
      </c>
      <c r="P27" s="67">
        <f t="shared" si="2"/>
        <v>294</v>
      </c>
      <c r="Q27" s="68"/>
      <c r="R27" s="17"/>
      <c r="S27" s="17"/>
      <c r="T27" s="17"/>
      <c r="U27" s="17"/>
      <c r="V27" s="17"/>
    </row>
    <row r="28" spans="1:23" ht="23.25" customHeight="1" outlineLevel="1" x14ac:dyDescent="0.25">
      <c r="A28" s="60">
        <f t="shared" si="6"/>
        <v>10</v>
      </c>
      <c r="B28" s="61" t="str">
        <f>[1]ТЗ!B28</f>
        <v>Косынка из 100% хлопка (бязь)</v>
      </c>
      <c r="C28" s="60" t="str">
        <f>[1]ТЗ!C28</f>
        <v>штука</v>
      </c>
      <c r="D28" s="62">
        <f>[1]ТЗ!D28</f>
        <v>1</v>
      </c>
      <c r="E28" s="63">
        <v>105</v>
      </c>
      <c r="F28" s="64">
        <v>122</v>
      </c>
      <c r="G28" s="64"/>
      <c r="H28" s="64">
        <v>99.43</v>
      </c>
      <c r="I28" s="64">
        <v>130</v>
      </c>
      <c r="J28" s="65"/>
      <c r="K28" s="66">
        <v>148.85312999999999</v>
      </c>
      <c r="L28" s="64">
        <f t="shared" si="3"/>
        <v>121.06</v>
      </c>
      <c r="M28" s="67">
        <f t="shared" si="4"/>
        <v>17.771019769712222</v>
      </c>
      <c r="N28" s="67">
        <f t="shared" si="5"/>
        <v>0.14679514100208343</v>
      </c>
      <c r="O28" s="67">
        <f t="shared" si="1"/>
        <v>99.43</v>
      </c>
      <c r="P28" s="67">
        <f t="shared" si="2"/>
        <v>99.43</v>
      </c>
      <c r="Q28" s="68"/>
      <c r="R28" s="17"/>
      <c r="S28" s="17"/>
      <c r="T28" s="17"/>
      <c r="U28" s="17"/>
      <c r="V28" s="17"/>
    </row>
    <row r="29" spans="1:23" ht="23.25" customHeight="1" outlineLevel="1" x14ac:dyDescent="0.25">
      <c r="A29" s="60">
        <f t="shared" si="6"/>
        <v>11</v>
      </c>
      <c r="B29" s="61" t="str">
        <f>[1]ТЗ!B29</f>
        <v>Бандана из 100% хлопка (бязь)</v>
      </c>
      <c r="C29" s="60" t="str">
        <f>[1]ТЗ!C29</f>
        <v>штука</v>
      </c>
      <c r="D29" s="62">
        <f>[1]ТЗ!D29</f>
        <v>1</v>
      </c>
      <c r="E29" s="63">
        <v>207.2</v>
      </c>
      <c r="F29" s="64"/>
      <c r="G29" s="64"/>
      <c r="H29" s="64">
        <v>305</v>
      </c>
      <c r="I29" s="64">
        <v>365</v>
      </c>
      <c r="J29" s="65">
        <v>320</v>
      </c>
      <c r="K29" s="66"/>
      <c r="L29" s="64">
        <f t="shared" si="3"/>
        <v>299.3</v>
      </c>
      <c r="M29" s="67">
        <f t="shared" si="4"/>
        <v>57.575776156296726</v>
      </c>
      <c r="N29" s="67">
        <f t="shared" si="5"/>
        <v>0.19236811278415211</v>
      </c>
      <c r="O29" s="67">
        <f t="shared" si="1"/>
        <v>207.2</v>
      </c>
      <c r="P29" s="67">
        <f t="shared" si="2"/>
        <v>207.2</v>
      </c>
      <c r="Q29" s="68"/>
      <c r="R29" s="17"/>
      <c r="S29" s="17"/>
      <c r="T29" s="17"/>
      <c r="U29" s="17"/>
      <c r="V29" s="17"/>
    </row>
    <row r="30" spans="1:23" ht="23.25" customHeight="1" outlineLevel="1" x14ac:dyDescent="0.25">
      <c r="A30" s="60">
        <f t="shared" si="6"/>
        <v>12</v>
      </c>
      <c r="B30" s="61" t="str">
        <f>[1]ТЗ!B30</f>
        <v>Наушники противошумные</v>
      </c>
      <c r="C30" s="60" t="str">
        <f>[1]ТЗ!C30</f>
        <v>штука</v>
      </c>
      <c r="D30" s="62">
        <f>[1]ТЗ!D30</f>
        <v>1</v>
      </c>
      <c r="E30" s="63">
        <v>483.6</v>
      </c>
      <c r="F30" s="64">
        <v>321</v>
      </c>
      <c r="G30" s="64"/>
      <c r="H30" s="64">
        <v>305</v>
      </c>
      <c r="I30" s="64">
        <v>417</v>
      </c>
      <c r="J30" s="65">
        <v>389</v>
      </c>
      <c r="K30" s="66">
        <v>444.53095999999994</v>
      </c>
      <c r="L30" s="64">
        <f t="shared" si="3"/>
        <v>393.36</v>
      </c>
      <c r="M30" s="67">
        <f t="shared" si="4"/>
        <v>63.748258808598038</v>
      </c>
      <c r="N30" s="67">
        <f t="shared" si="5"/>
        <v>0.16206085725187624</v>
      </c>
      <c r="O30" s="67">
        <f t="shared" si="1"/>
        <v>305</v>
      </c>
      <c r="P30" s="67">
        <f t="shared" si="2"/>
        <v>305</v>
      </c>
      <c r="Q30" s="68"/>
      <c r="R30" s="17"/>
      <c r="S30" s="17"/>
      <c r="T30" s="17"/>
      <c r="U30" s="17"/>
      <c r="V30" s="17"/>
    </row>
    <row r="31" spans="1:23" ht="78.75" outlineLevel="1" x14ac:dyDescent="0.25">
      <c r="A31" s="60">
        <f t="shared" si="6"/>
        <v>13</v>
      </c>
      <c r="B31" s="61" t="str">
        <f>[1]ТЗ!B31</f>
        <v>Страховочные системы (привязь и другие элементы систем обеспечения безопасности при работе на высоте).</v>
      </c>
      <c r="C31" s="60" t="str">
        <f>[1]ТЗ!C31</f>
        <v>штука</v>
      </c>
      <c r="D31" s="62">
        <f>[1]ТЗ!D31</f>
        <v>1</v>
      </c>
      <c r="E31" s="63">
        <v>4319</v>
      </c>
      <c r="F31" s="64">
        <v>6917</v>
      </c>
      <c r="G31" s="64"/>
      <c r="H31" s="64">
        <v>5612</v>
      </c>
      <c r="I31" s="64"/>
      <c r="J31" s="65">
        <v>6452</v>
      </c>
      <c r="K31" s="66">
        <v>4206.1019999999999</v>
      </c>
      <c r="L31" s="64">
        <f t="shared" si="3"/>
        <v>5501.22</v>
      </c>
      <c r="M31" s="67">
        <f t="shared" si="4"/>
        <v>1095.0490936504373</v>
      </c>
      <c r="N31" s="67">
        <f t="shared" si="5"/>
        <v>0.19905568103992155</v>
      </c>
      <c r="O31" s="67">
        <f t="shared" si="1"/>
        <v>4206.1019999999999</v>
      </c>
      <c r="P31" s="67">
        <f t="shared" si="2"/>
        <v>4206.1019999999999</v>
      </c>
      <c r="Q31" s="68"/>
      <c r="R31" s="17"/>
      <c r="S31" s="17"/>
      <c r="T31" s="17"/>
      <c r="U31" s="17"/>
      <c r="V31" s="17"/>
    </row>
    <row r="32" spans="1:23" ht="96.75" customHeight="1" outlineLevel="1" x14ac:dyDescent="0.25">
      <c r="A32" s="60">
        <f t="shared" si="6"/>
        <v>14</v>
      </c>
      <c r="B32" s="61" t="str">
        <f>[1]ТЗ!B32</f>
        <v>Строп ленточный с амортизатором может применяться как отдельная соединительная деталь, узел или компонент в системе с привязями и с анкерной точкой.</v>
      </c>
      <c r="C32" s="60" t="str">
        <f>[1]ТЗ!C32</f>
        <v>штука</v>
      </c>
      <c r="D32" s="62">
        <f>[1]ТЗ!D32</f>
        <v>1</v>
      </c>
      <c r="E32" s="63"/>
      <c r="F32" s="64">
        <v>3538</v>
      </c>
      <c r="G32" s="64">
        <v>4045</v>
      </c>
      <c r="H32" s="64"/>
      <c r="I32" s="64"/>
      <c r="J32" s="65">
        <v>5445</v>
      </c>
      <c r="K32" s="66">
        <v>6502.3267999999998</v>
      </c>
      <c r="L32" s="64">
        <f t="shared" si="3"/>
        <v>4882.58</v>
      </c>
      <c r="M32" s="67">
        <f t="shared" si="4"/>
        <v>1167.1901714479402</v>
      </c>
      <c r="N32" s="67">
        <f t="shared" si="5"/>
        <v>0.23905192980922796</v>
      </c>
      <c r="O32" s="67">
        <f t="shared" si="1"/>
        <v>3538</v>
      </c>
      <c r="P32" s="67">
        <f t="shared" si="2"/>
        <v>3538</v>
      </c>
      <c r="Q32" s="68"/>
      <c r="R32" s="17"/>
      <c r="S32" s="17"/>
      <c r="T32" s="17"/>
      <c r="U32" s="17"/>
      <c r="V32" s="17"/>
    </row>
    <row r="33" spans="1:22" ht="23.25" customHeight="1" outlineLevel="1" x14ac:dyDescent="0.25">
      <c r="A33" s="60">
        <f t="shared" si="6"/>
        <v>15</v>
      </c>
      <c r="B33" s="61" t="str">
        <f>[1]ТЗ!B33</f>
        <v>Веревка страховочная (100 м)</v>
      </c>
      <c r="C33" s="60" t="str">
        <f>[1]ТЗ!C33</f>
        <v>штука</v>
      </c>
      <c r="D33" s="62">
        <f>[1]ТЗ!D33</f>
        <v>1</v>
      </c>
      <c r="E33" s="63">
        <v>7080</v>
      </c>
      <c r="F33" s="64"/>
      <c r="G33" s="64">
        <v>9911</v>
      </c>
      <c r="H33" s="64">
        <v>12000</v>
      </c>
      <c r="I33" s="64">
        <v>10000</v>
      </c>
      <c r="J33" s="65"/>
      <c r="K33" s="66">
        <v>6819.9389999999994</v>
      </c>
      <c r="L33" s="64">
        <f t="shared" si="3"/>
        <v>9162.19</v>
      </c>
      <c r="M33" s="67">
        <f t="shared" si="4"/>
        <v>1956.3978404903651</v>
      </c>
      <c r="N33" s="67">
        <f t="shared" si="5"/>
        <v>0.21352949900519036</v>
      </c>
      <c r="O33" s="67">
        <f t="shared" si="1"/>
        <v>6819.9389999999994</v>
      </c>
      <c r="P33" s="67">
        <f t="shared" si="2"/>
        <v>6819.9389999999994</v>
      </c>
      <c r="Q33" s="68"/>
      <c r="R33" s="17"/>
      <c r="S33" s="17"/>
      <c r="T33" s="17"/>
      <c r="U33" s="17"/>
      <c r="V33" s="17"/>
    </row>
    <row r="34" spans="1:22" ht="47.25" outlineLevel="1" x14ac:dyDescent="0.25">
      <c r="A34" s="60">
        <f t="shared" si="6"/>
        <v>16</v>
      </c>
      <c r="B34" s="61" t="str">
        <f>[1]ТЗ!B34</f>
        <v>Антиэлектростатический браслет. Сопротивление не более 106 Ом</v>
      </c>
      <c r="C34" s="60" t="str">
        <f>[1]ТЗ!C34</f>
        <v>штука</v>
      </c>
      <c r="D34" s="62">
        <f>[1]ТЗ!D34</f>
        <v>1</v>
      </c>
      <c r="E34" s="63">
        <v>495</v>
      </c>
      <c r="F34" s="64"/>
      <c r="G34" s="64">
        <v>763</v>
      </c>
      <c r="H34" s="64">
        <v>1000</v>
      </c>
      <c r="I34" s="64"/>
      <c r="J34" s="65"/>
      <c r="K34" s="66">
        <v>472.95</v>
      </c>
      <c r="L34" s="64">
        <f t="shared" si="3"/>
        <v>682.74</v>
      </c>
      <c r="M34" s="67">
        <f t="shared" si="4"/>
        <v>215.84353527208091</v>
      </c>
      <c r="N34" s="67">
        <f t="shared" si="5"/>
        <v>0.31614309293740062</v>
      </c>
      <c r="O34" s="67">
        <f t="shared" si="1"/>
        <v>472.95</v>
      </c>
      <c r="P34" s="67">
        <f t="shared" si="2"/>
        <v>472.95</v>
      </c>
      <c r="Q34" s="68"/>
      <c r="R34" s="17"/>
      <c r="S34" s="17"/>
      <c r="T34" s="17"/>
      <c r="U34" s="17"/>
      <c r="V34" s="17"/>
    </row>
    <row r="35" spans="1:22" ht="23.25" customHeight="1" outlineLevel="1" x14ac:dyDescent="0.25">
      <c r="A35" s="60">
        <f t="shared" si="6"/>
        <v>17</v>
      </c>
      <c r="B35" s="61" t="str">
        <f>[1]ТЗ!B35</f>
        <v>Виброгасящие стельки</v>
      </c>
      <c r="C35" s="60" t="str">
        <f>[1]ТЗ!C35</f>
        <v>штука</v>
      </c>
      <c r="D35" s="62">
        <f>[1]ТЗ!D35</f>
        <v>1</v>
      </c>
      <c r="E35" s="63">
        <v>1320</v>
      </c>
      <c r="F35" s="64"/>
      <c r="G35" s="64">
        <v>1034</v>
      </c>
      <c r="H35" s="64">
        <v>800</v>
      </c>
      <c r="I35" s="64">
        <v>850</v>
      </c>
      <c r="J35" s="65"/>
      <c r="K35" s="66">
        <v>1261.1999999999998</v>
      </c>
      <c r="L35" s="64">
        <f t="shared" si="3"/>
        <v>1053.04</v>
      </c>
      <c r="M35" s="67">
        <f t="shared" si="4"/>
        <v>209.86435238029316</v>
      </c>
      <c r="N35" s="67">
        <f t="shared" si="5"/>
        <v>0.19929380876347827</v>
      </c>
      <c r="O35" s="67">
        <f t="shared" si="1"/>
        <v>800</v>
      </c>
      <c r="P35" s="67">
        <f t="shared" si="2"/>
        <v>800</v>
      </c>
      <c r="Q35" s="68"/>
      <c r="R35" s="17"/>
      <c r="S35" s="17"/>
      <c r="T35" s="17"/>
      <c r="U35" s="17"/>
      <c r="V35" s="17"/>
    </row>
    <row r="36" spans="1:22" ht="47.25" customHeight="1" outlineLevel="1" x14ac:dyDescent="0.25">
      <c r="A36" s="60">
        <f t="shared" si="6"/>
        <v>18</v>
      </c>
      <c r="B36" s="61" t="str">
        <f>[1]ТЗ!B36</f>
        <v>Фартук прорезиненный с нагрудником</v>
      </c>
      <c r="C36" s="60" t="str">
        <f>[1]ТЗ!C36</f>
        <v>штука</v>
      </c>
      <c r="D36" s="62">
        <f>[1]ТЗ!D36</f>
        <v>1</v>
      </c>
      <c r="E36" s="63">
        <v>554.4</v>
      </c>
      <c r="F36" s="64">
        <v>611</v>
      </c>
      <c r="G36" s="64"/>
      <c r="H36" s="64">
        <v>536.79999999999995</v>
      </c>
      <c r="I36" s="64">
        <v>680</v>
      </c>
      <c r="J36" s="65">
        <v>641</v>
      </c>
      <c r="K36" s="66">
        <v>882.83999999999992</v>
      </c>
      <c r="L36" s="64">
        <f t="shared" si="3"/>
        <v>651.01</v>
      </c>
      <c r="M36" s="67">
        <f t="shared" si="4"/>
        <v>114.50180881637715</v>
      </c>
      <c r="N36" s="67">
        <f t="shared" si="5"/>
        <v>0.17588333330728737</v>
      </c>
      <c r="O36" s="67">
        <f t="shared" si="1"/>
        <v>536.79999999999995</v>
      </c>
      <c r="P36" s="67">
        <f t="shared" si="2"/>
        <v>536.79999999999995</v>
      </c>
      <c r="Q36" s="68"/>
      <c r="R36" s="17"/>
      <c r="S36" s="17"/>
      <c r="T36" s="17"/>
      <c r="U36" s="17"/>
      <c r="V36" s="17"/>
    </row>
    <row r="37" spans="1:22" ht="23.25" customHeight="1" outlineLevel="1" x14ac:dyDescent="0.25">
      <c r="A37" s="60">
        <f t="shared" si="6"/>
        <v>19</v>
      </c>
      <c r="B37" s="61" t="str">
        <f>[1]ТЗ!B37</f>
        <v>Фартук х/б (диагональ)</v>
      </c>
      <c r="C37" s="60" t="str">
        <f>[1]ТЗ!C37</f>
        <v>штука</v>
      </c>
      <c r="D37" s="62">
        <f>[1]ТЗ!D37</f>
        <v>1</v>
      </c>
      <c r="E37" s="63">
        <v>245</v>
      </c>
      <c r="F37" s="64">
        <v>443</v>
      </c>
      <c r="G37" s="64">
        <v>433</v>
      </c>
      <c r="H37" s="64">
        <v>366</v>
      </c>
      <c r="I37" s="64">
        <v>500</v>
      </c>
      <c r="J37" s="65">
        <v>550</v>
      </c>
      <c r="K37" s="66">
        <v>197.69</v>
      </c>
      <c r="L37" s="64">
        <f t="shared" si="3"/>
        <v>390.67</v>
      </c>
      <c r="M37" s="67">
        <f t="shared" si="4"/>
        <v>120.08270590365143</v>
      </c>
      <c r="N37" s="67">
        <f t="shared" si="5"/>
        <v>0.3073763173615876</v>
      </c>
      <c r="O37" s="67">
        <f t="shared" si="1"/>
        <v>197.69</v>
      </c>
      <c r="P37" s="67">
        <f t="shared" si="2"/>
        <v>197.69</v>
      </c>
      <c r="Q37" s="68"/>
      <c r="R37" s="17"/>
      <c r="S37" s="17"/>
      <c r="T37" s="17"/>
      <c r="U37" s="17"/>
      <c r="V37" s="17"/>
    </row>
    <row r="38" spans="1:22" ht="36.75" customHeight="1" outlineLevel="1" x14ac:dyDescent="0.25">
      <c r="A38" s="60">
        <f t="shared" si="6"/>
        <v>20</v>
      </c>
      <c r="B38" s="61" t="str">
        <f>[1]ТЗ!B38</f>
        <v>Нарукавники прорезиненные</v>
      </c>
      <c r="C38" s="60" t="str">
        <f>[1]ТЗ!C38</f>
        <v>штука</v>
      </c>
      <c r="D38" s="62">
        <f>[1]ТЗ!D38</f>
        <v>1</v>
      </c>
      <c r="E38" s="63">
        <v>266</v>
      </c>
      <c r="F38" s="64"/>
      <c r="G38" s="64">
        <v>273</v>
      </c>
      <c r="H38" s="64">
        <v>225.7</v>
      </c>
      <c r="I38" s="64">
        <v>390</v>
      </c>
      <c r="J38" s="65"/>
      <c r="K38" s="66">
        <v>472.95</v>
      </c>
      <c r="L38" s="64">
        <f t="shared" si="3"/>
        <v>325.52999999999997</v>
      </c>
      <c r="M38" s="67">
        <f t="shared" si="4"/>
        <v>91.824057849781283</v>
      </c>
      <c r="N38" s="67">
        <f t="shared" si="5"/>
        <v>0.28207556246668908</v>
      </c>
      <c r="O38" s="67">
        <f t="shared" si="1"/>
        <v>225.7</v>
      </c>
      <c r="P38" s="67">
        <f t="shared" si="2"/>
        <v>225.7</v>
      </c>
      <c r="Q38" s="68"/>
      <c r="R38" s="17"/>
      <c r="S38" s="17"/>
      <c r="T38" s="17"/>
      <c r="U38" s="17"/>
      <c r="V38" s="17"/>
    </row>
    <row r="39" spans="1:22" ht="36.75" customHeight="1" outlineLevel="1" x14ac:dyDescent="0.25">
      <c r="A39" s="60">
        <f t="shared" si="6"/>
        <v>21</v>
      </c>
      <c r="B39" s="61" t="str">
        <f>[1]ТЗ!B39</f>
        <v>Нарукавники спилковые для сварщика</v>
      </c>
      <c r="C39" s="60" t="str">
        <f>[1]ТЗ!C39</f>
        <v>штука</v>
      </c>
      <c r="D39" s="62">
        <f>[1]ТЗ!D39</f>
        <v>1</v>
      </c>
      <c r="E39" s="63">
        <v>1330</v>
      </c>
      <c r="F39" s="64"/>
      <c r="G39" s="64">
        <v>1225</v>
      </c>
      <c r="H39" s="64">
        <v>1281</v>
      </c>
      <c r="I39" s="64">
        <v>1300</v>
      </c>
      <c r="J39" s="65">
        <v>550</v>
      </c>
      <c r="K39" s="66">
        <v>1196.1430999999998</v>
      </c>
      <c r="L39" s="64">
        <f t="shared" si="3"/>
        <v>1147.02</v>
      </c>
      <c r="M39" s="67">
        <f t="shared" si="4"/>
        <v>270.72804338938744</v>
      </c>
      <c r="N39" s="67">
        <f t="shared" si="5"/>
        <v>0.23602730849452272</v>
      </c>
      <c r="O39" s="67">
        <f t="shared" si="1"/>
        <v>550</v>
      </c>
      <c r="P39" s="67">
        <f t="shared" si="2"/>
        <v>550</v>
      </c>
      <c r="Q39" s="68"/>
      <c r="R39" s="17"/>
      <c r="S39" s="17"/>
      <c r="T39" s="17"/>
      <c r="U39" s="17"/>
      <c r="V39" s="17"/>
    </row>
    <row r="40" spans="1:22" ht="23.25" customHeight="1" outlineLevel="1" x14ac:dyDescent="0.25">
      <c r="A40" s="60">
        <f t="shared" si="6"/>
        <v>22</v>
      </c>
      <c r="B40" s="61" t="str">
        <f>[1]ТЗ!B40</f>
        <v>Нарукавники х/б</v>
      </c>
      <c r="C40" s="60" t="str">
        <f>[1]ТЗ!C40</f>
        <v>штука</v>
      </c>
      <c r="D40" s="62">
        <f>[1]ТЗ!D40</f>
        <v>1</v>
      </c>
      <c r="E40" s="63">
        <v>190</v>
      </c>
      <c r="F40" s="64">
        <v>248</v>
      </c>
      <c r="G40" s="64"/>
      <c r="H40" s="64">
        <v>147.62</v>
      </c>
      <c r="I40" s="64">
        <v>290</v>
      </c>
      <c r="J40" s="65">
        <v>270</v>
      </c>
      <c r="K40" s="66">
        <v>197.58799999999999</v>
      </c>
      <c r="L40" s="64">
        <f t="shared" si="3"/>
        <v>223.87</v>
      </c>
      <c r="M40" s="67">
        <f t="shared" si="4"/>
        <v>49.557027083284076</v>
      </c>
      <c r="N40" s="67">
        <f t="shared" si="5"/>
        <v>0.22136519892475132</v>
      </c>
      <c r="O40" s="67">
        <f t="shared" si="1"/>
        <v>147.62</v>
      </c>
      <c r="P40" s="67">
        <f t="shared" si="2"/>
        <v>147.62</v>
      </c>
      <c r="Q40" s="68"/>
      <c r="R40" s="17"/>
      <c r="S40" s="17"/>
      <c r="T40" s="17"/>
      <c r="U40" s="17"/>
      <c r="V40" s="17"/>
    </row>
    <row r="41" spans="1:22" ht="23.25" customHeight="1" outlineLevel="1" x14ac:dyDescent="0.25">
      <c r="A41" s="60">
        <f t="shared" si="6"/>
        <v>23</v>
      </c>
      <c r="B41" s="61" t="str">
        <f>[1]ТЗ!B41</f>
        <v>Жилет сигнальный 2 класса</v>
      </c>
      <c r="C41" s="60" t="str">
        <f>[1]ТЗ!C41</f>
        <v>штука</v>
      </c>
      <c r="D41" s="62">
        <f>[1]ТЗ!D41</f>
        <v>1</v>
      </c>
      <c r="E41" s="63">
        <v>259.60000000000002</v>
      </c>
      <c r="F41" s="64">
        <v>436</v>
      </c>
      <c r="G41" s="64">
        <v>442</v>
      </c>
      <c r="H41" s="64">
        <v>390.4</v>
      </c>
      <c r="I41" s="64">
        <v>300</v>
      </c>
      <c r="J41" s="65">
        <v>419</v>
      </c>
      <c r="K41" s="66">
        <v>271.05289999999997</v>
      </c>
      <c r="L41" s="64">
        <f t="shared" si="3"/>
        <v>359.72</v>
      </c>
      <c r="M41" s="67">
        <f t="shared" si="4"/>
        <v>74.158483763430752</v>
      </c>
      <c r="N41" s="67">
        <f t="shared" si="5"/>
        <v>0.20615613188988866</v>
      </c>
      <c r="O41" s="67">
        <f t="shared" si="1"/>
        <v>259.60000000000002</v>
      </c>
      <c r="P41" s="67">
        <f t="shared" si="2"/>
        <v>259.60000000000002</v>
      </c>
      <c r="Q41" s="68"/>
      <c r="R41" s="17"/>
      <c r="S41" s="17"/>
      <c r="T41" s="17"/>
      <c r="U41" s="17"/>
      <c r="V41" s="17"/>
    </row>
    <row r="42" spans="1:22" ht="23.25" customHeight="1" outlineLevel="1" thickBot="1" x14ac:dyDescent="0.3">
      <c r="A42" s="60">
        <f t="shared" si="6"/>
        <v>24</v>
      </c>
      <c r="B42" s="61" t="str">
        <f>[1]ТЗ!B42</f>
        <v>Плащ для защиты от воды</v>
      </c>
      <c r="C42" s="60" t="str">
        <f>[1]ТЗ!C42</f>
        <v>штука</v>
      </c>
      <c r="D42" s="62">
        <f>[1]ТЗ!D42</f>
        <v>1</v>
      </c>
      <c r="E42" s="71"/>
      <c r="F42" s="72">
        <v>1517</v>
      </c>
      <c r="G42" s="72">
        <v>1355</v>
      </c>
      <c r="H42" s="72">
        <v>1378.6</v>
      </c>
      <c r="I42" s="72">
        <v>980</v>
      </c>
      <c r="J42" s="73">
        <v>1060</v>
      </c>
      <c r="K42" s="66"/>
      <c r="L42" s="64">
        <f t="shared" si="3"/>
        <v>1258.1199999999999</v>
      </c>
      <c r="M42" s="67">
        <f t="shared" si="4"/>
        <v>203.72642832975697</v>
      </c>
      <c r="N42" s="67">
        <f t="shared" si="5"/>
        <v>0.16192925025415461</v>
      </c>
      <c r="O42" s="67">
        <f t="shared" si="1"/>
        <v>980</v>
      </c>
      <c r="P42" s="67">
        <f t="shared" si="2"/>
        <v>980</v>
      </c>
      <c r="R42" s="17"/>
      <c r="S42" s="17"/>
      <c r="T42" s="17"/>
      <c r="U42" s="17"/>
      <c r="V42" s="17"/>
    </row>
    <row r="43" spans="1:22" ht="48" customHeight="1" thickBot="1" x14ac:dyDescent="0.3">
      <c r="A43" s="74"/>
      <c r="B43" s="75" t="s">
        <v>48</v>
      </c>
      <c r="C43" s="60" t="s">
        <v>49</v>
      </c>
      <c r="D43" s="76" t="s">
        <v>49</v>
      </c>
      <c r="E43" s="77">
        <f>IFERROR(SUMPRODUCT($D$19:$D$42,E19:E42),"Х")</f>
        <v>33127.159999999996</v>
      </c>
      <c r="F43" s="78">
        <f t="shared" ref="F43:J43" si="7">IFERROR(SUMPRODUCT($D$19:$D$42,F19:F42),"Х")</f>
        <v>29570</v>
      </c>
      <c r="G43" s="78">
        <f t="shared" si="7"/>
        <v>30938</v>
      </c>
      <c r="H43" s="78">
        <f t="shared" si="7"/>
        <v>41666.35</v>
      </c>
      <c r="I43" s="78">
        <f t="shared" si="7"/>
        <v>35667</v>
      </c>
      <c r="J43" s="79">
        <f t="shared" si="7"/>
        <v>21429</v>
      </c>
      <c r="K43" s="66">
        <f>IFERROR(SUMPRODUCT($D$19:$D$42,K19:K42),"Х")</f>
        <v>38640.642499999994</v>
      </c>
      <c r="L43" s="80">
        <f t="shared" ref="L43" si="8">IFERROR(ROUND(AVERAGEIF(E43:J43,"&gt;0"),2),"")</f>
        <v>32066.25</v>
      </c>
      <c r="M43" s="67">
        <f>_xlfn.STDEV.P($E43:$J43)</f>
        <v>6149.6361720035029</v>
      </c>
      <c r="N43" s="60" t="s">
        <v>50</v>
      </c>
      <c r="O43" s="60" t="s">
        <v>50</v>
      </c>
      <c r="P43" s="81">
        <f>SUM(P19:P42)</f>
        <v>33602.788999999997</v>
      </c>
      <c r="Q43" s="82" t="s">
        <v>51</v>
      </c>
      <c r="R43" s="17"/>
      <c r="S43" s="17"/>
      <c r="T43" s="17"/>
      <c r="U43" s="17"/>
      <c r="V43" s="17"/>
    </row>
    <row r="44" spans="1:22" ht="25.5" customHeight="1" x14ac:dyDescent="0.25">
      <c r="A44" s="74"/>
      <c r="B44" s="75" t="s">
        <v>52</v>
      </c>
      <c r="C44" s="83"/>
      <c r="D44" s="83"/>
      <c r="E44" s="84"/>
      <c r="F44" s="84"/>
      <c r="G44" s="84"/>
      <c r="H44" s="84"/>
      <c r="I44" s="84"/>
      <c r="J44" s="84"/>
      <c r="K44" s="83"/>
      <c r="L44" s="83"/>
      <c r="M44" s="85"/>
      <c r="N44" s="86"/>
      <c r="O44" s="86"/>
      <c r="P44" s="85"/>
      <c r="R44" s="17"/>
      <c r="S44" s="17"/>
      <c r="U44" s="17"/>
      <c r="V44" s="17"/>
    </row>
    <row r="45" spans="1:22" x14ac:dyDescent="0.25">
      <c r="A45" s="87"/>
      <c r="B45" s="87"/>
      <c r="C45" s="87"/>
      <c r="D45" s="87"/>
      <c r="E45" s="87"/>
      <c r="F45" s="87"/>
      <c r="G45" s="87"/>
      <c r="H45" s="87"/>
      <c r="I45" s="87"/>
      <c r="J45" s="87"/>
      <c r="K45" s="87"/>
      <c r="L45" s="87"/>
      <c r="M45" s="87"/>
      <c r="N45" s="87"/>
      <c r="O45" s="87"/>
      <c r="P45" s="87"/>
      <c r="R45" s="17"/>
      <c r="S45" s="17"/>
      <c r="T45" s="17"/>
      <c r="U45" s="17"/>
      <c r="V45" s="17"/>
    </row>
    <row r="46" spans="1:22" ht="65.25" customHeight="1" x14ac:dyDescent="0.25">
      <c r="A46" s="48"/>
      <c r="B46" s="88" t="s">
        <v>53</v>
      </c>
      <c r="C46" s="88"/>
      <c r="D46" s="88"/>
      <c r="E46" s="88"/>
      <c r="F46" s="88"/>
      <c r="G46" s="88"/>
      <c r="H46" s="88"/>
      <c r="I46" s="88"/>
      <c r="J46" s="88"/>
      <c r="K46" s="88"/>
      <c r="L46" s="88"/>
      <c r="M46" s="88"/>
      <c r="N46" s="88"/>
      <c r="O46" s="88"/>
      <c r="P46" s="88"/>
      <c r="R46" s="17"/>
    </row>
    <row r="47" spans="1:22" ht="18.75" x14ac:dyDescent="0.3">
      <c r="B47" s="89" t="str">
        <f>[1]ЗАКУПКА!C4</f>
        <v>Ведущий инженер</v>
      </c>
      <c r="C47" s="3"/>
      <c r="D47" s="3"/>
      <c r="E47" s="3"/>
      <c r="F47" s="3"/>
      <c r="G47" s="3"/>
      <c r="H47" s="3"/>
      <c r="I47" s="3"/>
      <c r="J47" s="3"/>
      <c r="K47" s="90"/>
      <c r="L47" s="90"/>
      <c r="M47" s="91"/>
      <c r="N47" s="92" t="str">
        <f>[1]ЗАКУПКА!D4</f>
        <v>Трубникова Е.В.</v>
      </c>
      <c r="O47" s="35"/>
    </row>
    <row r="48" spans="1:22" ht="52.5" customHeight="1" x14ac:dyDescent="0.3">
      <c r="B48" s="3"/>
      <c r="C48" s="3"/>
      <c r="D48" s="3"/>
      <c r="E48" s="3"/>
      <c r="F48" s="3"/>
      <c r="G48" s="3"/>
      <c r="H48" s="3"/>
      <c r="I48" s="3"/>
      <c r="J48" s="3"/>
      <c r="K48" s="3"/>
      <c r="L48" s="3"/>
      <c r="M48" s="3"/>
      <c r="N48" s="3"/>
    </row>
    <row r="49" spans="1:16" ht="52.5" customHeight="1" x14ac:dyDescent="0.3">
      <c r="B49" s="3"/>
      <c r="C49" s="3"/>
      <c r="D49" s="3"/>
      <c r="E49" s="3"/>
      <c r="F49" s="3"/>
      <c r="G49" s="3"/>
      <c r="H49" s="3"/>
      <c r="I49" s="3"/>
      <c r="J49" s="3"/>
      <c r="K49" s="3"/>
      <c r="L49" s="3"/>
      <c r="M49" s="3"/>
      <c r="N49" s="3"/>
    </row>
    <row r="50" spans="1:16" ht="18.75" x14ac:dyDescent="0.3">
      <c r="B50" s="93" t="str">
        <f>[1]ЗАКУПКА!C77</f>
        <v>Ведущий инженер Воропаев Р.В.</v>
      </c>
      <c r="C50" s="3"/>
      <c r="D50" s="3"/>
      <c r="E50" s="3"/>
      <c r="F50" s="3"/>
      <c r="G50" s="3"/>
      <c r="H50" s="3"/>
      <c r="I50" s="3"/>
      <c r="J50" s="3"/>
      <c r="K50" s="3"/>
      <c r="L50" s="3"/>
      <c r="M50" s="3"/>
      <c r="N50" s="3"/>
    </row>
    <row r="51" spans="1:16" ht="18.75" x14ac:dyDescent="0.3">
      <c r="B51" s="94" t="str">
        <f>[1]ЗАКУПКА!C78</f>
        <v>60-25</v>
      </c>
      <c r="C51" s="3"/>
      <c r="D51" s="3"/>
      <c r="E51" s="3"/>
      <c r="F51" s="3"/>
      <c r="G51" s="3"/>
      <c r="H51" s="3"/>
      <c r="I51" s="3"/>
      <c r="J51" s="3"/>
      <c r="K51" s="3"/>
      <c r="L51" s="3"/>
      <c r="M51" s="3"/>
      <c r="N51" s="3"/>
    </row>
    <row r="52" spans="1:16" ht="18.75" x14ac:dyDescent="0.3">
      <c r="B52" s="95" t="s">
        <v>54</v>
      </c>
      <c r="C52" s="96">
        <f ca="1">[1]ЗАКУПКА!B1</f>
        <v>46254</v>
      </c>
      <c r="D52" s="96"/>
      <c r="E52" s="3"/>
      <c r="F52" s="3"/>
      <c r="G52" s="3"/>
      <c r="H52" s="3"/>
      <c r="I52" s="3"/>
      <c r="J52" s="3"/>
      <c r="K52" s="3"/>
      <c r="L52" s="3"/>
      <c r="M52" s="3"/>
      <c r="N52" s="3"/>
    </row>
    <row r="53" spans="1:16" ht="18.75" x14ac:dyDescent="0.3">
      <c r="B53" s="3"/>
      <c r="C53" s="3"/>
      <c r="D53" s="3"/>
      <c r="E53" s="3"/>
      <c r="F53" s="3"/>
      <c r="G53" s="3"/>
      <c r="H53" s="3"/>
      <c r="I53" s="3"/>
      <c r="J53" s="3"/>
      <c r="K53" s="3"/>
      <c r="L53" s="3"/>
      <c r="M53" s="3"/>
      <c r="N53" s="3"/>
    </row>
    <row r="54" spans="1:16" ht="15.75" customHeight="1" x14ac:dyDescent="0.25"/>
    <row r="56" spans="1:16" outlineLevel="1" x14ac:dyDescent="0.25">
      <c r="A56" s="97" t="s">
        <v>55</v>
      </c>
    </row>
    <row r="57" spans="1:16" ht="170.25" customHeight="1" outlineLevel="1" x14ac:dyDescent="0.25">
      <c r="A57" s="98" t="s">
        <v>56</v>
      </c>
      <c r="B57" s="98"/>
      <c r="C57" s="98"/>
      <c r="D57" s="98"/>
      <c r="E57" s="98"/>
      <c r="F57" s="98"/>
      <c r="G57" s="98"/>
      <c r="H57" s="98"/>
      <c r="I57" s="98"/>
      <c r="J57" s="98"/>
      <c r="K57" s="98"/>
      <c r="L57" s="98"/>
      <c r="M57" s="98"/>
      <c r="N57" s="98"/>
      <c r="O57" s="98"/>
      <c r="P57" s="98"/>
    </row>
    <row r="60" spans="1:16" x14ac:dyDescent="0.25">
      <c r="P60" s="99"/>
    </row>
  </sheetData>
  <mergeCells count="33">
    <mergeCell ref="C52:D52"/>
    <mergeCell ref="A57:P57"/>
    <mergeCell ref="L16:L17"/>
    <mergeCell ref="M16:M17"/>
    <mergeCell ref="N16:N17"/>
    <mergeCell ref="O16:O17"/>
    <mergeCell ref="P16:P17"/>
    <mergeCell ref="B46:P46"/>
    <mergeCell ref="A11:E11"/>
    <mergeCell ref="F11:P11"/>
    <mergeCell ref="A12:E12"/>
    <mergeCell ref="F12:P12"/>
    <mergeCell ref="A14:P14"/>
    <mergeCell ref="A16:A17"/>
    <mergeCell ref="B16:B17"/>
    <mergeCell ref="C16:C17"/>
    <mergeCell ref="D16:D17"/>
    <mergeCell ref="E16:K16"/>
    <mergeCell ref="A8:E8"/>
    <mergeCell ref="F8:P8"/>
    <mergeCell ref="A9:E9"/>
    <mergeCell ref="F9:P9"/>
    <mergeCell ref="Q9:T9"/>
    <mergeCell ref="A10:E10"/>
    <mergeCell ref="F10:P10"/>
    <mergeCell ref="Q10:T10"/>
    <mergeCell ref="A1:P1"/>
    <mergeCell ref="A3:P3"/>
    <mergeCell ref="A4:P4"/>
    <mergeCell ref="A6:E6"/>
    <mergeCell ref="F6:P6"/>
    <mergeCell ref="A7:E7"/>
    <mergeCell ref="F7:P7"/>
  </mergeCells>
  <pageMargins left="0.59" right="0.24" top="0.6" bottom="0.75" header="0.51180555555555496" footer="0.51180555555555496"/>
  <pageSetup paperSize="9" scale="43" firstPageNumber="0" fitToHeight="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2026-08-20T10:06:04Z</dcterms:created>
  <dcterms:modified xsi:type="dcterms:W3CDTF">2026-08-20T10:06:30Z</dcterms:modified>
</cp:coreProperties>
</file>