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акупке\+++ЗАКУПКИ 2026\44 фз\ед.поставщик\23. КОЗЫРЁК\Контракт\"/>
    </mc:Choice>
  </mc:AlternateContent>
  <xr:revisionPtr revIDLastSave="0" documentId="13_ncr:1_{DD99AB9E-D021-4954-975E-60859BD7438C}" xr6:coauthVersionLast="47" xr6:coauthVersionMax="47" xr10:uidLastSave="{00000000-0000-0000-0000-000000000000}"/>
  <bookViews>
    <workbookView xWindow="7230" yWindow="2760" windowWidth="29715" windowHeight="17535" firstSheet="1" activeTab="1" xr2:uid="{00000000-000D-0000-FFFF-FFFF00000000}"/>
  </bookViews>
  <sheets>
    <sheet name="Конъюнктурный анализ" sheetId="7" state="hidden" r:id="rId1"/>
    <sheet name="Смета по ФСНБ 421+557прРИМ" sheetId="8" r:id="rId2"/>
    <sheet name="Ведомость объемов работ" sheetId="9" r:id="rId3"/>
    <sheet name="Акт КС-2 по ФСНБ 421+557пр" sheetId="10" r:id="rId4"/>
    <sheet name="Конъюнктурный анализ_1" sheetId="11" r:id="rId5"/>
    <sheet name="Source" sheetId="1" state="hidden" r:id="rId6"/>
    <sheet name="SourceObSm" sheetId="2" state="hidden" r:id="rId7"/>
    <sheet name="SmtRes" sheetId="3" state="hidden" r:id="rId8"/>
    <sheet name="EtalonRes" sheetId="4" state="hidden" r:id="rId9"/>
    <sheet name="SrcPoprs" sheetId="5" state="hidden" r:id="rId10"/>
    <sheet name="SrcKA" sheetId="6" state="hidden" r:id="rId11"/>
  </sheets>
  <definedNames>
    <definedName name="_xlnm.Print_Titles" localSheetId="3">'Акт КС-2 по ФСНБ 421+557пр'!$37:$37</definedName>
    <definedName name="_xlnm.Print_Titles" localSheetId="2">'Ведомость объемов работ'!$17:$17</definedName>
    <definedName name="_xlnm.Print_Titles" localSheetId="0">'Конъюнктурный анализ'!$19:$19</definedName>
    <definedName name="_xlnm.Print_Titles" localSheetId="4">'Конъюнктурный анализ_1'!$19:$19</definedName>
    <definedName name="_xlnm.Print_Titles" localSheetId="1">'Смета по ФСНБ 421+557прРИМ'!$59:$59</definedName>
    <definedName name="_xlnm.Print_Area" localSheetId="3">'Акт КС-2 по ФСНБ 421+557пр'!$A$1:$M$346</definedName>
    <definedName name="_xlnm.Print_Area" localSheetId="2">'Ведомость объемов работ'!$A$1:$H$41</definedName>
    <definedName name="_xlnm.Print_Area" localSheetId="0">'Конъюнктурный анализ'!$A$1:$AB$40</definedName>
    <definedName name="_xlnm.Print_Area" localSheetId="4">'Конъюнктурный анализ_1'!$A$1:$AB$40</definedName>
    <definedName name="_xlnm.Print_Area" localSheetId="1">'Смета по ФСНБ 421+557прРИМ'!$A$1:$L$368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" i="11" l="1"/>
  <c r="AA29" i="11"/>
  <c r="Y29" i="11"/>
  <c r="X29" i="11"/>
  <c r="W29" i="11"/>
  <c r="V29" i="11"/>
  <c r="U29" i="11"/>
  <c r="T29" i="11"/>
  <c r="Q29" i="11"/>
  <c r="I29" i="11"/>
  <c r="H29" i="11"/>
  <c r="Z29" i="11"/>
  <c r="P29" i="11"/>
  <c r="M29" i="11"/>
  <c r="L29" i="11"/>
  <c r="K29" i="11"/>
  <c r="J29" i="11"/>
  <c r="G29" i="11"/>
  <c r="F29" i="11"/>
  <c r="E29" i="11"/>
  <c r="D29" i="11"/>
  <c r="C29" i="11"/>
  <c r="B29" i="11"/>
  <c r="AB28" i="11"/>
  <c r="AA28" i="11"/>
  <c r="Y28" i="11"/>
  <c r="X28" i="11"/>
  <c r="W28" i="11"/>
  <c r="V28" i="11"/>
  <c r="U28" i="11"/>
  <c r="T28" i="11"/>
  <c r="Q28" i="11"/>
  <c r="I28" i="11"/>
  <c r="H28" i="11"/>
  <c r="Z28" i="11"/>
  <c r="P28" i="11"/>
  <c r="M28" i="11"/>
  <c r="L28" i="11"/>
  <c r="K28" i="11"/>
  <c r="J28" i="11"/>
  <c r="G28" i="11"/>
  <c r="F28" i="11"/>
  <c r="E28" i="11"/>
  <c r="D28" i="11"/>
  <c r="C28" i="11"/>
  <c r="B28" i="11"/>
  <c r="AB27" i="11"/>
  <c r="AA27" i="11"/>
  <c r="Y27" i="11"/>
  <c r="X27" i="11"/>
  <c r="W27" i="11"/>
  <c r="V27" i="11"/>
  <c r="U27" i="11"/>
  <c r="T27" i="11"/>
  <c r="Q27" i="11"/>
  <c r="I27" i="11"/>
  <c r="H27" i="11"/>
  <c r="Z27" i="11"/>
  <c r="P27" i="11"/>
  <c r="M27" i="11"/>
  <c r="L27" i="11"/>
  <c r="K27" i="11"/>
  <c r="J27" i="11"/>
  <c r="G27" i="11"/>
  <c r="F27" i="11"/>
  <c r="E27" i="11"/>
  <c r="D27" i="11"/>
  <c r="C27" i="11"/>
  <c r="B27" i="11"/>
  <c r="AB26" i="11"/>
  <c r="AA26" i="11"/>
  <c r="Y26" i="11"/>
  <c r="X26" i="11"/>
  <c r="W26" i="11"/>
  <c r="V26" i="11"/>
  <c r="U26" i="11"/>
  <c r="T26" i="11"/>
  <c r="Q26" i="11"/>
  <c r="I26" i="11"/>
  <c r="H26" i="11"/>
  <c r="Z26" i="11"/>
  <c r="P26" i="11"/>
  <c r="M26" i="11"/>
  <c r="L26" i="11"/>
  <c r="K26" i="11"/>
  <c r="J26" i="11"/>
  <c r="G26" i="11"/>
  <c r="F26" i="11"/>
  <c r="E26" i="11"/>
  <c r="D26" i="11"/>
  <c r="C26" i="11"/>
  <c r="B26" i="11"/>
  <c r="AB25" i="11"/>
  <c r="AA25" i="11"/>
  <c r="Y25" i="11"/>
  <c r="X25" i="11"/>
  <c r="W25" i="11"/>
  <c r="V25" i="11"/>
  <c r="U25" i="11"/>
  <c r="T25" i="11"/>
  <c r="Q25" i="11"/>
  <c r="I25" i="11"/>
  <c r="H25" i="11"/>
  <c r="Z25" i="11"/>
  <c r="P25" i="11"/>
  <c r="M25" i="11"/>
  <c r="L25" i="11"/>
  <c r="K25" i="11"/>
  <c r="J25" i="11"/>
  <c r="G25" i="11"/>
  <c r="F25" i="11"/>
  <c r="E25" i="11"/>
  <c r="D25" i="11"/>
  <c r="C25" i="11"/>
  <c r="B25" i="11"/>
  <c r="AB24" i="11"/>
  <c r="AA24" i="11"/>
  <c r="Y24" i="11"/>
  <c r="X24" i="11"/>
  <c r="W24" i="11"/>
  <c r="V24" i="11"/>
  <c r="U24" i="11"/>
  <c r="T24" i="11"/>
  <c r="Q24" i="11"/>
  <c r="I24" i="11"/>
  <c r="H24" i="11"/>
  <c r="Z24" i="11"/>
  <c r="P24" i="11"/>
  <c r="M24" i="11"/>
  <c r="L24" i="11"/>
  <c r="K24" i="11"/>
  <c r="J24" i="11"/>
  <c r="G24" i="11"/>
  <c r="F24" i="11"/>
  <c r="E24" i="11"/>
  <c r="D24" i="11"/>
  <c r="C24" i="11"/>
  <c r="B24" i="11"/>
  <c r="AB23" i="11"/>
  <c r="AA23" i="11"/>
  <c r="Y23" i="11"/>
  <c r="X23" i="11"/>
  <c r="W23" i="11"/>
  <c r="V23" i="11"/>
  <c r="U23" i="11"/>
  <c r="T23" i="11"/>
  <c r="Q23" i="11"/>
  <c r="I23" i="11"/>
  <c r="H23" i="11"/>
  <c r="Z23" i="11"/>
  <c r="P23" i="11"/>
  <c r="M23" i="11"/>
  <c r="L23" i="11"/>
  <c r="K23" i="11"/>
  <c r="J23" i="11"/>
  <c r="G23" i="11"/>
  <c r="F23" i="11"/>
  <c r="E23" i="11"/>
  <c r="D23" i="11"/>
  <c r="C23" i="11"/>
  <c r="B23" i="11"/>
  <c r="AB22" i="11"/>
  <c r="AA22" i="11"/>
  <c r="Y22" i="11"/>
  <c r="X22" i="11"/>
  <c r="W22" i="11"/>
  <c r="V22" i="11"/>
  <c r="U22" i="11"/>
  <c r="T22" i="11"/>
  <c r="Q22" i="11"/>
  <c r="I22" i="11"/>
  <c r="H22" i="11"/>
  <c r="Z22" i="11"/>
  <c r="P22" i="11"/>
  <c r="M22" i="11"/>
  <c r="L22" i="11"/>
  <c r="K22" i="11"/>
  <c r="J22" i="11"/>
  <c r="G22" i="11"/>
  <c r="F22" i="11"/>
  <c r="E22" i="11"/>
  <c r="D22" i="11"/>
  <c r="C22" i="11"/>
  <c r="B22" i="11"/>
  <c r="AB21" i="11"/>
  <c r="AA21" i="11"/>
  <c r="Y21" i="11"/>
  <c r="X21" i="11"/>
  <c r="W21" i="11"/>
  <c r="V21" i="11"/>
  <c r="U21" i="11"/>
  <c r="T21" i="11"/>
  <c r="Q21" i="11"/>
  <c r="I21" i="11"/>
  <c r="H21" i="11"/>
  <c r="Z21" i="11"/>
  <c r="P21" i="11"/>
  <c r="M21" i="11"/>
  <c r="L21" i="11"/>
  <c r="K21" i="11"/>
  <c r="J21" i="11"/>
  <c r="G21" i="11"/>
  <c r="F21" i="11"/>
  <c r="E21" i="11"/>
  <c r="D21" i="11"/>
  <c r="C21" i="11"/>
  <c r="B21" i="11"/>
  <c r="A20" i="11"/>
  <c r="I343" i="10"/>
  <c r="I340" i="10"/>
  <c r="D343" i="10"/>
  <c r="D340" i="10"/>
  <c r="D337" i="10"/>
  <c r="M335" i="10"/>
  <c r="D335" i="10"/>
  <c r="M331" i="10"/>
  <c r="M327" i="10"/>
  <c r="M326" i="10"/>
  <c r="M320" i="10"/>
  <c r="M319" i="10"/>
  <c r="M315" i="10"/>
  <c r="M303" i="10"/>
  <c r="M302" i="10"/>
  <c r="M301" i="10"/>
  <c r="M300" i="10"/>
  <c r="M299" i="10"/>
  <c r="M298" i="10"/>
  <c r="M296" i="10" s="1"/>
  <c r="M295" i="10"/>
  <c r="M294" i="10"/>
  <c r="M292" i="10"/>
  <c r="M289" i="10"/>
  <c r="M284" i="10"/>
  <c r="M283" i="10"/>
  <c r="M282" i="10"/>
  <c r="M277" i="10"/>
  <c r="M276" i="10"/>
  <c r="M274" i="10" s="1"/>
  <c r="M272" i="10"/>
  <c r="M271" i="10"/>
  <c r="M270" i="10"/>
  <c r="M269" i="10"/>
  <c r="M268" i="10"/>
  <c r="M267" i="10"/>
  <c r="M264" i="10"/>
  <c r="M263" i="10"/>
  <c r="M261" i="10"/>
  <c r="M258" i="10"/>
  <c r="M249" i="10"/>
  <c r="M248" i="10"/>
  <c r="M244" i="10"/>
  <c r="M227" i="10"/>
  <c r="M223" i="10"/>
  <c r="M222" i="10"/>
  <c r="M220" i="10"/>
  <c r="M219" i="10"/>
  <c r="M213" i="10"/>
  <c r="M212" i="10"/>
  <c r="M208" i="10"/>
  <c r="AW198" i="10"/>
  <c r="AT198" i="10"/>
  <c r="AR198" i="10"/>
  <c r="AE198" i="10"/>
  <c r="AD198" i="10"/>
  <c r="K194" i="10"/>
  <c r="L194" i="10"/>
  <c r="F194" i="10"/>
  <c r="H194" i="10"/>
  <c r="E194" i="10"/>
  <c r="D194" i="10"/>
  <c r="C194" i="10"/>
  <c r="AT193" i="10"/>
  <c r="AR193" i="10"/>
  <c r="AO193" i="10"/>
  <c r="J191" i="10"/>
  <c r="I191" i="10"/>
  <c r="K191" i="10" s="1"/>
  <c r="E191" i="10"/>
  <c r="D191" i="10"/>
  <c r="C191" i="10"/>
  <c r="AT190" i="10"/>
  <c r="AO190" i="10"/>
  <c r="H189" i="10"/>
  <c r="F189" i="10"/>
  <c r="H188" i="10"/>
  <c r="F188" i="10"/>
  <c r="F185" i="10"/>
  <c r="E185" i="10"/>
  <c r="D185" i="10"/>
  <c r="C185" i="10"/>
  <c r="G182" i="10"/>
  <c r="E176" i="10"/>
  <c r="D176" i="10"/>
  <c r="AT175" i="10"/>
  <c r="AR175" i="10"/>
  <c r="AO175" i="10"/>
  <c r="AE175" i="10"/>
  <c r="AD175" i="10"/>
  <c r="K174" i="10"/>
  <c r="F174" i="10"/>
  <c r="H174" i="10"/>
  <c r="E174" i="10"/>
  <c r="D174" i="10"/>
  <c r="C174" i="10"/>
  <c r="AW173" i="10"/>
  <c r="AT173" i="10"/>
  <c r="AO173" i="10"/>
  <c r="H172" i="10"/>
  <c r="F172" i="10"/>
  <c r="H171" i="10"/>
  <c r="F171" i="10"/>
  <c r="F168" i="10"/>
  <c r="E168" i="10"/>
  <c r="D168" i="10"/>
  <c r="C168" i="10"/>
  <c r="G167" i="10"/>
  <c r="E160" i="10"/>
  <c r="D160" i="10"/>
  <c r="H158" i="10"/>
  <c r="F158" i="10"/>
  <c r="H157" i="10"/>
  <c r="F157" i="10"/>
  <c r="J153" i="10"/>
  <c r="J152" i="10"/>
  <c r="K150" i="10"/>
  <c r="G150" i="10"/>
  <c r="F150" i="10"/>
  <c r="G149" i="10"/>
  <c r="K148" i="10"/>
  <c r="G148" i="10"/>
  <c r="F148" i="10"/>
  <c r="G147" i="10"/>
  <c r="G144" i="10"/>
  <c r="E137" i="10"/>
  <c r="D137" i="10"/>
  <c r="AT136" i="10"/>
  <c r="AR136" i="10"/>
  <c r="AO136" i="10"/>
  <c r="AE136" i="10"/>
  <c r="AD136" i="10"/>
  <c r="K135" i="10"/>
  <c r="F135" i="10"/>
  <c r="H135" i="10"/>
  <c r="E135" i="10"/>
  <c r="D135" i="10"/>
  <c r="C135" i="10"/>
  <c r="AW134" i="10"/>
  <c r="AT134" i="10"/>
  <c r="AO134" i="10"/>
  <c r="H133" i="10"/>
  <c r="F133" i="10"/>
  <c r="H132" i="10"/>
  <c r="F132" i="10"/>
  <c r="F129" i="10"/>
  <c r="E129" i="10"/>
  <c r="D129" i="10"/>
  <c r="C129" i="10"/>
  <c r="G128" i="10"/>
  <c r="E121" i="10"/>
  <c r="D121" i="10"/>
  <c r="AT120" i="10"/>
  <c r="AO120" i="10"/>
  <c r="H119" i="10"/>
  <c r="F119" i="10"/>
  <c r="H118" i="10"/>
  <c r="F118" i="10"/>
  <c r="J115" i="10"/>
  <c r="J114" i="10"/>
  <c r="J113" i="10"/>
  <c r="G111" i="10"/>
  <c r="E105" i="10"/>
  <c r="D105" i="10"/>
  <c r="AW104" i="10"/>
  <c r="H103" i="10"/>
  <c r="F103" i="10"/>
  <c r="H102" i="10"/>
  <c r="F102" i="10"/>
  <c r="I100" i="10"/>
  <c r="F100" i="10"/>
  <c r="E100" i="10"/>
  <c r="D100" i="10"/>
  <c r="C100" i="10"/>
  <c r="J98" i="10"/>
  <c r="G98" i="10"/>
  <c r="J97" i="10"/>
  <c r="G97" i="10"/>
  <c r="K96" i="10"/>
  <c r="G96" i="10"/>
  <c r="F96" i="10"/>
  <c r="J95" i="10"/>
  <c r="G95" i="10"/>
  <c r="K94" i="10"/>
  <c r="G94" i="10"/>
  <c r="F94" i="10"/>
  <c r="G93" i="10"/>
  <c r="G90" i="10"/>
  <c r="E84" i="10"/>
  <c r="D84" i="10"/>
  <c r="AW83" i="10"/>
  <c r="H82" i="10"/>
  <c r="F82" i="10"/>
  <c r="H81" i="10"/>
  <c r="F81" i="10"/>
  <c r="M77" i="10"/>
  <c r="AT83" i="10" s="1"/>
  <c r="J78" i="10"/>
  <c r="G78" i="10"/>
  <c r="G75" i="10"/>
  <c r="E69" i="10"/>
  <c r="D69" i="10"/>
  <c r="AW68" i="10"/>
  <c r="AT68" i="10"/>
  <c r="AO68" i="10"/>
  <c r="AE68" i="10"/>
  <c r="AD68" i="10"/>
  <c r="H67" i="10"/>
  <c r="F67" i="10"/>
  <c r="H66" i="10"/>
  <c r="F66" i="10"/>
  <c r="G63" i="10"/>
  <c r="F58" i="10"/>
  <c r="H58" i="10"/>
  <c r="E58" i="10"/>
  <c r="D58" i="10"/>
  <c r="AW57" i="10"/>
  <c r="AT57" i="10"/>
  <c r="H56" i="10"/>
  <c r="F56" i="10"/>
  <c r="H55" i="10"/>
  <c r="F55" i="10"/>
  <c r="I53" i="10"/>
  <c r="F53" i="10"/>
  <c r="E53" i="10"/>
  <c r="D53" i="10"/>
  <c r="C53" i="10"/>
  <c r="M50" i="10"/>
  <c r="J51" i="10"/>
  <c r="G51" i="10"/>
  <c r="G48" i="10"/>
  <c r="E42" i="10"/>
  <c r="D42" i="10"/>
  <c r="J26" i="10"/>
  <c r="I26" i="10"/>
  <c r="H26" i="10"/>
  <c r="G26" i="10"/>
  <c r="K22" i="10"/>
  <c r="K21" i="10"/>
  <c r="K20" i="10"/>
  <c r="K19" i="10"/>
  <c r="K16" i="10"/>
  <c r="CN17" i="10"/>
  <c r="C17" i="10"/>
  <c r="K14" i="10"/>
  <c r="K12" i="10"/>
  <c r="C13" i="10"/>
  <c r="K10" i="10"/>
  <c r="C11" i="10"/>
  <c r="K8" i="10"/>
  <c r="C9" i="10"/>
  <c r="A1" i="10"/>
  <c r="D39" i="9"/>
  <c r="D37" i="9"/>
  <c r="G34" i="9"/>
  <c r="F34" i="9"/>
  <c r="E34" i="9"/>
  <c r="C34" i="9"/>
  <c r="B34" i="9"/>
  <c r="G33" i="9"/>
  <c r="F33" i="9"/>
  <c r="C33" i="9"/>
  <c r="B33" i="9"/>
  <c r="G32" i="9"/>
  <c r="F32" i="9"/>
  <c r="C32" i="9"/>
  <c r="B32" i="9"/>
  <c r="G31" i="9"/>
  <c r="F31" i="9"/>
  <c r="E31" i="9"/>
  <c r="C31" i="9"/>
  <c r="B31" i="9"/>
  <c r="G30" i="9"/>
  <c r="F30" i="9"/>
  <c r="C30" i="9"/>
  <c r="B30" i="9"/>
  <c r="G29" i="9"/>
  <c r="F29" i="9"/>
  <c r="C29" i="9"/>
  <c r="B29" i="9"/>
  <c r="G28" i="9"/>
  <c r="F28" i="9"/>
  <c r="E28" i="9"/>
  <c r="C28" i="9"/>
  <c r="B28" i="9"/>
  <c r="F27" i="9"/>
  <c r="C27" i="9"/>
  <c r="B27" i="9"/>
  <c r="G26" i="9"/>
  <c r="F26" i="9"/>
  <c r="C26" i="9"/>
  <c r="B26" i="9"/>
  <c r="G25" i="9"/>
  <c r="F25" i="9"/>
  <c r="C25" i="9"/>
  <c r="B25" i="9"/>
  <c r="F24" i="9"/>
  <c r="C24" i="9"/>
  <c r="B24" i="9"/>
  <c r="G23" i="9"/>
  <c r="F23" i="9"/>
  <c r="C23" i="9"/>
  <c r="B23" i="9"/>
  <c r="G22" i="9"/>
  <c r="F22" i="9"/>
  <c r="C22" i="9"/>
  <c r="B22" i="9"/>
  <c r="G21" i="9"/>
  <c r="F21" i="9"/>
  <c r="E21" i="9"/>
  <c r="C21" i="9"/>
  <c r="B21" i="9"/>
  <c r="F20" i="9"/>
  <c r="C20" i="9"/>
  <c r="B20" i="9"/>
  <c r="G19" i="9"/>
  <c r="F19" i="9"/>
  <c r="C19" i="9"/>
  <c r="B19" i="9"/>
  <c r="A18" i="9"/>
  <c r="B14" i="9"/>
  <c r="AE13" i="9"/>
  <c r="B13" i="9"/>
  <c r="B12" i="9"/>
  <c r="A1" i="9"/>
  <c r="H366" i="8"/>
  <c r="H363" i="8"/>
  <c r="C366" i="8"/>
  <c r="C363" i="8"/>
  <c r="C360" i="8"/>
  <c r="L358" i="8"/>
  <c r="C358" i="8"/>
  <c r="L354" i="8"/>
  <c r="L350" i="8"/>
  <c r="L349" i="8"/>
  <c r="L343" i="8"/>
  <c r="L342" i="8"/>
  <c r="L338" i="8"/>
  <c r="L326" i="8"/>
  <c r="L325" i="8"/>
  <c r="L324" i="8"/>
  <c r="L323" i="8"/>
  <c r="L322" i="8"/>
  <c r="L321" i="8"/>
  <c r="L318" i="8"/>
  <c r="L317" i="8"/>
  <c r="L315" i="8"/>
  <c r="L312" i="8"/>
  <c r="L307" i="8"/>
  <c r="L306" i="8"/>
  <c r="L305" i="8"/>
  <c r="L300" i="8"/>
  <c r="L299" i="8"/>
  <c r="L297" i="8" s="1"/>
  <c r="L295" i="8"/>
  <c r="L294" i="8"/>
  <c r="L293" i="8"/>
  <c r="L292" i="8"/>
  <c r="L291" i="8"/>
  <c r="L290" i="8"/>
  <c r="L287" i="8"/>
  <c r="L286" i="8"/>
  <c r="L284" i="8"/>
  <c r="L281" i="8"/>
  <c r="L272" i="8"/>
  <c r="L271" i="8"/>
  <c r="L267" i="8"/>
  <c r="L250" i="8"/>
  <c r="L246" i="8"/>
  <c r="L245" i="8"/>
  <c r="L243" i="8"/>
  <c r="L242" i="8"/>
  <c r="L236" i="8"/>
  <c r="L235" i="8"/>
  <c r="L231" i="8"/>
  <c r="AW221" i="8"/>
  <c r="AT221" i="8"/>
  <c r="AR221" i="8"/>
  <c r="L218" i="8" s="1"/>
  <c r="AE221" i="8"/>
  <c r="AD221" i="8"/>
  <c r="G220" i="8"/>
  <c r="E220" i="8"/>
  <c r="G219" i="8"/>
  <c r="E219" i="8"/>
  <c r="J214" i="8"/>
  <c r="K214" i="8"/>
  <c r="E214" i="8"/>
  <c r="G214" i="8"/>
  <c r="D214" i="8"/>
  <c r="C214" i="8"/>
  <c r="B214" i="8"/>
  <c r="AT213" i="8"/>
  <c r="AR213" i="8"/>
  <c r="AO213" i="8"/>
  <c r="I211" i="8"/>
  <c r="H211" i="8"/>
  <c r="D211" i="8"/>
  <c r="C211" i="8"/>
  <c r="B211" i="8"/>
  <c r="AT210" i="8"/>
  <c r="AO210" i="8"/>
  <c r="G209" i="8"/>
  <c r="E209" i="8"/>
  <c r="G208" i="8"/>
  <c r="E208" i="8"/>
  <c r="E205" i="8"/>
  <c r="D205" i="8"/>
  <c r="C205" i="8"/>
  <c r="B205" i="8"/>
  <c r="F202" i="8"/>
  <c r="D196" i="8"/>
  <c r="C196" i="8"/>
  <c r="AT195" i="8"/>
  <c r="AR195" i="8"/>
  <c r="AO195" i="8"/>
  <c r="AE195" i="8"/>
  <c r="AD195" i="8"/>
  <c r="J194" i="8"/>
  <c r="E194" i="8"/>
  <c r="G194" i="8"/>
  <c r="D194" i="8"/>
  <c r="C194" i="8"/>
  <c r="B194" i="8"/>
  <c r="AW193" i="8"/>
  <c r="AT193" i="8"/>
  <c r="AO193" i="8"/>
  <c r="G192" i="8"/>
  <c r="E192" i="8"/>
  <c r="G191" i="8"/>
  <c r="E191" i="8"/>
  <c r="E188" i="8"/>
  <c r="D188" i="8"/>
  <c r="C188" i="8"/>
  <c r="B188" i="8"/>
  <c r="F187" i="8"/>
  <c r="D180" i="8"/>
  <c r="C180" i="8"/>
  <c r="G178" i="8"/>
  <c r="E178" i="8"/>
  <c r="G177" i="8"/>
  <c r="E177" i="8"/>
  <c r="I173" i="8"/>
  <c r="I172" i="8"/>
  <c r="J170" i="8"/>
  <c r="F170" i="8"/>
  <c r="E170" i="8"/>
  <c r="F169" i="8"/>
  <c r="J168" i="8"/>
  <c r="F168" i="8"/>
  <c r="E168" i="8"/>
  <c r="F167" i="8"/>
  <c r="F164" i="8"/>
  <c r="D157" i="8"/>
  <c r="C157" i="8"/>
  <c r="AT156" i="8"/>
  <c r="AR156" i="8"/>
  <c r="AO156" i="8"/>
  <c r="AE156" i="8"/>
  <c r="AD156" i="8"/>
  <c r="J155" i="8"/>
  <c r="E155" i="8"/>
  <c r="G155" i="8"/>
  <c r="D155" i="8"/>
  <c r="C155" i="8"/>
  <c r="B155" i="8"/>
  <c r="AW154" i="8"/>
  <c r="AT154" i="8"/>
  <c r="AO154" i="8"/>
  <c r="G153" i="8"/>
  <c r="E153" i="8"/>
  <c r="G152" i="8"/>
  <c r="E152" i="8"/>
  <c r="E149" i="8"/>
  <c r="D149" i="8"/>
  <c r="C149" i="8"/>
  <c r="B149" i="8"/>
  <c r="F148" i="8"/>
  <c r="D141" i="8"/>
  <c r="C141" i="8"/>
  <c r="AT140" i="8"/>
  <c r="AO140" i="8"/>
  <c r="G139" i="8"/>
  <c r="E139" i="8"/>
  <c r="G138" i="8"/>
  <c r="E138" i="8"/>
  <c r="I135" i="8"/>
  <c r="I134" i="8"/>
  <c r="I133" i="8"/>
  <c r="F131" i="8"/>
  <c r="D125" i="8"/>
  <c r="C125" i="8"/>
  <c r="AW124" i="8"/>
  <c r="G123" i="8"/>
  <c r="E123" i="8"/>
  <c r="G122" i="8"/>
  <c r="E122" i="8"/>
  <c r="H120" i="8"/>
  <c r="E120" i="8"/>
  <c r="D120" i="8"/>
  <c r="C120" i="8"/>
  <c r="B120" i="8"/>
  <c r="I118" i="8"/>
  <c r="F118" i="8"/>
  <c r="I117" i="8"/>
  <c r="F117" i="8"/>
  <c r="J116" i="8"/>
  <c r="F116" i="8"/>
  <c r="E116" i="8"/>
  <c r="I115" i="8"/>
  <c r="F115" i="8"/>
  <c r="J114" i="8"/>
  <c r="F114" i="8"/>
  <c r="E114" i="8"/>
  <c r="F113" i="8"/>
  <c r="F110" i="8"/>
  <c r="D104" i="8"/>
  <c r="C104" i="8"/>
  <c r="AW103" i="8"/>
  <c r="G102" i="8"/>
  <c r="E102" i="8"/>
  <c r="G101" i="8"/>
  <c r="E101" i="8"/>
  <c r="L97" i="8"/>
  <c r="AT103" i="8" s="1"/>
  <c r="I98" i="8"/>
  <c r="F98" i="8"/>
  <c r="F95" i="8"/>
  <c r="D89" i="8"/>
  <c r="C89" i="8"/>
  <c r="AW88" i="8"/>
  <c r="AT88" i="8"/>
  <c r="AO88" i="8"/>
  <c r="AE88" i="8"/>
  <c r="AD88" i="8"/>
  <c r="G87" i="8"/>
  <c r="E87" i="8"/>
  <c r="G86" i="8"/>
  <c r="E86" i="8"/>
  <c r="F83" i="8"/>
  <c r="E78" i="8"/>
  <c r="G78" i="8"/>
  <c r="D78" i="8"/>
  <c r="C78" i="8"/>
  <c r="AW77" i="8"/>
  <c r="G76" i="8"/>
  <c r="E76" i="8"/>
  <c r="G75" i="8"/>
  <c r="E75" i="8"/>
  <c r="H73" i="8"/>
  <c r="E73" i="8"/>
  <c r="D73" i="8"/>
  <c r="C73" i="8"/>
  <c r="B73" i="8"/>
  <c r="L70" i="8"/>
  <c r="AT77" i="8" s="1"/>
  <c r="I71" i="8"/>
  <c r="F71" i="8"/>
  <c r="F68" i="8"/>
  <c r="D62" i="8"/>
  <c r="C62" i="8"/>
  <c r="A35" i="8"/>
  <c r="A33" i="8"/>
  <c r="CN30" i="8"/>
  <c r="A30" i="8"/>
  <c r="F24" i="8"/>
  <c r="F22" i="8"/>
  <c r="CO14" i="8"/>
  <c r="F14" i="8"/>
  <c r="CO12" i="8"/>
  <c r="F12" i="8"/>
  <c r="H6" i="8"/>
  <c r="B6" i="8"/>
  <c r="A1" i="8"/>
  <c r="L319" i="8" l="1"/>
  <c r="L282" i="8"/>
  <c r="J211" i="8"/>
  <c r="L240" i="8"/>
  <c r="L288" i="8"/>
  <c r="L313" i="8"/>
  <c r="L310" i="8" s="1"/>
  <c r="L347" i="8"/>
  <c r="M259" i="10"/>
  <c r="M256" i="10" s="1"/>
  <c r="M254" i="10" s="1"/>
  <c r="M287" i="10"/>
  <c r="M285" i="10" s="1"/>
  <c r="M217" i="10"/>
  <c r="M265" i="10"/>
  <c r="M290" i="10"/>
  <c r="M324" i="10"/>
  <c r="L279" i="8"/>
  <c r="L277" i="8" s="1"/>
  <c r="AB29" i="7"/>
  <c r="AA29" i="7"/>
  <c r="Y29" i="7"/>
  <c r="X29" i="7"/>
  <c r="W29" i="7"/>
  <c r="V29" i="7"/>
  <c r="U29" i="7"/>
  <c r="T29" i="7"/>
  <c r="Q29" i="7"/>
  <c r="I29" i="7"/>
  <c r="H29" i="7"/>
  <c r="Z29" i="7"/>
  <c r="P29" i="7"/>
  <c r="M29" i="7"/>
  <c r="L29" i="7"/>
  <c r="K29" i="7"/>
  <c r="J29" i="7"/>
  <c r="G29" i="7"/>
  <c r="F29" i="7"/>
  <c r="E29" i="7"/>
  <c r="D29" i="7"/>
  <c r="C29" i="7"/>
  <c r="B29" i="7"/>
  <c r="AB28" i="7"/>
  <c r="AA28" i="7"/>
  <c r="Y28" i="7"/>
  <c r="X28" i="7"/>
  <c r="W28" i="7"/>
  <c r="V28" i="7"/>
  <c r="U28" i="7"/>
  <c r="T28" i="7"/>
  <c r="Q28" i="7"/>
  <c r="I28" i="7"/>
  <c r="H28" i="7"/>
  <c r="Z28" i="7"/>
  <c r="P28" i="7"/>
  <c r="M28" i="7"/>
  <c r="L28" i="7"/>
  <c r="K28" i="7"/>
  <c r="J28" i="7"/>
  <c r="G28" i="7"/>
  <c r="F28" i="7"/>
  <c r="E28" i="7"/>
  <c r="D28" i="7"/>
  <c r="C28" i="7"/>
  <c r="B28" i="7"/>
  <c r="AB27" i="7"/>
  <c r="AA27" i="7"/>
  <c r="Y27" i="7"/>
  <c r="X27" i="7"/>
  <c r="W27" i="7"/>
  <c r="V27" i="7"/>
  <c r="U27" i="7"/>
  <c r="T27" i="7"/>
  <c r="Q27" i="7"/>
  <c r="I27" i="7"/>
  <c r="H27" i="7"/>
  <c r="Z27" i="7"/>
  <c r="P27" i="7"/>
  <c r="M27" i="7"/>
  <c r="L27" i="7"/>
  <c r="K27" i="7"/>
  <c r="J27" i="7"/>
  <c r="G27" i="7"/>
  <c r="F27" i="7"/>
  <c r="E27" i="7"/>
  <c r="D27" i="7"/>
  <c r="C27" i="7"/>
  <c r="B27" i="7"/>
  <c r="AB26" i="7"/>
  <c r="AA26" i="7"/>
  <c r="Y26" i="7"/>
  <c r="X26" i="7"/>
  <c r="W26" i="7"/>
  <c r="V26" i="7"/>
  <c r="U26" i="7"/>
  <c r="T26" i="7"/>
  <c r="Q26" i="7"/>
  <c r="I26" i="7"/>
  <c r="H26" i="7"/>
  <c r="Z26" i="7"/>
  <c r="P26" i="7"/>
  <c r="M26" i="7"/>
  <c r="L26" i="7"/>
  <c r="K26" i="7"/>
  <c r="J26" i="7"/>
  <c r="G26" i="7"/>
  <c r="F26" i="7"/>
  <c r="E26" i="7"/>
  <c r="D26" i="7"/>
  <c r="C26" i="7"/>
  <c r="B26" i="7"/>
  <c r="AB25" i="7"/>
  <c r="AA25" i="7"/>
  <c r="Y25" i="7"/>
  <c r="X25" i="7"/>
  <c r="W25" i="7"/>
  <c r="V25" i="7"/>
  <c r="U25" i="7"/>
  <c r="T25" i="7"/>
  <c r="Q25" i="7"/>
  <c r="I25" i="7"/>
  <c r="H25" i="7"/>
  <c r="Z25" i="7"/>
  <c r="P25" i="7"/>
  <c r="M25" i="7"/>
  <c r="L25" i="7"/>
  <c r="K25" i="7"/>
  <c r="J25" i="7"/>
  <c r="G25" i="7"/>
  <c r="F25" i="7"/>
  <c r="E25" i="7"/>
  <c r="D25" i="7"/>
  <c r="C25" i="7"/>
  <c r="B25" i="7"/>
  <c r="AB24" i="7"/>
  <c r="AA24" i="7"/>
  <c r="Y24" i="7"/>
  <c r="X24" i="7"/>
  <c r="W24" i="7"/>
  <c r="V24" i="7"/>
  <c r="U24" i="7"/>
  <c r="T24" i="7"/>
  <c r="Q24" i="7"/>
  <c r="I24" i="7"/>
  <c r="H24" i="7"/>
  <c r="Z24" i="7"/>
  <c r="P24" i="7"/>
  <c r="M24" i="7"/>
  <c r="L24" i="7"/>
  <c r="K24" i="7"/>
  <c r="J24" i="7"/>
  <c r="G24" i="7"/>
  <c r="F24" i="7"/>
  <c r="E24" i="7"/>
  <c r="D24" i="7"/>
  <c r="C24" i="7"/>
  <c r="B24" i="7"/>
  <c r="AB23" i="7"/>
  <c r="AA23" i="7"/>
  <c r="Y23" i="7"/>
  <c r="X23" i="7"/>
  <c r="W23" i="7"/>
  <c r="V23" i="7"/>
  <c r="U23" i="7"/>
  <c r="T23" i="7"/>
  <c r="Q23" i="7"/>
  <c r="I23" i="7"/>
  <c r="H23" i="7"/>
  <c r="Z23" i="7"/>
  <c r="P23" i="7"/>
  <c r="M23" i="7"/>
  <c r="L23" i="7"/>
  <c r="K23" i="7"/>
  <c r="J23" i="7"/>
  <c r="G23" i="7"/>
  <c r="F23" i="7"/>
  <c r="E23" i="7"/>
  <c r="D23" i="7"/>
  <c r="C23" i="7"/>
  <c r="B23" i="7"/>
  <c r="AB22" i="7"/>
  <c r="AA22" i="7"/>
  <c r="Y22" i="7"/>
  <c r="X22" i="7"/>
  <c r="W22" i="7"/>
  <c r="V22" i="7"/>
  <c r="U22" i="7"/>
  <c r="T22" i="7"/>
  <c r="Q22" i="7"/>
  <c r="I22" i="7"/>
  <c r="H22" i="7"/>
  <c r="Z22" i="7"/>
  <c r="P22" i="7"/>
  <c r="M22" i="7"/>
  <c r="L22" i="7"/>
  <c r="K22" i="7"/>
  <c r="J22" i="7"/>
  <c r="G22" i="7"/>
  <c r="F22" i="7"/>
  <c r="E22" i="7"/>
  <c r="D22" i="7"/>
  <c r="C22" i="7"/>
  <c r="B22" i="7"/>
  <c r="AB21" i="7"/>
  <c r="AA21" i="7"/>
  <c r="Y21" i="7"/>
  <c r="X21" i="7"/>
  <c r="W21" i="7"/>
  <c r="V21" i="7"/>
  <c r="U21" i="7"/>
  <c r="T21" i="7"/>
  <c r="Q21" i="7"/>
  <c r="I21" i="7"/>
  <c r="H21" i="7"/>
  <c r="Z21" i="7"/>
  <c r="P21" i="7"/>
  <c r="M21" i="7"/>
  <c r="L21" i="7"/>
  <c r="K21" i="7"/>
  <c r="J21" i="7"/>
  <c r="G21" i="7"/>
  <c r="F21" i="7"/>
  <c r="E21" i="7"/>
  <c r="D21" i="7"/>
  <c r="C21" i="7"/>
  <c r="B21" i="7"/>
  <c r="A20" i="7"/>
  <c r="M279" i="10" l="1"/>
  <c r="M328" i="10" s="1"/>
  <c r="L302" i="8"/>
  <c r="L351" i="8" s="1"/>
  <c r="L308" i="8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1" i="3"/>
  <c r="Y1" i="3"/>
  <c r="CY1" i="3"/>
  <c r="CZ1" i="3"/>
  <c r="DA1" i="3"/>
  <c r="DB1" i="3"/>
  <c r="DC1" i="3"/>
  <c r="A2" i="3"/>
  <c r="Y2" i="3"/>
  <c r="CX2" i="3" s="1"/>
  <c r="CY2" i="3"/>
  <c r="CZ2" i="3"/>
  <c r="DA2" i="3"/>
  <c r="DB2" i="3"/>
  <c r="DC2" i="3"/>
  <c r="A3" i="3"/>
  <c r="Y3" i="3"/>
  <c r="CY3" i="3"/>
  <c r="CZ3" i="3"/>
  <c r="DB3" i="3" s="1"/>
  <c r="DA3" i="3"/>
  <c r="DC3" i="3"/>
  <c r="A4" i="3"/>
  <c r="Y4" i="3"/>
  <c r="CU4" i="3"/>
  <c r="CV4" i="3"/>
  <c r="CX4" i="3"/>
  <c r="CY4" i="3"/>
  <c r="CZ4" i="3"/>
  <c r="DA4" i="3"/>
  <c r="DC4" i="3"/>
  <c r="A5" i="3"/>
  <c r="Y5" i="3"/>
  <c r="CV5" i="3" s="1"/>
  <c r="U31" i="1" s="1"/>
  <c r="CY5" i="3"/>
  <c r="CZ5" i="3"/>
  <c r="DB5" i="3" s="1"/>
  <c r="DA5" i="3"/>
  <c r="DC5" i="3"/>
  <c r="A6" i="3"/>
  <c r="Y6" i="3"/>
  <c r="CX6" i="3" s="1"/>
  <c r="CW6" i="3"/>
  <c r="V31" i="1" s="1"/>
  <c r="CY6" i="3"/>
  <c r="CZ6" i="3"/>
  <c r="DA6" i="3"/>
  <c r="DB6" i="3"/>
  <c r="DC6" i="3"/>
  <c r="A7" i="3"/>
  <c r="Y7" i="3"/>
  <c r="CX7" i="3"/>
  <c r="CY7" i="3"/>
  <c r="CZ7" i="3"/>
  <c r="DA7" i="3"/>
  <c r="DC7" i="3"/>
  <c r="A8" i="3"/>
  <c r="Y8" i="3"/>
  <c r="CY8" i="3"/>
  <c r="CZ8" i="3"/>
  <c r="DB8" i="3" s="1"/>
  <c r="DA8" i="3"/>
  <c r="DC8" i="3"/>
  <c r="A9" i="3"/>
  <c r="Y9" i="3"/>
  <c r="CY9" i="3"/>
  <c r="CZ9" i="3"/>
  <c r="DB9" i="3" s="1"/>
  <c r="DA9" i="3"/>
  <c r="DC9" i="3"/>
  <c r="A10" i="3"/>
  <c r="Y10" i="3"/>
  <c r="CY10" i="3"/>
  <c r="CZ10" i="3"/>
  <c r="DA10" i="3"/>
  <c r="DB10" i="3"/>
  <c r="DC10" i="3"/>
  <c r="A11" i="3"/>
  <c r="Y11" i="3"/>
  <c r="CY11" i="3"/>
  <c r="CZ11" i="3"/>
  <c r="DA11" i="3"/>
  <c r="DB11" i="3"/>
  <c r="DC11" i="3"/>
  <c r="A12" i="3"/>
  <c r="Y12" i="3"/>
  <c r="CY12" i="3"/>
  <c r="CZ12" i="3"/>
  <c r="DA12" i="3"/>
  <c r="DC12" i="3"/>
  <c r="A13" i="3"/>
  <c r="Y13" i="3"/>
  <c r="CY13" i="3"/>
  <c r="CZ13" i="3"/>
  <c r="DB13" i="3" s="1"/>
  <c r="DA13" i="3"/>
  <c r="DC13" i="3"/>
  <c r="A14" i="3"/>
  <c r="Y14" i="3"/>
  <c r="CY14" i="3"/>
  <c r="CZ14" i="3"/>
  <c r="DA14" i="3"/>
  <c r="DB14" i="3"/>
  <c r="DC14" i="3"/>
  <c r="A15" i="3"/>
  <c r="Y15" i="3"/>
  <c r="CX15" i="3" s="1"/>
  <c r="CY15" i="3"/>
  <c r="CZ15" i="3"/>
  <c r="DA15" i="3"/>
  <c r="DC15" i="3"/>
  <c r="A16" i="3"/>
  <c r="Y16" i="3"/>
  <c r="CY16" i="3"/>
  <c r="CZ16" i="3"/>
  <c r="DB16" i="3" s="1"/>
  <c r="DA16" i="3"/>
  <c r="DC16" i="3"/>
  <c r="A17" i="3"/>
  <c r="Y17" i="3"/>
  <c r="CY17" i="3"/>
  <c r="CZ17" i="3"/>
  <c r="DA17" i="3"/>
  <c r="DB17" i="3"/>
  <c r="DC17" i="3"/>
  <c r="A18" i="3"/>
  <c r="Y18" i="3"/>
  <c r="CU18" i="3"/>
  <c r="CY18" i="3"/>
  <c r="CZ18" i="3"/>
  <c r="DA18" i="3"/>
  <c r="DC18" i="3"/>
  <c r="A19" i="3"/>
  <c r="Y19" i="3"/>
  <c r="CX19" i="3" s="1"/>
  <c r="CY19" i="3"/>
  <c r="CZ19" i="3"/>
  <c r="DB19" i="3" s="1"/>
  <c r="DA19" i="3"/>
  <c r="DC19" i="3"/>
  <c r="A20" i="3"/>
  <c r="Y20" i="3"/>
  <c r="CY20" i="3"/>
  <c r="CZ20" i="3"/>
  <c r="DA20" i="3"/>
  <c r="DB20" i="3"/>
  <c r="DC20" i="3"/>
  <c r="A21" i="3"/>
  <c r="Y21" i="3"/>
  <c r="CY21" i="3"/>
  <c r="CZ21" i="3"/>
  <c r="DB21" i="3" s="1"/>
  <c r="DA21" i="3"/>
  <c r="DC21" i="3"/>
  <c r="A22" i="3"/>
  <c r="Y22" i="3"/>
  <c r="CY22" i="3"/>
  <c r="CZ22" i="3"/>
  <c r="DA22" i="3"/>
  <c r="DB22" i="3"/>
  <c r="DC22" i="3"/>
  <c r="A23" i="3"/>
  <c r="Y23" i="3"/>
  <c r="CY23" i="3"/>
  <c r="CZ23" i="3"/>
  <c r="DA23" i="3"/>
  <c r="DC23" i="3"/>
  <c r="A24" i="3"/>
  <c r="Y24" i="3"/>
  <c r="CY24" i="3"/>
  <c r="CZ24" i="3"/>
  <c r="DB24" i="3" s="1"/>
  <c r="DA24" i="3"/>
  <c r="DC24" i="3"/>
  <c r="A25" i="3"/>
  <c r="Y25" i="3"/>
  <c r="CY25" i="3"/>
  <c r="CZ25" i="3"/>
  <c r="DA25" i="3"/>
  <c r="DC25" i="3"/>
  <c r="A26" i="3"/>
  <c r="Y26" i="3"/>
  <c r="CY26" i="3"/>
  <c r="CZ26" i="3"/>
  <c r="DA26" i="3"/>
  <c r="DC26" i="3"/>
  <c r="A27" i="3"/>
  <c r="Y27" i="3"/>
  <c r="CY27" i="3"/>
  <c r="CZ27" i="3"/>
  <c r="DA27" i="3"/>
  <c r="DB27" i="3"/>
  <c r="DC27" i="3"/>
  <c r="A28" i="3"/>
  <c r="Y28" i="3"/>
  <c r="CY28" i="3"/>
  <c r="CZ28" i="3"/>
  <c r="DB28" i="3" s="1"/>
  <c r="DA28" i="3"/>
  <c r="DC28" i="3"/>
  <c r="A29" i="3"/>
  <c r="Y29" i="3"/>
  <c r="CX29" i="3" s="1"/>
  <c r="CY29" i="3"/>
  <c r="CZ29" i="3"/>
  <c r="DA29" i="3"/>
  <c r="DB29" i="3"/>
  <c r="DC29" i="3"/>
  <c r="A30" i="3"/>
  <c r="Y30" i="3"/>
  <c r="CY30" i="3"/>
  <c r="CZ30" i="3"/>
  <c r="DA30" i="3"/>
  <c r="DB30" i="3"/>
  <c r="DC30" i="3"/>
  <c r="A31" i="3"/>
  <c r="Y31" i="3"/>
  <c r="CY31" i="3"/>
  <c r="CZ31" i="3"/>
  <c r="DB31" i="3" s="1"/>
  <c r="DA31" i="3"/>
  <c r="DC31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L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I28" i="1"/>
  <c r="K28" i="1"/>
  <c r="W28" i="1"/>
  <c r="AC28" i="1"/>
  <c r="AE28" i="1"/>
  <c r="AD28" i="1" s="1"/>
  <c r="AF28" i="1"/>
  <c r="AG28" i="1"/>
  <c r="AH28" i="1"/>
  <c r="AI28" i="1"/>
  <c r="AJ28" i="1"/>
  <c r="CX28" i="1" s="1"/>
  <c r="CQ28" i="1"/>
  <c r="CR28" i="1"/>
  <c r="CS28" i="1"/>
  <c r="CT28" i="1"/>
  <c r="CU28" i="1"/>
  <c r="T28" i="1" s="1"/>
  <c r="CV28" i="1"/>
  <c r="CW28" i="1"/>
  <c r="GL28" i="1"/>
  <c r="GO28" i="1"/>
  <c r="GP28" i="1"/>
  <c r="GV28" i="1"/>
  <c r="HC28" i="1"/>
  <c r="GX28" i="1" s="1"/>
  <c r="I29" i="1"/>
  <c r="AC29" i="1"/>
  <c r="AE29" i="1"/>
  <c r="AD29" i="1" s="1"/>
  <c r="AF29" i="1"/>
  <c r="AG29" i="1"/>
  <c r="CU29" i="1" s="1"/>
  <c r="T29" i="1" s="1"/>
  <c r="AH29" i="1"/>
  <c r="CV29" i="1" s="1"/>
  <c r="AI29" i="1"/>
  <c r="CW29" i="1" s="1"/>
  <c r="AJ29" i="1"/>
  <c r="CX29" i="1" s="1"/>
  <c r="CQ29" i="1"/>
  <c r="CR29" i="1"/>
  <c r="CS29" i="1"/>
  <c r="CT29" i="1"/>
  <c r="GL29" i="1"/>
  <c r="GO29" i="1"/>
  <c r="GP29" i="1"/>
  <c r="GV29" i="1"/>
  <c r="HC29" i="1" s="1"/>
  <c r="GX29" i="1" s="1"/>
  <c r="C30" i="1"/>
  <c r="D30" i="1"/>
  <c r="U30" i="1"/>
  <c r="V30" i="1"/>
  <c r="AC30" i="1"/>
  <c r="AE30" i="1"/>
  <c r="AD30" i="1" s="1"/>
  <c r="AF30" i="1"/>
  <c r="AG30" i="1"/>
  <c r="AH30" i="1"/>
  <c r="AI30" i="1"/>
  <c r="AJ30" i="1"/>
  <c r="CX30" i="1" s="1"/>
  <c r="W30" i="1" s="1"/>
  <c r="CQ30" i="1"/>
  <c r="CR30" i="1"/>
  <c r="CS30" i="1"/>
  <c r="CT30" i="1"/>
  <c r="CU30" i="1"/>
  <c r="T30" i="1" s="1"/>
  <c r="CV30" i="1"/>
  <c r="CW30" i="1"/>
  <c r="GL30" i="1"/>
  <c r="GO30" i="1"/>
  <c r="GP30" i="1"/>
  <c r="GV30" i="1"/>
  <c r="HC30" i="1" s="1"/>
  <c r="GX30" i="1" s="1"/>
  <c r="C31" i="1"/>
  <c r="D31" i="1"/>
  <c r="I31" i="1"/>
  <c r="CX5" i="3" s="1"/>
  <c r="K31" i="1"/>
  <c r="AC31" i="1"/>
  <c r="AE31" i="1"/>
  <c r="AD31" i="1" s="1"/>
  <c r="AF31" i="1"/>
  <c r="AG31" i="1"/>
  <c r="AH31" i="1"/>
  <c r="AI31" i="1"/>
  <c r="AJ31" i="1"/>
  <c r="CX31" i="1" s="1"/>
  <c r="W31" i="1" s="1"/>
  <c r="CQ31" i="1"/>
  <c r="CR31" i="1"/>
  <c r="CS31" i="1"/>
  <c r="CT31" i="1"/>
  <c r="CU31" i="1"/>
  <c r="CV31" i="1"/>
  <c r="CW31" i="1"/>
  <c r="GL31" i="1"/>
  <c r="GO31" i="1"/>
  <c r="GP31" i="1"/>
  <c r="GV31" i="1"/>
  <c r="HC31" i="1" s="1"/>
  <c r="GX31" i="1" s="1"/>
  <c r="C32" i="1"/>
  <c r="D32" i="1"/>
  <c r="I32" i="1"/>
  <c r="CX12" i="3" s="1"/>
  <c r="K32" i="1"/>
  <c r="AC32" i="1"/>
  <c r="AE32" i="1"/>
  <c r="AD32" i="1" s="1"/>
  <c r="AF32" i="1"/>
  <c r="AG32" i="1"/>
  <c r="CU32" i="1" s="1"/>
  <c r="AH32" i="1"/>
  <c r="AI32" i="1"/>
  <c r="AJ32" i="1"/>
  <c r="CX32" i="1" s="1"/>
  <c r="W32" i="1" s="1"/>
  <c r="CQ32" i="1"/>
  <c r="CR32" i="1"/>
  <c r="CS32" i="1"/>
  <c r="CT32" i="1"/>
  <c r="CV32" i="1"/>
  <c r="CW32" i="1"/>
  <c r="GL32" i="1"/>
  <c r="GO32" i="1"/>
  <c r="GP32" i="1"/>
  <c r="GV32" i="1"/>
  <c r="HC32" i="1" s="1"/>
  <c r="I33" i="1"/>
  <c r="AC33" i="1"/>
  <c r="AE33" i="1"/>
  <c r="AD33" i="1" s="1"/>
  <c r="AF33" i="1"/>
  <c r="AG33" i="1"/>
  <c r="AH33" i="1"/>
  <c r="AI33" i="1"/>
  <c r="AJ33" i="1"/>
  <c r="CX33" i="1" s="1"/>
  <c r="W33" i="1" s="1"/>
  <c r="CQ33" i="1"/>
  <c r="CR33" i="1"/>
  <c r="CS33" i="1"/>
  <c r="CT33" i="1"/>
  <c r="CU33" i="1"/>
  <c r="T33" i="1" s="1"/>
  <c r="CV33" i="1"/>
  <c r="CW33" i="1"/>
  <c r="V33" i="1" s="1"/>
  <c r="GL33" i="1"/>
  <c r="GO33" i="1"/>
  <c r="GP33" i="1"/>
  <c r="GV33" i="1"/>
  <c r="HC33" i="1" s="1"/>
  <c r="GX33" i="1" s="1"/>
  <c r="C34" i="1"/>
  <c r="D34" i="1"/>
  <c r="I34" i="1"/>
  <c r="K34" i="1"/>
  <c r="V34" i="1"/>
  <c r="AC34" i="1"/>
  <c r="AE34" i="1"/>
  <c r="AD34" i="1" s="1"/>
  <c r="AF34" i="1"/>
  <c r="AG34" i="1"/>
  <c r="AH34" i="1"/>
  <c r="AI34" i="1"/>
  <c r="AJ34" i="1"/>
  <c r="CQ34" i="1"/>
  <c r="CR34" i="1"/>
  <c r="CS34" i="1"/>
  <c r="CT34" i="1"/>
  <c r="CU34" i="1"/>
  <c r="T34" i="1" s="1"/>
  <c r="CV34" i="1"/>
  <c r="CW34" i="1"/>
  <c r="CX34" i="1"/>
  <c r="W34" i="1" s="1"/>
  <c r="GL34" i="1"/>
  <c r="GO34" i="1"/>
  <c r="GP34" i="1"/>
  <c r="GV34" i="1"/>
  <c r="HC34" i="1" s="1"/>
  <c r="GX34" i="1" s="1"/>
  <c r="C35" i="1"/>
  <c r="D35" i="1"/>
  <c r="I35" i="1"/>
  <c r="K35" i="1"/>
  <c r="V35" i="1"/>
  <c r="AC35" i="1"/>
  <c r="AE35" i="1"/>
  <c r="AD35" i="1" s="1"/>
  <c r="AF35" i="1"/>
  <c r="AG35" i="1"/>
  <c r="CU35" i="1" s="1"/>
  <c r="T35" i="1" s="1"/>
  <c r="AH35" i="1"/>
  <c r="AI35" i="1"/>
  <c r="AJ35" i="1"/>
  <c r="CX35" i="1" s="1"/>
  <c r="CQ35" i="1"/>
  <c r="CR35" i="1"/>
  <c r="CS35" i="1"/>
  <c r="CT35" i="1"/>
  <c r="CV35" i="1"/>
  <c r="CW35" i="1"/>
  <c r="GL35" i="1"/>
  <c r="GO35" i="1"/>
  <c r="GP35" i="1"/>
  <c r="GV35" i="1"/>
  <c r="HC35" i="1" s="1"/>
  <c r="GX35" i="1" s="1"/>
  <c r="AC36" i="1"/>
  <c r="AB36" i="1" s="1"/>
  <c r="AE36" i="1"/>
  <c r="AD36" i="1" s="1"/>
  <c r="AF36" i="1"/>
  <c r="AG36" i="1"/>
  <c r="CU36" i="1" s="1"/>
  <c r="AH36" i="1"/>
  <c r="CV36" i="1" s="1"/>
  <c r="AI36" i="1"/>
  <c r="CW36" i="1" s="1"/>
  <c r="AJ36" i="1"/>
  <c r="CX36" i="1" s="1"/>
  <c r="CQ36" i="1"/>
  <c r="CR36" i="1"/>
  <c r="CS36" i="1"/>
  <c r="CT36" i="1"/>
  <c r="GL36" i="1"/>
  <c r="GO36" i="1"/>
  <c r="GP36" i="1"/>
  <c r="GV36" i="1"/>
  <c r="HC36" i="1" s="1"/>
  <c r="R37" i="1"/>
  <c r="S37" i="1"/>
  <c r="AC37" i="1"/>
  <c r="AD37" i="1"/>
  <c r="AE37" i="1"/>
  <c r="AF37" i="1"/>
  <c r="AG37" i="1"/>
  <c r="CU37" i="1" s="1"/>
  <c r="T37" i="1" s="1"/>
  <c r="AH37" i="1"/>
  <c r="CV37" i="1" s="1"/>
  <c r="U37" i="1" s="1"/>
  <c r="AI37" i="1"/>
  <c r="CW37" i="1" s="1"/>
  <c r="V37" i="1" s="1"/>
  <c r="AJ37" i="1"/>
  <c r="CX37" i="1" s="1"/>
  <c r="W37" i="1" s="1"/>
  <c r="CQ37" i="1"/>
  <c r="P37" i="1" s="1"/>
  <c r="CR37" i="1"/>
  <c r="Q37" i="1" s="1"/>
  <c r="CS37" i="1"/>
  <c r="CT37" i="1"/>
  <c r="CY37" i="1"/>
  <c r="X37" i="1" s="1"/>
  <c r="CZ37" i="1"/>
  <c r="Y37" i="1" s="1"/>
  <c r="GL37" i="1"/>
  <c r="GO37" i="1"/>
  <c r="GP37" i="1"/>
  <c r="GV37" i="1"/>
  <c r="HC37" i="1" s="1"/>
  <c r="GX37" i="1" s="1"/>
  <c r="HG37" i="1"/>
  <c r="C38" i="1"/>
  <c r="D38" i="1"/>
  <c r="I38" i="1"/>
  <c r="K38" i="1"/>
  <c r="AC38" i="1"/>
  <c r="AE38" i="1"/>
  <c r="AD38" i="1" s="1"/>
  <c r="AF38" i="1"/>
  <c r="AG38" i="1"/>
  <c r="AH38" i="1"/>
  <c r="AI38" i="1"/>
  <c r="AJ38" i="1"/>
  <c r="CX38" i="1" s="1"/>
  <c r="CQ38" i="1"/>
  <c r="CR38" i="1"/>
  <c r="CS38" i="1"/>
  <c r="CT38" i="1"/>
  <c r="CU38" i="1"/>
  <c r="CV38" i="1"/>
  <c r="CW38" i="1"/>
  <c r="GL38" i="1"/>
  <c r="GO38" i="1"/>
  <c r="GP38" i="1"/>
  <c r="GV38" i="1"/>
  <c r="HC38" i="1"/>
  <c r="C39" i="1"/>
  <c r="D39" i="1"/>
  <c r="I39" i="1"/>
  <c r="I40" i="1" s="1"/>
  <c r="P40" i="1" s="1"/>
  <c r="K39" i="1"/>
  <c r="V39" i="1"/>
  <c r="AC39" i="1"/>
  <c r="AE39" i="1"/>
  <c r="AD39" i="1" s="1"/>
  <c r="AF39" i="1"/>
  <c r="AG39" i="1"/>
  <c r="CU39" i="1" s="1"/>
  <c r="AH39" i="1"/>
  <c r="AI39" i="1"/>
  <c r="AJ39" i="1"/>
  <c r="CX39" i="1" s="1"/>
  <c r="CQ39" i="1"/>
  <c r="CR39" i="1"/>
  <c r="CS39" i="1"/>
  <c r="CT39" i="1"/>
  <c r="CV39" i="1"/>
  <c r="CW39" i="1"/>
  <c r="GL39" i="1"/>
  <c r="GO39" i="1"/>
  <c r="GP39" i="1"/>
  <c r="GV39" i="1"/>
  <c r="HC39" i="1" s="1"/>
  <c r="GX39" i="1" s="1"/>
  <c r="AC40" i="1"/>
  <c r="AE40" i="1"/>
  <c r="AD40" i="1" s="1"/>
  <c r="AF40" i="1"/>
  <c r="AG40" i="1"/>
  <c r="CU40" i="1" s="1"/>
  <c r="AH40" i="1"/>
  <c r="CV40" i="1" s="1"/>
  <c r="AI40" i="1"/>
  <c r="CW40" i="1" s="1"/>
  <c r="AJ40" i="1"/>
  <c r="CX40" i="1" s="1"/>
  <c r="CQ40" i="1"/>
  <c r="CR40" i="1"/>
  <c r="CS40" i="1"/>
  <c r="CT40" i="1"/>
  <c r="GL40" i="1"/>
  <c r="GO40" i="1"/>
  <c r="GP40" i="1"/>
  <c r="GV40" i="1"/>
  <c r="HC40" i="1" s="1"/>
  <c r="P41" i="1"/>
  <c r="X41" i="1"/>
  <c r="AC41" i="1"/>
  <c r="AB41" i="1" s="1"/>
  <c r="AD41" i="1"/>
  <c r="AE41" i="1"/>
  <c r="AF41" i="1"/>
  <c r="AG41" i="1"/>
  <c r="AH41" i="1"/>
  <c r="CV41" i="1" s="1"/>
  <c r="U41" i="1" s="1"/>
  <c r="AI41" i="1"/>
  <c r="CW41" i="1" s="1"/>
  <c r="V41" i="1" s="1"/>
  <c r="AJ41" i="1"/>
  <c r="CX41" i="1" s="1"/>
  <c r="W41" i="1" s="1"/>
  <c r="CQ41" i="1"/>
  <c r="CR41" i="1"/>
  <c r="Q41" i="1" s="1"/>
  <c r="CS41" i="1"/>
  <c r="R41" i="1" s="1"/>
  <c r="CT41" i="1"/>
  <c r="S41" i="1" s="1"/>
  <c r="CU41" i="1"/>
  <c r="T41" i="1" s="1"/>
  <c r="CY41" i="1"/>
  <c r="CZ41" i="1"/>
  <c r="Y41" i="1" s="1"/>
  <c r="GL41" i="1"/>
  <c r="GO41" i="1"/>
  <c r="GP41" i="1"/>
  <c r="GV41" i="1"/>
  <c r="HC41" i="1" s="1"/>
  <c r="GX41" i="1" s="1"/>
  <c r="HG41" i="1"/>
  <c r="C42" i="1"/>
  <c r="D42" i="1"/>
  <c r="I42" i="1"/>
  <c r="K42" i="1"/>
  <c r="V42" i="1"/>
  <c r="AC42" i="1"/>
  <c r="AE42" i="1"/>
  <c r="AD42" i="1" s="1"/>
  <c r="AF42" i="1"/>
  <c r="AG42" i="1"/>
  <c r="CU42" i="1" s="1"/>
  <c r="T42" i="1" s="1"/>
  <c r="AH42" i="1"/>
  <c r="AI42" i="1"/>
  <c r="AJ42" i="1"/>
  <c r="CX42" i="1" s="1"/>
  <c r="W42" i="1" s="1"/>
  <c r="CQ42" i="1"/>
  <c r="CR42" i="1"/>
  <c r="CS42" i="1"/>
  <c r="CT42" i="1"/>
  <c r="CV42" i="1"/>
  <c r="CW42" i="1"/>
  <c r="GL42" i="1"/>
  <c r="GO42" i="1"/>
  <c r="GP42" i="1"/>
  <c r="GV42" i="1"/>
  <c r="HC42" i="1" s="1"/>
  <c r="GX42" i="1" s="1"/>
  <c r="AC43" i="1"/>
  <c r="AB43" i="1" s="1"/>
  <c r="AE43" i="1"/>
  <c r="AD43" i="1" s="1"/>
  <c r="AF43" i="1"/>
  <c r="AG43" i="1"/>
  <c r="CU43" i="1" s="1"/>
  <c r="AH43" i="1"/>
  <c r="CV43" i="1" s="1"/>
  <c r="AI43" i="1"/>
  <c r="CW43" i="1" s="1"/>
  <c r="AJ43" i="1"/>
  <c r="CX43" i="1" s="1"/>
  <c r="CQ43" i="1"/>
  <c r="CR43" i="1"/>
  <c r="CS43" i="1"/>
  <c r="CT43" i="1"/>
  <c r="GL43" i="1"/>
  <c r="GO43" i="1"/>
  <c r="GP43" i="1"/>
  <c r="GV43" i="1"/>
  <c r="HC43" i="1" s="1"/>
  <c r="I44" i="1"/>
  <c r="K44" i="1"/>
  <c r="AC44" i="1"/>
  <c r="AE44" i="1"/>
  <c r="AD44" i="1" s="1"/>
  <c r="AF44" i="1"/>
  <c r="AG44" i="1"/>
  <c r="CU44" i="1" s="1"/>
  <c r="AH44" i="1"/>
  <c r="CV44" i="1" s="1"/>
  <c r="AI44" i="1"/>
  <c r="CW44" i="1" s="1"/>
  <c r="AJ44" i="1"/>
  <c r="CX44" i="1" s="1"/>
  <c r="CQ44" i="1"/>
  <c r="CR44" i="1"/>
  <c r="CS44" i="1"/>
  <c r="CT44" i="1"/>
  <c r="CY44" i="1"/>
  <c r="X44" i="1" s="1"/>
  <c r="CZ44" i="1"/>
  <c r="Y44" i="1" s="1"/>
  <c r="GL44" i="1"/>
  <c r="GO44" i="1"/>
  <c r="GP44" i="1"/>
  <c r="GV44" i="1"/>
  <c r="HC44" i="1" s="1"/>
  <c r="U45" i="1"/>
  <c r="AC45" i="1"/>
  <c r="AD45" i="1"/>
  <c r="AE45" i="1"/>
  <c r="AF45" i="1"/>
  <c r="AG45" i="1"/>
  <c r="CU45" i="1" s="1"/>
  <c r="T45" i="1" s="1"/>
  <c r="AH45" i="1"/>
  <c r="AI45" i="1"/>
  <c r="AJ45" i="1"/>
  <c r="CX45" i="1" s="1"/>
  <c r="W45" i="1" s="1"/>
  <c r="CQ45" i="1"/>
  <c r="P45" i="1" s="1"/>
  <c r="CR45" i="1"/>
  <c r="Q45" i="1" s="1"/>
  <c r="CS45" i="1"/>
  <c r="R45" i="1" s="1"/>
  <c r="CT45" i="1"/>
  <c r="S45" i="1" s="1"/>
  <c r="CV45" i="1"/>
  <c r="CW45" i="1"/>
  <c r="V45" i="1" s="1"/>
  <c r="GL45" i="1"/>
  <c r="GO45" i="1"/>
  <c r="GP45" i="1"/>
  <c r="GV45" i="1"/>
  <c r="HC45" i="1"/>
  <c r="GX45" i="1" s="1"/>
  <c r="B47" i="1"/>
  <c r="B26" i="1" s="1"/>
  <c r="C47" i="1"/>
  <c r="C26" i="1" s="1"/>
  <c r="D47" i="1"/>
  <c r="D26" i="1" s="1"/>
  <c r="F47" i="1"/>
  <c r="F26" i="1" s="1"/>
  <c r="G47" i="1"/>
  <c r="G26" i="1" s="1"/>
  <c r="BX47" i="1"/>
  <c r="AO47" i="1" s="1"/>
  <c r="BY47" i="1"/>
  <c r="CK47" i="1"/>
  <c r="BB47" i="1" s="1"/>
  <c r="BB26" i="1" s="1"/>
  <c r="CL47" i="1"/>
  <c r="BC47" i="1" s="1"/>
  <c r="CM47" i="1"/>
  <c r="BD47" i="1" s="1"/>
  <c r="F72" i="1" s="1"/>
  <c r="B77" i="1"/>
  <c r="B22" i="1" s="1"/>
  <c r="C77" i="1"/>
  <c r="C22" i="1" s="1"/>
  <c r="D77" i="1"/>
  <c r="D22" i="1" s="1"/>
  <c r="F77" i="1"/>
  <c r="F22" i="1" s="1"/>
  <c r="G77" i="1"/>
  <c r="G22" i="1" s="1"/>
  <c r="BD77" i="1"/>
  <c r="F102" i="1" s="1"/>
  <c r="B110" i="1"/>
  <c r="B18" i="1" s="1"/>
  <c r="C110" i="1"/>
  <c r="C18" i="1" s="1"/>
  <c r="D110" i="1"/>
  <c r="D18" i="1" s="1"/>
  <c r="F110" i="1"/>
  <c r="F18" i="1" s="1"/>
  <c r="G110" i="1"/>
  <c r="G18" i="1" s="1"/>
  <c r="F12" i="6"/>
  <c r="G12" i="6"/>
  <c r="G95" i="8" l="1"/>
  <c r="H75" i="10"/>
  <c r="G133" i="8"/>
  <c r="H113" i="10"/>
  <c r="G98" i="8"/>
  <c r="H78" i="10"/>
  <c r="DF6" i="3"/>
  <c r="GX40" i="1"/>
  <c r="F63" i="1"/>
  <c r="BC26" i="1"/>
  <c r="BC77" i="1"/>
  <c r="G202" i="8"/>
  <c r="H182" i="10"/>
  <c r="DF29" i="3"/>
  <c r="DG29" i="3"/>
  <c r="DH29" i="3"/>
  <c r="DI29" i="3"/>
  <c r="G118" i="8"/>
  <c r="H98" i="10"/>
  <c r="DI12" i="3"/>
  <c r="BA156" i="8"/>
  <c r="BA136" i="10"/>
  <c r="BA195" i="8"/>
  <c r="BA175" i="10"/>
  <c r="J148" i="8"/>
  <c r="K128" i="10"/>
  <c r="K90" i="10"/>
  <c r="J110" i="8"/>
  <c r="G71" i="8"/>
  <c r="H51" i="10"/>
  <c r="AB45" i="1"/>
  <c r="AB40" i="1"/>
  <c r="U33" i="1"/>
  <c r="AB33" i="1"/>
  <c r="CM26" i="1"/>
  <c r="J169" i="8"/>
  <c r="K149" i="10"/>
  <c r="CX13" i="3"/>
  <c r="E125" i="8"/>
  <c r="F105" i="10"/>
  <c r="GX38" i="1"/>
  <c r="U36" i="1"/>
  <c r="I36" i="1"/>
  <c r="G149" i="8"/>
  <c r="D126" i="10"/>
  <c r="E26" i="9"/>
  <c r="H121" i="10"/>
  <c r="H129" i="10"/>
  <c r="AD154" i="8"/>
  <c r="C146" i="8"/>
  <c r="AD134" i="10"/>
  <c r="AE154" i="8"/>
  <c r="G141" i="8"/>
  <c r="AE134" i="10"/>
  <c r="E25" i="9"/>
  <c r="C129" i="8"/>
  <c r="AE140" i="8"/>
  <c r="G125" i="8"/>
  <c r="AD140" i="8"/>
  <c r="D109" i="10"/>
  <c r="AD120" i="10"/>
  <c r="AE120" i="10"/>
  <c r="H105" i="10"/>
  <c r="S33" i="1"/>
  <c r="GX32" i="1"/>
  <c r="CU1" i="3"/>
  <c r="AD57" i="10"/>
  <c r="G62" i="8"/>
  <c r="D46" i="10"/>
  <c r="AD77" i="8"/>
  <c r="H42" i="10"/>
  <c r="AE77" i="8"/>
  <c r="AE57" i="10"/>
  <c r="E19" i="9"/>
  <c r="C66" i="8"/>
  <c r="CK26" i="1"/>
  <c r="H134" i="8"/>
  <c r="J134" i="8" s="1"/>
  <c r="I114" i="10"/>
  <c r="K114" i="10" s="1"/>
  <c r="DB4" i="3"/>
  <c r="K63" i="10"/>
  <c r="J83" i="8"/>
  <c r="CX3" i="3"/>
  <c r="DI3" i="3" s="1"/>
  <c r="I97" i="10"/>
  <c r="K97" i="10" s="1"/>
  <c r="H117" i="8"/>
  <c r="J117" i="8" s="1"/>
  <c r="M194" i="10"/>
  <c r="L214" i="8"/>
  <c r="W44" i="1"/>
  <c r="R33" i="1"/>
  <c r="H53" i="10"/>
  <c r="E20" i="9"/>
  <c r="AE73" i="8"/>
  <c r="AD73" i="8"/>
  <c r="AD53" i="10"/>
  <c r="G73" i="8"/>
  <c r="AE53" i="10"/>
  <c r="BX26" i="1"/>
  <c r="AD213" i="8"/>
  <c r="G211" i="8"/>
  <c r="AE193" i="10"/>
  <c r="AD193" i="10"/>
  <c r="AE213" i="8"/>
  <c r="H191" i="10"/>
  <c r="D192" i="10"/>
  <c r="E33" i="9"/>
  <c r="C212" i="8"/>
  <c r="CU27" i="3"/>
  <c r="AE173" i="10"/>
  <c r="AD173" i="10"/>
  <c r="G188" i="8"/>
  <c r="G180" i="8"/>
  <c r="E30" i="9"/>
  <c r="C185" i="8"/>
  <c r="D165" i="10"/>
  <c r="H160" i="10"/>
  <c r="AD193" i="8"/>
  <c r="H168" i="10"/>
  <c r="AE193" i="8"/>
  <c r="F121" i="10"/>
  <c r="E141" i="8"/>
  <c r="G120" i="8"/>
  <c r="H100" i="10"/>
  <c r="AD100" i="10"/>
  <c r="AE120" i="8"/>
  <c r="AD120" i="8"/>
  <c r="E24" i="9"/>
  <c r="AE100" i="10"/>
  <c r="CP45" i="1"/>
  <c r="O45" i="1" s="1"/>
  <c r="V44" i="1"/>
  <c r="F176" i="10"/>
  <c r="E196" i="8"/>
  <c r="Q33" i="1"/>
  <c r="T32" i="1"/>
  <c r="CX31" i="3"/>
  <c r="DB26" i="3"/>
  <c r="K154" i="10"/>
  <c r="J174" i="8"/>
  <c r="CX21" i="3"/>
  <c r="DH21" i="3" s="1"/>
  <c r="K111" i="10"/>
  <c r="J131" i="8"/>
  <c r="CX8" i="3"/>
  <c r="H63" i="10"/>
  <c r="G83" i="8"/>
  <c r="K48" i="10"/>
  <c r="J68" i="8"/>
  <c r="G110" i="8"/>
  <c r="H90" i="10"/>
  <c r="GX44" i="1"/>
  <c r="U44" i="1"/>
  <c r="AE210" i="8"/>
  <c r="H176" i="10"/>
  <c r="G205" i="8"/>
  <c r="C200" i="8"/>
  <c r="E32" i="9"/>
  <c r="AE190" i="10"/>
  <c r="G196" i="8"/>
  <c r="AD190" i="10"/>
  <c r="H185" i="10"/>
  <c r="D180" i="10"/>
  <c r="AD210" i="8"/>
  <c r="T39" i="1"/>
  <c r="P33" i="1"/>
  <c r="H172" i="8"/>
  <c r="J172" i="8" s="1"/>
  <c r="I152" i="10"/>
  <c r="K152" i="10" s="1"/>
  <c r="DB12" i="3"/>
  <c r="H118" i="8"/>
  <c r="J118" i="8" s="1"/>
  <c r="I98" i="10"/>
  <c r="K98" i="10" s="1"/>
  <c r="J113" i="8"/>
  <c r="K93" i="10"/>
  <c r="J95" i="8"/>
  <c r="K75" i="10"/>
  <c r="DG7" i="3"/>
  <c r="M135" i="10"/>
  <c r="L155" i="8"/>
  <c r="T44" i="1"/>
  <c r="AZ156" i="8"/>
  <c r="AZ136" i="10"/>
  <c r="K147" i="10"/>
  <c r="J167" i="8"/>
  <c r="H135" i="8"/>
  <c r="J135" i="8" s="1"/>
  <c r="I115" i="10"/>
  <c r="K115" i="10" s="1"/>
  <c r="CW9" i="3"/>
  <c r="DF7" i="3"/>
  <c r="M174" i="10"/>
  <c r="L194" i="8"/>
  <c r="AZ195" i="8"/>
  <c r="AZ175" i="10"/>
  <c r="F84" i="10"/>
  <c r="E104" i="8"/>
  <c r="T31" i="1"/>
  <c r="F69" i="10"/>
  <c r="E89" i="8"/>
  <c r="J202" i="8"/>
  <c r="K182" i="10"/>
  <c r="DB15" i="3"/>
  <c r="I113" i="10"/>
  <c r="K113" i="10" s="1"/>
  <c r="H133" i="8"/>
  <c r="J133" i="8" s="1"/>
  <c r="CW12" i="3"/>
  <c r="H115" i="8"/>
  <c r="J115" i="8" s="1"/>
  <c r="I95" i="10"/>
  <c r="K95" i="10" s="1"/>
  <c r="H98" i="8"/>
  <c r="J98" i="8" s="1"/>
  <c r="I78" i="10"/>
  <c r="K78" i="10" s="1"/>
  <c r="H71" i="8"/>
  <c r="J71" i="8" s="1"/>
  <c r="I51" i="10"/>
  <c r="K51" i="10" s="1"/>
  <c r="BA193" i="10"/>
  <c r="BA213" i="8"/>
  <c r="CP41" i="1"/>
  <c r="O41" i="1" s="1"/>
  <c r="GM41" i="1" s="1"/>
  <c r="GN41" i="1" s="1"/>
  <c r="E157" i="8"/>
  <c r="F137" i="10"/>
  <c r="CX9" i="3"/>
  <c r="DI9" i="3" s="1"/>
  <c r="AE104" i="10"/>
  <c r="D88" i="10"/>
  <c r="AD104" i="10"/>
  <c r="H84" i="10"/>
  <c r="C108" i="8"/>
  <c r="AE124" i="8"/>
  <c r="AD124" i="8"/>
  <c r="E23" i="9"/>
  <c r="G104" i="8"/>
  <c r="G89" i="8"/>
  <c r="H69" i="10"/>
  <c r="AE103" i="8"/>
  <c r="E22" i="9"/>
  <c r="AD103" i="8"/>
  <c r="D73" i="10"/>
  <c r="C93" i="8"/>
  <c r="AE83" i="10"/>
  <c r="AD83" i="10"/>
  <c r="J204" i="8"/>
  <c r="K184" i="10"/>
  <c r="J164" i="8"/>
  <c r="K144" i="10"/>
  <c r="DB18" i="3"/>
  <c r="DB7" i="3"/>
  <c r="CU5" i="3"/>
  <c r="E62" i="8"/>
  <c r="F42" i="10"/>
  <c r="AZ193" i="10"/>
  <c r="AZ213" i="8"/>
  <c r="E211" i="8"/>
  <c r="F191" i="10"/>
  <c r="E180" i="8"/>
  <c r="F160" i="10"/>
  <c r="H137" i="10"/>
  <c r="AE179" i="8"/>
  <c r="AD179" i="8"/>
  <c r="G157" i="8"/>
  <c r="C162" i="8"/>
  <c r="E29" i="9"/>
  <c r="AD159" i="10"/>
  <c r="AE159" i="10"/>
  <c r="D142" i="10"/>
  <c r="K167" i="10"/>
  <c r="J187" i="8"/>
  <c r="DB25" i="3"/>
  <c r="H173" i="8"/>
  <c r="J173" i="8" s="1"/>
  <c r="I153" i="10"/>
  <c r="K153" i="10" s="1"/>
  <c r="DB23" i="3"/>
  <c r="CW2" i="3"/>
  <c r="V28" i="1" s="1"/>
  <c r="G70" i="8" s="1"/>
  <c r="H77" i="10"/>
  <c r="G97" i="8"/>
  <c r="CC47" i="1"/>
  <c r="CC26" i="1" s="1"/>
  <c r="G94" i="8"/>
  <c r="H74" i="10"/>
  <c r="H62" i="10"/>
  <c r="G82" i="8"/>
  <c r="AB38" i="1"/>
  <c r="AB28" i="1"/>
  <c r="AB34" i="1"/>
  <c r="AB30" i="1"/>
  <c r="CD47" i="1"/>
  <c r="AU47" i="1" s="1"/>
  <c r="AB29" i="1"/>
  <c r="DF13" i="3"/>
  <c r="DJ13" i="3" s="1"/>
  <c r="DG13" i="3"/>
  <c r="DH13" i="3"/>
  <c r="DI13" i="3"/>
  <c r="DI21" i="3"/>
  <c r="DJ21" i="3" s="1"/>
  <c r="DG21" i="3"/>
  <c r="CW23" i="3"/>
  <c r="CX23" i="3"/>
  <c r="CX25" i="3"/>
  <c r="CX22" i="3"/>
  <c r="S40" i="1"/>
  <c r="CZ45" i="1"/>
  <c r="Y45" i="1" s="1"/>
  <c r="CY45" i="1"/>
  <c r="X45" i="1" s="1"/>
  <c r="GM45" i="1" s="1"/>
  <c r="GN45" i="1" s="1"/>
  <c r="R40" i="1"/>
  <c r="CP40" i="1" s="1"/>
  <c r="O40" i="1" s="1"/>
  <c r="AB39" i="1"/>
  <c r="CX26" i="3"/>
  <c r="AB35" i="1"/>
  <c r="BD22" i="1"/>
  <c r="BD110" i="1"/>
  <c r="AB42" i="1"/>
  <c r="DJ29" i="3"/>
  <c r="BB77" i="1"/>
  <c r="CW10" i="3"/>
  <c r="CX10" i="3"/>
  <c r="DF3" i="3"/>
  <c r="DJ3" i="3" s="1"/>
  <c r="DG3" i="3"/>
  <c r="DH3" i="3"/>
  <c r="AB32" i="1"/>
  <c r="Q40" i="1"/>
  <c r="DF2" i="3"/>
  <c r="DH2" i="3"/>
  <c r="DI2" i="3"/>
  <c r="DG2" i="3"/>
  <c r="BC22" i="1"/>
  <c r="BC110" i="1"/>
  <c r="F93" i="1"/>
  <c r="W38" i="1"/>
  <c r="V40" i="1"/>
  <c r="AB31" i="1"/>
  <c r="DG31" i="3"/>
  <c r="DF31" i="3"/>
  <c r="DJ31" i="3" s="1"/>
  <c r="DH31" i="3"/>
  <c r="DI31" i="3"/>
  <c r="BZ47" i="1"/>
  <c r="DF19" i="3"/>
  <c r="DJ19" i="3" s="1"/>
  <c r="DG19" i="3"/>
  <c r="DH19" i="3"/>
  <c r="DI19" i="3"/>
  <c r="DF8" i="3"/>
  <c r="DG8" i="3"/>
  <c r="CV18" i="3"/>
  <c r="U35" i="1" s="1"/>
  <c r="CX18" i="3"/>
  <c r="CV20" i="3"/>
  <c r="U38" i="1" s="1"/>
  <c r="CX20" i="3"/>
  <c r="W40" i="1"/>
  <c r="DF5" i="3"/>
  <c r="P31" i="1" s="1"/>
  <c r="DG5" i="3"/>
  <c r="DH5" i="3"/>
  <c r="DI5" i="3"/>
  <c r="U40" i="1"/>
  <c r="F60" i="1"/>
  <c r="W39" i="1"/>
  <c r="CP37" i="1"/>
  <c r="O37" i="1" s="1"/>
  <c r="GM37" i="1" s="1"/>
  <c r="GN37" i="1" s="1"/>
  <c r="DH15" i="3"/>
  <c r="DF15" i="3"/>
  <c r="DG15" i="3"/>
  <c r="DI15" i="3"/>
  <c r="CY33" i="1"/>
  <c r="X33" i="1" s="1"/>
  <c r="CZ33" i="1"/>
  <c r="Y33" i="1" s="1"/>
  <c r="V43" i="1"/>
  <c r="T38" i="1"/>
  <c r="CU20" i="3"/>
  <c r="CX28" i="3"/>
  <c r="R44" i="1"/>
  <c r="S44" i="1"/>
  <c r="P44" i="1"/>
  <c r="Q44" i="1"/>
  <c r="P29" i="1"/>
  <c r="Q29" i="1"/>
  <c r="R29" i="1"/>
  <c r="AO77" i="1"/>
  <c r="AO26" i="1"/>
  <c r="AB44" i="1"/>
  <c r="F51" i="1"/>
  <c r="CV27" i="3"/>
  <c r="U39" i="1" s="1"/>
  <c r="CX27" i="3"/>
  <c r="CX14" i="3"/>
  <c r="CV14" i="3"/>
  <c r="U34" i="1" s="1"/>
  <c r="DF12" i="3"/>
  <c r="DG12" i="3"/>
  <c r="DH12" i="3"/>
  <c r="DF4" i="3"/>
  <c r="P30" i="1" s="1"/>
  <c r="DG4" i="3"/>
  <c r="Q30" i="1" s="1"/>
  <c r="DH4" i="3"/>
  <c r="R30" i="1" s="1"/>
  <c r="DI4" i="3"/>
  <c r="CW22" i="3"/>
  <c r="T40" i="1"/>
  <c r="W29" i="1"/>
  <c r="AB37" i="1"/>
  <c r="BY26" i="1"/>
  <c r="AP47" i="1"/>
  <c r="DG6" i="3"/>
  <c r="DH6" i="3"/>
  <c r="DI6" i="3"/>
  <c r="V29" i="1"/>
  <c r="P43" i="1"/>
  <c r="W35" i="1"/>
  <c r="CX16" i="3"/>
  <c r="CU14" i="3"/>
  <c r="U29" i="1"/>
  <c r="S36" i="1"/>
  <c r="Q36" i="1"/>
  <c r="S29" i="1"/>
  <c r="CW11" i="3"/>
  <c r="CU7" i="3"/>
  <c r="DH7" i="3"/>
  <c r="DI7" i="3"/>
  <c r="I43" i="1"/>
  <c r="W43" i="1" s="1"/>
  <c r="CX30" i="3"/>
  <c r="CU29" i="3"/>
  <c r="CV29" i="3"/>
  <c r="U42" i="1" s="1"/>
  <c r="R36" i="1"/>
  <c r="CX17" i="3"/>
  <c r="CX11" i="3"/>
  <c r="CV7" i="3"/>
  <c r="U32" i="1" s="1"/>
  <c r="CX24" i="3"/>
  <c r="CV1" i="3"/>
  <c r="U28" i="1" s="1"/>
  <c r="CX1" i="3"/>
  <c r="BA198" i="10" l="1"/>
  <c r="BA221" i="8"/>
  <c r="L220" i="8" s="1"/>
  <c r="AT47" i="1"/>
  <c r="DI8" i="3"/>
  <c r="DJ8" i="3" s="1"/>
  <c r="DH8" i="3"/>
  <c r="H50" i="10"/>
  <c r="AZ120" i="8"/>
  <c r="AZ100" i="10"/>
  <c r="H152" i="10"/>
  <c r="G172" i="8"/>
  <c r="L71" i="8"/>
  <c r="L69" i="8" s="1"/>
  <c r="AO77" i="8" s="1"/>
  <c r="M51" i="10"/>
  <c r="M49" i="10" s="1"/>
  <c r="AO57" i="10" s="1"/>
  <c r="P36" i="1"/>
  <c r="E27" i="9"/>
  <c r="DH9" i="3"/>
  <c r="G113" i="8"/>
  <c r="H93" i="10"/>
  <c r="DF9" i="3"/>
  <c r="DG9" i="3"/>
  <c r="K156" i="8"/>
  <c r="I156" i="8" s="1"/>
  <c r="AX156" i="8"/>
  <c r="AW156" i="8"/>
  <c r="AN156" i="8"/>
  <c r="L120" i="8"/>
  <c r="M100" i="10"/>
  <c r="G164" i="8"/>
  <c r="H144" i="10"/>
  <c r="G135" i="8"/>
  <c r="H115" i="10"/>
  <c r="CP36" i="1"/>
  <c r="O36" i="1" s="1"/>
  <c r="L211" i="8"/>
  <c r="M191" i="10"/>
  <c r="H128" i="10"/>
  <c r="G148" i="8"/>
  <c r="G169" i="8"/>
  <c r="H149" i="10"/>
  <c r="AN195" i="8"/>
  <c r="AX195" i="8"/>
  <c r="K195" i="8"/>
  <c r="I195" i="8" s="1"/>
  <c r="AW195" i="8"/>
  <c r="AN136" i="10"/>
  <c r="AW136" i="10"/>
  <c r="AX136" i="10"/>
  <c r="L136" i="10"/>
  <c r="J136" i="10" s="1"/>
  <c r="H97" i="10"/>
  <c r="G117" i="8"/>
  <c r="G131" i="8"/>
  <c r="H111" i="10"/>
  <c r="L175" i="10"/>
  <c r="J175" i="10" s="1"/>
  <c r="AN175" i="10"/>
  <c r="AW175" i="10"/>
  <c r="AX175" i="10"/>
  <c r="L202" i="8"/>
  <c r="L201" i="8" s="1"/>
  <c r="M182" i="10"/>
  <c r="M181" i="10" s="1"/>
  <c r="M78" i="10"/>
  <c r="M76" i="10" s="1"/>
  <c r="AO83" i="10" s="1"/>
  <c r="L98" i="8"/>
  <c r="L96" i="8" s="1"/>
  <c r="AO103" i="8" s="1"/>
  <c r="G173" i="8"/>
  <c r="H153" i="10"/>
  <c r="H150" i="10"/>
  <c r="H148" i="10"/>
  <c r="H167" i="10"/>
  <c r="G187" i="8"/>
  <c r="G114" i="8"/>
  <c r="G116" i="8"/>
  <c r="AO221" i="8"/>
  <c r="K221" i="8"/>
  <c r="I221" i="8" s="1"/>
  <c r="AN221" i="8"/>
  <c r="L118" i="8"/>
  <c r="M98" i="10"/>
  <c r="G174" i="8"/>
  <c r="H154" i="10"/>
  <c r="L198" i="10"/>
  <c r="J198" i="10" s="1"/>
  <c r="AO198" i="10"/>
  <c r="AN198" i="10"/>
  <c r="L73" i="8"/>
  <c r="M53" i="10"/>
  <c r="U43" i="1"/>
  <c r="H184" i="10"/>
  <c r="G204" i="8"/>
  <c r="H114" i="10"/>
  <c r="G134" i="8"/>
  <c r="V38" i="1"/>
  <c r="G166" i="8" s="1"/>
  <c r="CP33" i="1"/>
  <c r="O33" i="1" s="1"/>
  <c r="GM33" i="1" s="1"/>
  <c r="GN33" i="1" s="1"/>
  <c r="DF21" i="3"/>
  <c r="G170" i="8"/>
  <c r="G168" i="8"/>
  <c r="DJ15" i="3"/>
  <c r="L133" i="8"/>
  <c r="M113" i="10"/>
  <c r="M63" i="10"/>
  <c r="M62" i="10" s="1"/>
  <c r="L83" i="8"/>
  <c r="L82" i="8" s="1"/>
  <c r="L95" i="8"/>
  <c r="L94" i="8" s="1"/>
  <c r="M75" i="10"/>
  <c r="M74" i="10" s="1"/>
  <c r="V36" i="1"/>
  <c r="GX36" i="1"/>
  <c r="G167" i="8"/>
  <c r="H147" i="10"/>
  <c r="L110" i="8"/>
  <c r="L109" i="8" s="1"/>
  <c r="M90" i="10"/>
  <c r="M89" i="10" s="1"/>
  <c r="H48" i="10"/>
  <c r="G68" i="8"/>
  <c r="BA120" i="8"/>
  <c r="BA100" i="10"/>
  <c r="G115" i="8"/>
  <c r="H95" i="10"/>
  <c r="AZ198" i="10"/>
  <c r="AZ221" i="8"/>
  <c r="L219" i="8" s="1"/>
  <c r="H94" i="10"/>
  <c r="H96" i="10"/>
  <c r="W36" i="1"/>
  <c r="AJ47" i="1" s="1"/>
  <c r="T36" i="1"/>
  <c r="H181" i="10"/>
  <c r="G201" i="8"/>
  <c r="G67" i="8"/>
  <c r="H47" i="10"/>
  <c r="H110" i="10"/>
  <c r="G130" i="8"/>
  <c r="G163" i="8"/>
  <c r="H143" i="10"/>
  <c r="H89" i="10"/>
  <c r="G109" i="8"/>
  <c r="G186" i="8"/>
  <c r="H166" i="10"/>
  <c r="H127" i="10"/>
  <c r="G147" i="8"/>
  <c r="CD26" i="1"/>
  <c r="DI28" i="3"/>
  <c r="DG28" i="3"/>
  <c r="DH28" i="3"/>
  <c r="DF28" i="3"/>
  <c r="DJ28" i="3" s="1"/>
  <c r="R31" i="1"/>
  <c r="DF26" i="3"/>
  <c r="DG26" i="3"/>
  <c r="DH26" i="3"/>
  <c r="DI26" i="3"/>
  <c r="AH47" i="1"/>
  <c r="DF20" i="3"/>
  <c r="P38" i="1" s="1"/>
  <c r="DG20" i="3"/>
  <c r="DH20" i="3"/>
  <c r="DI20" i="3"/>
  <c r="CY40" i="1"/>
  <c r="X40" i="1" s="1"/>
  <c r="CZ40" i="1"/>
  <c r="Y40" i="1" s="1"/>
  <c r="GM40" i="1" s="1"/>
  <c r="GN40" i="1" s="1"/>
  <c r="S30" i="1"/>
  <c r="CP30" i="1" s="1"/>
  <c r="O30" i="1" s="1"/>
  <c r="DJ4" i="3"/>
  <c r="DF25" i="3"/>
  <c r="DG25" i="3"/>
  <c r="DI25" i="3"/>
  <c r="DH25" i="3"/>
  <c r="DF16" i="3"/>
  <c r="DH16" i="3"/>
  <c r="DI16" i="3"/>
  <c r="DG16" i="3"/>
  <c r="CP29" i="1"/>
  <c r="O29" i="1" s="1"/>
  <c r="DJ6" i="3"/>
  <c r="Q31" i="1"/>
  <c r="CY36" i="1"/>
  <c r="X36" i="1" s="1"/>
  <c r="GM36" i="1" s="1"/>
  <c r="GN36" i="1" s="1"/>
  <c r="CZ36" i="1"/>
  <c r="Y36" i="1" s="1"/>
  <c r="F65" i="1"/>
  <c r="AT77" i="1"/>
  <c r="AT26" i="1"/>
  <c r="DF10" i="3"/>
  <c r="DG10" i="3"/>
  <c r="DH10" i="3"/>
  <c r="DI10" i="3"/>
  <c r="DG17" i="3"/>
  <c r="DF17" i="3"/>
  <c r="DH17" i="3"/>
  <c r="DI17" i="3"/>
  <c r="F126" i="1"/>
  <c r="BC18" i="1"/>
  <c r="CP44" i="1"/>
  <c r="O44" i="1" s="1"/>
  <c r="GM44" i="1" s="1"/>
  <c r="GN44" i="1" s="1"/>
  <c r="DJ7" i="3"/>
  <c r="S31" i="1"/>
  <c r="DJ5" i="3"/>
  <c r="BZ26" i="1"/>
  <c r="AQ47" i="1"/>
  <c r="CG47" i="1"/>
  <c r="CI47" i="1"/>
  <c r="DF11" i="3"/>
  <c r="DG11" i="3"/>
  <c r="DH11" i="3"/>
  <c r="DI11" i="3"/>
  <c r="DG22" i="3"/>
  <c r="DI22" i="3"/>
  <c r="DH22" i="3"/>
  <c r="DF22" i="3"/>
  <c r="V32" i="1"/>
  <c r="DF23" i="3"/>
  <c r="DI23" i="3"/>
  <c r="DG23" i="3"/>
  <c r="DH23" i="3"/>
  <c r="DF30" i="3"/>
  <c r="DG30" i="3"/>
  <c r="Q42" i="1" s="1"/>
  <c r="DH30" i="3"/>
  <c r="R42" i="1" s="1"/>
  <c r="DI30" i="3"/>
  <c r="S42" i="1" s="1"/>
  <c r="DG14" i="3"/>
  <c r="Q34" i="1" s="1"/>
  <c r="DH14" i="3"/>
  <c r="DI14" i="3"/>
  <c r="DF14" i="3"/>
  <c r="DF27" i="3"/>
  <c r="P39" i="1" s="1"/>
  <c r="DG27" i="3"/>
  <c r="Q39" i="1" s="1"/>
  <c r="DH27" i="3"/>
  <c r="R39" i="1" s="1"/>
  <c r="DI27" i="3"/>
  <c r="AP77" i="1"/>
  <c r="AP26" i="1"/>
  <c r="F56" i="1"/>
  <c r="DF1" i="3"/>
  <c r="P28" i="1" s="1"/>
  <c r="DG1" i="3"/>
  <c r="Q28" i="1" s="1"/>
  <c r="DI1" i="3"/>
  <c r="DH1" i="3"/>
  <c r="R28" i="1" s="1"/>
  <c r="CY29" i="1"/>
  <c r="X29" i="1" s="1"/>
  <c r="CZ29" i="1"/>
  <c r="Y29" i="1" s="1"/>
  <c r="DI24" i="3"/>
  <c r="DH24" i="3"/>
  <c r="DF24" i="3"/>
  <c r="DG24" i="3"/>
  <c r="F81" i="1"/>
  <c r="AO22" i="1"/>
  <c r="AO110" i="1"/>
  <c r="DF18" i="3"/>
  <c r="P35" i="1" s="1"/>
  <c r="DH18" i="3"/>
  <c r="R35" i="1" s="1"/>
  <c r="DI18" i="3"/>
  <c r="DG18" i="3"/>
  <c r="Q35" i="1" s="1"/>
  <c r="BB22" i="1"/>
  <c r="BB110" i="1"/>
  <c r="F90" i="1"/>
  <c r="AU26" i="1"/>
  <c r="AU77" i="1"/>
  <c r="F66" i="1"/>
  <c r="DJ12" i="3"/>
  <c r="DJ2" i="3"/>
  <c r="R43" i="1"/>
  <c r="S43" i="1"/>
  <c r="Q43" i="1"/>
  <c r="CP43" i="1" s="1"/>
  <c r="O43" i="1" s="1"/>
  <c r="T43" i="1"/>
  <c r="AG47" i="1" s="1"/>
  <c r="BD18" i="1"/>
  <c r="F135" i="1"/>
  <c r="GX43" i="1"/>
  <c r="CJ47" i="1" s="1"/>
  <c r="W47" i="1" l="1"/>
  <c r="AJ26" i="1"/>
  <c r="DJ16" i="3"/>
  <c r="L134" i="8"/>
  <c r="M114" i="10"/>
  <c r="AN120" i="8"/>
  <c r="AW120" i="8"/>
  <c r="DJ22" i="3"/>
  <c r="M147" i="10"/>
  <c r="L167" i="8"/>
  <c r="AR83" i="10"/>
  <c r="M80" i="10" s="1"/>
  <c r="M79" i="10"/>
  <c r="DJ24" i="3"/>
  <c r="L172" i="8"/>
  <c r="L171" i="8" s="1"/>
  <c r="AW179" i="8" s="1"/>
  <c r="M152" i="10"/>
  <c r="M151" i="10" s="1"/>
  <c r="AW159" i="10" s="1"/>
  <c r="L187" i="8"/>
  <c r="L186" i="8" s="1"/>
  <c r="M167" i="10"/>
  <c r="M166" i="10" s="1"/>
  <c r="L117" i="8"/>
  <c r="M97" i="10"/>
  <c r="DJ25" i="3"/>
  <c r="L173" i="8"/>
  <c r="M153" i="10"/>
  <c r="M64" i="10"/>
  <c r="AR68" i="10"/>
  <c r="M65" i="10" s="1"/>
  <c r="L193" i="10"/>
  <c r="J193" i="10" s="1"/>
  <c r="AN193" i="10"/>
  <c r="AW193" i="10"/>
  <c r="AR88" i="8"/>
  <c r="L85" i="8" s="1"/>
  <c r="L84" i="8"/>
  <c r="M150" i="10"/>
  <c r="L170" i="8"/>
  <c r="DJ26" i="3"/>
  <c r="M154" i="10"/>
  <c r="L174" i="8"/>
  <c r="M330" i="10"/>
  <c r="M226" i="10"/>
  <c r="K213" i="8"/>
  <c r="I213" i="8" s="1"/>
  <c r="AW213" i="8"/>
  <c r="AN213" i="8"/>
  <c r="L113" i="8"/>
  <c r="M93" i="10"/>
  <c r="DJ9" i="3"/>
  <c r="L169" i="8"/>
  <c r="M149" i="10"/>
  <c r="AR104" i="10"/>
  <c r="AR190" i="10"/>
  <c r="M187" i="10" s="1"/>
  <c r="L204" i="8"/>
  <c r="L203" i="8" s="1"/>
  <c r="AW210" i="8" s="1"/>
  <c r="M184" i="10"/>
  <c r="M183" i="10" s="1"/>
  <c r="AW190" i="10" s="1"/>
  <c r="DJ17" i="3"/>
  <c r="M115" i="10"/>
  <c r="L135" i="8"/>
  <c r="AR124" i="8"/>
  <c r="AW53" i="10"/>
  <c r="AN53" i="10"/>
  <c r="AR210" i="8"/>
  <c r="L207" i="8" s="1"/>
  <c r="L249" i="8"/>
  <c r="L353" i="8"/>
  <c r="BA73" i="8"/>
  <c r="BA53" i="10"/>
  <c r="AZ73" i="8"/>
  <c r="AZ53" i="10"/>
  <c r="AW73" i="8"/>
  <c r="AN73" i="8"/>
  <c r="M111" i="10"/>
  <c r="M110" i="10" s="1"/>
  <c r="L131" i="8"/>
  <c r="L130" i="8" s="1"/>
  <c r="S32" i="1"/>
  <c r="L164" i="8"/>
  <c r="L163" i="8" s="1"/>
  <c r="M144" i="10"/>
  <c r="M143" i="10" s="1"/>
  <c r="M94" i="10"/>
  <c r="M92" i="10" s="1"/>
  <c r="L114" i="8"/>
  <c r="L112" i="8" s="1"/>
  <c r="AR103" i="8"/>
  <c r="L100" i="8" s="1"/>
  <c r="L99" i="8"/>
  <c r="L148" i="8"/>
  <c r="L147" i="8" s="1"/>
  <c r="M128" i="10"/>
  <c r="M127" i="10" s="1"/>
  <c r="L68" i="8"/>
  <c r="L67" i="8" s="1"/>
  <c r="M48" i="10"/>
  <c r="M47" i="10" s="1"/>
  <c r="R34" i="1"/>
  <c r="R32" i="1"/>
  <c r="L116" i="8"/>
  <c r="M96" i="10"/>
  <c r="R38" i="1"/>
  <c r="H146" i="10"/>
  <c r="L168" i="8"/>
  <c r="L166" i="8" s="1"/>
  <c r="M148" i="10"/>
  <c r="L115" i="8"/>
  <c r="M95" i="10"/>
  <c r="AW100" i="10"/>
  <c r="AN100" i="10"/>
  <c r="AI47" i="1"/>
  <c r="H92" i="10"/>
  <c r="G112" i="8"/>
  <c r="CP31" i="1"/>
  <c r="O31" i="1" s="1"/>
  <c r="CY32" i="1"/>
  <c r="X32" i="1" s="1"/>
  <c r="CZ32" i="1"/>
  <c r="Y32" i="1" s="1"/>
  <c r="F96" i="1"/>
  <c r="C52" i="8" s="1"/>
  <c r="AU110" i="1"/>
  <c r="AU22" i="1"/>
  <c r="AH26" i="1"/>
  <c r="U47" i="1"/>
  <c r="BB18" i="1"/>
  <c r="F123" i="1"/>
  <c r="DJ30" i="3"/>
  <c r="P42" i="1"/>
  <c r="CP42" i="1" s="1"/>
  <c r="O42" i="1" s="1"/>
  <c r="BA47" i="1"/>
  <c r="CJ26" i="1"/>
  <c r="DJ10" i="3"/>
  <c r="Q32" i="1"/>
  <c r="P32" i="1"/>
  <c r="Q38" i="1"/>
  <c r="AE47" i="1"/>
  <c r="S35" i="1"/>
  <c r="CP35" i="1" s="1"/>
  <c r="O35" i="1" s="1"/>
  <c r="DJ18" i="3"/>
  <c r="AG26" i="1"/>
  <c r="T47" i="1"/>
  <c r="CY30" i="1"/>
  <c r="X30" i="1" s="1"/>
  <c r="CZ30" i="1"/>
  <c r="Y30" i="1" s="1"/>
  <c r="CY42" i="1"/>
  <c r="X42" i="1" s="1"/>
  <c r="CZ42" i="1"/>
  <c r="Y42" i="1" s="1"/>
  <c r="GM29" i="1"/>
  <c r="GN29" i="1" s="1"/>
  <c r="S28" i="1"/>
  <c r="DJ1" i="3"/>
  <c r="AZ47" i="1"/>
  <c r="CI26" i="1"/>
  <c r="CG26" i="1"/>
  <c r="AX47" i="1"/>
  <c r="AP22" i="1"/>
  <c r="F86" i="1"/>
  <c r="AP110" i="1"/>
  <c r="AO18" i="1"/>
  <c r="F114" i="1"/>
  <c r="F95" i="1"/>
  <c r="AT22" i="1"/>
  <c r="AT110" i="1"/>
  <c r="CZ43" i="1"/>
  <c r="Y43" i="1" s="1"/>
  <c r="CY43" i="1"/>
  <c r="X43" i="1" s="1"/>
  <c r="GM43" i="1" s="1"/>
  <c r="GN43" i="1" s="1"/>
  <c r="CY31" i="1"/>
  <c r="X31" i="1" s="1"/>
  <c r="CZ31" i="1"/>
  <c r="Y31" i="1" s="1"/>
  <c r="P34" i="1"/>
  <c r="F71" i="1"/>
  <c r="W26" i="1"/>
  <c r="W77" i="1"/>
  <c r="DJ11" i="3"/>
  <c r="AQ77" i="1"/>
  <c r="F57" i="1"/>
  <c r="AQ26" i="1"/>
  <c r="DJ23" i="3"/>
  <c r="S39" i="1"/>
  <c r="DJ27" i="3"/>
  <c r="AI26" i="1"/>
  <c r="V47" i="1"/>
  <c r="DJ14" i="3"/>
  <c r="S34" i="1"/>
  <c r="DJ20" i="3"/>
  <c r="S38" i="1"/>
  <c r="M52" i="10" l="1"/>
  <c r="AR57" i="10"/>
  <c r="AR120" i="10"/>
  <c r="M117" i="10" s="1"/>
  <c r="M247" i="10"/>
  <c r="M245" i="10" s="1"/>
  <c r="L72" i="8"/>
  <c r="AR77" i="8"/>
  <c r="CP32" i="1"/>
  <c r="O32" i="1" s="1"/>
  <c r="GM32" i="1" s="1"/>
  <c r="GN32" i="1" s="1"/>
  <c r="M146" i="10"/>
  <c r="L189" i="8"/>
  <c r="AR193" i="8"/>
  <c r="L190" i="8" s="1"/>
  <c r="M130" i="10"/>
  <c r="AR134" i="10"/>
  <c r="M131" i="10" s="1"/>
  <c r="L341" i="8"/>
  <c r="L339" i="8" s="1"/>
  <c r="L165" i="8"/>
  <c r="AO179" i="8" s="1"/>
  <c r="AT179" i="8"/>
  <c r="AT124" i="8"/>
  <c r="L111" i="8"/>
  <c r="AT104" i="10"/>
  <c r="M91" i="10"/>
  <c r="M112" i="10"/>
  <c r="AW120" i="10" s="1"/>
  <c r="M211" i="10" s="1"/>
  <c r="M209" i="10" s="1"/>
  <c r="M169" i="10"/>
  <c r="AR173" i="10"/>
  <c r="M170" i="10" s="1"/>
  <c r="G16" i="2"/>
  <c r="C51" i="8"/>
  <c r="AR159" i="10"/>
  <c r="L132" i="8"/>
  <c r="AW140" i="8" s="1"/>
  <c r="L234" i="8" s="1"/>
  <c r="L232" i="8" s="1"/>
  <c r="GM42" i="1"/>
  <c r="GN42" i="1" s="1"/>
  <c r="AR179" i="8"/>
  <c r="L176" i="8" s="1"/>
  <c r="L175" i="8"/>
  <c r="L206" i="8"/>
  <c r="M186" i="10"/>
  <c r="AR154" i="8"/>
  <c r="L151" i="8" s="1"/>
  <c r="L150" i="8"/>
  <c r="L136" i="8"/>
  <c r="AR140" i="8"/>
  <c r="L137" i="8" s="1"/>
  <c r="M101" i="10"/>
  <c r="AZ210" i="8"/>
  <c r="L208" i="8" s="1"/>
  <c r="AZ190" i="10"/>
  <c r="M188" i="10" s="1"/>
  <c r="BA68" i="10"/>
  <c r="M67" i="10" s="1"/>
  <c r="BA88" i="8"/>
  <c r="F16" i="2"/>
  <c r="C50" i="8"/>
  <c r="AZ68" i="10"/>
  <c r="M66" i="10" s="1"/>
  <c r="AZ88" i="8"/>
  <c r="L86" i="8" s="1"/>
  <c r="BA104" i="10"/>
  <c r="M103" i="10" s="1"/>
  <c r="BA124" i="8"/>
  <c r="L123" i="8" s="1"/>
  <c r="AZ104" i="10"/>
  <c r="M102" i="10" s="1"/>
  <c r="AZ124" i="8"/>
  <c r="L122" i="8" s="1"/>
  <c r="BA190" i="10"/>
  <c r="M189" i="10" s="1"/>
  <c r="BA210" i="8"/>
  <c r="L209" i="8" s="1"/>
  <c r="AD47" i="1"/>
  <c r="Q47" i="1" s="1"/>
  <c r="BA103" i="8"/>
  <c r="L102" i="8" s="1"/>
  <c r="BA83" i="10"/>
  <c r="M82" i="10" s="1"/>
  <c r="AZ103" i="8"/>
  <c r="L101" i="8" s="1"/>
  <c r="AZ83" i="10"/>
  <c r="M81" i="10" s="1"/>
  <c r="GM30" i="1"/>
  <c r="GN30" i="1" s="1"/>
  <c r="GM31" i="1"/>
  <c r="GN31" i="1" s="1"/>
  <c r="CP34" i="1"/>
  <c r="O34" i="1" s="1"/>
  <c r="AZ26" i="1"/>
  <c r="AZ77" i="1"/>
  <c r="F58" i="1"/>
  <c r="BA77" i="1"/>
  <c r="BA26" i="1"/>
  <c r="F67" i="1"/>
  <c r="CY38" i="1"/>
  <c r="X38" i="1" s="1"/>
  <c r="CZ38" i="1"/>
  <c r="Y38" i="1" s="1"/>
  <c r="AU18" i="1"/>
  <c r="F129" i="1"/>
  <c r="AC47" i="1"/>
  <c r="CY28" i="1"/>
  <c r="X28" i="1" s="1"/>
  <c r="CZ28" i="1"/>
  <c r="Y28" i="1" s="1"/>
  <c r="AF47" i="1"/>
  <c r="AQ22" i="1"/>
  <c r="F87" i="1"/>
  <c r="AQ110" i="1"/>
  <c r="T26" i="1"/>
  <c r="F68" i="1"/>
  <c r="T77" i="1"/>
  <c r="W22" i="1"/>
  <c r="W110" i="1"/>
  <c r="F101" i="1"/>
  <c r="AX26" i="1"/>
  <c r="F54" i="1"/>
  <c r="AX77" i="1"/>
  <c r="CP38" i="1"/>
  <c r="O38" i="1" s="1"/>
  <c r="AT18" i="1"/>
  <c r="F128" i="1"/>
  <c r="CZ39" i="1"/>
  <c r="Y39" i="1" s="1"/>
  <c r="CY39" i="1"/>
  <c r="X39" i="1" s="1"/>
  <c r="AP18" i="1"/>
  <c r="F119" i="1"/>
  <c r="F69" i="1"/>
  <c r="U77" i="1"/>
  <c r="U26" i="1"/>
  <c r="CZ35" i="1"/>
  <c r="Y35" i="1" s="1"/>
  <c r="CY35" i="1"/>
  <c r="X35" i="1" s="1"/>
  <c r="CY34" i="1"/>
  <c r="X34" i="1" s="1"/>
  <c r="CZ34" i="1"/>
  <c r="Y34" i="1" s="1"/>
  <c r="AE26" i="1"/>
  <c r="R47" i="1"/>
  <c r="CP39" i="1"/>
  <c r="O39" i="1" s="1"/>
  <c r="V77" i="1"/>
  <c r="F70" i="1"/>
  <c r="V26" i="1"/>
  <c r="CP28" i="1"/>
  <c r="O28" i="1" s="1"/>
  <c r="AO104" i="10" l="1"/>
  <c r="M99" i="10"/>
  <c r="M243" i="10"/>
  <c r="M145" i="10"/>
  <c r="AT159" i="10"/>
  <c r="M314" i="10" s="1"/>
  <c r="L230" i="8"/>
  <c r="L266" i="8"/>
  <c r="K48" i="8"/>
  <c r="L337" i="8"/>
  <c r="L74" i="8"/>
  <c r="L261" i="8"/>
  <c r="L344" i="8"/>
  <c r="K47" i="8"/>
  <c r="L273" i="8"/>
  <c r="L225" i="8"/>
  <c r="L237" i="8"/>
  <c r="L332" i="8"/>
  <c r="M318" i="10"/>
  <c r="M316" i="10" s="1"/>
  <c r="M156" i="10"/>
  <c r="L270" i="8"/>
  <c r="L268" i="8" s="1"/>
  <c r="AO124" i="8"/>
  <c r="L119" i="8"/>
  <c r="M116" i="10"/>
  <c r="L121" i="8"/>
  <c r="M238" i="10"/>
  <c r="M54" i="10"/>
  <c r="M202" i="10"/>
  <c r="M321" i="10"/>
  <c r="M250" i="10"/>
  <c r="M309" i="10"/>
  <c r="M214" i="10"/>
  <c r="GM35" i="1"/>
  <c r="GN35" i="1" s="1"/>
  <c r="AZ134" i="10"/>
  <c r="M132" i="10" s="1"/>
  <c r="AZ154" i="8"/>
  <c r="L152" i="8" s="1"/>
  <c r="AZ159" i="10"/>
  <c r="M157" i="10" s="1"/>
  <c r="AZ179" i="8"/>
  <c r="L177" i="8" s="1"/>
  <c r="H228" i="10"/>
  <c r="G251" i="8"/>
  <c r="L104" i="10"/>
  <c r="J104" i="10" s="1"/>
  <c r="AN104" i="10"/>
  <c r="K124" i="8"/>
  <c r="I124" i="8" s="1"/>
  <c r="AN124" i="8"/>
  <c r="AZ120" i="10"/>
  <c r="M118" i="10" s="1"/>
  <c r="AZ140" i="8"/>
  <c r="L138" i="8" s="1"/>
  <c r="AZ193" i="8"/>
  <c r="L191" i="8" s="1"/>
  <c r="AZ173" i="10"/>
  <c r="M171" i="10" s="1"/>
  <c r="BA193" i="8"/>
  <c r="L192" i="8" s="1"/>
  <c r="BA173" i="10"/>
  <c r="M172" i="10" s="1"/>
  <c r="G252" i="8"/>
  <c r="H229" i="10"/>
  <c r="GM39" i="1"/>
  <c r="GN39" i="1" s="1"/>
  <c r="AD26" i="1"/>
  <c r="L83" i="10"/>
  <c r="J83" i="10" s="1"/>
  <c r="AN83" i="10"/>
  <c r="AK47" i="1"/>
  <c r="X47" i="1" s="1"/>
  <c r="AZ77" i="8"/>
  <c r="AZ57" i="10"/>
  <c r="K103" i="8"/>
  <c r="I103" i="8" s="1"/>
  <c r="AN103" i="8"/>
  <c r="BA134" i="10"/>
  <c r="M133" i="10" s="1"/>
  <c r="BA154" i="8"/>
  <c r="L153" i="8" s="1"/>
  <c r="L68" i="10"/>
  <c r="J68" i="10" s="1"/>
  <c r="AN68" i="10"/>
  <c r="AN190" i="10"/>
  <c r="L190" i="10"/>
  <c r="J190" i="10" s="1"/>
  <c r="BA159" i="10"/>
  <c r="M158" i="10" s="1"/>
  <c r="BA179" i="8"/>
  <c r="L178" i="8" s="1"/>
  <c r="AL47" i="1"/>
  <c r="Y47" i="1" s="1"/>
  <c r="BA77" i="8"/>
  <c r="BA57" i="10"/>
  <c r="L87" i="8"/>
  <c r="K88" i="8" s="1"/>
  <c r="I88" i="8" s="1"/>
  <c r="GM38" i="1"/>
  <c r="GN38" i="1" s="1"/>
  <c r="BA140" i="8"/>
  <c r="L139" i="8" s="1"/>
  <c r="BA120" i="10"/>
  <c r="M119" i="10" s="1"/>
  <c r="K210" i="8"/>
  <c r="I210" i="8" s="1"/>
  <c r="AN210" i="8"/>
  <c r="GM34" i="1"/>
  <c r="GN34" i="1" s="1"/>
  <c r="AC26" i="1"/>
  <c r="P47" i="1"/>
  <c r="CF47" i="1"/>
  <c r="CE47" i="1"/>
  <c r="CH47" i="1"/>
  <c r="F97" i="1"/>
  <c r="H16" i="2" s="1"/>
  <c r="BA110" i="1"/>
  <c r="BA22" i="1"/>
  <c r="AZ110" i="1"/>
  <c r="AZ22" i="1"/>
  <c r="F88" i="1"/>
  <c r="Q26" i="1"/>
  <c r="F59" i="1"/>
  <c r="Q77" i="1"/>
  <c r="T110" i="1"/>
  <c r="T22" i="1"/>
  <c r="F98" i="1"/>
  <c r="AF26" i="1"/>
  <c r="S47" i="1"/>
  <c r="F61" i="1"/>
  <c r="R26" i="1"/>
  <c r="R77" i="1"/>
  <c r="F84" i="1"/>
  <c r="AX22" i="1"/>
  <c r="AX110" i="1"/>
  <c r="F99" i="1"/>
  <c r="U22" i="1"/>
  <c r="U110" i="1"/>
  <c r="F134" i="1"/>
  <c r="W18" i="1"/>
  <c r="GM28" i="1"/>
  <c r="AB47" i="1"/>
  <c r="AQ18" i="1"/>
  <c r="F120" i="1"/>
  <c r="V22" i="1"/>
  <c r="V110" i="1"/>
  <c r="F100" i="1"/>
  <c r="L335" i="8" l="1"/>
  <c r="L359" i="8" s="1"/>
  <c r="L360" i="8" s="1"/>
  <c r="L264" i="8"/>
  <c r="L262" i="8" s="1"/>
  <c r="L259" i="8" s="1"/>
  <c r="L228" i="8"/>
  <c r="L226" i="8" s="1"/>
  <c r="L333" i="8"/>
  <c r="AL26" i="1"/>
  <c r="L330" i="8"/>
  <c r="AO159" i="10"/>
  <c r="M241" i="10" s="1"/>
  <c r="M155" i="10"/>
  <c r="L223" i="8"/>
  <c r="M207" i="10"/>
  <c r="M203" i="10" s="1"/>
  <c r="M200" i="10" s="1"/>
  <c r="M205" i="10"/>
  <c r="M312" i="10"/>
  <c r="M310" i="10" s="1"/>
  <c r="M307" i="10" s="1"/>
  <c r="G355" i="8"/>
  <c r="K49" i="8"/>
  <c r="H332" i="10"/>
  <c r="K140" i="8"/>
  <c r="I140" i="8" s="1"/>
  <c r="AN140" i="8"/>
  <c r="L120" i="10"/>
  <c r="J120" i="10" s="1"/>
  <c r="AN120" i="10"/>
  <c r="M215" i="10"/>
  <c r="M251" i="10"/>
  <c r="M55" i="10"/>
  <c r="M322" i="10"/>
  <c r="K193" i="8"/>
  <c r="I193" i="8" s="1"/>
  <c r="AN193" i="8"/>
  <c r="G356" i="8"/>
  <c r="H333" i="10"/>
  <c r="K50" i="8"/>
  <c r="L274" i="8"/>
  <c r="L238" i="8"/>
  <c r="L75" i="8"/>
  <c r="L345" i="8"/>
  <c r="M216" i="10"/>
  <c r="M323" i="10"/>
  <c r="M252" i="10"/>
  <c r="M56" i="10"/>
  <c r="AN154" i="8"/>
  <c r="K154" i="8"/>
  <c r="I154" i="8" s="1"/>
  <c r="AN88" i="8"/>
  <c r="L159" i="10"/>
  <c r="J159" i="10" s="1"/>
  <c r="AN159" i="10"/>
  <c r="AK26" i="1"/>
  <c r="L134" i="10"/>
  <c r="J134" i="10" s="1"/>
  <c r="AN134" i="10"/>
  <c r="AN173" i="10"/>
  <c r="L173" i="10"/>
  <c r="J173" i="10" s="1"/>
  <c r="L346" i="8"/>
  <c r="L76" i="8"/>
  <c r="L239" i="8"/>
  <c r="L275" i="8"/>
  <c r="K179" i="8"/>
  <c r="I179" i="8" s="1"/>
  <c r="AN179" i="8"/>
  <c r="R110" i="1"/>
  <c r="R22" i="1"/>
  <c r="F91" i="1"/>
  <c r="BA18" i="1"/>
  <c r="F130" i="1"/>
  <c r="F62" i="1"/>
  <c r="S26" i="1"/>
  <c r="S77" i="1"/>
  <c r="F74" i="1"/>
  <c r="Y77" i="1"/>
  <c r="Y26" i="1"/>
  <c r="CH26" i="1"/>
  <c r="AY47" i="1"/>
  <c r="CE26" i="1"/>
  <c r="AV47" i="1"/>
  <c r="CF26" i="1"/>
  <c r="AW47" i="1"/>
  <c r="P26" i="1"/>
  <c r="F50" i="1"/>
  <c r="P77" i="1"/>
  <c r="F131" i="1"/>
  <c r="T18" i="1"/>
  <c r="Q110" i="1"/>
  <c r="Q22" i="1"/>
  <c r="F89" i="1"/>
  <c r="F132" i="1"/>
  <c r="U18" i="1"/>
  <c r="AX18" i="1"/>
  <c r="F117" i="1"/>
  <c r="AZ18" i="1"/>
  <c r="F121" i="1"/>
  <c r="F133" i="1"/>
  <c r="V18" i="1"/>
  <c r="O47" i="1"/>
  <c r="AB26" i="1"/>
  <c r="GN28" i="1"/>
  <c r="CB47" i="1" s="1"/>
  <c r="CA47" i="1"/>
  <c r="F73" i="1"/>
  <c r="X77" i="1"/>
  <c r="X26" i="1"/>
  <c r="M336" i="10" l="1"/>
  <c r="M337" i="10" s="1"/>
  <c r="M239" i="10"/>
  <c r="M236" i="10" s="1"/>
  <c r="M224" i="10"/>
  <c r="M234" i="10"/>
  <c r="M305" i="10" s="1"/>
  <c r="L57" i="10"/>
  <c r="J57" i="10" s="1"/>
  <c r="AN57" i="10"/>
  <c r="AN77" i="8"/>
  <c r="K77" i="8"/>
  <c r="I77" i="8" s="1"/>
  <c r="L247" i="8"/>
  <c r="L257" i="8"/>
  <c r="L328" i="8" s="1"/>
  <c r="AV26" i="1"/>
  <c r="AV77" i="1"/>
  <c r="F52" i="1"/>
  <c r="X22" i="1"/>
  <c r="X110" i="1"/>
  <c r="F103" i="1"/>
  <c r="Q18" i="1"/>
  <c r="F122" i="1"/>
  <c r="AY26" i="1"/>
  <c r="F55" i="1"/>
  <c r="AY77" i="1"/>
  <c r="CB26" i="1"/>
  <c r="AS47" i="1"/>
  <c r="O26" i="1"/>
  <c r="F49" i="1"/>
  <c r="O77" i="1"/>
  <c r="Y22" i="1"/>
  <c r="F104" i="1"/>
  <c r="Y110" i="1"/>
  <c r="F92" i="1"/>
  <c r="J16" i="2" s="1"/>
  <c r="S110" i="1"/>
  <c r="S22" i="1"/>
  <c r="CA26" i="1"/>
  <c r="AR47" i="1"/>
  <c r="F80" i="1"/>
  <c r="P110" i="1"/>
  <c r="P22" i="1"/>
  <c r="AW26" i="1"/>
  <c r="F53" i="1"/>
  <c r="AW77" i="1"/>
  <c r="R18" i="1"/>
  <c r="F124" i="1"/>
  <c r="F83" i="1" l="1"/>
  <c r="AW22" i="1"/>
  <c r="AW110" i="1"/>
  <c r="F64" i="1"/>
  <c r="AS77" i="1"/>
  <c r="AS26" i="1"/>
  <c r="X18" i="1"/>
  <c r="F136" i="1"/>
  <c r="O22" i="1"/>
  <c r="O110" i="1"/>
  <c r="F79" i="1"/>
  <c r="P18" i="1"/>
  <c r="F113" i="1"/>
  <c r="Y18" i="1"/>
  <c r="F137" i="1"/>
  <c r="AV22" i="1"/>
  <c r="AV110" i="1"/>
  <c r="F82" i="1"/>
  <c r="F85" i="1"/>
  <c r="AY110" i="1"/>
  <c r="AY22" i="1"/>
  <c r="F75" i="1"/>
  <c r="AR26" i="1"/>
  <c r="AR77" i="1"/>
  <c r="F125" i="1"/>
  <c r="S18" i="1"/>
  <c r="O18" i="1" l="1"/>
  <c r="F112" i="1"/>
  <c r="AS22" i="1"/>
  <c r="F94" i="1"/>
  <c r="AS110" i="1"/>
  <c r="F105" i="1"/>
  <c r="F106" i="1" s="1"/>
  <c r="AR22" i="1"/>
  <c r="AR110" i="1"/>
  <c r="F118" i="1"/>
  <c r="AY18" i="1"/>
  <c r="AW18" i="1"/>
  <c r="F116" i="1"/>
  <c r="AV18" i="1"/>
  <c r="F115" i="1"/>
  <c r="E16" i="2" l="1"/>
  <c r="I16" i="2" s="1"/>
  <c r="N16" i="2" s="1"/>
  <c r="C49" i="8"/>
  <c r="C46" i="8" s="1"/>
  <c r="F107" i="1"/>
  <c r="F108" i="1" s="1"/>
  <c r="AS18" i="1"/>
  <c r="F127" i="1"/>
  <c r="AR18" i="1"/>
  <c r="F138" i="1"/>
  <c r="F139" i="1" s="1"/>
  <c r="F140" i="1" l="1"/>
  <c r="F141" i="1" s="1"/>
</calcChain>
</file>

<file path=xl/sharedStrings.xml><?xml version="1.0" encoding="utf-8"?>
<sst xmlns="http://schemas.openxmlformats.org/spreadsheetml/2006/main" count="3836" uniqueCount="629">
  <si>
    <t>Smeta.RU  (495) 974-1589</t>
  </si>
  <si>
    <t>_PS_</t>
  </si>
  <si>
    <t>Smeta.RU</t>
  </si>
  <si>
    <t/>
  </si>
  <si>
    <t>Новый объект</t>
  </si>
  <si>
    <t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t>
  </si>
  <si>
    <t>Сметные нормы списания</t>
  </si>
  <si>
    <t>Коды ценников</t>
  </si>
  <si>
    <t>ФСНБ-2022_И18 Москва</t>
  </si>
  <si>
    <t>Версия 1.18.0 для ФСНБ-2022 И18</t>
  </si>
  <si>
    <t>ФСНБ-2022 - Изменения И18</t>
  </si>
  <si>
    <t>Поправки для ФСНБ-2022 от 21.05.2026 г И18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</si>
  <si>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</si>
  <si>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</si>
  <si>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</si>
  <si>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Новый раздел</t>
  </si>
  <si>
    <t>Монтажные работы</t>
  </si>
  <si>
    <t>1</t>
  </si>
  <si>
    <t>58-01-003-01</t>
  </si>
  <si>
    <t>Разборка мелких покрытий и обделок из листовой стали: поясков, сандриков, желобов, отливов, свесов и т.п.</t>
  </si>
  <si>
    <t>100 м</t>
  </si>
  <si>
    <t>ГЭСНр-2022, 58-01-003-01, приказ Минстроя России от 18.05.2022 г. № 378/пр</t>
  </si>
  <si>
    <t>*(0,15+1)*1,25</t>
  </si>
  <si>
    <t>Ремонтно-строительные работы</t>
  </si>
  <si>
    <t>Крыши, кровли</t>
  </si>
  <si>
    <t>рФЕР-58</t>
  </si>
  <si>
    <t>Поправка: 421/пр_2020_прил.10_т.3_п.8_гр.5
Поправка: 421/пр_2020_прил.10_т.9_п.8_гр.3</t>
  </si>
  <si>
    <t>Пр/812-092.0-1</t>
  </si>
  <si>
    <t>Пр/774-092.0</t>
  </si>
  <si>
    <t>Крыши, кровля</t>
  </si>
  <si>
    <t>1,1</t>
  </si>
  <si>
    <t>999-9900</t>
  </si>
  <si>
    <t>Строительный мусор</t>
  </si>
  <si>
    <t>т</t>
  </si>
  <si>
    <t>2</t>
  </si>
  <si>
    <t>68-01-014-01</t>
  </si>
  <si>
    <t>Вырубка кустарников с последующей ручной переноской и складированием на расстояние до 50 м при диаметре кустов у корня: до 300 мм</t>
  </si>
  <si>
    <t>ШТ</t>
  </si>
  <si>
    <t>ГЭСНр-2022, 68-01-014-01, приказ Минстроя России от 18.05.2022 г. № 378/пр</t>
  </si>
  <si>
    <t>Благоустройство</t>
  </si>
  <si>
    <t>рФЕР-68</t>
  </si>
  <si>
    <t>Пр/812-102.0-1</t>
  </si>
  <si>
    <t>Пр/774-102.0</t>
  </si>
  <si>
    <t>3</t>
  </si>
  <si>
    <t>63-04-002-01</t>
  </si>
  <si>
    <t>Простукивание поверхностей фасада, облицованного плоскими керамическими плитками при работе: с люлек</t>
  </si>
  <si>
    <t>100 м2</t>
  </si>
  <si>
    <t>ГЭСНр-2022 доп.17, 63-04-002-01, приказ Минстроя России от 17.02.2026 г. № 91/пр</t>
  </si>
  <si>
    <t>Стекольные, обойные и облицовочные работы</t>
  </si>
  <si>
    <t>Стекольные, обойные, облицовочные работы</t>
  </si>
  <si>
    <t>рФЕР-63</t>
  </si>
  <si>
    <t>Пр/812-097.0-1</t>
  </si>
  <si>
    <t>Пр/774-097.0</t>
  </si>
  <si>
    <t>4</t>
  </si>
  <si>
    <t>53-01-025-01</t>
  </si>
  <si>
    <t>Разборка кладки стен: облегченной конструкции из кирпича</t>
  </si>
  <si>
    <t>10 м3</t>
  </si>
  <si>
    <t>ГЭСНр-2022 доп.10, 53-01-025-01, приказ Минстроя России от 13.05.2024 г. № 323/пр</t>
  </si>
  <si>
    <t>Стены</t>
  </si>
  <si>
    <t>рФЕР-53</t>
  </si>
  <si>
    <t>Пр/812-087.0-1</t>
  </si>
  <si>
    <t>Пр/774-087.0</t>
  </si>
  <si>
    <t>4,1</t>
  </si>
  <si>
    <t>5</t>
  </si>
  <si>
    <t>62-04-003-01</t>
  </si>
  <si>
    <t>Промывка поверхности, окрашенной масляными красками: стен и фасадов</t>
  </si>
  <si>
    <t>ГЭСНр-2022 доп.17, 62-04-003-01, приказ Минстроя России от 17.02.2026 г. № 91/пр</t>
  </si>
  <si>
    <t>Малярные работы</t>
  </si>
  <si>
    <t>рФЕР-62</t>
  </si>
  <si>
    <t>Пр/812-096.0-1</t>
  </si>
  <si>
    <t>Пр/774-096.0</t>
  </si>
  <si>
    <t>6</t>
  </si>
  <si>
    <t>15-04-037-06</t>
  </si>
  <si>
    <t>Проолифка бетонных и оштукатуренных поверхностей: кистью</t>
  </si>
  <si>
    <t>ГЭСН-2022, 15-04-037-06, приказ Минстроя России от 18.05.2022 г. № 378/пр</t>
  </si>
  <si>
    <t>*(0,15+1)*1,25*1,25</t>
  </si>
  <si>
    <t>*(0,15+1)*1,25*1,15</t>
  </si>
  <si>
    <t>Общестроительные работы</t>
  </si>
  <si>
    <t>Отделочные работы</t>
  </si>
  <si>
    <t>ФЕР-15</t>
  </si>
  <si>
    <t>Поправка: 421/пр_2020_прил.10_т.3_п.8_гр.5
Поправка: 421/пр_2020_прил.10_т.9_п.8_гр.3
Поправка: 571/пр_2022_п.67_пп.б</t>
  </si>
  <si>
    <t>Пр/812-015.0-1</t>
  </si>
  <si>
    <t>Пр/774-015.0</t>
  </si>
  <si>
    <t>6,1</t>
  </si>
  <si>
    <t>14.5.05.02</t>
  </si>
  <si>
    <t>Олифа</t>
  </si>
  <si>
    <t>7</t>
  </si>
  <si>
    <t>ТЦ_ 14.2.06.01_37_372002340471 _08.06.2026_01_2.1</t>
  </si>
  <si>
    <t>Камнеукрепитель "Петромикс SR-01**", (расход 2 л/м2) в 2 слоя</t>
  </si>
  <si>
    <t>л</t>
  </si>
  <si>
    <t>Материалы, отсутствующие в СНБ (Строительные)</t>
  </si>
  <si>
    <t>МР КА Строительные</t>
  </si>
  <si>
    <t>8</t>
  </si>
  <si>
    <t>12-01-010-01</t>
  </si>
  <si>
    <t>Устройство мелких покрытий (брандмауэры, парапеты, свесы и т.п.) из листовой оцинкованной стали</t>
  </si>
  <si>
    <t>ГЭСН-2022, 12-01-010-01, приказ Минстроя России от 18.05.2022 г. № 378/пр</t>
  </si>
  <si>
    <t>Кровли</t>
  </si>
  <si>
    <t>ФЕР-12</t>
  </si>
  <si>
    <t>Пр/812-012.0-1</t>
  </si>
  <si>
    <t>Пр/774-012.0</t>
  </si>
  <si>
    <t>9</t>
  </si>
  <si>
    <t>08-07-006-01</t>
  </si>
  <si>
    <t>Устройство защитной декоративной сетки на время ремонта фасада</t>
  </si>
  <si>
    <t>ГЭСН-2022, 08-07-006-01, приказ Минстроя России от 18.05.2022 г. № 378/пр</t>
  </si>
  <si>
    <t>Конструкции из кирпича и блоков</t>
  </si>
  <si>
    <t>ФЕР-08</t>
  </si>
  <si>
    <t>Пр/812-008.0-1</t>
  </si>
  <si>
    <t>Пр/774-008.0</t>
  </si>
  <si>
    <t>9,1</t>
  </si>
  <si>
    <t>08.1.02.17</t>
  </si>
  <si>
    <t>Сетка фасадная защитно-декоративная</t>
  </si>
  <si>
    <t>м2</t>
  </si>
  <si>
    <t>10</t>
  </si>
  <si>
    <t>ТЦ_01.8.01.06_77_9701044387_08.06.2026_01_1.3</t>
  </si>
  <si>
    <t>Сетка фасадная защитная 80 гр/м2</t>
  </si>
  <si>
    <t>11</t>
  </si>
  <si>
    <t>46-03-013-45</t>
  </si>
  <si>
    <t>Сверление горизонтальных отверстий в бетонных конструкциях стен перфоратором глубиной 200 мм диаметром: до 20 мм</t>
  </si>
  <si>
    <t>100 отверстий</t>
  </si>
  <si>
    <t>ГЭСН-2022, 46-03-013-45, приказ Минстроя России от 18.05.2022 г. № 378/пр</t>
  </si>
  <si>
    <t>Работы по реконструкции зданий и сооружений</t>
  </si>
  <si>
    <t>Работы по реконструкции зданий и сооружений: усиление и замена существующих конструкций, возведение отдельных конструктивных элементов</t>
  </si>
  <si>
    <t>ФЕР-46</t>
  </si>
  <si>
    <t>Пр/812-040.1-1</t>
  </si>
  <si>
    <t>Пр/774-040.1</t>
  </si>
  <si>
    <t>11,1</t>
  </si>
  <si>
    <t>01.7.17.09</t>
  </si>
  <si>
    <t>Сверла, буры</t>
  </si>
  <si>
    <t>12</t>
  </si>
  <si>
    <t>01.7.15.07-0083</t>
  </si>
  <si>
    <t>Дюбель-гвозди полипропиленовые анкерные с бортом, диаметр 8 мм, длина 100 мм</t>
  </si>
  <si>
    <t>100 ШТ</t>
  </si>
  <si>
    <t>ФСБЦ-2022, 01.7.15.07-0083, приказ Минстроя России от 18.05.2022 г. № 378/пр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</si>
  <si>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</si>
  <si>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</si>
  <si>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</si>
  <si>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13</t>
  </si>
  <si>
    <t>ТЦ_91.06.06_77_7715941979_08.06.2026_01_3.2</t>
  </si>
  <si>
    <t>Автогидроподъемники, высота подъема 16 м</t>
  </si>
  <si>
    <t>маш/час</t>
  </si>
  <si>
    <t>Машины и механизмы</t>
  </si>
  <si>
    <t>Машины и механизмы, отсутствующие в СНБ (Строительные)</t>
  </si>
  <si>
    <t>ЭММ КА Строительные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</si>
  <si>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</si>
  <si>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</si>
  <si>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</si>
  <si>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</si>
  <si>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</si>
  <si>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</si>
  <si>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</si>
  <si>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</si>
  <si>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</si>
  <si>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</si>
  <si>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</si>
  <si>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</si>
  <si>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</si>
  <si>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</si>
  <si>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</si>
  <si>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</si>
  <si>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</si>
  <si>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</si>
  <si>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</si>
  <si>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</si>
  <si>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</si>
  <si>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</si>
  <si>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</si>
  <si>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</si>
  <si>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</si>
  <si>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</si>
  <si>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</si>
  <si>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</si>
  <si>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</si>
  <si>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</si>
  <si>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</si>
  <si>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</si>
  <si>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</si>
  <si>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</si>
  <si>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</si>
  <si>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</si>
  <si>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</si>
  <si>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</si>
  <si>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</si>
  <si>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</si>
  <si>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</si>
  <si>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</si>
  <si>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</si>
  <si>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</si>
  <si>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</si>
  <si>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</si>
  <si>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</si>
  <si>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</si>
  <si>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</si>
  <si>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</si>
  <si>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</si>
  <si>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</si>
  <si>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</si>
  <si>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</si>
  <si>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и1</t>
  </si>
  <si>
    <t>Итого</t>
  </si>
  <si>
    <t>и2</t>
  </si>
  <si>
    <t>НДС 22%</t>
  </si>
  <si>
    <t>и3</t>
  </si>
  <si>
    <t>111</t>
  </si>
  <si>
    <t>Новая переменная</t>
  </si>
  <si>
    <t>Переменная</t>
  </si>
  <si>
    <t>Переменная1</t>
  </si>
  <si>
    <t>Переменная_1</t>
  </si>
  <si>
    <t>Переменная_2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</si>
  <si>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</si>
  <si>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</si>
  <si>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</si>
  <si>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</si>
  <si>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</si>
  <si>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</si>
  <si>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</si>
  <si>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</si>
  <si>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</si>
  <si>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</si>
  <si>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</si>
  <si>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</si>
  <si>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</si>
  <si>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</si>
  <si>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</si>
  <si>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</si>
  <si>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</si>
  <si>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</si>
  <si>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</si>
  <si>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</si>
  <si>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</si>
  <si>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</si>
  <si>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</si>
  <si>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</si>
  <si>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</si>
  <si>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</si>
  <si>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</si>
  <si>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</si>
  <si>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</si>
  <si>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</si>
  <si>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</si>
  <si>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</si>
  <si>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</si>
  <si>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</si>
  <si>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</si>
  <si>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</si>
  <si>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</si>
  <si>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</si>
  <si>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</si>
  <si>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</si>
  <si>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</si>
  <si>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</si>
  <si>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</si>
  <si>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</si>
  <si>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</si>
  <si>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</si>
  <si>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</si>
  <si>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</si>
  <si>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</si>
  <si>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</si>
  <si>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</si>
  <si>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</si>
  <si>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</si>
  <si>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</si>
  <si>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</si>
  <si>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</si>
  <si>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</si>
  <si>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</si>
  <si>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</si>
  <si>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</si>
  <si>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</si>
  <si>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</si>
  <si>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</si>
  <si>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</si>
  <si>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</si>
  <si>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</si>
  <si>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</si>
  <si>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</si>
  <si>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г. Москва, КТЦ к ФСНБ-2022, II квартал 2026 г.</t>
  </si>
  <si>
    <t>Сборник индексов</t>
  </si>
  <si>
    <t>г. Москва к ФСНБ-2022 ФГИС ЦС</t>
  </si>
  <si>
    <t>_OBSM_</t>
  </si>
  <si>
    <t>1-100-20</t>
  </si>
  <si>
    <t>Средний разряд работы 2,0</t>
  </si>
  <si>
    <t>чел.-ч.</t>
  </si>
  <si>
    <t>91.06.03-060</t>
  </si>
  <si>
    <t>ФСЭМ-2022, 91.06.03-060, приказ Минстроя России от 18.05.2022 г. № 378/пр</t>
  </si>
  <si>
    <t>Лебедки электрические тяговым усилием до 5,79 кН (0,59 т)</t>
  </si>
  <si>
    <t>маш.-ч</t>
  </si>
  <si>
    <t>1-100-16</t>
  </si>
  <si>
    <t>Средний разряд работы 1,6</t>
  </si>
  <si>
    <t>1-100-29</t>
  </si>
  <si>
    <t>Средний разряд работы 2,9</t>
  </si>
  <si>
    <t>91.06.09-022</t>
  </si>
  <si>
    <t>ФСЭМ-2022 доп.17, 91.06.09-022, приказ Минстроя России от 17.02.2026 г. № 91/пр</t>
  </si>
  <si>
    <t>Люльки самоподъемные, грузоподъемность до 300 кг</t>
  </si>
  <si>
    <t>1-100-30</t>
  </si>
  <si>
    <t>Средний разряд работы 3,0</t>
  </si>
  <si>
    <t>4-100-00</t>
  </si>
  <si>
    <t>Затраты труда машинистов</t>
  </si>
  <si>
    <t>91.06.05-056</t>
  </si>
  <si>
    <t>ФСЭМ-2022, 91.06.05-056,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</si>
  <si>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1,1 м3, грузоподъемность 2 т</t>
  </si>
  <si>
    <t>4-100-040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</si>
  <si>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</si>
  <si>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</si>
  <si>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</si>
  <si>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</si>
  <si>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91.18.01-012</t>
  </si>
  <si>
    <t>ФСЭМ-2022 доп.17, 91.18.01-012, приказ Минстроя России от 17.02.2026 г. № 91/пр</t>
  </si>
  <si>
    <t>Компрессоры винтовые передвижные с электродвигателем, давление до 0,6 МПа (6 атм), производительность до 3,5 м3/мин</t>
  </si>
  <si>
    <t>91.21.10-002</t>
  </si>
  <si>
    <t>ФСЭМ-2022, 91.21.10-002, приказ Минстроя России от 18.05.2022 г. № 378/пр</t>
  </si>
  <si>
    <t>Молотки отбойные пневматические при работе от передвижных компрессоров</t>
  </si>
  <si>
    <t>1-100-22</t>
  </si>
  <si>
    <t>Средний разряд работы 2,2</t>
  </si>
  <si>
    <t>01.7.03.01-0001</t>
  </si>
  <si>
    <t>ФСБЦ-2022, 01.7.03.01-0001, приказ Минстроя России от 18.05.2022 г. № 378/пр</t>
  </si>
  <si>
    <t>Вода</t>
  </si>
  <si>
    <t>м3</t>
  </si>
  <si>
    <t>01.7.07.08-0003</t>
  </si>
  <si>
    <t>ФСБЦ-2022 доп.8, 01.7.07.08-0003, приказ Минстроя России от 14.11.2023 г. № 817/пр</t>
  </si>
  <si>
    <t>Мыло хозяйственное твердое 72 %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</si>
  <si>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</si>
  <si>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</si>
  <si>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</si>
  <si>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кг</t>
  </si>
  <si>
    <t>91.05.01-017</t>
  </si>
  <si>
    <t>ФСЭМ-2022 доп.3, 91.05.01-017, приказ Минстроя России от 26.10.2022 г. № 905/пр</t>
  </si>
  <si>
    <t>Краны башенные, грузоподъемность 8 т</t>
  </si>
  <si>
    <t>4-100-060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</si>
  <si>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</si>
  <si>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</si>
  <si>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</si>
  <si>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01.7.15.06-0022</t>
  </si>
  <si>
    <t>ФСБЦ-2022, 01.7.15.06-0022, приказ Минстроя России от 18.05.2022 г. № 378/пр</t>
  </si>
  <si>
    <t>Гвозди стальные толевые, диаметр 2-3 мм, длина 20-40 мм</t>
  </si>
  <si>
    <t>08.3.03.05-0002</t>
  </si>
  <si>
    <t>ФСБЦ-2022, 08.3.03.05-0002, приказ Минстроя России от 18.05.2022 г. № 378/пр</t>
  </si>
  <si>
    <t>Проволока канатная оцинкованная, диаметр 3 мм</t>
  </si>
  <si>
    <t>08.3.05.05-0051</t>
  </si>
  <si>
    <t>ФСБЦ-2022, 08.3.05.05-0051, приказ Минстроя России от 18.05.2022 г. № 378/пр</t>
  </si>
  <si>
    <t>Сталь листовая оцинкованная, толщина 0,5 мм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</si>
  <si>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</si>
  <si>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</si>
  <si>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</si>
  <si>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</si>
  <si>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*1,15</t>
  </si>
  <si>
    <t>421/пр_2020_прил.10_т.3_п.8_гр.5</t>
  </si>
  <si>
    <t>Производство работ осуществляется в стесненных условиях населенных пунктов</t>
  </si>
  <si>
    <t>Методика 421/пр (Реконструкция)</t>
  </si>
  <si>
    <t>*1,25</t>
  </si>
  <si>
    <t>421/пр_2020_прил.10_т.9_п.8_гр.3</t>
  </si>
  <si>
    <t>Производство ремонтно-реставрационных работ на высоте более 5 метров от земли, перекрытия или рабочей площадки лесов</t>
  </si>
  <si>
    <t>Методика 421/пр (Реставрация)</t>
  </si>
  <si>
    <t>571/пр_2022_п.67_пп.б</t>
  </si>
  <si>
    <t>Применение сметных норм, включенных в сборники ГЭСН,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</t>
  </si>
  <si>
    <t>Методика применения сметных норм 571/пр (О.П.)</t>
  </si>
  <si>
    <t>Конъюнктурный анализ</t>
  </si>
  <si>
    <t>1.1</t>
  </si>
  <si>
    <t>ТЦ_01.8.01.06_77_7722753969 _08.06.2026_01_1.1</t>
  </si>
  <si>
    <t>01.8.01.06</t>
  </si>
  <si>
    <t>ООО «ВсеИнструменты.ру»</t>
  </si>
  <si>
    <t>7722753969</t>
  </si>
  <si>
    <t>997750001</t>
  </si>
  <si>
    <t>https://www.vseinstrumenti.ru/product/setka-fasadnaya-zaschitnaya-zelenaya-3x50-m-80-g-m2-strong-nt30080gr-2046205/#searchQuery=Сетка+фасадная+защитная+зеленая+(3x50+м;+80+г/м2)+Strong+NT30080GR&amp;searchType=autocomplete</t>
  </si>
  <si>
    <t>77</t>
  </si>
  <si>
    <t>1.2</t>
  </si>
  <si>
    <t>ТЦ_01.8.01.06_50_5036136124 _08.06.2026_01_1.2</t>
  </si>
  <si>
    <t>ООО "Компания Версона"</t>
  </si>
  <si>
    <t>5036136124</t>
  </si>
  <si>
    <t>503601001</t>
  </si>
  <si>
    <t>https://zhukovskij.wersona.ru/products/fasadnaya-setka/72-85-gramm/setka-fasadnaya-80-gr/m2-ploshhad-150-m2</t>
  </si>
  <si>
    <t>50</t>
  </si>
  <si>
    <t>1.3</t>
  </si>
  <si>
    <t>ООО «ПРОГРЕСС»</t>
  </si>
  <si>
    <t>9701044387</t>
  </si>
  <si>
    <t>https://izomaxx.ru/zashhitnaja-fasadnaja-setka--zatenjajushhaja-/setka-fasadnaya-dlya-lesov/zashhitnaja-fasadnaja-setka-80-gr-m2--3h50m--150m2.html</t>
  </si>
  <si>
    <t>2.1</t>
  </si>
  <si>
    <t>14.2.06.01</t>
  </si>
  <si>
    <t>ИП ДЖУМАБАЕВ РУСЛАН ДЖОЛДОШАЛИЕВИЧ</t>
  </si>
  <si>
    <t>372002340471</t>
  </si>
  <si>
    <t>https://petr-group.ru/catalog/p/antiseptiki-i-biozashita79/kamneukrepitel-petromiks-sr-01-10-l/?ysclid=mf54winp2f675567863</t>
  </si>
  <si>
    <t>37</t>
  </si>
  <si>
    <t>2.2</t>
  </si>
  <si>
    <t>ТЦ_ 14.2.06.01_77_9715207948 _08.06.2026_01_2.2</t>
  </si>
  <si>
    <t>ООО "Бафус"</t>
  </si>
  <si>
    <t>9715207948</t>
  </si>
  <si>
    <t>https://www.bafus.ru/product/petromix-sr-01-kamneukrepitel-10-l/?ysclid=mf54vpl0ro929121554</t>
  </si>
  <si>
    <t>2.3</t>
  </si>
  <si>
    <t>ТЦ_ 14.2.06.01_77_7720739503_08.06.2026_01_2.3</t>
  </si>
  <si>
    <t>ООО ТПК САНСТЕКЛОТОРГ</t>
  </si>
  <si>
    <t>7720739503</t>
  </si>
  <si>
    <t>https://petrovich-stroy.ru/catalog/p/antiseptiki-i-biozashita76/kamneukrepitel_petromiks_sr-01_10_l_1227229/</t>
  </si>
  <si>
    <t>3.1</t>
  </si>
  <si>
    <t>ТЦ_91.06.06_77_7728312255_08.06.2026_01_3.1</t>
  </si>
  <si>
    <t>91.06.06</t>
  </si>
  <si>
    <t>ООО "Мосстройвектор"</t>
  </si>
  <si>
    <t>7728312255</t>
  </si>
  <si>
    <t>770401001</t>
  </si>
  <si>
    <t>КП б/н от 08.06.2026</t>
  </si>
  <si>
    <t>3.2</t>
  </si>
  <si>
    <t>ООО "АРТЕХСТРОЙ"</t>
  </si>
  <si>
    <t>7715941979</t>
  </si>
  <si>
    <t>771501001</t>
  </si>
  <si>
    <t>3.3</t>
  </si>
  <si>
    <t>ТЦ_91.06.06_77_9715224044 _08.06.2026_01_3.3</t>
  </si>
  <si>
    <t>ООО «Лучшая СпецТехника»</t>
  </si>
  <si>
    <t>9715224044</t>
  </si>
  <si>
    <t>Объект культурного наследия регионального значения «Гинекологический институсовершенствования врачей при Московском университете. Построен на средства П.Ф.Шелапутина. В 1896-1916 гг. работал учёный и педагог, профессор Московского университета В.Ф.Снегирёв», расположенный по адресу: г. Москва, Большая Пироговская улица, д. 11, стр.1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</si>
  <si>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</si>
  <si>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Поправка: 421/пр_2020_прил.10_т.3_п.8_гр.5
Наименование: Производство работ осуществляется в стесненных условиях населенных пунктов
Поправка: 421/пр_2020_прил.10_т.9_п.8_гр.3
Наименование: Производство ремонтно-реставрационных работ на высоте более 5 метров от земли, перекрытия или рабочей площадки лесов</t>
  </si>
  <si>
    <t>Поправка: 421/пр_2020_прил.10_т.3_п.8_гр.5
Наименование: Производство работ осуществляется в стесненных условиях населенных пунктов
Поправка: 421/пр_2020_прил.10_т.9_п.8_гр.3
Наименование: Производство ремонтно-реставрационных работ на высоте более 5 метров от земли, перекрытия или рабочей площадки лесов
Поправка: 571/пр_2022_п.67_пп.б
Наименование: Применение сметных норм, включенных в сборники ГЭСН,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</t>
  </si>
  <si>
    <t>Сводная таблица результатов конъюнктурного анализа</t>
  </si>
  <si>
    <t>(наименование объекта строительства)</t>
  </si>
  <si>
    <t>№ п/п</t>
  </si>
  <si>
    <t>Код ресурса, затрат</t>
  </si>
  <si>
    <t>Наименование ресурса, затрат</t>
  </si>
  <si>
    <t>Полное наименование ресурса, затрат в обосновывающем документе</t>
  </si>
  <si>
    <t>Единица измерения ресурса, затрат</t>
  </si>
  <si>
    <t>Единица измерения ресурса, затрат в обосновывающем документе</t>
  </si>
  <si>
    <t xml:space="preserve">Текущая отпускная цена за единицу измерения в обосновывающем документе с НДС, руб.
</t>
  </si>
  <si>
    <t xml:space="preserve">Текущая отпускная цена за единицу измерения в обосновывающем документе без НДС, руб.
</t>
  </si>
  <si>
    <t xml:space="preserve">Текущая отпускная цена за единицу измерения без НДС, руб. в соответствии с графой 5
</t>
  </si>
  <si>
    <t>Затраты на перевозку</t>
  </si>
  <si>
    <t>Заготовительно-складские расходы</t>
  </si>
  <si>
    <t>Дополнительные затраты, предусмотренные пунктами 88, 117, 119–121 Методики</t>
  </si>
  <si>
    <t>Сметная цена без НДС, руб. за единицу измерения</t>
  </si>
  <si>
    <t>Год</t>
  </si>
  <si>
    <t>Квартал</t>
  </si>
  <si>
    <t>Полное и (или) сокращенное (при наличии) наименования производителя / поставщика</t>
  </si>
  <si>
    <t>Страна производителя оборудования, производственного и хозяйственного инвентаря</t>
  </si>
  <si>
    <t>КПП организации</t>
  </si>
  <si>
    <t>ИНН организации</t>
  </si>
  <si>
    <t>Гиперссылка на веб-сайт производителя / поставщика</t>
  </si>
  <si>
    <t>Населенный пункт расположения склада производителя / поставщика</t>
  </si>
  <si>
    <t>Статус организации - производитель (1) / поставщик (2)</t>
  </si>
  <si>
    <t>Наименование обосновывающего документа</t>
  </si>
  <si>
    <t>Номер страницы</t>
  </si>
  <si>
    <t>%</t>
  </si>
  <si>
    <t>руб. за единицу измерения без НДС</t>
  </si>
  <si>
    <t>руб.</t>
  </si>
  <si>
    <t>Наименование затрат</t>
  </si>
  <si>
    <t>По объекту: 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t>
  </si>
  <si>
    <t>II</t>
  </si>
  <si>
    <t xml:space="preserve">Составил   </t>
  </si>
  <si>
    <t>[должность,подпись(инициалы,фамилия)]</t>
  </si>
  <si>
    <t xml:space="preserve">Проверил   </t>
  </si>
  <si>
    <t>Застройщик 
(технический заказчик)</t>
  </si>
  <si>
    <t>"СОГЛАСОВАНО"</t>
  </si>
  <si>
    <t>"УТВЕРЖДАЮ"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</si>
  <si>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</si>
  <si>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</si>
  <si>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</si>
  <si>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</si>
  <si>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</si>
  <si>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</si>
  <si>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</si>
  <si>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</si>
  <si>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</si>
  <si>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</si>
  <si>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</si>
  <si>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</si>
  <si>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</si>
  <si>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</si>
  <si>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</si>
  <si>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</si>
  <si>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</si>
  <si>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</si>
  <si>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</si>
  <si>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</si>
  <si>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</si>
  <si>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</si>
  <si>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</si>
  <si>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</si>
  <si>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</si>
  <si>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</si>
  <si>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</si>
  <si>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</si>
  <si>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</si>
  <si>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</si>
  <si>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</si>
  <si>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</si>
  <si>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</si>
  <si>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</si>
  <si>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</si>
  <si>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</si>
  <si>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</si>
  <si>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</si>
  <si>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</si>
  <si>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</si>
  <si>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</si>
  <si>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</si>
  <si>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II квартал 2026 года</t>
  </si>
  <si>
    <t>Раздел: Монтажные работы</t>
  </si>
  <si>
    <t>ГЭСНр 58-01-003-01</t>
  </si>
  <si>
    <t>Производство работ осуществляется в стесненных условиях населенных пунктов
ЭМ *1,15; ЗТ *1,15; ЗТм *1,15</t>
  </si>
  <si>
    <t>Производство ремонтно-реставрационных работ на высоте более 5 метров от земли, перекрытия или рабочей площадки лесов
ЭМ *1,25; ЗТ *1,25; ЗТм *1,25</t>
  </si>
  <si>
    <t>Результирующие коэффициенты: 
ЭМ (0,15+1)*1,25=1,4375;
ЗТ (0,15+1)*1,25=1,4375;
ЗТм (0,15+1)*1,25=1,4375</t>
  </si>
  <si>
    <t>ОТ (ЗТ)</t>
  </si>
  <si>
    <t>ЭМ</t>
  </si>
  <si>
    <t>ОТм(ЗТм)</t>
  </si>
  <si>
    <t>Итого прямые затраты</t>
  </si>
  <si>
    <t>ФОТ</t>
  </si>
  <si>
    <t>НР Крыши, кровля</t>
  </si>
  <si>
    <t>СП Крыши, кровля</t>
  </si>
  <si>
    <t>Всего по позиции</t>
  </si>
  <si>
    <t>=</t>
  </si>
  <si>
    <t>ГЭСНр 68-01-014-01</t>
  </si>
  <si>
    <t>НР Благоустройство</t>
  </si>
  <si>
    <t>СП Благоустройство</t>
  </si>
  <si>
    <t>ГЭСНр 63-04-002-01</t>
  </si>
  <si>
    <t>НР Стекольные, обойные, облицовочные работы</t>
  </si>
  <si>
    <t>СП Стекольные, обойные, облицовочные работы</t>
  </si>
  <si>
    <t>ГЭСНр 53-01-025-01</t>
  </si>
  <si>
    <t>ОТм(ЗТм) Средний разряд машинистов 4</t>
  </si>
  <si>
    <t>ОТм(ЗТм) Средний разряд машинистов 3</t>
  </si>
  <si>
    <t>4.1</t>
  </si>
  <si>
    <t>НР Стены</t>
  </si>
  <si>
    <t>СП Стены</t>
  </si>
  <si>
    <t>ГЭСНр 62-04-003-01</t>
  </si>
  <si>
    <t>М</t>
  </si>
  <si>
    <t>НР Малярные работы</t>
  </si>
  <si>
    <t>СП Малярные работы</t>
  </si>
  <si>
    <t>ГЭСН 15-04-037-06</t>
  </si>
  <si>
    <t>Применение сметных норм, включенных в сборники ГЭСН,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
ЭМ *1,25; ЗТ *1,15; ЗТм *1,25</t>
  </si>
  <si>
    <t>Результирующие коэффициенты: 
ЭМ (0,15+1)*1,25*1,25=1,796875;
ЗТ (0,15+1)*1,25*1,15=1,653125;
ЗТм (0,15+1)*1,25*1,25=1,796875</t>
  </si>
  <si>
    <t>НР Отделочные работы</t>
  </si>
  <si>
    <t>СП Отделочные работы</t>
  </si>
  <si>
    <t>ГЭСН 12-01-010-01</t>
  </si>
  <si>
    <t>ОТм(ЗТм) Средний разряд машинистов 6</t>
  </si>
  <si>
    <t>НР Кровли</t>
  </si>
  <si>
    <t>СП Кровли</t>
  </si>
  <si>
    <t>ГЭСН 08-07-006-01</t>
  </si>
  <si>
    <t>НР Конструкции из кирпича и блоков</t>
  </si>
  <si>
    <t>СП Конструкции из кирпича и блоков</t>
  </si>
  <si>
    <t>ГЭСН 46-03-013-45</t>
  </si>
  <si>
    <t>НР Работы по реконструкции зданий и сооружений: усиление и замена существующих конструкций, возведение отдельных конструктивных элементов</t>
  </si>
  <si>
    <t>СП Работы по реконструкции зданий и сооружений: усиление и замена существующих конструкций, возведение отдельных конструктивных элементов</t>
  </si>
  <si>
    <t xml:space="preserve">НР </t>
  </si>
  <si>
    <t xml:space="preserve">СП 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</si>
  <si>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</si>
  <si>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</si>
  <si>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</si>
  <si>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</si>
  <si>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</si>
  <si>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</si>
  <si>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</si>
  <si>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</si>
  <si>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</si>
  <si>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</si>
  <si>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</si>
  <si>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</si>
  <si>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</si>
  <si>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</si>
  <si>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</si>
  <si>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</si>
  <si>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</si>
  <si>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</si>
  <si>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</si>
  <si>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</si>
  <si>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</si>
  <si>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</si>
  <si>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</si>
  <si>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</si>
  <si>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</si>
  <si>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</si>
  <si>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</si>
  <si>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</si>
  <si>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</si>
  <si>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</si>
  <si>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</si>
  <si>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</si>
  <si>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</si>
  <si>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</si>
  <si>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</si>
  <si>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</si>
  <si>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</si>
  <si>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</si>
  <si>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</si>
  <si>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</si>
  <si>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</si>
  <si>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</si>
  <si>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</si>
  <si>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>___________________________</t>
  </si>
  <si>
    <t>" ___ " ___________ 20 ___ г.</t>
  </si>
  <si>
    <t>№ в ЛСР</t>
  </si>
  <si>
    <t>Ссылка на чертежи, спецификации</t>
  </si>
  <si>
    <t>Формула расчета, расчет объемов работ и расхода материалов</t>
  </si>
  <si>
    <t>Примечание</t>
  </si>
  <si>
    <t>1 м</t>
  </si>
  <si>
    <t>1 м2</t>
  </si>
  <si>
    <t>1 м3</t>
  </si>
  <si>
    <t>1 отверстий</t>
  </si>
  <si>
    <t>1 ШТ</t>
  </si>
  <si>
    <t>Главный инженер проекта _________________</t>
  </si>
  <si>
    <t>Составил _________________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</si>
  <si>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</si>
  <si>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</si>
  <si>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</si>
  <si>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</si>
  <si>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</si>
  <si>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Инвестор</t>
  </si>
  <si>
    <t>по ОКПО</t>
  </si>
  <si>
    <t>организация, адрес, телефон, факс</t>
  </si>
  <si>
    <t>Заказчик</t>
  </si>
  <si>
    <t>Подрядчик</t>
  </si>
  <si>
    <t>Стройка</t>
  </si>
  <si>
    <t>наименование, адрес</t>
  </si>
  <si>
    <t>Объект</t>
  </si>
  <si>
    <t>наименование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</si>
  <si>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</si>
  <si>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</si>
  <si>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</si>
  <si>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</si>
  <si>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</si>
  <si>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</si>
  <si>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</si>
  <si>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</si>
  <si>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</si>
  <si>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</si>
  <si>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</si>
  <si>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</si>
  <si>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поз. по сме-те</t>
  </si>
  <si>
    <t>Локальная смета: Новая локальная смета</t>
  </si>
  <si>
    <t>ИТОГИ ПО АКТУ</t>
  </si>
  <si>
    <t>ВСЕГО по акту</t>
  </si>
  <si>
    <t xml:space="preserve">Сдал   </t>
  </si>
  <si>
    <t xml:space="preserve">Принял   </t>
  </si>
  <si>
    <t>НДС 22%(МАТ+ОБ+ЭМ)</t>
  </si>
  <si>
    <t>Приложение № 3 к Контракту № 01-03-19-44/26/___ от «__»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</si>
</sst>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\ #,##0.00"/>
    <numFmt numFmtId="165" formatCode="0.0000"/>
    <numFmt numFmtId="166" formatCode="#,##0.00#####;[Red]\-\ #,##0.00#####"/>
  </numFmts>
  <fonts count="25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4" fillId="0" borderId="7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right" vertical="top" wrapText="1"/>
    </xf>
    <xf numFmtId="0" fontId="7" fillId="0" borderId="7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10" fillId="0" borderId="0" xfId="0" applyFont="1"/>
    <xf numFmtId="0" fontId="11" fillId="0" borderId="0" xfId="0" applyFont="1"/>
    <xf numFmtId="0" fontId="14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1" fillId="0" borderId="2" xfId="0" applyFont="1" applyBorder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3" fillId="0" borderId="0" xfId="0" applyFont="1"/>
    <xf numFmtId="14" fontId="8" fillId="0" borderId="0" xfId="0" applyNumberFormat="1" applyFont="1"/>
    <xf numFmtId="0" fontId="2" fillId="0" borderId="0" xfId="0" applyFont="1" applyAlignment="1">
      <alignment horizontal="right"/>
    </xf>
    <xf numFmtId="0" fontId="16" fillId="0" borderId="0" xfId="0" applyFont="1"/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0" xfId="0" quotePrefix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 wrapText="1"/>
    </xf>
    <xf numFmtId="0" fontId="21" fillId="0" borderId="0" xfId="0" quotePrefix="1" applyFont="1" applyAlignment="1">
      <alignment vertical="top" wrapText="1"/>
    </xf>
    <xf numFmtId="0" fontId="22" fillId="0" borderId="0" xfId="0" quotePrefix="1" applyFont="1" applyAlignment="1">
      <alignment vertical="top" wrapText="1"/>
    </xf>
    <xf numFmtId="0" fontId="1" fillId="0" borderId="0" xfId="0" applyFont="1" applyAlignment="1">
      <alignment vertical="top" wrapText="1"/>
    </xf>
    <xf numFmtId="166" fontId="6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/>
    </xf>
    <xf numFmtId="16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1" xfId="0" quotePrefix="1" applyFont="1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/>
    </xf>
    <xf numFmtId="0" fontId="7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1" fillId="0" borderId="0" xfId="0" applyNumberFormat="1" applyFont="1"/>
    <xf numFmtId="166" fontId="11" fillId="0" borderId="0" xfId="0" applyNumberFormat="1" applyFont="1"/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wrapText="1"/>
    </xf>
    <xf numFmtId="0" fontId="8" fillId="0" borderId="17" xfId="0" applyFont="1" applyBorder="1" applyAlignment="1">
      <alignment horizontal="right" wrapText="1"/>
    </xf>
    <xf numFmtId="0" fontId="2" fillId="0" borderId="17" xfId="0" applyFont="1" applyBorder="1" applyAlignment="1">
      <alignment wrapText="1"/>
    </xf>
    <xf numFmtId="0" fontId="8" fillId="0" borderId="28" xfId="0" applyFont="1" applyBorder="1" applyAlignment="1">
      <alignment horizontal="right" wrapText="1"/>
    </xf>
    <xf numFmtId="0" fontId="2" fillId="0" borderId="28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8" fillId="0" borderId="16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>
      <alignment horizontal="left" vertical="center"/>
    </xf>
    <xf numFmtId="49" fontId="24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164" fontId="7" fillId="0" borderId="0" xfId="0" applyNumberFormat="1" applyFont="1" applyAlignment="1">
      <alignment horizontal="left" vertical="top"/>
    </xf>
    <xf numFmtId="164" fontId="7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8" fillId="0" borderId="1" xfId="0" applyFon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wrapText="1"/>
    </xf>
    <xf numFmtId="0" fontId="8" fillId="0" borderId="16" xfId="0" applyFont="1" applyBorder="1" applyAlignment="1">
      <alignment horizontal="right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14" fontId="8" fillId="0" borderId="22" xfId="0" applyNumberFormat="1" applyFont="1" applyBorder="1" applyAlignment="1">
      <alignment horizontal="center" wrapText="1"/>
    </xf>
    <xf numFmtId="14" fontId="8" fillId="0" borderId="23" xfId="0" applyNumberFormat="1" applyFont="1" applyBorder="1" applyAlignment="1">
      <alignment horizontal="center" wrapText="1"/>
    </xf>
    <xf numFmtId="14" fontId="8" fillId="0" borderId="24" xfId="0" applyNumberFormat="1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8" fillId="0" borderId="18" xfId="0" applyFont="1" applyBorder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EF15-37FF-4F52-8B7E-4AD4BB3EEEC2}">
  <sheetPr>
    <pageSetUpPr fitToPage="1"/>
  </sheetPr>
  <dimension ref="A1:AB39"/>
  <sheetViews>
    <sheetView zoomScale="70" zoomScaleNormal="70" workbookViewId="0"/>
  </sheetViews>
  <sheetFormatPr defaultRowHeight="12.75" x14ac:dyDescent="0.2"/>
  <cols>
    <col min="1" max="1" width="6.7109375" customWidth="1"/>
    <col min="2" max="2" width="25.7109375" customWidth="1"/>
    <col min="3" max="4" width="35.7109375" customWidth="1"/>
    <col min="5" max="9" width="15.7109375" customWidth="1"/>
    <col min="10" max="13" width="10.7109375" customWidth="1"/>
    <col min="14" max="14" width="25.7109375" customWidth="1"/>
    <col min="15" max="16" width="10.7109375" customWidth="1"/>
    <col min="17" max="19" width="15.7109375" customWidth="1"/>
    <col min="20" max="20" width="20.7109375" customWidth="1"/>
    <col min="21" max="23" width="15.7109375" customWidth="1"/>
    <col min="24" max="25" width="20.7109375" customWidth="1"/>
    <col min="26" max="28" width="15.7109375" customWidth="1"/>
  </cols>
  <sheetData>
    <row r="1" spans="1:28" ht="12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0.25" customHeight="1" x14ac:dyDescent="0.2">
      <c r="A2" s="161" t="s">
        <v>411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3"/>
      <c r="AB2" s="3"/>
    </row>
    <row r="3" spans="1:28" ht="12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A4" s="162" t="s">
        <v>441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4"/>
      <c r="AB4" s="4"/>
    </row>
    <row r="5" spans="1:28" ht="12.75" customHeight="1" x14ac:dyDescent="0.2">
      <c r="A5" s="163" t="s">
        <v>412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5"/>
      <c r="AB5" s="5"/>
    </row>
    <row r="6" spans="1:28" ht="12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5" customHeight="1" x14ac:dyDescent="0.2">
      <c r="A8" s="164" t="s">
        <v>413</v>
      </c>
      <c r="B8" s="164" t="s">
        <v>414</v>
      </c>
      <c r="C8" s="164" t="s">
        <v>415</v>
      </c>
      <c r="D8" s="164" t="s">
        <v>416</v>
      </c>
      <c r="E8" s="164" t="s">
        <v>417</v>
      </c>
      <c r="F8" s="164" t="s">
        <v>418</v>
      </c>
      <c r="G8" s="164" t="s">
        <v>419</v>
      </c>
      <c r="H8" s="164" t="s">
        <v>420</v>
      </c>
      <c r="I8" s="164" t="s">
        <v>421</v>
      </c>
      <c r="J8" s="167" t="s">
        <v>422</v>
      </c>
      <c r="K8" s="168"/>
      <c r="L8" s="167" t="s">
        <v>423</v>
      </c>
      <c r="M8" s="168"/>
      <c r="N8" s="173" t="s">
        <v>424</v>
      </c>
      <c r="O8" s="174"/>
      <c r="P8" s="175"/>
      <c r="Q8" s="180" t="s">
        <v>425</v>
      </c>
      <c r="R8" s="164" t="s">
        <v>426</v>
      </c>
      <c r="S8" s="164" t="s">
        <v>427</v>
      </c>
      <c r="T8" s="164" t="s">
        <v>428</v>
      </c>
      <c r="U8" s="164" t="s">
        <v>429</v>
      </c>
      <c r="V8" s="164" t="s">
        <v>430</v>
      </c>
      <c r="W8" s="164" t="s">
        <v>431</v>
      </c>
      <c r="X8" s="164" t="s">
        <v>432</v>
      </c>
      <c r="Y8" s="164" t="s">
        <v>433</v>
      </c>
      <c r="Z8" s="164" t="s">
        <v>434</v>
      </c>
      <c r="AA8" s="164" t="s">
        <v>435</v>
      </c>
      <c r="AB8" s="164" t="s">
        <v>436</v>
      </c>
    </row>
    <row r="9" spans="1:28" ht="15" customHeight="1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9"/>
      <c r="K9" s="170"/>
      <c r="L9" s="169"/>
      <c r="M9" s="170"/>
      <c r="N9" s="169"/>
      <c r="O9" s="176"/>
      <c r="P9" s="177"/>
      <c r="Q9" s="181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</row>
    <row r="10" spans="1:28" ht="15" customHeight="1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9"/>
      <c r="K10" s="170"/>
      <c r="L10" s="169"/>
      <c r="M10" s="170"/>
      <c r="N10" s="169"/>
      <c r="O10" s="176"/>
      <c r="P10" s="177"/>
      <c r="Q10" s="181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</row>
    <row r="11" spans="1:28" ht="15" customHeight="1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9"/>
      <c r="K11" s="170"/>
      <c r="L11" s="169"/>
      <c r="M11" s="170"/>
      <c r="N11" s="169"/>
      <c r="O11" s="176"/>
      <c r="P11" s="177"/>
      <c r="Q11" s="181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</row>
    <row r="12" spans="1:28" ht="15" customHeight="1" x14ac:dyDescent="0.2">
      <c r="A12" s="165"/>
      <c r="B12" s="165"/>
      <c r="C12" s="165"/>
      <c r="D12" s="165"/>
      <c r="E12" s="165"/>
      <c r="F12" s="165"/>
      <c r="G12" s="165"/>
      <c r="H12" s="165"/>
      <c r="I12" s="165"/>
      <c r="J12" s="169"/>
      <c r="K12" s="170"/>
      <c r="L12" s="169"/>
      <c r="M12" s="170"/>
      <c r="N12" s="169"/>
      <c r="O12" s="176"/>
      <c r="P12" s="177"/>
      <c r="Q12" s="181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</row>
    <row r="13" spans="1:28" ht="15" customHeight="1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71"/>
      <c r="K13" s="172"/>
      <c r="L13" s="171"/>
      <c r="M13" s="172"/>
      <c r="N13" s="171"/>
      <c r="O13" s="178"/>
      <c r="P13" s="179"/>
      <c r="Q13" s="181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</row>
    <row r="14" spans="1:28" ht="15" customHeight="1" x14ac:dyDescent="0.2">
      <c r="A14" s="165"/>
      <c r="B14" s="165"/>
      <c r="C14" s="165"/>
      <c r="D14" s="165"/>
      <c r="E14" s="165"/>
      <c r="F14" s="165"/>
      <c r="G14" s="165"/>
      <c r="H14" s="165"/>
      <c r="I14" s="165"/>
      <c r="J14" s="164" t="s">
        <v>437</v>
      </c>
      <c r="K14" s="164" t="s">
        <v>438</v>
      </c>
      <c r="L14" s="164" t="s">
        <v>437</v>
      </c>
      <c r="M14" s="164" t="s">
        <v>439</v>
      </c>
      <c r="N14" s="164" t="s">
        <v>440</v>
      </c>
      <c r="O14" s="164" t="s">
        <v>437</v>
      </c>
      <c r="P14" s="183" t="s">
        <v>439</v>
      </c>
      <c r="Q14" s="181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</row>
    <row r="15" spans="1:28" ht="15" customHeight="1" x14ac:dyDescent="0.2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84"/>
      <c r="Q15" s="181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</row>
    <row r="16" spans="1:28" ht="15" customHeight="1" x14ac:dyDescent="0.2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84"/>
      <c r="Q16" s="181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</row>
    <row r="17" spans="1:28" ht="15" customHeight="1" x14ac:dyDescent="0.2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84"/>
      <c r="Q17" s="181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</row>
    <row r="18" spans="1:28" ht="15" customHeight="1" x14ac:dyDescent="0.2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85"/>
      <c r="Q18" s="182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</row>
    <row r="19" spans="1:28" ht="15" customHeight="1" x14ac:dyDescent="0.2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7">
        <v>11</v>
      </c>
      <c r="L19" s="7">
        <v>12</v>
      </c>
      <c r="M19" s="7">
        <v>13</v>
      </c>
      <c r="N19" s="7">
        <v>14</v>
      </c>
      <c r="O19" s="7">
        <v>15</v>
      </c>
      <c r="P19" s="7">
        <v>16</v>
      </c>
      <c r="Q19" s="7">
        <v>17</v>
      </c>
      <c r="R19" s="7">
        <v>18</v>
      </c>
      <c r="S19" s="7">
        <v>19</v>
      </c>
      <c r="T19" s="7">
        <v>20</v>
      </c>
      <c r="U19" s="7">
        <v>21</v>
      </c>
      <c r="V19" s="7">
        <v>22</v>
      </c>
      <c r="W19" s="7">
        <v>23</v>
      </c>
      <c r="X19" s="7">
        <v>24</v>
      </c>
      <c r="Y19" s="7">
        <v>25</v>
      </c>
      <c r="Z19" s="7">
        <v>26</v>
      </c>
      <c r="AA19" s="7">
        <v>27</v>
      </c>
      <c r="AB19" s="7">
        <v>28</v>
      </c>
    </row>
    <row r="20" spans="1:28" ht="16.5" x14ac:dyDescent="0.2">
      <c r="A20" s="186" t="str">
        <f>SrcKA!E14</f>
        <v>Конъюнктурный анализ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</row>
    <row r="21" spans="1:28" ht="199.5" x14ac:dyDescent="0.2">
      <c r="A21" s="8" t="s">
        <v>357</v>
      </c>
      <c r="B21" s="9" t="str">
        <f>SrcKA!D15</f>
        <v>ТЦ_01.8.01.06_77_7722753969 _08.06.2026_01_1.1</v>
      </c>
      <c r="C21" s="9" t="str">
        <f>IF((SrcKA!AI15&lt;&gt;""), SrcKA!AI15,"")</f>
        <v>Сетка фасадная защитная 80 гр/м2</v>
      </c>
      <c r="D21" s="9" t="str">
        <f>IF((SrcKA!E15&lt;&gt;""), SrcKA!E15,"")</f>
        <v>Сетка фасадная защитная 80 гр/м2</v>
      </c>
      <c r="E21" s="10" t="str">
        <f>IF((SrcKA!AH15&lt;&gt;""), SrcKA!AH15,"")</f>
        <v>м2</v>
      </c>
      <c r="F21" s="10" t="str">
        <f>IF((SrcKA!G15&lt;&gt;""), SrcKA!G15,"")</f>
        <v>м2</v>
      </c>
      <c r="G21" s="11">
        <f>IF((SrcKA!I15&lt;&gt;""), SrcKA!I15,"")</f>
        <v>56.44</v>
      </c>
      <c r="H21" s="11">
        <f>IF((SrcKA!H15&lt;&gt;""), SrcKA!H15,"")</f>
        <v>46.26</v>
      </c>
      <c r="I21" s="11">
        <f>IF((SrcKA!AC15&lt;&gt;""), SrcKA!AC15,"")</f>
        <v>46.26</v>
      </c>
      <c r="J21" s="11">
        <f>IF((SrcKA!AA15&lt;&gt;""), SrcKA!AA15,"")</f>
        <v>0</v>
      </c>
      <c r="K21" s="11">
        <f>IF((SrcKA!J15&lt;&gt;""), SrcKA!J15,"")</f>
        <v>0</v>
      </c>
      <c r="L21" s="11">
        <f>IF((SrcKA!U15&lt;&gt;""), SrcKA!U15,"")</f>
        <v>2</v>
      </c>
      <c r="M21" s="11">
        <f>IF((SrcKA!V15&lt;&gt;""), SrcKA!V15,"")</f>
        <v>0.93</v>
      </c>
      <c r="N21" s="9"/>
      <c r="O21" s="11"/>
      <c r="P21" s="11">
        <f>IF((SrcKA!AE15&lt;&gt;""), SrcKA!AE15,"")</f>
        <v>0</v>
      </c>
      <c r="Q21" s="11">
        <f>IF((SrcKA!K15&lt;&gt;""), SrcKA!K15,"")</f>
        <v>47.19</v>
      </c>
      <c r="R21" s="10">
        <v>2026</v>
      </c>
      <c r="S21" s="10" t="s">
        <v>442</v>
      </c>
      <c r="T21" s="9" t="str">
        <f>IF((SrcKA!O15&lt;&gt;""), SrcKA!O15,"")</f>
        <v>ООО «ВсеИнструменты.ру»</v>
      </c>
      <c r="U21" s="9" t="str">
        <f>IF((SrcKA!Z15&lt;&gt;""), SrcKA!Z15,"")</f>
        <v/>
      </c>
      <c r="V21" s="9" t="str">
        <f>IF((SrcKA!R15&lt;&gt;""), SrcKA!R15,"")</f>
        <v>997750001</v>
      </c>
      <c r="W21" s="9" t="str">
        <f>IF((SrcKA!Q15&lt;&gt;""), SrcKA!Q15,"")</f>
        <v>7722753969</v>
      </c>
      <c r="X21" s="9" t="str">
        <f>IF((SrcKA!S15&lt;&gt;""), SrcKA!S15,"")</f>
        <v>https://www.vseinstrumenti.ru/product/setka-fasadnaya-zaschitnaya-zelenaya-3x50-m-80-g-m2-strong-nt30080gr-2046205/#searchQuery=Сетка+фасадная+защитная+зеленая+(3x50+м;+80+г/м2)+Strong+NT30080GR&amp;searchType=autocomplete</v>
      </c>
      <c r="Y21" s="9" t="str">
        <f>IF((SrcKA!P15&lt;&gt;""), SrcKA!P15,"")</f>
        <v/>
      </c>
      <c r="Z21" s="10">
        <f>IF((SrcKA!N15&lt;&gt;""), SrcKA!N15,"")</f>
        <v>2</v>
      </c>
      <c r="AA21" s="10" t="str">
        <f>IF((SrcKA!Y15&lt;&gt;""), SrcKA!Y15,"")</f>
        <v/>
      </c>
      <c r="AB21" s="10" t="str">
        <f>IF((SrcKA!AV15&lt;&gt;""), SrcKA!AV15,"")</f>
        <v/>
      </c>
    </row>
    <row r="22" spans="1:28" ht="85.5" x14ac:dyDescent="0.2">
      <c r="A22" s="8" t="s">
        <v>365</v>
      </c>
      <c r="B22" s="9" t="str">
        <f>SrcKA!D16</f>
        <v>ТЦ_01.8.01.06_50_5036136124 _08.06.2026_01_1.2</v>
      </c>
      <c r="C22" s="9" t="str">
        <f>IF((SrcKA!AI16&lt;&gt;""), SrcKA!AI16,"")</f>
        <v>Сетка фасадная защитная 80 гр/м2</v>
      </c>
      <c r="D22" s="9" t="str">
        <f>IF((SrcKA!E16&lt;&gt;""), SrcKA!E16,"")</f>
        <v>Сетка фасадная защитная 80 гр/м2</v>
      </c>
      <c r="E22" s="10" t="str">
        <f>IF((SrcKA!AH16&lt;&gt;""), SrcKA!AH16,"")</f>
        <v>м2</v>
      </c>
      <c r="F22" s="10" t="str">
        <f>IF((SrcKA!G16&lt;&gt;""), SrcKA!G16,"")</f>
        <v>м2</v>
      </c>
      <c r="G22" s="11">
        <f>IF((SrcKA!I16&lt;&gt;""), SrcKA!I16,"")</f>
        <v>48</v>
      </c>
      <c r="H22" s="11">
        <f>IF((SrcKA!H16&lt;&gt;""), SrcKA!H16,"")</f>
        <v>39.340000000000003</v>
      </c>
      <c r="I22" s="11">
        <f>IF((SrcKA!AC16&lt;&gt;""), SrcKA!AC16,"")</f>
        <v>39.340000000000003</v>
      </c>
      <c r="J22" s="11">
        <f>IF((SrcKA!AA16&lt;&gt;""), SrcKA!AA16,"")</f>
        <v>0</v>
      </c>
      <c r="K22" s="11">
        <f>IF((SrcKA!J16&lt;&gt;""), SrcKA!J16,"")</f>
        <v>0</v>
      </c>
      <c r="L22" s="11">
        <f>IF((SrcKA!U16&lt;&gt;""), SrcKA!U16,"")</f>
        <v>2</v>
      </c>
      <c r="M22" s="11">
        <f>IF((SrcKA!V16&lt;&gt;""), SrcKA!V16,"")</f>
        <v>0.79</v>
      </c>
      <c r="N22" s="9"/>
      <c r="O22" s="11"/>
      <c r="P22" s="11">
        <f>IF((SrcKA!AE16&lt;&gt;""), SrcKA!AE16,"")</f>
        <v>0</v>
      </c>
      <c r="Q22" s="11">
        <f>IF((SrcKA!K16&lt;&gt;""), SrcKA!K16,"")</f>
        <v>40.130000000000003</v>
      </c>
      <c r="R22" s="10">
        <v>2026</v>
      </c>
      <c r="S22" s="10" t="s">
        <v>442</v>
      </c>
      <c r="T22" s="9" t="str">
        <f>IF((SrcKA!O16&lt;&gt;""), SrcKA!O16,"")</f>
        <v>ООО "Компания Версона"</v>
      </c>
      <c r="U22" s="9" t="str">
        <f>IF((SrcKA!Z16&lt;&gt;""), SrcKA!Z16,"")</f>
        <v/>
      </c>
      <c r="V22" s="9" t="str">
        <f>IF((SrcKA!R16&lt;&gt;""), SrcKA!R16,"")</f>
        <v>503601001</v>
      </c>
      <c r="W22" s="9" t="str">
        <f>IF((SrcKA!Q16&lt;&gt;""), SrcKA!Q16,"")</f>
        <v>5036136124</v>
      </c>
      <c r="X22" s="9" t="str">
        <f>IF((SrcKA!S16&lt;&gt;""), SrcKA!S16,"")</f>
        <v>https://zhukovskij.wersona.ru/products/fasadnaya-setka/72-85-gramm/setka-fasadnaya-80-gr/m2-ploshhad-150-m2</v>
      </c>
      <c r="Y22" s="9" t="str">
        <f>IF((SrcKA!P16&lt;&gt;""), SrcKA!P16,"")</f>
        <v/>
      </c>
      <c r="Z22" s="10">
        <f>IF((SrcKA!N16&lt;&gt;""), SrcKA!N16,"")</f>
        <v>2</v>
      </c>
      <c r="AA22" s="10" t="str">
        <f>IF((SrcKA!Y16&lt;&gt;""), SrcKA!Y16,"")</f>
        <v/>
      </c>
      <c r="AB22" s="10" t="str">
        <f>IF((SrcKA!AV16&lt;&gt;""), SrcKA!AV16,"")</f>
        <v/>
      </c>
    </row>
    <row r="23" spans="1:28" ht="150" x14ac:dyDescent="0.2">
      <c r="A23" s="12" t="s">
        <v>372</v>
      </c>
      <c r="B23" s="13" t="str">
        <f>SrcKA!D17</f>
        <v>ТЦ_01.8.01.06_77_9701044387_08.06.2026_01_1.3</v>
      </c>
      <c r="C23" s="13" t="str">
        <f>IF((SrcKA!AI17&lt;&gt;""), SrcKA!AI17,"")</f>
        <v>Сетка фасадная защитная 80 гр/м2</v>
      </c>
      <c r="D23" s="13" t="str">
        <f>IF((SrcKA!E17&lt;&gt;""), SrcKA!E17,"")</f>
        <v>Сетка фасадная защитная 80 гр/м2</v>
      </c>
      <c r="E23" s="14" t="str">
        <f>IF((SrcKA!AH17&lt;&gt;""), SrcKA!AH17,"")</f>
        <v>м2</v>
      </c>
      <c r="F23" s="14" t="str">
        <f>IF((SrcKA!G17&lt;&gt;""), SrcKA!G17,"")</f>
        <v>м2</v>
      </c>
      <c r="G23" s="15">
        <f>IF((SrcKA!I17&lt;&gt;""), SrcKA!I17,"")</f>
        <v>45</v>
      </c>
      <c r="H23" s="15">
        <f>IF((SrcKA!H17&lt;&gt;""), SrcKA!H17,"")</f>
        <v>36.89</v>
      </c>
      <c r="I23" s="15">
        <f>IF((SrcKA!AC17&lt;&gt;""), SrcKA!AC17,"")</f>
        <v>36.89</v>
      </c>
      <c r="J23" s="15">
        <f>IF((SrcKA!AA17&lt;&gt;""), SrcKA!AA17,"")</f>
        <v>0</v>
      </c>
      <c r="K23" s="15">
        <f>IF((SrcKA!J17&lt;&gt;""), SrcKA!J17,"")</f>
        <v>0</v>
      </c>
      <c r="L23" s="15">
        <f>IF((SrcKA!U17&lt;&gt;""), SrcKA!U17,"")</f>
        <v>2</v>
      </c>
      <c r="M23" s="15">
        <f>IF((SrcKA!V17&lt;&gt;""), SrcKA!V17,"")</f>
        <v>0.74</v>
      </c>
      <c r="N23" s="13"/>
      <c r="O23" s="15"/>
      <c r="P23" s="15">
        <f>IF((SrcKA!AE17&lt;&gt;""), SrcKA!AE17,"")</f>
        <v>0</v>
      </c>
      <c r="Q23" s="15">
        <f>IF((SrcKA!K17&lt;&gt;""), SrcKA!K17,"")</f>
        <v>37.630000000000003</v>
      </c>
      <c r="R23" s="14">
        <v>2026</v>
      </c>
      <c r="S23" s="14" t="s">
        <v>442</v>
      </c>
      <c r="T23" s="13" t="str">
        <f>IF((SrcKA!O17&lt;&gt;""), SrcKA!O17,"")</f>
        <v>ООО «ПРОГРЕСС»</v>
      </c>
      <c r="U23" s="13" t="str">
        <f>IF((SrcKA!Z17&lt;&gt;""), SrcKA!Z17,"")</f>
        <v/>
      </c>
      <c r="V23" s="13" t="str">
        <f>IF((SrcKA!R17&lt;&gt;""), SrcKA!R17,"")</f>
        <v/>
      </c>
      <c r="W23" s="13" t="str">
        <f>IF((SrcKA!Q17&lt;&gt;""), SrcKA!Q17,"")</f>
        <v>9701044387</v>
      </c>
      <c r="X23" s="13" t="str">
        <f>IF((SrcKA!S17&lt;&gt;""), SrcKA!S17,"")</f>
        <v>https://izomaxx.ru/zashhitnaja-fasadnaja-setka--zatenjajushhaja-/setka-fasadnaya-dlya-lesov/zashhitnaja-fasadnaja-setka-80-gr-m2--3h50m--150m2.html</v>
      </c>
      <c r="Y23" s="13" t="str">
        <f>IF((SrcKA!P17&lt;&gt;""), SrcKA!P17,"")</f>
        <v/>
      </c>
      <c r="Z23" s="14">
        <f>IF((SrcKA!N17&lt;&gt;""), SrcKA!N17,"")</f>
        <v>2</v>
      </c>
      <c r="AA23" s="14" t="str">
        <f>IF((SrcKA!Y17&lt;&gt;""), SrcKA!Y17,"")</f>
        <v/>
      </c>
      <c r="AB23" s="14" t="str">
        <f>IF((SrcKA!AV17&lt;&gt;""), SrcKA!AV17,"")</f>
        <v/>
      </c>
    </row>
    <row r="24" spans="1:28" ht="120" x14ac:dyDescent="0.2">
      <c r="A24" s="12" t="s">
        <v>376</v>
      </c>
      <c r="B24" s="13" t="str">
        <f>SrcKA!D18</f>
        <v>ТЦ_ 14.2.06.01_37_372002340471 _08.06.2026_01_2.1</v>
      </c>
      <c r="C24" s="13" t="str">
        <f>IF((SrcKA!AI18&lt;&gt;""), SrcKA!AI18,"")</f>
        <v>Камнеукрепитель "Петромикс SR-01**", (расход 2 л/м2) в 2 слоя</v>
      </c>
      <c r="D24" s="13" t="str">
        <f>IF((SrcKA!E18&lt;&gt;""), SrcKA!E18,"")</f>
        <v>Камнеукрепитель "Петромикс SR-01**", (расход 2 л/м2) в 2 слоя</v>
      </c>
      <c r="E24" s="14" t="str">
        <f>IF((SrcKA!AH18&lt;&gt;""), SrcKA!AH18,"")</f>
        <v>л</v>
      </c>
      <c r="F24" s="14" t="str">
        <f>IF((SrcKA!G18&lt;&gt;""), SrcKA!G18,"")</f>
        <v>л</v>
      </c>
      <c r="G24" s="15">
        <f>IF((SrcKA!I18&lt;&gt;""), SrcKA!I18,"")</f>
        <v>1779.5</v>
      </c>
      <c r="H24" s="15">
        <f>IF((SrcKA!H18&lt;&gt;""), SrcKA!H18,"")</f>
        <v>1458.61</v>
      </c>
      <c r="I24" s="15">
        <f>IF((SrcKA!AC18&lt;&gt;""), SrcKA!AC18,"")</f>
        <v>1458.61</v>
      </c>
      <c r="J24" s="15">
        <f>IF((SrcKA!AA18&lt;&gt;""), SrcKA!AA18,"")</f>
        <v>0</v>
      </c>
      <c r="K24" s="15">
        <f>IF((SrcKA!J18&lt;&gt;""), SrcKA!J18,"")</f>
        <v>0</v>
      </c>
      <c r="L24" s="15">
        <f>IF((SrcKA!U18&lt;&gt;""), SrcKA!U18,"")</f>
        <v>2</v>
      </c>
      <c r="M24" s="15">
        <f>IF((SrcKA!V18&lt;&gt;""), SrcKA!V18,"")</f>
        <v>29.17</v>
      </c>
      <c r="N24" s="13"/>
      <c r="O24" s="15"/>
      <c r="P24" s="15">
        <f>IF((SrcKA!AE18&lt;&gt;""), SrcKA!AE18,"")</f>
        <v>0</v>
      </c>
      <c r="Q24" s="15">
        <f>IF((SrcKA!K18&lt;&gt;""), SrcKA!K18,"")</f>
        <v>1487.78</v>
      </c>
      <c r="R24" s="14">
        <v>2026</v>
      </c>
      <c r="S24" s="14" t="s">
        <v>442</v>
      </c>
      <c r="T24" s="13" t="str">
        <f>IF((SrcKA!O18&lt;&gt;""), SrcKA!O18,"")</f>
        <v>ИП ДЖУМАБАЕВ РУСЛАН ДЖОЛДОШАЛИЕВИЧ</v>
      </c>
      <c r="U24" s="13" t="str">
        <f>IF((SrcKA!Z18&lt;&gt;""), SrcKA!Z18,"")</f>
        <v/>
      </c>
      <c r="V24" s="13" t="str">
        <f>IF((SrcKA!R18&lt;&gt;""), SrcKA!R18,"")</f>
        <v/>
      </c>
      <c r="W24" s="13" t="str">
        <f>IF((SrcKA!Q18&lt;&gt;""), SrcKA!Q18,"")</f>
        <v>372002340471</v>
      </c>
      <c r="X24" s="13" t="str">
        <f>IF((SrcKA!S18&lt;&gt;""), SrcKA!S18,"")</f>
        <v>https://petr-group.ru/catalog/p/antiseptiki-i-biozashita79/kamneukrepitel-petromiks-sr-01-10-l/?ysclid=mf54winp2f675567863</v>
      </c>
      <c r="Y24" s="13" t="str">
        <f>IF((SrcKA!P18&lt;&gt;""), SrcKA!P18,"")</f>
        <v/>
      </c>
      <c r="Z24" s="14">
        <f>IF((SrcKA!N18&lt;&gt;""), SrcKA!N18,"")</f>
        <v>2</v>
      </c>
      <c r="AA24" s="14" t="str">
        <f>IF((SrcKA!Y18&lt;&gt;""), SrcKA!Y18,"")</f>
        <v/>
      </c>
      <c r="AB24" s="14" t="str">
        <f>IF((SrcKA!AV18&lt;&gt;""), SrcKA!AV18,"")</f>
        <v/>
      </c>
    </row>
    <row r="25" spans="1:28" ht="85.5" x14ac:dyDescent="0.2">
      <c r="A25" s="8" t="s">
        <v>382</v>
      </c>
      <c r="B25" s="9" t="str">
        <f>SrcKA!D19</f>
        <v>ТЦ_ 14.2.06.01_77_9715207948 _08.06.2026_01_2.2</v>
      </c>
      <c r="C25" s="9" t="str">
        <f>IF((SrcKA!AI19&lt;&gt;""), SrcKA!AI19,"")</f>
        <v>Камнеукрепитель "Петромикс SR-01**", (расход 2 л/м2) в 2 слоя</v>
      </c>
      <c r="D25" s="9" t="str">
        <f>IF((SrcKA!E19&lt;&gt;""), SrcKA!E19,"")</f>
        <v>Камнеукрепитель "Петромикс SR-01**", (расход 2 л/м2) в 2 слоя</v>
      </c>
      <c r="E25" s="10" t="str">
        <f>IF((SrcKA!AH19&lt;&gt;""), SrcKA!AH19,"")</f>
        <v>л</v>
      </c>
      <c r="F25" s="10" t="str">
        <f>IF((SrcKA!G19&lt;&gt;""), SrcKA!G19,"")</f>
        <v>л</v>
      </c>
      <c r="G25" s="11">
        <f>IF((SrcKA!I19&lt;&gt;""), SrcKA!I19,"")</f>
        <v>1950</v>
      </c>
      <c r="H25" s="11">
        <f>IF((SrcKA!H19&lt;&gt;""), SrcKA!H19,"")</f>
        <v>1598.36</v>
      </c>
      <c r="I25" s="11">
        <f>IF((SrcKA!AC19&lt;&gt;""), SrcKA!AC19,"")</f>
        <v>1598.36</v>
      </c>
      <c r="J25" s="11">
        <f>IF((SrcKA!AA19&lt;&gt;""), SrcKA!AA19,"")</f>
        <v>0</v>
      </c>
      <c r="K25" s="11">
        <f>IF((SrcKA!J19&lt;&gt;""), SrcKA!J19,"")</f>
        <v>0</v>
      </c>
      <c r="L25" s="11">
        <f>IF((SrcKA!U19&lt;&gt;""), SrcKA!U19,"")</f>
        <v>2</v>
      </c>
      <c r="M25" s="11">
        <f>IF((SrcKA!V19&lt;&gt;""), SrcKA!V19,"")</f>
        <v>31.97</v>
      </c>
      <c r="N25" s="9"/>
      <c r="O25" s="11"/>
      <c r="P25" s="11">
        <f>IF((SrcKA!AE19&lt;&gt;""), SrcKA!AE19,"")</f>
        <v>0</v>
      </c>
      <c r="Q25" s="11">
        <f>IF((SrcKA!K19&lt;&gt;""), SrcKA!K19,"")</f>
        <v>1630.33</v>
      </c>
      <c r="R25" s="10">
        <v>2026</v>
      </c>
      <c r="S25" s="10" t="s">
        <v>442</v>
      </c>
      <c r="T25" s="9" t="str">
        <f>IF((SrcKA!O19&lt;&gt;""), SrcKA!O19,"")</f>
        <v>ООО "Бафус"</v>
      </c>
      <c r="U25" s="9" t="str">
        <f>IF((SrcKA!Z19&lt;&gt;""), SrcKA!Z19,"")</f>
        <v/>
      </c>
      <c r="V25" s="9" t="str">
        <f>IF((SrcKA!R19&lt;&gt;""), SrcKA!R19,"")</f>
        <v/>
      </c>
      <c r="W25" s="9" t="str">
        <f>IF((SrcKA!Q19&lt;&gt;""), SrcKA!Q19,"")</f>
        <v>9715207948</v>
      </c>
      <c r="X25" s="9" t="str">
        <f>IF((SrcKA!S19&lt;&gt;""), SrcKA!S19,"")</f>
        <v>https://www.bafus.ru/product/petromix-sr-01-kamneukrepitel-10-l/?ysclid=mf54vpl0ro929121554</v>
      </c>
      <c r="Y25" s="9" t="str">
        <f>IF((SrcKA!P19&lt;&gt;""), SrcKA!P19,"")</f>
        <v/>
      </c>
      <c r="Z25" s="10">
        <f>IF((SrcKA!N19&lt;&gt;""), SrcKA!N19,"")</f>
        <v>2</v>
      </c>
      <c r="AA25" s="10" t="str">
        <f>IF((SrcKA!Y19&lt;&gt;""), SrcKA!Y19,"")</f>
        <v/>
      </c>
      <c r="AB25" s="10" t="str">
        <f>IF((SrcKA!AV19&lt;&gt;""), SrcKA!AV19,"")</f>
        <v/>
      </c>
    </row>
    <row r="26" spans="1:28" ht="99.75" x14ac:dyDescent="0.2">
      <c r="A26" s="8" t="s">
        <v>387</v>
      </c>
      <c r="B26" s="9" t="str">
        <f>SrcKA!D20</f>
        <v>ТЦ_ 14.2.06.01_77_7720739503_08.06.2026_01_2.3</v>
      </c>
      <c r="C26" s="9" t="str">
        <f>IF((SrcKA!AI20&lt;&gt;""), SrcKA!AI20,"")</f>
        <v>Камнеукрепитель "Петромикс SR-01**", (расход 2 л/м2) в 2 слоя</v>
      </c>
      <c r="D26" s="9" t="str">
        <f>IF((SrcKA!E20&lt;&gt;""), SrcKA!E20,"")</f>
        <v>Камнеукрепитель "Петромикс SR-01**", (расход 2 л/м2) в 2 слоя</v>
      </c>
      <c r="E26" s="10" t="str">
        <f>IF((SrcKA!AH20&lt;&gt;""), SrcKA!AH20,"")</f>
        <v>л</v>
      </c>
      <c r="F26" s="10" t="str">
        <f>IF((SrcKA!G20&lt;&gt;""), SrcKA!G20,"")</f>
        <v>л</v>
      </c>
      <c r="G26" s="11">
        <f>IF((SrcKA!I20&lt;&gt;""), SrcKA!I20,"")</f>
        <v>1779.5</v>
      </c>
      <c r="H26" s="11">
        <f>IF((SrcKA!H20&lt;&gt;""), SrcKA!H20,"")</f>
        <v>1458.61</v>
      </c>
      <c r="I26" s="11">
        <f>IF((SrcKA!AC20&lt;&gt;""), SrcKA!AC20,"")</f>
        <v>1458.61</v>
      </c>
      <c r="J26" s="11">
        <f>IF((SrcKA!AA20&lt;&gt;""), SrcKA!AA20,"")</f>
        <v>0</v>
      </c>
      <c r="K26" s="11">
        <f>IF((SrcKA!J20&lt;&gt;""), SrcKA!J20,"")</f>
        <v>0</v>
      </c>
      <c r="L26" s="11">
        <f>IF((SrcKA!U20&lt;&gt;""), SrcKA!U20,"")</f>
        <v>2</v>
      </c>
      <c r="M26" s="11">
        <f>IF((SrcKA!V20&lt;&gt;""), SrcKA!V20,"")</f>
        <v>29.17</v>
      </c>
      <c r="N26" s="9"/>
      <c r="O26" s="11"/>
      <c r="P26" s="11">
        <f>IF((SrcKA!AE20&lt;&gt;""), SrcKA!AE20,"")</f>
        <v>0</v>
      </c>
      <c r="Q26" s="11">
        <f>IF((SrcKA!K20&lt;&gt;""), SrcKA!K20,"")</f>
        <v>1487.78</v>
      </c>
      <c r="R26" s="10">
        <v>2026</v>
      </c>
      <c r="S26" s="10" t="s">
        <v>442</v>
      </c>
      <c r="T26" s="9" t="str">
        <f>IF((SrcKA!O20&lt;&gt;""), SrcKA!O20,"")</f>
        <v>ООО ТПК САНСТЕКЛОТОРГ</v>
      </c>
      <c r="U26" s="9" t="str">
        <f>IF((SrcKA!Z20&lt;&gt;""), SrcKA!Z20,"")</f>
        <v/>
      </c>
      <c r="V26" s="9" t="str">
        <f>IF((SrcKA!R20&lt;&gt;""), SrcKA!R20,"")</f>
        <v/>
      </c>
      <c r="W26" s="9" t="str">
        <f>IF((SrcKA!Q20&lt;&gt;""), SrcKA!Q20,"")</f>
        <v>7720739503</v>
      </c>
      <c r="X26" s="9" t="str">
        <f>IF((SrcKA!S20&lt;&gt;""), SrcKA!S20,"")</f>
        <v>https://petrovich-stroy.ru/catalog/p/antiseptiki-i-biozashita76/kamneukrepitel_petromiks_sr-01_10_l_1227229/</v>
      </c>
      <c r="Y26" s="9" t="str">
        <f>IF((SrcKA!P20&lt;&gt;""), SrcKA!P20,"")</f>
        <v/>
      </c>
      <c r="Z26" s="10">
        <f>IF((SrcKA!N20&lt;&gt;""), SrcKA!N20,"")</f>
        <v>2</v>
      </c>
      <c r="AA26" s="10" t="str">
        <f>IF((SrcKA!Y20&lt;&gt;""), SrcKA!Y20,"")</f>
        <v/>
      </c>
      <c r="AB26" s="10" t="str">
        <f>IF((SrcKA!AV20&lt;&gt;""), SrcKA!AV20,"")</f>
        <v/>
      </c>
    </row>
    <row r="27" spans="1:28" ht="28.5" x14ac:dyDescent="0.2">
      <c r="A27" s="8" t="s">
        <v>392</v>
      </c>
      <c r="B27" s="9" t="str">
        <f>SrcKA!D21</f>
        <v>ТЦ_91.06.06_77_7728312255_08.06.2026_01_3.1</v>
      </c>
      <c r="C27" s="9" t="str">
        <f>IF((SrcKA!AI21&lt;&gt;""), SrcKA!AI21,"")</f>
        <v>Автогидроподъемники, высота подъема 16 м</v>
      </c>
      <c r="D27" s="9" t="str">
        <f>IF((SrcKA!E21&lt;&gt;""), SrcKA!E21,"")</f>
        <v>Автогидроподъемники, высота подъема 16 м</v>
      </c>
      <c r="E27" s="10" t="str">
        <f>IF((SrcKA!AH21&lt;&gt;""), SrcKA!AH21,"")</f>
        <v>маш/час</v>
      </c>
      <c r="F27" s="10" t="str">
        <f>IF((SrcKA!G21&lt;&gt;""), SrcKA!G21,"")</f>
        <v>маш/час</v>
      </c>
      <c r="G27" s="11">
        <f>IF((SrcKA!I21&lt;&gt;""), SrcKA!I21,"")</f>
        <v>1200</v>
      </c>
      <c r="H27" s="11">
        <f>IF((SrcKA!H21&lt;&gt;""), SrcKA!H21,"")</f>
        <v>983.61</v>
      </c>
      <c r="I27" s="11">
        <f>IF((SrcKA!AC21&lt;&gt;""), SrcKA!AC21,"")</f>
        <v>983.61</v>
      </c>
      <c r="J27" s="11">
        <f>IF((SrcKA!AA21&lt;&gt;""), SrcKA!AA21,"")</f>
        <v>0</v>
      </c>
      <c r="K27" s="11">
        <f>IF((SrcKA!J21&lt;&gt;""), SrcKA!J21,"")</f>
        <v>0</v>
      </c>
      <c r="L27" s="11">
        <f>IF((SrcKA!U21&lt;&gt;""), SrcKA!U21,"")</f>
        <v>0</v>
      </c>
      <c r="M27" s="11">
        <f>IF((SrcKA!V21&lt;&gt;""), SrcKA!V21,"")</f>
        <v>0</v>
      </c>
      <c r="N27" s="9"/>
      <c r="O27" s="11"/>
      <c r="P27" s="11">
        <f>IF((SrcKA!AE21&lt;&gt;""), SrcKA!AE21,"")</f>
        <v>0</v>
      </c>
      <c r="Q27" s="11">
        <f>IF((SrcKA!K21&lt;&gt;""), SrcKA!K21,"")</f>
        <v>983.61</v>
      </c>
      <c r="R27" s="10">
        <v>2026</v>
      </c>
      <c r="S27" s="10" t="s">
        <v>442</v>
      </c>
      <c r="T27" s="9" t="str">
        <f>IF((SrcKA!O21&lt;&gt;""), SrcKA!O21,"")</f>
        <v>ООО "Мосстройвектор"</v>
      </c>
      <c r="U27" s="9" t="str">
        <f>IF((SrcKA!Z21&lt;&gt;""), SrcKA!Z21,"")</f>
        <v/>
      </c>
      <c r="V27" s="9" t="str">
        <f>IF((SrcKA!R21&lt;&gt;""), SrcKA!R21,"")</f>
        <v>770401001</v>
      </c>
      <c r="W27" s="9" t="str">
        <f>IF((SrcKA!Q21&lt;&gt;""), SrcKA!Q21,"")</f>
        <v>7728312255</v>
      </c>
      <c r="X27" s="9" t="str">
        <f>IF((SrcKA!S21&lt;&gt;""), SrcKA!S21,"")</f>
        <v>КП б/н от 08.06.2026</v>
      </c>
      <c r="Y27" s="9" t="str">
        <f>IF((SrcKA!P21&lt;&gt;""), SrcKA!P21,"")</f>
        <v/>
      </c>
      <c r="Z27" s="10">
        <f>IF((SrcKA!N21&lt;&gt;""), SrcKA!N21,"")</f>
        <v>2</v>
      </c>
      <c r="AA27" s="10" t="str">
        <f>IF((SrcKA!Y21&lt;&gt;""), SrcKA!Y21,"")</f>
        <v/>
      </c>
      <c r="AB27" s="10" t="str">
        <f>IF((SrcKA!AV21&lt;&gt;""), SrcKA!AV21,"")</f>
        <v/>
      </c>
    </row>
    <row r="28" spans="1:28" ht="30" x14ac:dyDescent="0.2">
      <c r="A28" s="12" t="s">
        <v>399</v>
      </c>
      <c r="B28" s="13" t="str">
        <f>SrcKA!D22</f>
        <v>ТЦ_91.06.06_77_7715941979_08.06.2026_01_3.2</v>
      </c>
      <c r="C28" s="13" t="str">
        <f>IF((SrcKA!AI22&lt;&gt;""), SrcKA!AI22,"")</f>
        <v>Автогидроподъемники, высота подъема 16 м</v>
      </c>
      <c r="D28" s="13" t="str">
        <f>IF((SrcKA!E22&lt;&gt;""), SrcKA!E22,"")</f>
        <v>Автогидроподъемники, высота подъема 16 м</v>
      </c>
      <c r="E28" s="14" t="str">
        <f>IF((SrcKA!AH22&lt;&gt;""), SrcKA!AH22,"")</f>
        <v>маш/час</v>
      </c>
      <c r="F28" s="14" t="str">
        <f>IF((SrcKA!G22&lt;&gt;""), SrcKA!G22,"")</f>
        <v>маш/час</v>
      </c>
      <c r="G28" s="15">
        <f>IF((SrcKA!I22&lt;&gt;""), SrcKA!I22,"")</f>
        <v>1199.8699999999999</v>
      </c>
      <c r="H28" s="15">
        <f>IF((SrcKA!H22&lt;&gt;""), SrcKA!H22,"")</f>
        <v>983.5</v>
      </c>
      <c r="I28" s="15">
        <f>IF((SrcKA!AC22&lt;&gt;""), SrcKA!AC22,"")</f>
        <v>983.5</v>
      </c>
      <c r="J28" s="15">
        <f>IF((SrcKA!AA22&lt;&gt;""), SrcKA!AA22,"")</f>
        <v>0</v>
      </c>
      <c r="K28" s="15">
        <f>IF((SrcKA!J22&lt;&gt;""), SrcKA!J22,"")</f>
        <v>0</v>
      </c>
      <c r="L28" s="15">
        <f>IF((SrcKA!U22&lt;&gt;""), SrcKA!U22,"")</f>
        <v>0</v>
      </c>
      <c r="M28" s="15">
        <f>IF((SrcKA!V22&lt;&gt;""), SrcKA!V22,"")</f>
        <v>0</v>
      </c>
      <c r="N28" s="13"/>
      <c r="O28" s="15"/>
      <c r="P28" s="15">
        <f>IF((SrcKA!AE22&lt;&gt;""), SrcKA!AE22,"")</f>
        <v>0</v>
      </c>
      <c r="Q28" s="15">
        <f>IF((SrcKA!K22&lt;&gt;""), SrcKA!K22,"")</f>
        <v>983.5</v>
      </c>
      <c r="R28" s="14">
        <v>2026</v>
      </c>
      <c r="S28" s="14" t="s">
        <v>442</v>
      </c>
      <c r="T28" s="13" t="str">
        <f>IF((SrcKA!O22&lt;&gt;""), SrcKA!O22,"")</f>
        <v>ООО "АРТЕХСТРОЙ"</v>
      </c>
      <c r="U28" s="13" t="str">
        <f>IF((SrcKA!Z22&lt;&gt;""), SrcKA!Z22,"")</f>
        <v/>
      </c>
      <c r="V28" s="13" t="str">
        <f>IF((SrcKA!R22&lt;&gt;""), SrcKA!R22,"")</f>
        <v>771501001</v>
      </c>
      <c r="W28" s="13" t="str">
        <f>IF((SrcKA!Q22&lt;&gt;""), SrcKA!Q22,"")</f>
        <v>7715941979</v>
      </c>
      <c r="X28" s="13" t="str">
        <f>IF((SrcKA!S22&lt;&gt;""), SrcKA!S22,"")</f>
        <v>КП б/н от 08.06.2026</v>
      </c>
      <c r="Y28" s="13" t="str">
        <f>IF((SrcKA!P22&lt;&gt;""), SrcKA!P22,"")</f>
        <v/>
      </c>
      <c r="Z28" s="14">
        <f>IF((SrcKA!N22&lt;&gt;""), SrcKA!N22,"")</f>
        <v>2</v>
      </c>
      <c r="AA28" s="14" t="str">
        <f>IF((SrcKA!Y22&lt;&gt;""), SrcKA!Y22,"")</f>
        <v/>
      </c>
      <c r="AB28" s="14" t="str">
        <f>IF((SrcKA!AV22&lt;&gt;""), SrcKA!AV22,"")</f>
        <v/>
      </c>
    </row>
    <row r="29" spans="1:28" ht="28.5" x14ac:dyDescent="0.2">
      <c r="A29" s="8" t="s">
        <v>403</v>
      </c>
      <c r="B29" s="9" t="str">
        <f>SrcKA!D23</f>
        <v>ТЦ_91.06.06_77_9715224044 _08.06.2026_01_3.3</v>
      </c>
      <c r="C29" s="9" t="str">
        <f>IF((SrcKA!AI23&lt;&gt;""), SrcKA!AI23,"")</f>
        <v>Автогидроподъемники, высота подъема 16 м</v>
      </c>
      <c r="D29" s="9" t="str">
        <f>IF((SrcKA!E23&lt;&gt;""), SrcKA!E23,"")</f>
        <v>Автогидроподъемники, высота подъема 16 м</v>
      </c>
      <c r="E29" s="10" t="str">
        <f>IF((SrcKA!AH23&lt;&gt;""), SrcKA!AH23,"")</f>
        <v>маш/час</v>
      </c>
      <c r="F29" s="10" t="str">
        <f>IF((SrcKA!G23&lt;&gt;""), SrcKA!G23,"")</f>
        <v>маш/час</v>
      </c>
      <c r="G29" s="11">
        <f>IF((SrcKA!I23&lt;&gt;""), SrcKA!I23,"")</f>
        <v>1500</v>
      </c>
      <c r="H29" s="11">
        <f>IF((SrcKA!H23&lt;&gt;""), SrcKA!H23,"")</f>
        <v>1229.51</v>
      </c>
      <c r="I29" s="11">
        <f>IF((SrcKA!AC23&lt;&gt;""), SrcKA!AC23,"")</f>
        <v>1229.51</v>
      </c>
      <c r="J29" s="11">
        <f>IF((SrcKA!AA23&lt;&gt;""), SrcKA!AA23,"")</f>
        <v>0</v>
      </c>
      <c r="K29" s="11">
        <f>IF((SrcKA!J23&lt;&gt;""), SrcKA!J23,"")</f>
        <v>0</v>
      </c>
      <c r="L29" s="11">
        <f>IF((SrcKA!U23&lt;&gt;""), SrcKA!U23,"")</f>
        <v>0</v>
      </c>
      <c r="M29" s="11">
        <f>IF((SrcKA!V23&lt;&gt;""), SrcKA!V23,"")</f>
        <v>0</v>
      </c>
      <c r="N29" s="9"/>
      <c r="O29" s="11"/>
      <c r="P29" s="11">
        <f>IF((SrcKA!AE23&lt;&gt;""), SrcKA!AE23,"")</f>
        <v>0</v>
      </c>
      <c r="Q29" s="11">
        <f>IF((SrcKA!K23&lt;&gt;""), SrcKA!K23,"")</f>
        <v>1229.51</v>
      </c>
      <c r="R29" s="10">
        <v>2026</v>
      </c>
      <c r="S29" s="10" t="s">
        <v>442</v>
      </c>
      <c r="T29" s="9" t="str">
        <f>IF((SrcKA!O23&lt;&gt;""), SrcKA!O23,"")</f>
        <v>ООО «Лучшая СпецТехника»</v>
      </c>
      <c r="U29" s="9" t="str">
        <f>IF((SrcKA!Z23&lt;&gt;""), SrcKA!Z23,"")</f>
        <v/>
      </c>
      <c r="V29" s="9" t="str">
        <f>IF((SrcKA!R23&lt;&gt;""), SrcKA!R23,"")</f>
        <v>771501001</v>
      </c>
      <c r="W29" s="9" t="str">
        <f>IF((SrcKA!Q23&lt;&gt;""), SrcKA!Q23,"")</f>
        <v>9715224044</v>
      </c>
      <c r="X29" s="9" t="str">
        <f>IF((SrcKA!S23&lt;&gt;""), SrcKA!S23,"")</f>
        <v>КП б/н от 08.06.2026</v>
      </c>
      <c r="Y29" s="9" t="str">
        <f>IF((SrcKA!P23&lt;&gt;""), SrcKA!P23,"")</f>
        <v/>
      </c>
      <c r="Z29" s="10">
        <f>IF((SrcKA!N23&lt;&gt;""), SrcKA!N23,"")</f>
        <v>2</v>
      </c>
      <c r="AA29" s="10" t="str">
        <f>IF((SrcKA!Y23&lt;&gt;""), SrcKA!Y23,"")</f>
        <v/>
      </c>
      <c r="AB29" s="10" t="str">
        <f>IF((SrcKA!AV23&lt;&gt;""), SrcKA!AV23,"")</f>
        <v/>
      </c>
    </row>
    <row r="32" spans="1:28" ht="14.25" customHeight="1" x14ac:dyDescent="0.2">
      <c r="A32" s="2"/>
      <c r="B32" s="2"/>
      <c r="C32" s="2"/>
      <c r="D32" s="16" t="s">
        <v>443</v>
      </c>
      <c r="E32" s="18"/>
      <c r="F32" s="18"/>
      <c r="G32" s="18"/>
      <c r="H32" s="18"/>
      <c r="I32" s="18"/>
      <c r="J32" s="18"/>
      <c r="K32" s="18"/>
      <c r="L32" s="18"/>
      <c r="M32" s="18"/>
      <c r="N32" s="17"/>
      <c r="O32" s="17"/>
      <c r="P32" s="17"/>
      <c r="Q32" s="19"/>
      <c r="R32" s="19"/>
      <c r="S32" s="19"/>
      <c r="T32" s="19"/>
      <c r="U32" s="19"/>
      <c r="V32" s="2"/>
      <c r="W32" s="2"/>
      <c r="X32" s="2"/>
      <c r="Y32" s="2"/>
      <c r="Z32" s="2"/>
      <c r="AA32" s="2"/>
      <c r="AB32" s="2"/>
    </row>
    <row r="33" spans="1:28" ht="14.25" customHeight="1" x14ac:dyDescent="0.2">
      <c r="A33" s="2"/>
      <c r="B33" s="2"/>
      <c r="C33" s="17"/>
      <c r="D33" s="17"/>
      <c r="E33" s="128" t="s">
        <v>444</v>
      </c>
      <c r="F33" s="128"/>
      <c r="G33" s="128"/>
      <c r="H33" s="128"/>
      <c r="I33" s="128"/>
      <c r="J33" s="128"/>
      <c r="K33" s="128"/>
      <c r="L33" s="128"/>
      <c r="M33" s="128"/>
      <c r="N33" s="20"/>
      <c r="O33" s="20"/>
      <c r="P33" s="20"/>
      <c r="Q33" s="17"/>
      <c r="R33" s="17"/>
      <c r="S33" s="17"/>
      <c r="T33" s="17"/>
      <c r="U33" s="17"/>
      <c r="V33" s="2"/>
      <c r="W33" s="2"/>
      <c r="X33" s="2"/>
      <c r="Y33" s="2"/>
      <c r="Z33" s="2"/>
      <c r="AA33" s="2"/>
      <c r="AB33" s="2"/>
    </row>
    <row r="34" spans="1:28" ht="14.25" customHeight="1" x14ac:dyDescent="0.2">
      <c r="A34" s="2"/>
      <c r="B34" s="2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2"/>
      <c r="W34" s="2"/>
      <c r="X34" s="2"/>
      <c r="Y34" s="2"/>
      <c r="Z34" s="2"/>
      <c r="AA34" s="2"/>
      <c r="AB34" s="2"/>
    </row>
    <row r="35" spans="1:28" ht="14.25" customHeight="1" x14ac:dyDescent="0.2">
      <c r="A35" s="2"/>
      <c r="B35" s="2"/>
      <c r="C35" s="21"/>
      <c r="D35" s="16" t="s">
        <v>445</v>
      </c>
      <c r="E35" s="18"/>
      <c r="F35" s="18"/>
      <c r="G35" s="18"/>
      <c r="H35" s="18"/>
      <c r="I35" s="18"/>
      <c r="J35" s="18"/>
      <c r="K35" s="18"/>
      <c r="L35" s="18"/>
      <c r="M35" s="18"/>
      <c r="N35" s="17"/>
      <c r="O35" s="17"/>
      <c r="P35" s="17"/>
      <c r="Q35" s="19"/>
      <c r="R35" s="19"/>
      <c r="S35" s="19"/>
      <c r="T35" s="19"/>
      <c r="U35" s="19"/>
      <c r="V35" s="2"/>
      <c r="W35" s="2"/>
      <c r="X35" s="2"/>
      <c r="Y35" s="2"/>
      <c r="Z35" s="2"/>
      <c r="AA35" s="2"/>
      <c r="AB35" s="2"/>
    </row>
    <row r="36" spans="1:28" ht="14.25" customHeight="1" x14ac:dyDescent="0.2">
      <c r="A36" s="2"/>
      <c r="B36" s="2"/>
      <c r="C36" s="17"/>
      <c r="D36" s="17"/>
      <c r="E36" s="128" t="s">
        <v>444</v>
      </c>
      <c r="F36" s="128"/>
      <c r="G36" s="128"/>
      <c r="H36" s="128"/>
      <c r="I36" s="128"/>
      <c r="J36" s="128"/>
      <c r="K36" s="128"/>
      <c r="L36" s="128"/>
      <c r="M36" s="128"/>
      <c r="N36" s="20"/>
      <c r="O36" s="20"/>
      <c r="P36" s="20"/>
      <c r="Q36" s="17"/>
      <c r="R36" s="17"/>
      <c r="S36" s="17"/>
      <c r="T36" s="17"/>
      <c r="U36" s="17"/>
      <c r="V36" s="2"/>
      <c r="W36" s="2"/>
      <c r="X36" s="2"/>
      <c r="Y36" s="2"/>
      <c r="Z36" s="2"/>
      <c r="AA36" s="2"/>
      <c r="AB36" s="2"/>
    </row>
    <row r="37" spans="1:28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8.5" customHeight="1" x14ac:dyDescent="0.2">
      <c r="A38" s="2"/>
      <c r="B38" s="2"/>
      <c r="C38" s="2"/>
      <c r="D38" s="22" t="s">
        <v>446</v>
      </c>
      <c r="E38" s="18"/>
      <c r="F38" s="18"/>
      <c r="G38" s="18"/>
      <c r="H38" s="18"/>
      <c r="I38" s="18"/>
      <c r="J38" s="18"/>
      <c r="K38" s="18"/>
      <c r="L38" s="18"/>
      <c r="M38" s="18"/>
      <c r="N38" s="1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4.25" customHeight="1" x14ac:dyDescent="0.2">
      <c r="A39" s="2"/>
      <c r="B39" s="2"/>
      <c r="C39" s="2"/>
      <c r="D39" s="17"/>
      <c r="E39" s="128" t="s">
        <v>444</v>
      </c>
      <c r="F39" s="128"/>
      <c r="G39" s="128"/>
      <c r="H39" s="128"/>
      <c r="I39" s="128"/>
      <c r="J39" s="128"/>
      <c r="K39" s="128"/>
      <c r="L39" s="128"/>
      <c r="M39" s="12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</sheetData>
  <mergeCells count="38">
    <mergeCell ref="A20:AB20"/>
    <mergeCell ref="E33:M33"/>
    <mergeCell ref="E36:M36"/>
    <mergeCell ref="E39:M39"/>
    <mergeCell ref="X8:X18"/>
    <mergeCell ref="Y8:Y18"/>
    <mergeCell ref="Z8:Z18"/>
    <mergeCell ref="AA8:AA18"/>
    <mergeCell ref="AB8:AB18"/>
    <mergeCell ref="J14:J18"/>
    <mergeCell ref="K14:K18"/>
    <mergeCell ref="L14:L18"/>
    <mergeCell ref="M14:M18"/>
    <mergeCell ref="N14:N18"/>
    <mergeCell ref="R8:R18"/>
    <mergeCell ref="S8:S18"/>
    <mergeCell ref="J8:K13"/>
    <mergeCell ref="L8:M13"/>
    <mergeCell ref="N8:P13"/>
    <mergeCell ref="Q8:Q18"/>
    <mergeCell ref="O14:O18"/>
    <mergeCell ref="P14:P18"/>
    <mergeCell ref="A2:Z2"/>
    <mergeCell ref="A4:Z4"/>
    <mergeCell ref="A5:Z5"/>
    <mergeCell ref="A8:A18"/>
    <mergeCell ref="B8:B18"/>
    <mergeCell ref="C8:C18"/>
    <mergeCell ref="D8:D18"/>
    <mergeCell ref="E8:E18"/>
    <mergeCell ref="F8:F18"/>
    <mergeCell ref="G8:G18"/>
    <mergeCell ref="T8:T18"/>
    <mergeCell ref="U8:U18"/>
    <mergeCell ref="V8:V18"/>
    <mergeCell ref="W8:W18"/>
    <mergeCell ref="H8:H18"/>
    <mergeCell ref="I8:I18"/>
  </mergeCells>
  <pageMargins left="0.4" right="0.2" top="0.2" bottom="0.4" header="0.2" footer="0.2"/>
  <pageSetup paperSize="9" scale="30" fitToHeight="0" orientation="landscape" r:id="rId1"/>
  <headerFooter>
    <oddHeader>&amp;L&amp;8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28</v>
      </c>
      <c r="B1">
        <v>1</v>
      </c>
      <c r="C1" t="s">
        <v>3</v>
      </c>
      <c r="D1" t="s">
        <v>3</v>
      </c>
      <c r="E1" t="s">
        <v>345</v>
      </c>
      <c r="F1" t="s">
        <v>345</v>
      </c>
      <c r="G1" t="s">
        <v>345</v>
      </c>
      <c r="H1" t="s">
        <v>3</v>
      </c>
      <c r="I1" t="s">
        <v>345</v>
      </c>
      <c r="J1" t="s">
        <v>345</v>
      </c>
      <c r="K1" t="s">
        <v>3</v>
      </c>
      <c r="L1" t="s">
        <v>3</v>
      </c>
      <c r="M1" t="s">
        <v>3</v>
      </c>
      <c r="N1" t="s">
        <v>3</v>
      </c>
      <c r="O1" t="s">
        <v>345</v>
      </c>
      <c r="P1" t="s">
        <v>3</v>
      </c>
      <c r="Q1" t="s">
        <v>3</v>
      </c>
      <c r="R1" t="s">
        <v>3</v>
      </c>
      <c r="S1" t="s">
        <v>346</v>
      </c>
      <c r="T1" t="s">
        <v>347</v>
      </c>
      <c r="U1" t="s">
        <v>348</v>
      </c>
    </row>
    <row r="2" spans="1:21" x14ac:dyDescent="0.2">
      <c r="A2">
        <v>28</v>
      </c>
      <c r="B2">
        <v>1</v>
      </c>
      <c r="C2" t="s">
        <v>3</v>
      </c>
      <c r="D2" t="s">
        <v>3</v>
      </c>
      <c r="E2" t="s">
        <v>349</v>
      </c>
      <c r="F2" t="s">
        <v>349</v>
      </c>
      <c r="G2" t="s">
        <v>349</v>
      </c>
      <c r="H2" t="s">
        <v>3</v>
      </c>
      <c r="I2" t="s">
        <v>349</v>
      </c>
      <c r="J2" t="s">
        <v>349</v>
      </c>
      <c r="K2" t="s">
        <v>3</v>
      </c>
      <c r="L2" t="s">
        <v>3</v>
      </c>
      <c r="M2" t="s">
        <v>3</v>
      </c>
      <c r="N2" t="s">
        <v>3</v>
      </c>
      <c r="O2" t="s">
        <v>349</v>
      </c>
      <c r="P2" t="s">
        <v>3</v>
      </c>
      <c r="Q2" t="s">
        <v>3</v>
      </c>
      <c r="R2" t="s">
        <v>3</v>
      </c>
      <c r="S2" t="s">
        <v>350</v>
      </c>
      <c r="T2" t="s">
        <v>351</v>
      </c>
      <c r="U2" t="s">
        <v>352</v>
      </c>
    </row>
    <row r="3" spans="1:21" x14ac:dyDescent="0.2">
      <c r="A3">
        <v>30</v>
      </c>
      <c r="B3">
        <v>1</v>
      </c>
      <c r="C3" t="s">
        <v>3</v>
      </c>
      <c r="D3" t="s">
        <v>3</v>
      </c>
      <c r="E3" t="s">
        <v>345</v>
      </c>
      <c r="F3" t="s">
        <v>345</v>
      </c>
      <c r="G3" t="s">
        <v>345</v>
      </c>
      <c r="H3" t="s">
        <v>3</v>
      </c>
      <c r="I3" t="s">
        <v>345</v>
      </c>
      <c r="J3" t="s">
        <v>345</v>
      </c>
      <c r="K3" t="s">
        <v>3</v>
      </c>
      <c r="L3" t="s">
        <v>3</v>
      </c>
      <c r="M3" t="s">
        <v>3</v>
      </c>
      <c r="N3" t="s">
        <v>3</v>
      </c>
      <c r="O3" t="s">
        <v>345</v>
      </c>
      <c r="P3" t="s">
        <v>3</v>
      </c>
      <c r="Q3" t="s">
        <v>3</v>
      </c>
      <c r="R3" t="s">
        <v>3</v>
      </c>
      <c r="S3" t="s">
        <v>346</v>
      </c>
      <c r="T3" t="s">
        <v>347</v>
      </c>
      <c r="U3" t="s">
        <v>348</v>
      </c>
    </row>
    <row r="4" spans="1:21" x14ac:dyDescent="0.2">
      <c r="A4">
        <v>30</v>
      </c>
      <c r="B4">
        <v>1</v>
      </c>
      <c r="C4" t="s">
        <v>3</v>
      </c>
      <c r="D4" t="s">
        <v>3</v>
      </c>
      <c r="E4" t="s">
        <v>349</v>
      </c>
      <c r="F4" t="s">
        <v>349</v>
      </c>
      <c r="G4" t="s">
        <v>349</v>
      </c>
      <c r="H4" t="s">
        <v>3</v>
      </c>
      <c r="I4" t="s">
        <v>349</v>
      </c>
      <c r="J4" t="s">
        <v>349</v>
      </c>
      <c r="K4" t="s">
        <v>3</v>
      </c>
      <c r="L4" t="s">
        <v>3</v>
      </c>
      <c r="M4" t="s">
        <v>3</v>
      </c>
      <c r="N4" t="s">
        <v>3</v>
      </c>
      <c r="O4" t="s">
        <v>349</v>
      </c>
      <c r="P4" t="s">
        <v>3</v>
      </c>
      <c r="Q4" t="s">
        <v>3</v>
      </c>
      <c r="R4" t="s">
        <v>3</v>
      </c>
      <c r="S4" t="s">
        <v>350</v>
      </c>
      <c r="T4" t="s">
        <v>351</v>
      </c>
      <c r="U4" t="s">
        <v>352</v>
      </c>
    </row>
    <row r="5" spans="1:21" x14ac:dyDescent="0.2">
      <c r="A5">
        <v>31</v>
      </c>
      <c r="B5">
        <v>1</v>
      </c>
      <c r="C5" t="s">
        <v>3</v>
      </c>
      <c r="D5" t="s">
        <v>3</v>
      </c>
      <c r="E5" t="s">
        <v>345</v>
      </c>
      <c r="F5" t="s">
        <v>345</v>
      </c>
      <c r="G5" t="s">
        <v>345</v>
      </c>
      <c r="H5" t="s">
        <v>3</v>
      </c>
      <c r="I5" t="s">
        <v>345</v>
      </c>
      <c r="J5" t="s">
        <v>345</v>
      </c>
      <c r="K5" t="s">
        <v>3</v>
      </c>
      <c r="L5" t="s">
        <v>3</v>
      </c>
      <c r="M5" t="s">
        <v>3</v>
      </c>
      <c r="N5" t="s">
        <v>3</v>
      </c>
      <c r="O5" t="s">
        <v>345</v>
      </c>
      <c r="P5" t="s">
        <v>3</v>
      </c>
      <c r="Q5" t="s">
        <v>3</v>
      </c>
      <c r="R5" t="s">
        <v>3</v>
      </c>
      <c r="S5" t="s">
        <v>346</v>
      </c>
      <c r="T5" t="s">
        <v>347</v>
      </c>
      <c r="U5" t="s">
        <v>348</v>
      </c>
    </row>
    <row r="6" spans="1:21" x14ac:dyDescent="0.2">
      <c r="A6">
        <v>31</v>
      </c>
      <c r="B6">
        <v>1</v>
      </c>
      <c r="C6" t="s">
        <v>3</v>
      </c>
      <c r="D6" t="s">
        <v>3</v>
      </c>
      <c r="E6" t="s">
        <v>349</v>
      </c>
      <c r="F6" t="s">
        <v>349</v>
      </c>
      <c r="G6" t="s">
        <v>349</v>
      </c>
      <c r="H6" t="s">
        <v>3</v>
      </c>
      <c r="I6" t="s">
        <v>349</v>
      </c>
      <c r="J6" t="s">
        <v>349</v>
      </c>
      <c r="K6" t="s">
        <v>3</v>
      </c>
      <c r="L6" t="s">
        <v>3</v>
      </c>
      <c r="M6" t="s">
        <v>3</v>
      </c>
      <c r="N6" t="s">
        <v>3</v>
      </c>
      <c r="O6" t="s">
        <v>349</v>
      </c>
      <c r="P6" t="s">
        <v>3</v>
      </c>
      <c r="Q6" t="s">
        <v>3</v>
      </c>
      <c r="R6" t="s">
        <v>3</v>
      </c>
      <c r="S6" t="s">
        <v>350</v>
      </c>
      <c r="T6" t="s">
        <v>351</v>
      </c>
      <c r="U6" t="s">
        <v>352</v>
      </c>
    </row>
    <row r="7" spans="1:21" x14ac:dyDescent="0.2">
      <c r="A7">
        <v>32</v>
      </c>
      <c r="B7">
        <v>1</v>
      </c>
      <c r="C7" t="s">
        <v>3</v>
      </c>
      <c r="D7" t="s">
        <v>3</v>
      </c>
      <c r="E7" t="s">
        <v>345</v>
      </c>
      <c r="F7" t="s">
        <v>345</v>
      </c>
      <c r="G7" t="s">
        <v>345</v>
      </c>
      <c r="H7" t="s">
        <v>3</v>
      </c>
      <c r="I7" t="s">
        <v>345</v>
      </c>
      <c r="J7" t="s">
        <v>345</v>
      </c>
      <c r="K7" t="s">
        <v>3</v>
      </c>
      <c r="L7" t="s">
        <v>3</v>
      </c>
      <c r="M7" t="s">
        <v>3</v>
      </c>
      <c r="N7" t="s">
        <v>3</v>
      </c>
      <c r="O7" t="s">
        <v>345</v>
      </c>
      <c r="P7" t="s">
        <v>3</v>
      </c>
      <c r="Q7" t="s">
        <v>3</v>
      </c>
      <c r="R7" t="s">
        <v>3</v>
      </c>
      <c r="S7" t="s">
        <v>346</v>
      </c>
      <c r="T7" t="s">
        <v>347</v>
      </c>
      <c r="U7" t="s">
        <v>348</v>
      </c>
    </row>
    <row r="8" spans="1:21" x14ac:dyDescent="0.2">
      <c r="A8">
        <v>32</v>
      </c>
      <c r="B8">
        <v>1</v>
      </c>
      <c r="C8" t="s">
        <v>3</v>
      </c>
      <c r="D8" t="s">
        <v>3</v>
      </c>
      <c r="E8" t="s">
        <v>349</v>
      </c>
      <c r="F8" t="s">
        <v>349</v>
      </c>
      <c r="G8" t="s">
        <v>349</v>
      </c>
      <c r="H8" t="s">
        <v>3</v>
      </c>
      <c r="I8" t="s">
        <v>349</v>
      </c>
      <c r="J8" t="s">
        <v>349</v>
      </c>
      <c r="K8" t="s">
        <v>3</v>
      </c>
      <c r="L8" t="s">
        <v>3</v>
      </c>
      <c r="M8" t="s">
        <v>3</v>
      </c>
      <c r="N8" t="s">
        <v>3</v>
      </c>
      <c r="O8" t="s">
        <v>349</v>
      </c>
      <c r="P8" t="s">
        <v>3</v>
      </c>
      <c r="Q8" t="s">
        <v>3</v>
      </c>
      <c r="R8" t="s">
        <v>3</v>
      </c>
      <c r="S8" t="s">
        <v>350</v>
      </c>
      <c r="T8" t="s">
        <v>351</v>
      </c>
      <c r="U8" t="s">
        <v>352</v>
      </c>
    </row>
    <row r="9" spans="1:21" x14ac:dyDescent="0.2">
      <c r="A9">
        <v>34</v>
      </c>
      <c r="B9">
        <v>1</v>
      </c>
      <c r="C9" t="s">
        <v>3</v>
      </c>
      <c r="D9" t="s">
        <v>3</v>
      </c>
      <c r="E9" t="s">
        <v>345</v>
      </c>
      <c r="F9" t="s">
        <v>345</v>
      </c>
      <c r="G9" t="s">
        <v>345</v>
      </c>
      <c r="H9" t="s">
        <v>3</v>
      </c>
      <c r="I9" t="s">
        <v>345</v>
      </c>
      <c r="J9" t="s">
        <v>345</v>
      </c>
      <c r="K9" t="s">
        <v>3</v>
      </c>
      <c r="L9" t="s">
        <v>3</v>
      </c>
      <c r="M9" t="s">
        <v>3</v>
      </c>
      <c r="N9" t="s">
        <v>3</v>
      </c>
      <c r="O9" t="s">
        <v>345</v>
      </c>
      <c r="P9" t="s">
        <v>3</v>
      </c>
      <c r="Q9" t="s">
        <v>3</v>
      </c>
      <c r="R9" t="s">
        <v>3</v>
      </c>
      <c r="S9" t="s">
        <v>346</v>
      </c>
      <c r="T9" t="s">
        <v>347</v>
      </c>
      <c r="U9" t="s">
        <v>348</v>
      </c>
    </row>
    <row r="10" spans="1:21" x14ac:dyDescent="0.2">
      <c r="A10">
        <v>34</v>
      </c>
      <c r="B10">
        <v>1</v>
      </c>
      <c r="C10" t="s">
        <v>3</v>
      </c>
      <c r="D10" t="s">
        <v>3</v>
      </c>
      <c r="E10" t="s">
        <v>349</v>
      </c>
      <c r="F10" t="s">
        <v>349</v>
      </c>
      <c r="G10" t="s">
        <v>349</v>
      </c>
      <c r="H10" t="s">
        <v>3</v>
      </c>
      <c r="I10" t="s">
        <v>349</v>
      </c>
      <c r="J10" t="s">
        <v>349</v>
      </c>
      <c r="K10" t="s">
        <v>3</v>
      </c>
      <c r="L10" t="s">
        <v>3</v>
      </c>
      <c r="M10" t="s">
        <v>3</v>
      </c>
      <c r="N10" t="s">
        <v>3</v>
      </c>
      <c r="O10" t="s">
        <v>349</v>
      </c>
      <c r="P10" t="s">
        <v>3</v>
      </c>
      <c r="Q10" t="s">
        <v>3</v>
      </c>
      <c r="R10" t="s">
        <v>3</v>
      </c>
      <c r="S10" t="s">
        <v>350</v>
      </c>
      <c r="T10" t="s">
        <v>351</v>
      </c>
      <c r="U10" t="s">
        <v>352</v>
      </c>
    </row>
    <row r="11" spans="1:21" x14ac:dyDescent="0.2">
      <c r="A11">
        <v>35</v>
      </c>
      <c r="B11">
        <v>1</v>
      </c>
      <c r="C11" t="s">
        <v>3</v>
      </c>
      <c r="D11" t="s">
        <v>3</v>
      </c>
      <c r="E11" t="s">
        <v>345</v>
      </c>
      <c r="F11" t="s">
        <v>345</v>
      </c>
      <c r="G11" t="s">
        <v>345</v>
      </c>
      <c r="H11" t="s">
        <v>3</v>
      </c>
      <c r="I11" t="s">
        <v>345</v>
      </c>
      <c r="J11" t="s">
        <v>345</v>
      </c>
      <c r="K11" t="s">
        <v>3</v>
      </c>
      <c r="L11" t="s">
        <v>3</v>
      </c>
      <c r="M11" t="s">
        <v>3</v>
      </c>
      <c r="N11" t="s">
        <v>3</v>
      </c>
      <c r="O11" t="s">
        <v>345</v>
      </c>
      <c r="P11" t="s">
        <v>3</v>
      </c>
      <c r="Q11" t="s">
        <v>3</v>
      </c>
      <c r="R11" t="s">
        <v>3</v>
      </c>
      <c r="S11" t="s">
        <v>346</v>
      </c>
      <c r="T11" t="s">
        <v>347</v>
      </c>
      <c r="U11" t="s">
        <v>348</v>
      </c>
    </row>
    <row r="12" spans="1:21" x14ac:dyDescent="0.2">
      <c r="A12">
        <v>35</v>
      </c>
      <c r="B12">
        <v>1</v>
      </c>
      <c r="C12" t="s">
        <v>3</v>
      </c>
      <c r="D12" t="s">
        <v>3</v>
      </c>
      <c r="E12" t="s">
        <v>349</v>
      </c>
      <c r="F12" t="s">
        <v>349</v>
      </c>
      <c r="G12" t="s">
        <v>349</v>
      </c>
      <c r="H12" t="s">
        <v>3</v>
      </c>
      <c r="I12" t="s">
        <v>349</v>
      </c>
      <c r="J12" t="s">
        <v>349</v>
      </c>
      <c r="K12" t="s">
        <v>3</v>
      </c>
      <c r="L12" t="s">
        <v>3</v>
      </c>
      <c r="M12" t="s">
        <v>3</v>
      </c>
      <c r="N12" t="s">
        <v>3</v>
      </c>
      <c r="O12" t="s">
        <v>349</v>
      </c>
      <c r="P12" t="s">
        <v>3</v>
      </c>
      <c r="Q12" t="s">
        <v>3</v>
      </c>
      <c r="R12" t="s">
        <v>3</v>
      </c>
      <c r="S12" t="s">
        <v>350</v>
      </c>
      <c r="T12" t="s">
        <v>351</v>
      </c>
      <c r="U12" t="s">
        <v>352</v>
      </c>
    </row>
    <row r="13" spans="1:21" x14ac:dyDescent="0.2">
      <c r="A13">
        <v>35</v>
      </c>
      <c r="B13">
        <v>1</v>
      </c>
      <c r="C13" t="s">
        <v>3</v>
      </c>
      <c r="D13" t="s">
        <v>3</v>
      </c>
      <c r="E13" t="s">
        <v>349</v>
      </c>
      <c r="F13" t="s">
        <v>349</v>
      </c>
      <c r="G13" t="s">
        <v>345</v>
      </c>
      <c r="H13" t="s">
        <v>3</v>
      </c>
      <c r="I13" t="s">
        <v>345</v>
      </c>
      <c r="J13" t="s">
        <v>349</v>
      </c>
      <c r="K13" t="s">
        <v>3</v>
      </c>
      <c r="L13" t="s">
        <v>3</v>
      </c>
      <c r="M13" t="s">
        <v>3</v>
      </c>
      <c r="N13" t="s">
        <v>3</v>
      </c>
      <c r="O13" t="s">
        <v>349</v>
      </c>
      <c r="P13" t="s">
        <v>3</v>
      </c>
      <c r="Q13" t="s">
        <v>3</v>
      </c>
      <c r="R13" t="s">
        <v>3</v>
      </c>
      <c r="S13" t="s">
        <v>353</v>
      </c>
      <c r="T13" t="s">
        <v>354</v>
      </c>
      <c r="U13" t="s">
        <v>355</v>
      </c>
    </row>
    <row r="14" spans="1:21" x14ac:dyDescent="0.2">
      <c r="A14">
        <v>38</v>
      </c>
      <c r="B14">
        <v>1</v>
      </c>
      <c r="C14" t="s">
        <v>3</v>
      </c>
      <c r="D14" t="s">
        <v>3</v>
      </c>
      <c r="E14" t="s">
        <v>345</v>
      </c>
      <c r="F14" t="s">
        <v>345</v>
      </c>
      <c r="G14" t="s">
        <v>345</v>
      </c>
      <c r="H14" t="s">
        <v>3</v>
      </c>
      <c r="I14" t="s">
        <v>345</v>
      </c>
      <c r="J14" t="s">
        <v>345</v>
      </c>
      <c r="K14" t="s">
        <v>3</v>
      </c>
      <c r="L14" t="s">
        <v>3</v>
      </c>
      <c r="M14" t="s">
        <v>3</v>
      </c>
      <c r="N14" t="s">
        <v>3</v>
      </c>
      <c r="O14" t="s">
        <v>345</v>
      </c>
      <c r="P14" t="s">
        <v>3</v>
      </c>
      <c r="Q14" t="s">
        <v>3</v>
      </c>
      <c r="R14" t="s">
        <v>3</v>
      </c>
      <c r="S14" t="s">
        <v>346</v>
      </c>
      <c r="T14" t="s">
        <v>347</v>
      </c>
      <c r="U14" t="s">
        <v>348</v>
      </c>
    </row>
    <row r="15" spans="1:21" x14ac:dyDescent="0.2">
      <c r="A15">
        <v>38</v>
      </c>
      <c r="B15">
        <v>1</v>
      </c>
      <c r="C15" t="s">
        <v>3</v>
      </c>
      <c r="D15" t="s">
        <v>3</v>
      </c>
      <c r="E15" t="s">
        <v>349</v>
      </c>
      <c r="F15" t="s">
        <v>349</v>
      </c>
      <c r="G15" t="s">
        <v>349</v>
      </c>
      <c r="H15" t="s">
        <v>3</v>
      </c>
      <c r="I15" t="s">
        <v>349</v>
      </c>
      <c r="J15" t="s">
        <v>349</v>
      </c>
      <c r="K15" t="s">
        <v>3</v>
      </c>
      <c r="L15" t="s">
        <v>3</v>
      </c>
      <c r="M15" t="s">
        <v>3</v>
      </c>
      <c r="N15" t="s">
        <v>3</v>
      </c>
      <c r="O15" t="s">
        <v>349</v>
      </c>
      <c r="P15" t="s">
        <v>3</v>
      </c>
      <c r="Q15" t="s">
        <v>3</v>
      </c>
      <c r="R15" t="s">
        <v>3</v>
      </c>
      <c r="S15" t="s">
        <v>350</v>
      </c>
      <c r="T15" t="s">
        <v>351</v>
      </c>
      <c r="U15" t="s">
        <v>352</v>
      </c>
    </row>
    <row r="16" spans="1:21" x14ac:dyDescent="0.2">
      <c r="A16">
        <v>38</v>
      </c>
      <c r="B16">
        <v>1</v>
      </c>
      <c r="C16" t="s">
        <v>3</v>
      </c>
      <c r="D16" t="s">
        <v>3</v>
      </c>
      <c r="E16" t="s">
        <v>349</v>
      </c>
      <c r="F16" t="s">
        <v>349</v>
      </c>
      <c r="G16" t="s">
        <v>345</v>
      </c>
      <c r="H16" t="s">
        <v>3</v>
      </c>
      <c r="I16" t="s">
        <v>345</v>
      </c>
      <c r="J16" t="s">
        <v>349</v>
      </c>
      <c r="K16" t="s">
        <v>3</v>
      </c>
      <c r="L16" t="s">
        <v>3</v>
      </c>
      <c r="M16" t="s">
        <v>3</v>
      </c>
      <c r="N16" t="s">
        <v>3</v>
      </c>
      <c r="O16" t="s">
        <v>349</v>
      </c>
      <c r="P16" t="s">
        <v>3</v>
      </c>
      <c r="Q16" t="s">
        <v>3</v>
      </c>
      <c r="R16" t="s">
        <v>3</v>
      </c>
      <c r="S16" t="s">
        <v>353</v>
      </c>
      <c r="T16" t="s">
        <v>354</v>
      </c>
      <c r="U16" t="s">
        <v>355</v>
      </c>
    </row>
    <row r="17" spans="1:21" x14ac:dyDescent="0.2">
      <c r="A17">
        <v>39</v>
      </c>
      <c r="B17">
        <v>1</v>
      </c>
      <c r="C17" t="s">
        <v>3</v>
      </c>
      <c r="D17" t="s">
        <v>3</v>
      </c>
      <c r="E17" t="s">
        <v>345</v>
      </c>
      <c r="F17" t="s">
        <v>345</v>
      </c>
      <c r="G17" t="s">
        <v>345</v>
      </c>
      <c r="H17" t="s">
        <v>3</v>
      </c>
      <c r="I17" t="s">
        <v>345</v>
      </c>
      <c r="J17" t="s">
        <v>345</v>
      </c>
      <c r="K17" t="s">
        <v>3</v>
      </c>
      <c r="L17" t="s">
        <v>3</v>
      </c>
      <c r="M17" t="s">
        <v>3</v>
      </c>
      <c r="N17" t="s">
        <v>3</v>
      </c>
      <c r="O17" t="s">
        <v>345</v>
      </c>
      <c r="P17" t="s">
        <v>3</v>
      </c>
      <c r="Q17" t="s">
        <v>3</v>
      </c>
      <c r="R17" t="s">
        <v>3</v>
      </c>
      <c r="S17" t="s">
        <v>346</v>
      </c>
      <c r="T17" t="s">
        <v>347</v>
      </c>
      <c r="U17" t="s">
        <v>348</v>
      </c>
    </row>
    <row r="18" spans="1:21" x14ac:dyDescent="0.2">
      <c r="A18">
        <v>39</v>
      </c>
      <c r="B18">
        <v>1</v>
      </c>
      <c r="C18" t="s">
        <v>3</v>
      </c>
      <c r="D18" t="s">
        <v>3</v>
      </c>
      <c r="E18" t="s">
        <v>349</v>
      </c>
      <c r="F18" t="s">
        <v>349</v>
      </c>
      <c r="G18" t="s">
        <v>349</v>
      </c>
      <c r="H18" t="s">
        <v>3</v>
      </c>
      <c r="I18" t="s">
        <v>349</v>
      </c>
      <c r="J18" t="s">
        <v>349</v>
      </c>
      <c r="K18" t="s">
        <v>3</v>
      </c>
      <c r="L18" t="s">
        <v>3</v>
      </c>
      <c r="M18" t="s">
        <v>3</v>
      </c>
      <c r="N18" t="s">
        <v>3</v>
      </c>
      <c r="O18" t="s">
        <v>349</v>
      </c>
      <c r="P18" t="s">
        <v>3</v>
      </c>
      <c r="Q18" t="s">
        <v>3</v>
      </c>
      <c r="R18" t="s">
        <v>3</v>
      </c>
      <c r="S18" t="s">
        <v>350</v>
      </c>
      <c r="T18" t="s">
        <v>351</v>
      </c>
      <c r="U18" t="s">
        <v>352</v>
      </c>
    </row>
    <row r="19" spans="1:21" x14ac:dyDescent="0.2">
      <c r="A19">
        <v>39</v>
      </c>
      <c r="B19">
        <v>1</v>
      </c>
      <c r="C19" t="s">
        <v>3</v>
      </c>
      <c r="D19" t="s">
        <v>3</v>
      </c>
      <c r="E19" t="s">
        <v>349</v>
      </c>
      <c r="F19" t="s">
        <v>349</v>
      </c>
      <c r="G19" t="s">
        <v>345</v>
      </c>
      <c r="H19" t="s">
        <v>3</v>
      </c>
      <c r="I19" t="s">
        <v>345</v>
      </c>
      <c r="J19" t="s">
        <v>349</v>
      </c>
      <c r="K19" t="s">
        <v>3</v>
      </c>
      <c r="L19" t="s">
        <v>3</v>
      </c>
      <c r="M19" t="s">
        <v>3</v>
      </c>
      <c r="N19" t="s">
        <v>3</v>
      </c>
      <c r="O19" t="s">
        <v>349</v>
      </c>
      <c r="P19" t="s">
        <v>3</v>
      </c>
      <c r="Q19" t="s">
        <v>3</v>
      </c>
      <c r="R19" t="s">
        <v>3</v>
      </c>
      <c r="S19" t="s">
        <v>353</v>
      </c>
      <c r="T19" t="s">
        <v>354</v>
      </c>
      <c r="U19" t="s">
        <v>355</v>
      </c>
    </row>
    <row r="20" spans="1:21" x14ac:dyDescent="0.2">
      <c r="A20">
        <v>42</v>
      </c>
      <c r="B20">
        <v>1</v>
      </c>
      <c r="C20" t="s">
        <v>3</v>
      </c>
      <c r="D20" t="s">
        <v>3</v>
      </c>
      <c r="E20" t="s">
        <v>345</v>
      </c>
      <c r="F20" t="s">
        <v>345</v>
      </c>
      <c r="G20" t="s">
        <v>345</v>
      </c>
      <c r="H20" t="s">
        <v>3</v>
      </c>
      <c r="I20" t="s">
        <v>345</v>
      </c>
      <c r="J20" t="s">
        <v>345</v>
      </c>
      <c r="K20" t="s">
        <v>3</v>
      </c>
      <c r="L20" t="s">
        <v>3</v>
      </c>
      <c r="M20" t="s">
        <v>3</v>
      </c>
      <c r="N20" t="s">
        <v>3</v>
      </c>
      <c r="O20" t="s">
        <v>345</v>
      </c>
      <c r="P20" t="s">
        <v>3</v>
      </c>
      <c r="Q20" t="s">
        <v>3</v>
      </c>
      <c r="R20" t="s">
        <v>3</v>
      </c>
      <c r="S20" t="s">
        <v>346</v>
      </c>
      <c r="T20" t="s">
        <v>347</v>
      </c>
      <c r="U20" t="s">
        <v>348</v>
      </c>
    </row>
    <row r="21" spans="1:21" x14ac:dyDescent="0.2">
      <c r="A21">
        <v>42</v>
      </c>
      <c r="B21">
        <v>1</v>
      </c>
      <c r="C21" t="s">
        <v>3</v>
      </c>
      <c r="D21" t="s">
        <v>3</v>
      </c>
      <c r="E21" t="s">
        <v>349</v>
      </c>
      <c r="F21" t="s">
        <v>349</v>
      </c>
      <c r="G21" t="s">
        <v>349</v>
      </c>
      <c r="H21" t="s">
        <v>3</v>
      </c>
      <c r="I21" t="s">
        <v>349</v>
      </c>
      <c r="J21" t="s">
        <v>349</v>
      </c>
      <c r="K21" t="s">
        <v>3</v>
      </c>
      <c r="L21" t="s">
        <v>3</v>
      </c>
      <c r="M21" t="s">
        <v>3</v>
      </c>
      <c r="N21" t="s">
        <v>3</v>
      </c>
      <c r="O21" t="s">
        <v>349</v>
      </c>
      <c r="P21" t="s">
        <v>3</v>
      </c>
      <c r="Q21" t="s">
        <v>3</v>
      </c>
      <c r="R21" t="s">
        <v>3</v>
      </c>
      <c r="S21" t="s">
        <v>350</v>
      </c>
      <c r="T21" t="s">
        <v>351</v>
      </c>
      <c r="U21" t="s">
        <v>352</v>
      </c>
    </row>
    <row r="22" spans="1:21" x14ac:dyDescent="0.2">
      <c r="A22">
        <v>45</v>
      </c>
      <c r="B22">
        <v>1</v>
      </c>
      <c r="C22" t="s">
        <v>3</v>
      </c>
      <c r="D22" t="s">
        <v>3</v>
      </c>
      <c r="E22" t="s">
        <v>345</v>
      </c>
      <c r="F22" t="s">
        <v>345</v>
      </c>
      <c r="G22" t="s">
        <v>345</v>
      </c>
      <c r="H22" t="s">
        <v>3</v>
      </c>
      <c r="I22" t="s">
        <v>345</v>
      </c>
      <c r="J22" t="s">
        <v>345</v>
      </c>
      <c r="K22" t="s">
        <v>3</v>
      </c>
      <c r="L22" t="s">
        <v>3</v>
      </c>
      <c r="M22" t="s">
        <v>3</v>
      </c>
      <c r="N22" t="s">
        <v>3</v>
      </c>
      <c r="O22" t="s">
        <v>345</v>
      </c>
      <c r="P22" t="s">
        <v>3</v>
      </c>
      <c r="Q22" t="s">
        <v>3</v>
      </c>
      <c r="R22" t="s">
        <v>3</v>
      </c>
      <c r="S22" t="s">
        <v>346</v>
      </c>
      <c r="T22" t="s">
        <v>347</v>
      </c>
      <c r="U22" t="s">
        <v>348</v>
      </c>
    </row>
    <row r="23" spans="1:21" x14ac:dyDescent="0.2">
      <c r="A23">
        <v>45</v>
      </c>
      <c r="B23">
        <v>1</v>
      </c>
      <c r="C23" t="s">
        <v>3</v>
      </c>
      <c r="D23" t="s">
        <v>3</v>
      </c>
      <c r="E23" t="s">
        <v>349</v>
      </c>
      <c r="F23" t="s">
        <v>349</v>
      </c>
      <c r="G23" t="s">
        <v>349</v>
      </c>
      <c r="H23" t="s">
        <v>3</v>
      </c>
      <c r="I23" t="s">
        <v>349</v>
      </c>
      <c r="J23" t="s">
        <v>349</v>
      </c>
      <c r="K23" t="s">
        <v>3</v>
      </c>
      <c r="L23" t="s">
        <v>3</v>
      </c>
      <c r="M23" t="s">
        <v>3</v>
      </c>
      <c r="N23" t="s">
        <v>3</v>
      </c>
      <c r="O23" t="s">
        <v>349</v>
      </c>
      <c r="P23" t="s">
        <v>3</v>
      </c>
      <c r="Q23" t="s">
        <v>3</v>
      </c>
      <c r="R23" t="s">
        <v>3</v>
      </c>
      <c r="S23" t="s">
        <v>350</v>
      </c>
      <c r="T23" t="s">
        <v>351</v>
      </c>
      <c r="U23" t="s">
        <v>352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2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57445</v>
      </c>
      <c r="M1">
        <v>10</v>
      </c>
      <c r="N1">
        <v>12</v>
      </c>
      <c r="O1">
        <v>1</v>
      </c>
      <c r="P1">
        <v>0</v>
      </c>
      <c r="Q1">
        <v>5</v>
      </c>
    </row>
    <row r="12" spans="1:103" x14ac:dyDescent="0.2">
      <c r="F12" t="str">
        <f>Source!F12</f>
        <v>Новый объект</v>
      </c>
      <c r="G12" t="str">
        <f>Source!G12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  <row r="14" spans="1:103" x14ac:dyDescent="0.2">
      <c r="E14" t="s">
        <v>356</v>
      </c>
      <c r="AD14">
        <v>4</v>
      </c>
    </row>
    <row r="15" spans="1:103" x14ac:dyDescent="0.2">
      <c r="B15" t="s">
        <v>357</v>
      </c>
      <c r="C15">
        <v>0</v>
      </c>
      <c r="D15" t="s">
        <v>358</v>
      </c>
      <c r="E15" t="s">
        <v>114</v>
      </c>
      <c r="F15" t="s">
        <v>359</v>
      </c>
      <c r="G15" t="s">
        <v>111</v>
      </c>
      <c r="H15">
        <v>46.26</v>
      </c>
      <c r="I15">
        <v>56.44</v>
      </c>
      <c r="J15">
        <v>0</v>
      </c>
      <c r="K15">
        <v>47.19</v>
      </c>
      <c r="L15">
        <v>22</v>
      </c>
      <c r="M15">
        <v>46181</v>
      </c>
      <c r="N15">
        <v>2</v>
      </c>
      <c r="O15" t="s">
        <v>360</v>
      </c>
      <c r="P15" t="s">
        <v>3</v>
      </c>
      <c r="Q15" t="s">
        <v>361</v>
      </c>
      <c r="R15" t="s">
        <v>362</v>
      </c>
      <c r="S15" t="s">
        <v>363</v>
      </c>
      <c r="T15" t="s">
        <v>364</v>
      </c>
      <c r="U15">
        <v>2</v>
      </c>
      <c r="V15">
        <v>0.93</v>
      </c>
      <c r="W15">
        <v>0</v>
      </c>
      <c r="X15">
        <v>0</v>
      </c>
      <c r="Y15" t="s">
        <v>3</v>
      </c>
      <c r="Z15" t="s">
        <v>3</v>
      </c>
      <c r="AA15">
        <v>0</v>
      </c>
      <c r="AB15" t="s">
        <v>3</v>
      </c>
      <c r="AC15">
        <v>46.26</v>
      </c>
      <c r="AD15">
        <v>1</v>
      </c>
      <c r="AE15">
        <v>0</v>
      </c>
      <c r="AF15">
        <v>1</v>
      </c>
      <c r="AG15">
        <v>3</v>
      </c>
      <c r="AH15" t="s">
        <v>111</v>
      </c>
      <c r="AI15" t="s">
        <v>114</v>
      </c>
      <c r="AJ15">
        <v>46182.616956018515</v>
      </c>
      <c r="AK15">
        <v>75286637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 t="s">
        <v>3</v>
      </c>
      <c r="AT15">
        <v>0</v>
      </c>
      <c r="AU15">
        <v>0</v>
      </c>
    </row>
    <row r="16" spans="1:103" x14ac:dyDescent="0.2">
      <c r="B16" t="s">
        <v>365</v>
      </c>
      <c r="C16">
        <v>0</v>
      </c>
      <c r="D16" t="s">
        <v>366</v>
      </c>
      <c r="E16" t="s">
        <v>114</v>
      </c>
      <c r="F16" t="s">
        <v>359</v>
      </c>
      <c r="G16" t="s">
        <v>111</v>
      </c>
      <c r="H16">
        <v>39.340000000000003</v>
      </c>
      <c r="I16">
        <v>48</v>
      </c>
      <c r="J16">
        <v>0</v>
      </c>
      <c r="K16">
        <v>40.130000000000003</v>
      </c>
      <c r="L16">
        <v>22</v>
      </c>
      <c r="M16">
        <v>46181</v>
      </c>
      <c r="N16">
        <v>2</v>
      </c>
      <c r="O16" t="s">
        <v>367</v>
      </c>
      <c r="P16" t="s">
        <v>3</v>
      </c>
      <c r="Q16" t="s">
        <v>368</v>
      </c>
      <c r="R16" t="s">
        <v>369</v>
      </c>
      <c r="S16" t="s">
        <v>370</v>
      </c>
      <c r="T16" t="s">
        <v>371</v>
      </c>
      <c r="U16">
        <v>2</v>
      </c>
      <c r="V16">
        <v>0.79</v>
      </c>
      <c r="W16">
        <v>0</v>
      </c>
      <c r="X16">
        <v>0</v>
      </c>
      <c r="Y16" t="s">
        <v>3</v>
      </c>
      <c r="Z16" t="s">
        <v>3</v>
      </c>
      <c r="AA16">
        <v>0</v>
      </c>
      <c r="AB16" t="s">
        <v>3</v>
      </c>
      <c r="AC16">
        <v>39.340000000000003</v>
      </c>
      <c r="AD16">
        <v>1</v>
      </c>
      <c r="AE16">
        <v>0</v>
      </c>
      <c r="AF16">
        <v>1</v>
      </c>
      <c r="AG16">
        <v>3</v>
      </c>
      <c r="AH16" t="s">
        <v>111</v>
      </c>
      <c r="AI16" t="s">
        <v>114</v>
      </c>
      <c r="AJ16">
        <v>46182.616956018515</v>
      </c>
      <c r="AK16">
        <v>75286637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3</v>
      </c>
      <c r="AT16">
        <v>0</v>
      </c>
      <c r="AU16">
        <v>0</v>
      </c>
    </row>
    <row r="17" spans="2:47" x14ac:dyDescent="0.2">
      <c r="B17" t="s">
        <v>372</v>
      </c>
      <c r="C17">
        <v>1</v>
      </c>
      <c r="D17" t="s">
        <v>113</v>
      </c>
      <c r="E17" t="s">
        <v>114</v>
      </c>
      <c r="F17" t="s">
        <v>359</v>
      </c>
      <c r="G17" t="s">
        <v>111</v>
      </c>
      <c r="H17">
        <v>36.89</v>
      </c>
      <c r="I17">
        <v>45</v>
      </c>
      <c r="J17">
        <v>0</v>
      </c>
      <c r="K17">
        <v>37.630000000000003</v>
      </c>
      <c r="L17">
        <v>22</v>
      </c>
      <c r="M17">
        <v>46181</v>
      </c>
      <c r="N17">
        <v>2</v>
      </c>
      <c r="O17" t="s">
        <v>373</v>
      </c>
      <c r="P17" t="s">
        <v>3</v>
      </c>
      <c r="Q17" t="s">
        <v>374</v>
      </c>
      <c r="R17" t="s">
        <v>3</v>
      </c>
      <c r="S17" t="s">
        <v>375</v>
      </c>
      <c r="T17" t="s">
        <v>364</v>
      </c>
      <c r="U17">
        <v>2</v>
      </c>
      <c r="V17">
        <v>0.74</v>
      </c>
      <c r="W17">
        <v>0</v>
      </c>
      <c r="X17">
        <v>0</v>
      </c>
      <c r="Y17" t="s">
        <v>3</v>
      </c>
      <c r="Z17" t="s">
        <v>3</v>
      </c>
      <c r="AA17">
        <v>0</v>
      </c>
      <c r="AB17" t="s">
        <v>3</v>
      </c>
      <c r="AC17">
        <v>36.89</v>
      </c>
      <c r="AD17">
        <v>1</v>
      </c>
      <c r="AE17">
        <v>0</v>
      </c>
      <c r="AF17">
        <v>1</v>
      </c>
      <c r="AG17">
        <v>3</v>
      </c>
      <c r="AH17" t="s">
        <v>111</v>
      </c>
      <c r="AI17" t="s">
        <v>114</v>
      </c>
      <c r="AJ17">
        <v>46182.616956018515</v>
      </c>
      <c r="AK17">
        <v>75286637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t="s">
        <v>3</v>
      </c>
      <c r="AT17">
        <v>0</v>
      </c>
      <c r="AU17">
        <v>0</v>
      </c>
    </row>
    <row r="18" spans="2:47" x14ac:dyDescent="0.2">
      <c r="B18" t="s">
        <v>376</v>
      </c>
      <c r="C18">
        <v>1</v>
      </c>
      <c r="D18" t="s">
        <v>87</v>
      </c>
      <c r="E18" t="s">
        <v>88</v>
      </c>
      <c r="F18" t="s">
        <v>377</v>
      </c>
      <c r="G18" t="s">
        <v>89</v>
      </c>
      <c r="H18">
        <v>1458.61</v>
      </c>
      <c r="I18">
        <v>1779.5</v>
      </c>
      <c r="J18">
        <v>0</v>
      </c>
      <c r="K18">
        <v>1487.78</v>
      </c>
      <c r="L18">
        <v>22</v>
      </c>
      <c r="M18">
        <v>46181</v>
      </c>
      <c r="N18">
        <v>2</v>
      </c>
      <c r="O18" t="s">
        <v>378</v>
      </c>
      <c r="P18" t="s">
        <v>3</v>
      </c>
      <c r="Q18" t="s">
        <v>379</v>
      </c>
      <c r="R18" t="s">
        <v>3</v>
      </c>
      <c r="S18" t="s">
        <v>380</v>
      </c>
      <c r="T18" t="s">
        <v>381</v>
      </c>
      <c r="U18">
        <v>2</v>
      </c>
      <c r="V18">
        <v>29.17</v>
      </c>
      <c r="W18">
        <v>0</v>
      </c>
      <c r="X18">
        <v>0</v>
      </c>
      <c r="Y18" t="s">
        <v>3</v>
      </c>
      <c r="Z18" t="s">
        <v>3</v>
      </c>
      <c r="AA18">
        <v>0</v>
      </c>
      <c r="AB18" t="s">
        <v>3</v>
      </c>
      <c r="AC18">
        <v>1458.61</v>
      </c>
      <c r="AD18">
        <v>1</v>
      </c>
      <c r="AE18">
        <v>0</v>
      </c>
      <c r="AF18">
        <v>1</v>
      </c>
      <c r="AG18">
        <v>3</v>
      </c>
      <c r="AH18" t="s">
        <v>89</v>
      </c>
      <c r="AI18" t="s">
        <v>88</v>
      </c>
      <c r="AJ18">
        <v>46182.616168981483</v>
      </c>
      <c r="AK18">
        <v>75286680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3</v>
      </c>
      <c r="AT18">
        <v>0</v>
      </c>
      <c r="AU18">
        <v>0</v>
      </c>
    </row>
    <row r="19" spans="2:47" x14ac:dyDescent="0.2">
      <c r="B19" t="s">
        <v>382</v>
      </c>
      <c r="C19">
        <v>0</v>
      </c>
      <c r="D19" t="s">
        <v>383</v>
      </c>
      <c r="E19" t="s">
        <v>88</v>
      </c>
      <c r="F19" t="s">
        <v>377</v>
      </c>
      <c r="G19" t="s">
        <v>89</v>
      </c>
      <c r="H19">
        <v>1598.36</v>
      </c>
      <c r="I19">
        <v>1950</v>
      </c>
      <c r="J19">
        <v>0</v>
      </c>
      <c r="K19">
        <v>1630.33</v>
      </c>
      <c r="L19">
        <v>22</v>
      </c>
      <c r="M19">
        <v>46181</v>
      </c>
      <c r="N19">
        <v>2</v>
      </c>
      <c r="O19" t="s">
        <v>384</v>
      </c>
      <c r="P19" t="s">
        <v>3</v>
      </c>
      <c r="Q19" t="s">
        <v>385</v>
      </c>
      <c r="R19" t="s">
        <v>3</v>
      </c>
      <c r="S19" t="s">
        <v>386</v>
      </c>
      <c r="T19" t="s">
        <v>364</v>
      </c>
      <c r="U19">
        <v>2</v>
      </c>
      <c r="V19">
        <v>31.97</v>
      </c>
      <c r="W19">
        <v>0</v>
      </c>
      <c r="X19">
        <v>0</v>
      </c>
      <c r="Y19" t="s">
        <v>3</v>
      </c>
      <c r="Z19" t="s">
        <v>3</v>
      </c>
      <c r="AA19">
        <v>0</v>
      </c>
      <c r="AB19" t="s">
        <v>3</v>
      </c>
      <c r="AC19">
        <v>1598.36</v>
      </c>
      <c r="AD19">
        <v>1</v>
      </c>
      <c r="AE19">
        <v>0</v>
      </c>
      <c r="AF19">
        <v>1</v>
      </c>
      <c r="AG19">
        <v>3</v>
      </c>
      <c r="AH19" t="s">
        <v>89</v>
      </c>
      <c r="AI19" t="s">
        <v>88</v>
      </c>
      <c r="AJ19">
        <v>46182.616168981483</v>
      </c>
      <c r="AK19">
        <v>75286680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 t="s">
        <v>3</v>
      </c>
      <c r="AT19">
        <v>0</v>
      </c>
      <c r="AU19">
        <v>0</v>
      </c>
    </row>
    <row r="20" spans="2:47" x14ac:dyDescent="0.2">
      <c r="B20" t="s">
        <v>387</v>
      </c>
      <c r="C20">
        <v>0</v>
      </c>
      <c r="D20" t="s">
        <v>388</v>
      </c>
      <c r="E20" t="s">
        <v>88</v>
      </c>
      <c r="F20" t="s">
        <v>377</v>
      </c>
      <c r="G20" t="s">
        <v>89</v>
      </c>
      <c r="H20">
        <v>1458.61</v>
      </c>
      <c r="I20">
        <v>1779.5</v>
      </c>
      <c r="J20">
        <v>0</v>
      </c>
      <c r="K20">
        <v>1487.78</v>
      </c>
      <c r="L20">
        <v>22</v>
      </c>
      <c r="M20">
        <v>46181</v>
      </c>
      <c r="N20">
        <v>2</v>
      </c>
      <c r="O20" t="s">
        <v>389</v>
      </c>
      <c r="P20" t="s">
        <v>3</v>
      </c>
      <c r="Q20" t="s">
        <v>390</v>
      </c>
      <c r="R20" t="s">
        <v>3</v>
      </c>
      <c r="S20" t="s">
        <v>391</v>
      </c>
      <c r="T20" t="s">
        <v>364</v>
      </c>
      <c r="U20">
        <v>2</v>
      </c>
      <c r="V20">
        <v>29.17</v>
      </c>
      <c r="W20">
        <v>0</v>
      </c>
      <c r="X20">
        <v>0</v>
      </c>
      <c r="Y20" t="s">
        <v>3</v>
      </c>
      <c r="Z20" t="s">
        <v>3</v>
      </c>
      <c r="AA20">
        <v>0</v>
      </c>
      <c r="AB20" t="s">
        <v>3</v>
      </c>
      <c r="AC20">
        <v>1458.61</v>
      </c>
      <c r="AD20">
        <v>1</v>
      </c>
      <c r="AE20">
        <v>0</v>
      </c>
      <c r="AF20">
        <v>1</v>
      </c>
      <c r="AG20">
        <v>3</v>
      </c>
      <c r="AH20" t="s">
        <v>89</v>
      </c>
      <c r="AI20" t="s">
        <v>88</v>
      </c>
      <c r="AJ20">
        <v>46182.616168981483</v>
      </c>
      <c r="AK20">
        <v>75286680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3</v>
      </c>
      <c r="AT20">
        <v>0</v>
      </c>
      <c r="AU20">
        <v>0</v>
      </c>
    </row>
    <row r="21" spans="2:47" x14ac:dyDescent="0.2">
      <c r="B21" t="s">
        <v>392</v>
      </c>
      <c r="C21">
        <v>0</v>
      </c>
      <c r="D21" t="s">
        <v>393</v>
      </c>
      <c r="E21" t="s">
        <v>138</v>
      </c>
      <c r="F21" t="s">
        <v>394</v>
      </c>
      <c r="G21" t="s">
        <v>139</v>
      </c>
      <c r="H21">
        <v>983.61</v>
      </c>
      <c r="I21">
        <v>1200</v>
      </c>
      <c r="J21">
        <v>0</v>
      </c>
      <c r="K21">
        <v>983.61</v>
      </c>
      <c r="L21">
        <v>22</v>
      </c>
      <c r="M21">
        <v>46181</v>
      </c>
      <c r="N21">
        <v>2</v>
      </c>
      <c r="O21" t="s">
        <v>395</v>
      </c>
      <c r="P21" t="s">
        <v>3</v>
      </c>
      <c r="Q21" t="s">
        <v>396</v>
      </c>
      <c r="R21" t="s">
        <v>397</v>
      </c>
      <c r="S21" t="s">
        <v>398</v>
      </c>
      <c r="T21" t="s">
        <v>364</v>
      </c>
      <c r="U21">
        <v>0</v>
      </c>
      <c r="V21">
        <v>0</v>
      </c>
      <c r="W21">
        <v>0</v>
      </c>
      <c r="X21">
        <v>0</v>
      </c>
      <c r="Y21" t="s">
        <v>3</v>
      </c>
      <c r="Z21" t="s">
        <v>3</v>
      </c>
      <c r="AA21">
        <v>0</v>
      </c>
      <c r="AB21" t="s">
        <v>3</v>
      </c>
      <c r="AC21">
        <v>983.61</v>
      </c>
      <c r="AD21">
        <v>1</v>
      </c>
      <c r="AE21">
        <v>0</v>
      </c>
      <c r="AF21">
        <v>1</v>
      </c>
      <c r="AG21">
        <v>2</v>
      </c>
      <c r="AH21" t="s">
        <v>139</v>
      </c>
      <c r="AI21" t="s">
        <v>138</v>
      </c>
      <c r="AJ21">
        <v>46182.644548611112</v>
      </c>
      <c r="AK21">
        <v>75286687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 t="s">
        <v>3</v>
      </c>
      <c r="AT21">
        <v>0</v>
      </c>
      <c r="AU21">
        <v>0</v>
      </c>
    </row>
    <row r="22" spans="2:47" x14ac:dyDescent="0.2">
      <c r="B22" t="s">
        <v>399</v>
      </c>
      <c r="C22">
        <v>1</v>
      </c>
      <c r="D22" t="s">
        <v>137</v>
      </c>
      <c r="E22" t="s">
        <v>138</v>
      </c>
      <c r="F22" t="s">
        <v>394</v>
      </c>
      <c r="G22" t="s">
        <v>139</v>
      </c>
      <c r="H22">
        <v>983.5</v>
      </c>
      <c r="I22">
        <v>1199.8699999999999</v>
      </c>
      <c r="J22">
        <v>0</v>
      </c>
      <c r="K22">
        <v>983.5</v>
      </c>
      <c r="L22">
        <v>22</v>
      </c>
      <c r="M22">
        <v>46181</v>
      </c>
      <c r="N22">
        <v>2</v>
      </c>
      <c r="O22" t="s">
        <v>400</v>
      </c>
      <c r="P22" t="s">
        <v>3</v>
      </c>
      <c r="Q22" t="s">
        <v>401</v>
      </c>
      <c r="R22" t="s">
        <v>402</v>
      </c>
      <c r="S22" t="s">
        <v>398</v>
      </c>
      <c r="T22" t="s">
        <v>364</v>
      </c>
      <c r="U22">
        <v>0</v>
      </c>
      <c r="V22">
        <v>0</v>
      </c>
      <c r="W22">
        <v>0</v>
      </c>
      <c r="X22">
        <v>0</v>
      </c>
      <c r="Y22" t="s">
        <v>3</v>
      </c>
      <c r="Z22" t="s">
        <v>3</v>
      </c>
      <c r="AA22">
        <v>0</v>
      </c>
      <c r="AB22" t="s">
        <v>3</v>
      </c>
      <c r="AC22">
        <v>983.5</v>
      </c>
      <c r="AD22">
        <v>1</v>
      </c>
      <c r="AE22">
        <v>0</v>
      </c>
      <c r="AF22">
        <v>1</v>
      </c>
      <c r="AG22">
        <v>2</v>
      </c>
      <c r="AH22" t="s">
        <v>139</v>
      </c>
      <c r="AI22" t="s">
        <v>138</v>
      </c>
      <c r="AJ22">
        <v>46182.644548611112</v>
      </c>
      <c r="AK22">
        <v>75286687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3</v>
      </c>
      <c r="AT22">
        <v>0</v>
      </c>
      <c r="AU22">
        <v>0</v>
      </c>
    </row>
    <row r="23" spans="2:47" x14ac:dyDescent="0.2">
      <c r="B23" t="s">
        <v>403</v>
      </c>
      <c r="C23">
        <v>0</v>
      </c>
      <c r="D23" t="s">
        <v>404</v>
      </c>
      <c r="E23" t="s">
        <v>138</v>
      </c>
      <c r="F23" t="s">
        <v>394</v>
      </c>
      <c r="G23" t="s">
        <v>139</v>
      </c>
      <c r="H23">
        <v>1229.51</v>
      </c>
      <c r="I23">
        <v>1500</v>
      </c>
      <c r="J23">
        <v>0</v>
      </c>
      <c r="K23">
        <v>1229.51</v>
      </c>
      <c r="L23">
        <v>22</v>
      </c>
      <c r="M23">
        <v>46181</v>
      </c>
      <c r="N23">
        <v>2</v>
      </c>
      <c r="O23" t="s">
        <v>405</v>
      </c>
      <c r="P23" t="s">
        <v>3</v>
      </c>
      <c r="Q23" t="s">
        <v>406</v>
      </c>
      <c r="R23" t="s">
        <v>402</v>
      </c>
      <c r="S23" t="s">
        <v>398</v>
      </c>
      <c r="T23" t="s">
        <v>364</v>
      </c>
      <c r="U23">
        <v>0</v>
      </c>
      <c r="V23">
        <v>0</v>
      </c>
      <c r="W23">
        <v>0</v>
      </c>
      <c r="X23">
        <v>0</v>
      </c>
      <c r="Y23" t="s">
        <v>3</v>
      </c>
      <c r="Z23" t="s">
        <v>3</v>
      </c>
      <c r="AA23">
        <v>0</v>
      </c>
      <c r="AB23" t="s">
        <v>3</v>
      </c>
      <c r="AC23">
        <v>1229.51</v>
      </c>
      <c r="AD23">
        <v>1</v>
      </c>
      <c r="AE23">
        <v>0</v>
      </c>
      <c r="AF23">
        <v>1</v>
      </c>
      <c r="AG23">
        <v>2</v>
      </c>
      <c r="AH23" t="s">
        <v>139</v>
      </c>
      <c r="AI23" t="s">
        <v>138</v>
      </c>
      <c r="AJ23">
        <v>46182.644548611112</v>
      </c>
      <c r="AK23">
        <v>75286687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 t="s">
        <v>3</v>
      </c>
      <c r="AT23">
        <v>0</v>
      </c>
      <c r="AU2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5357-240B-48FF-B8BA-D33D66133023}">
  <sheetPr>
    <pageSetUpPr fitToPage="1"/>
  </sheetPr>
  <dimension ref="A1:CW367"/>
  <sheetViews>
    <sheetView tabSelected="1" zoomScaleNormal="100" workbookViewId="0">
      <selection activeCell="I1" sqref="I1:L1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1" width="0" hidden="1" customWidth="1"/>
    <col min="92" max="92" width="198.7109375" hidden="1" customWidth="1"/>
    <col min="93" max="93" width="108.7109375" hidden="1" customWidth="1"/>
    <col min="94" max="100" width="0" hidden="1" customWidth="1"/>
    <col min="101" max="101" width="83.7109375" hidden="1" customWidth="1"/>
  </cols>
  <sheetData>
    <row r="1" spans="1:93" x14ac:dyDescent="0.2">
      <c r="A1" s="23" t="str">
        <f>Source!B1</f>
        <v>Smeta.RU  (495) 974-1589</v>
      </c>
      <c r="I1" s="240" t="s">
        <v>628</v>
      </c>
      <c r="J1" s="239"/>
      <c r="K1" s="239"/>
      <c r="L1" s="239"/>
    </row>
    <row r="2" spans="1:93" ht="12.7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93" ht="16.5" customHeight="1" x14ac:dyDescent="0.25">
      <c r="A3" s="25"/>
      <c r="B3" s="159" t="s">
        <v>447</v>
      </c>
      <c r="C3" s="159"/>
      <c r="D3" s="159"/>
      <c r="E3" s="159"/>
      <c r="F3" s="17"/>
      <c r="G3" s="17"/>
      <c r="H3" s="159" t="s">
        <v>448</v>
      </c>
      <c r="I3" s="159"/>
      <c r="J3" s="159"/>
      <c r="K3" s="159"/>
      <c r="L3" s="159"/>
    </row>
    <row r="4" spans="1:93" ht="14.25" customHeight="1" x14ac:dyDescent="0.2">
      <c r="A4" s="17"/>
      <c r="B4" s="160"/>
      <c r="C4" s="160"/>
      <c r="D4" s="160"/>
      <c r="E4" s="160"/>
      <c r="F4" s="17"/>
      <c r="G4" s="17"/>
      <c r="H4" s="160"/>
      <c r="I4" s="160"/>
      <c r="J4" s="160"/>
      <c r="K4" s="160"/>
      <c r="L4" s="160"/>
    </row>
    <row r="5" spans="1:93" ht="14.25" customHeight="1" x14ac:dyDescent="0.2">
      <c r="A5" s="17"/>
      <c r="B5" s="17"/>
      <c r="C5" s="19"/>
      <c r="D5" s="19"/>
      <c r="E5" s="19"/>
      <c r="F5" s="17"/>
      <c r="G5" s="17"/>
      <c r="H5" s="19"/>
      <c r="I5" s="19"/>
      <c r="J5" s="19"/>
      <c r="K5" s="19"/>
      <c r="L5" s="19"/>
    </row>
    <row r="6" spans="1:93" ht="14.25" customHeight="1" x14ac:dyDescent="0.2">
      <c r="A6" s="19"/>
      <c r="B6" s="160" t="str">
        <f>CONCATENATE("______________________ ", IF(Source!AL12&lt;&gt;"", Source!AL12, ""))</f>
        <v xml:space="preserve">______________________ </v>
      </c>
      <c r="C6" s="160"/>
      <c r="D6" s="160"/>
      <c r="E6" s="160"/>
      <c r="F6" s="17"/>
      <c r="G6" s="17"/>
      <c r="H6" s="160" t="str">
        <f>CONCATENATE("______________________ ", IF(Source!AH12&lt;&gt;"", Source!AH12, ""))</f>
        <v xml:space="preserve">______________________ </v>
      </c>
      <c r="I6" s="160"/>
      <c r="J6" s="160"/>
      <c r="K6" s="160"/>
      <c r="L6" s="160"/>
    </row>
    <row r="7" spans="1:93" ht="14.25" customHeight="1" x14ac:dyDescent="0.2">
      <c r="A7" s="26"/>
      <c r="B7" s="158" t="s">
        <v>449</v>
      </c>
      <c r="C7" s="158"/>
      <c r="D7" s="158"/>
      <c r="E7" s="158"/>
      <c r="F7" s="17"/>
      <c r="G7" s="17"/>
      <c r="H7" s="158" t="s">
        <v>449</v>
      </c>
      <c r="I7" s="158"/>
      <c r="J7" s="158"/>
      <c r="K7" s="158"/>
      <c r="L7" s="158"/>
    </row>
    <row r="10" spans="1:93" ht="12.75" customHeight="1" x14ac:dyDescent="0.2">
      <c r="A10" s="156" t="s">
        <v>450</v>
      </c>
      <c r="B10" s="156"/>
      <c r="C10" s="156"/>
      <c r="D10" s="156"/>
      <c r="E10" s="156"/>
      <c r="F10" s="157" t="s">
        <v>488</v>
      </c>
      <c r="G10" s="157"/>
      <c r="H10" s="157"/>
      <c r="I10" s="157"/>
      <c r="J10" s="157"/>
      <c r="K10" s="157"/>
      <c r="L10" s="157"/>
    </row>
    <row r="11" spans="1:93" ht="12.75" customHeight="1" x14ac:dyDescent="0.2">
      <c r="A11" s="27"/>
      <c r="B11" s="27"/>
      <c r="C11" s="27"/>
      <c r="D11" s="27"/>
      <c r="E11" s="27"/>
      <c r="F11" s="28"/>
      <c r="G11" s="28"/>
      <c r="H11" s="28"/>
      <c r="I11" s="28"/>
      <c r="J11" s="28"/>
      <c r="K11" s="28"/>
      <c r="L11" s="28"/>
    </row>
    <row r="12" spans="1:93" ht="25.5" x14ac:dyDescent="0.2">
      <c r="A12" s="156" t="s">
        <v>451</v>
      </c>
      <c r="B12" s="156"/>
      <c r="C12" s="156"/>
      <c r="D12" s="156"/>
      <c r="E12" s="156"/>
      <c r="F12" s="157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157"/>
      <c r="H12" s="157"/>
      <c r="I12" s="157"/>
      <c r="J12" s="157"/>
      <c r="K12" s="157"/>
      <c r="L12" s="157"/>
      <c r="CO12" s="4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75" customHeight="1" x14ac:dyDescent="0.2">
      <c r="A13" s="27"/>
      <c r="B13" s="27"/>
      <c r="C13" s="27"/>
      <c r="D13" s="27"/>
      <c r="E13" s="27"/>
      <c r="F13" s="28"/>
      <c r="G13" s="28"/>
      <c r="H13" s="28"/>
      <c r="I13" s="28"/>
      <c r="J13" s="28"/>
      <c r="K13" s="28"/>
      <c r="L13" s="28"/>
    </row>
    <row r="14" spans="1:93" ht="140.25" x14ac:dyDescent="0.2">
      <c r="A14" s="156" t="s">
        <v>452</v>
      </c>
      <c r="B14" s="156"/>
      <c r="C14" s="156"/>
      <c r="D14" s="156"/>
      <c r="E14" s="156"/>
      <c r="F14" s="157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157"/>
      <c r="H14" s="157"/>
      <c r="I14" s="157"/>
      <c r="J14" s="157"/>
      <c r="K14" s="157"/>
      <c r="L14" s="157"/>
      <c r="CO14" s="4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75" customHeight="1" x14ac:dyDescent="0.2">
      <c r="A15" s="27"/>
      <c r="B15" s="27"/>
      <c r="C15" s="27"/>
      <c r="D15" s="27"/>
      <c r="E15" s="27"/>
      <c r="F15" s="28"/>
      <c r="G15" s="28"/>
      <c r="H15" s="28"/>
      <c r="I15" s="28"/>
      <c r="J15" s="28"/>
      <c r="K15" s="28"/>
      <c r="L15" s="28"/>
    </row>
    <row r="16" spans="1:93" ht="76.5" customHeight="1" x14ac:dyDescent="0.2">
      <c r="A16" s="156" t="s">
        <v>453</v>
      </c>
      <c r="B16" s="156"/>
      <c r="C16" s="156"/>
      <c r="D16" s="156"/>
      <c r="E16" s="156"/>
      <c r="F16" s="157"/>
      <c r="G16" s="157"/>
      <c r="H16" s="157"/>
      <c r="I16" s="157"/>
      <c r="J16" s="157"/>
      <c r="K16" s="157"/>
      <c r="L16" s="157"/>
    </row>
    <row r="17" spans="1:92" ht="12.75" customHeight="1" x14ac:dyDescent="0.2">
      <c r="A17" s="27"/>
      <c r="B17" s="27"/>
      <c r="C17" s="27"/>
      <c r="D17" s="27"/>
      <c r="E17" s="27"/>
      <c r="F17" s="28"/>
      <c r="G17" s="28"/>
      <c r="H17" s="28"/>
      <c r="I17" s="28"/>
      <c r="J17" s="28"/>
      <c r="K17" s="28"/>
      <c r="L17" s="28"/>
    </row>
    <row r="18" spans="1:92" ht="38.25" customHeight="1" x14ac:dyDescent="0.2">
      <c r="A18" s="156" t="s">
        <v>454</v>
      </c>
      <c r="B18" s="156"/>
      <c r="C18" s="156"/>
      <c r="D18" s="156"/>
      <c r="E18" s="156"/>
      <c r="F18" s="157"/>
      <c r="G18" s="157"/>
      <c r="H18" s="157"/>
      <c r="I18" s="157"/>
      <c r="J18" s="157"/>
      <c r="K18" s="157"/>
      <c r="L18" s="157"/>
    </row>
    <row r="19" spans="1:92" ht="12.75" customHeight="1" x14ac:dyDescent="0.2">
      <c r="A19" s="29"/>
      <c r="B19" s="29"/>
      <c r="C19" s="29"/>
      <c r="D19" s="29"/>
      <c r="E19" s="29"/>
      <c r="F19" s="30"/>
      <c r="G19" s="30"/>
      <c r="H19" s="30"/>
      <c r="I19" s="30"/>
      <c r="J19" s="30"/>
      <c r="K19" s="30"/>
      <c r="L19" s="30"/>
    </row>
    <row r="20" spans="1:92" ht="12.75" customHeight="1" x14ac:dyDescent="0.2">
      <c r="A20" s="156" t="s">
        <v>455</v>
      </c>
      <c r="B20" s="156"/>
      <c r="C20" s="156"/>
      <c r="D20" s="156"/>
      <c r="E20" s="156"/>
      <c r="F20" s="157" t="s">
        <v>489</v>
      </c>
      <c r="G20" s="157"/>
      <c r="H20" s="157"/>
      <c r="I20" s="157"/>
      <c r="J20" s="157"/>
      <c r="K20" s="157"/>
      <c r="L20" s="157"/>
    </row>
    <row r="21" spans="1:92" ht="12.75" customHeight="1" x14ac:dyDescent="0.2">
      <c r="A21" s="29"/>
      <c r="B21" s="29"/>
      <c r="C21" s="29"/>
      <c r="D21" s="29"/>
      <c r="E21" s="29"/>
      <c r="F21" s="30"/>
      <c r="G21" s="30"/>
      <c r="H21" s="30"/>
      <c r="I21" s="30"/>
      <c r="J21" s="30"/>
      <c r="K21" s="30"/>
      <c r="L21" s="30"/>
    </row>
    <row r="22" spans="1:92" ht="12.75" customHeight="1" x14ac:dyDescent="0.2">
      <c r="A22" s="156" t="s">
        <v>456</v>
      </c>
      <c r="B22" s="156"/>
      <c r="C22" s="156"/>
      <c r="D22" s="156"/>
      <c r="E22" s="156"/>
      <c r="F22" s="157" t="str">
        <f>IF(Source!CZ12 &lt;&gt; "", Source!CZ12, "")</f>
        <v/>
      </c>
      <c r="G22" s="157"/>
      <c r="H22" s="157"/>
      <c r="I22" s="157"/>
      <c r="J22" s="157"/>
      <c r="K22" s="157"/>
      <c r="L22" s="157"/>
    </row>
    <row r="23" spans="1:92" ht="12.75" customHeight="1" x14ac:dyDescent="0.2">
      <c r="A23" s="29"/>
      <c r="B23" s="29"/>
      <c r="C23" s="29"/>
      <c r="D23" s="29"/>
      <c r="E23" s="29"/>
      <c r="F23" s="30"/>
      <c r="G23" s="30"/>
      <c r="H23" s="30"/>
      <c r="I23" s="30"/>
      <c r="J23" s="30"/>
      <c r="K23" s="30"/>
      <c r="L23" s="28"/>
    </row>
    <row r="24" spans="1:92" ht="12.75" customHeight="1" x14ac:dyDescent="0.2">
      <c r="A24" s="156" t="s">
        <v>457</v>
      </c>
      <c r="B24" s="156"/>
      <c r="C24" s="156"/>
      <c r="D24" s="156"/>
      <c r="E24" s="156"/>
      <c r="F24" s="157" t="str">
        <f>IF(Source!DA12 &lt;&gt; "", Source!DA12, "")</f>
        <v/>
      </c>
      <c r="G24" s="157"/>
      <c r="H24" s="157"/>
      <c r="I24" s="157"/>
      <c r="J24" s="157"/>
      <c r="K24" s="157"/>
      <c r="L24" s="157"/>
    </row>
    <row r="25" spans="1:92" ht="12.75" customHeight="1" x14ac:dyDescent="0.2">
      <c r="A25" s="24"/>
      <c r="B25" s="24"/>
      <c r="C25" s="24"/>
      <c r="D25" s="24"/>
      <c r="E25" s="24"/>
      <c r="F25" s="31"/>
      <c r="G25" s="31"/>
      <c r="H25" s="31"/>
      <c r="I25" s="31"/>
      <c r="J25" s="31"/>
      <c r="K25" s="31"/>
      <c r="L25" s="31"/>
    </row>
    <row r="26" spans="1:92" ht="12.7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92" ht="47.25" x14ac:dyDescent="0.25">
      <c r="A27" s="153" t="s">
        <v>407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CN27" s="50" t="s">
        <v>407</v>
      </c>
    </row>
    <row r="28" spans="1:92" ht="14.25" customHeight="1" x14ac:dyDescent="0.2">
      <c r="A28" s="151" t="s">
        <v>458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</row>
    <row r="29" spans="1:92" ht="14.2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92" ht="31.5" x14ac:dyDescent="0.25">
      <c r="A30" s="153" t="str">
        <f>IF(Source!G12&lt;&gt;"Новый объект", Source!G12, 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CN30" s="50" t="str">
        <f>IF(Source!G12&lt;&gt;"Новый объект", Source!G12, 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</row>
    <row r="31" spans="1:92" ht="14.25" customHeight="1" x14ac:dyDescent="0.2">
      <c r="A31" s="151" t="s">
        <v>459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</row>
    <row r="32" spans="1:92" ht="14.25" customHeight="1" x14ac:dyDescent="0.2">
      <c r="A32" s="17"/>
      <c r="B32" s="17"/>
      <c r="C32" s="17"/>
      <c r="D32" s="17"/>
      <c r="E32" s="17"/>
      <c r="F32" s="26"/>
      <c r="G32" s="26"/>
      <c r="H32" s="26"/>
      <c r="I32" s="26"/>
      <c r="J32" s="26"/>
      <c r="K32" s="26"/>
      <c r="L32" s="26"/>
    </row>
    <row r="33" spans="1:12" ht="15.75" customHeight="1" x14ac:dyDescent="0.25">
      <c r="A33" s="154" t="str">
        <f>CONCATENATE( "ЛОКАЛЬНАЯ СМЕТА № ЛС-", Source!L20, " ",Source!CM20)</f>
        <v xml:space="preserve">ЛОКАЛЬНАЯ СМЕТА № ЛС-Новая локальная смета 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  <row r="34" spans="1:12" ht="15" customHeight="1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2"/>
    </row>
    <row r="35" spans="1:12" ht="18" customHeight="1" x14ac:dyDescent="0.25">
      <c r="A35" s="155" t="str">
        <f>IF(Source!G20&lt;&gt;"Новая локальная смета", Source!G20, "")</f>
        <v/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</row>
    <row r="36" spans="1:12" ht="14.25" customHeight="1" x14ac:dyDescent="0.2">
      <c r="A36" s="151" t="s">
        <v>460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</row>
    <row r="37" spans="1:12" ht="14.2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ht="14.2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ht="12.75" customHeight="1" x14ac:dyDescent="0.2">
      <c r="A39" s="2" t="s">
        <v>461</v>
      </c>
      <c r="B39" s="2"/>
      <c r="C39" s="35" t="s">
        <v>490</v>
      </c>
      <c r="D39" s="2" t="s">
        <v>462</v>
      </c>
      <c r="E39" s="2"/>
      <c r="F39" s="2"/>
      <c r="G39" s="2"/>
      <c r="H39" s="2"/>
      <c r="I39" s="2"/>
      <c r="J39" s="2"/>
      <c r="K39" s="2"/>
      <c r="L39" s="2"/>
    </row>
    <row r="40" spans="1:12" ht="12.75" customHeight="1" x14ac:dyDescent="0.2">
      <c r="A40" s="2"/>
      <c r="B40" s="2"/>
      <c r="C40" s="36"/>
      <c r="D40" s="2"/>
      <c r="E40" s="2"/>
      <c r="F40" s="2"/>
      <c r="G40" s="2"/>
      <c r="H40" s="2"/>
      <c r="I40" s="2"/>
      <c r="J40" s="2"/>
      <c r="K40" s="2"/>
      <c r="L40" s="2"/>
    </row>
    <row r="41" spans="1:12" ht="12.75" customHeight="1" x14ac:dyDescent="0.2">
      <c r="A41" s="2" t="s">
        <v>463</v>
      </c>
      <c r="B41" s="2"/>
      <c r="C41" s="152"/>
      <c r="D41" s="152"/>
      <c r="E41" s="152"/>
      <c r="F41" s="152"/>
      <c r="G41" s="152"/>
      <c r="H41" s="152"/>
      <c r="I41" s="152"/>
      <c r="J41" s="152"/>
      <c r="K41" s="152"/>
      <c r="L41" s="152"/>
    </row>
    <row r="42" spans="1:12" ht="12.75" customHeight="1" x14ac:dyDescent="0.2">
      <c r="A42" s="37"/>
      <c r="B42" s="38"/>
      <c r="C42" s="151" t="s">
        <v>464</v>
      </c>
      <c r="D42" s="151"/>
      <c r="E42" s="151"/>
      <c r="F42" s="151"/>
      <c r="G42" s="151"/>
      <c r="H42" s="151"/>
      <c r="I42" s="151"/>
      <c r="J42" s="151"/>
      <c r="K42" s="151"/>
      <c r="L42" s="151"/>
    </row>
    <row r="43" spans="1:12" ht="14.2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14.25" customHeight="1" x14ac:dyDescent="0.2">
      <c r="A44" s="39" t="s">
        <v>491</v>
      </c>
      <c r="B44" s="17"/>
      <c r="C44" s="17"/>
      <c r="D44" s="40"/>
      <c r="E44" s="17"/>
      <c r="F44" s="17"/>
      <c r="G44" s="17"/>
      <c r="H44" s="17"/>
      <c r="I44" s="17"/>
      <c r="J44" s="17"/>
      <c r="K44" s="17"/>
      <c r="L44" s="17"/>
    </row>
    <row r="45" spans="1:12" ht="14.2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4.25" customHeight="1" x14ac:dyDescent="0.2">
      <c r="A46" s="39" t="s">
        <v>465</v>
      </c>
      <c r="B46" s="17"/>
      <c r="C46" s="146">
        <f>C49+C50+C51+C52</f>
        <v>175.05</v>
      </c>
      <c r="D46" s="147"/>
      <c r="E46" s="2" t="s">
        <v>466</v>
      </c>
      <c r="F46" s="24"/>
      <c r="G46" s="24"/>
      <c r="H46" s="24"/>
      <c r="I46" s="24"/>
      <c r="J46" s="24"/>
      <c r="K46" s="24"/>
      <c r="L46" s="17"/>
    </row>
    <row r="47" spans="1:12" ht="14.25" customHeight="1" x14ac:dyDescent="0.2">
      <c r="A47" s="39"/>
      <c r="B47" s="17"/>
      <c r="C47" s="85"/>
      <c r="D47" s="41"/>
      <c r="E47" s="2"/>
      <c r="F47" s="24"/>
      <c r="G47" s="2" t="s">
        <v>467</v>
      </c>
      <c r="H47" s="17"/>
      <c r="I47" s="2"/>
      <c r="J47" s="2"/>
      <c r="K47" s="87">
        <f>ROUND(SUM(AR60:AR360)/1000, 2)</f>
        <v>17.600000000000001</v>
      </c>
      <c r="L47" s="2" t="s">
        <v>466</v>
      </c>
    </row>
    <row r="48" spans="1:12" ht="14.25" customHeight="1" x14ac:dyDescent="0.2">
      <c r="A48" s="17"/>
      <c r="B48" s="42" t="s">
        <v>468</v>
      </c>
      <c r="C48" s="86"/>
      <c r="D48" s="17"/>
      <c r="E48" s="2"/>
      <c r="F48" s="24"/>
      <c r="G48" s="2" t="s">
        <v>469</v>
      </c>
      <c r="H48" s="17"/>
      <c r="I48" s="2"/>
      <c r="J48" s="2"/>
      <c r="K48" s="87">
        <f>ROUND(SUM(AT60:AT360)/1000, 2)</f>
        <v>0.12</v>
      </c>
      <c r="L48" s="2" t="s">
        <v>466</v>
      </c>
    </row>
    <row r="49" spans="1:101" ht="14.25" customHeight="1" x14ac:dyDescent="0.2">
      <c r="A49" s="17"/>
      <c r="B49" s="39" t="s">
        <v>470</v>
      </c>
      <c r="C49" s="146">
        <f>ROUND((Source!F94)/1000, 2)</f>
        <v>175.05</v>
      </c>
      <c r="D49" s="147"/>
      <c r="E49" s="2" t="s">
        <v>466</v>
      </c>
      <c r="F49" s="24"/>
      <c r="G49" s="2" t="s">
        <v>471</v>
      </c>
      <c r="H49" s="17"/>
      <c r="I49" s="2"/>
      <c r="J49" s="41"/>
      <c r="K49" s="88">
        <f>Source!F99</f>
        <v>27.805955000000001</v>
      </c>
      <c r="L49" s="2" t="s">
        <v>282</v>
      </c>
    </row>
    <row r="50" spans="1:101" ht="14.25" customHeight="1" x14ac:dyDescent="0.2">
      <c r="A50" s="17"/>
      <c r="B50" s="39" t="s">
        <v>472</v>
      </c>
      <c r="C50" s="146">
        <f>ROUND((Source!F95)/1000, 2)</f>
        <v>0</v>
      </c>
      <c r="D50" s="147"/>
      <c r="E50" s="2" t="s">
        <v>466</v>
      </c>
      <c r="F50" s="24"/>
      <c r="G50" s="2" t="s">
        <v>473</v>
      </c>
      <c r="H50" s="17"/>
      <c r="I50" s="2"/>
      <c r="J50" s="43"/>
      <c r="K50" s="88">
        <f>Source!F100</f>
        <v>0.16423979999999999</v>
      </c>
      <c r="L50" s="2" t="s">
        <v>282</v>
      </c>
    </row>
    <row r="51" spans="1:101" ht="14.25" customHeight="1" x14ac:dyDescent="0.2">
      <c r="A51" s="17"/>
      <c r="B51" s="39" t="s">
        <v>474</v>
      </c>
      <c r="C51" s="146">
        <f>ROUND((Source!F86)/1000, 2)</f>
        <v>0</v>
      </c>
      <c r="D51" s="147"/>
      <c r="E51" s="2" t="s">
        <v>466</v>
      </c>
      <c r="F51" s="24"/>
      <c r="G51" s="2"/>
      <c r="H51" s="2"/>
      <c r="I51" s="2"/>
      <c r="J51" s="2"/>
      <c r="K51" s="24"/>
      <c r="L51" s="2"/>
    </row>
    <row r="52" spans="1:101" ht="14.25" customHeight="1" x14ac:dyDescent="0.2">
      <c r="A52" s="17"/>
      <c r="B52" s="39" t="s">
        <v>475</v>
      </c>
      <c r="C52" s="146">
        <f>ROUND((Source!F96)/1000, 2)</f>
        <v>0</v>
      </c>
      <c r="D52" s="147"/>
      <c r="E52" s="2" t="s">
        <v>466</v>
      </c>
      <c r="F52" s="24"/>
      <c r="G52" s="2"/>
      <c r="H52" s="2"/>
      <c r="I52" s="2"/>
      <c r="J52" s="2"/>
      <c r="K52" s="24"/>
      <c r="L52" s="2"/>
    </row>
    <row r="53" spans="1:101" ht="14.2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01" ht="12.75" customHeight="1" x14ac:dyDescent="0.2">
      <c r="A54" s="148" t="s">
        <v>413</v>
      </c>
      <c r="B54" s="148" t="s">
        <v>476</v>
      </c>
      <c r="C54" s="148" t="s">
        <v>477</v>
      </c>
      <c r="D54" s="148" t="s">
        <v>478</v>
      </c>
      <c r="E54" s="136" t="s">
        <v>479</v>
      </c>
      <c r="F54" s="137"/>
      <c r="G54" s="138"/>
      <c r="H54" s="136" t="s">
        <v>480</v>
      </c>
      <c r="I54" s="137"/>
      <c r="J54" s="137"/>
      <c r="K54" s="137"/>
      <c r="L54" s="138"/>
    </row>
    <row r="55" spans="1:101" ht="12.75" customHeight="1" x14ac:dyDescent="0.2">
      <c r="A55" s="149"/>
      <c r="B55" s="149"/>
      <c r="C55" s="149"/>
      <c r="D55" s="149"/>
      <c r="E55" s="139"/>
      <c r="F55" s="140"/>
      <c r="G55" s="141"/>
      <c r="H55" s="139"/>
      <c r="I55" s="140"/>
      <c r="J55" s="140"/>
      <c r="K55" s="140"/>
      <c r="L55" s="141"/>
    </row>
    <row r="56" spans="1:101" ht="12.75" customHeight="1" x14ac:dyDescent="0.2">
      <c r="A56" s="149"/>
      <c r="B56" s="149"/>
      <c r="C56" s="149"/>
      <c r="D56" s="149"/>
      <c r="E56" s="139"/>
      <c r="F56" s="140"/>
      <c r="G56" s="141"/>
      <c r="H56" s="139"/>
      <c r="I56" s="140"/>
      <c r="J56" s="140"/>
      <c r="K56" s="140"/>
      <c r="L56" s="141"/>
    </row>
    <row r="57" spans="1:101" ht="12.75" customHeight="1" x14ac:dyDescent="0.2">
      <c r="A57" s="149"/>
      <c r="B57" s="149"/>
      <c r="C57" s="149"/>
      <c r="D57" s="149"/>
      <c r="E57" s="142"/>
      <c r="F57" s="143"/>
      <c r="G57" s="144"/>
      <c r="H57" s="142"/>
      <c r="I57" s="143"/>
      <c r="J57" s="143"/>
      <c r="K57" s="143"/>
      <c r="L57" s="144"/>
    </row>
    <row r="58" spans="1:101" ht="51" customHeight="1" x14ac:dyDescent="0.2">
      <c r="A58" s="150"/>
      <c r="B58" s="150"/>
      <c r="C58" s="150"/>
      <c r="D58" s="150"/>
      <c r="E58" s="44" t="s">
        <v>481</v>
      </c>
      <c r="F58" s="44" t="s">
        <v>482</v>
      </c>
      <c r="G58" s="45" t="s">
        <v>483</v>
      </c>
      <c r="H58" s="44" t="s">
        <v>484</v>
      </c>
      <c r="I58" s="44" t="s">
        <v>485</v>
      </c>
      <c r="J58" s="44" t="s">
        <v>486</v>
      </c>
      <c r="K58" s="44" t="s">
        <v>482</v>
      </c>
      <c r="L58" s="44" t="s">
        <v>487</v>
      </c>
    </row>
    <row r="59" spans="1:101" ht="14.25" customHeight="1" x14ac:dyDescent="0.2">
      <c r="A59" s="46">
        <v>1</v>
      </c>
      <c r="B59" s="46">
        <v>2</v>
      </c>
      <c r="C59" s="46">
        <v>3</v>
      </c>
      <c r="D59" s="46">
        <v>4</v>
      </c>
      <c r="E59" s="46">
        <v>5</v>
      </c>
      <c r="F59" s="46">
        <v>6</v>
      </c>
      <c r="G59" s="46">
        <v>7</v>
      </c>
      <c r="H59" s="46">
        <v>8</v>
      </c>
      <c r="I59" s="46">
        <v>9</v>
      </c>
      <c r="J59" s="46">
        <v>10</v>
      </c>
      <c r="K59" s="48">
        <v>11</v>
      </c>
      <c r="L59" s="48">
        <v>12</v>
      </c>
    </row>
    <row r="61" spans="1:101" ht="16.5" x14ac:dyDescent="0.2">
      <c r="A61" s="145" t="s">
        <v>492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</row>
    <row r="62" spans="1:101" ht="57" x14ac:dyDescent="0.2">
      <c r="A62" s="52" t="s">
        <v>17</v>
      </c>
      <c r="B62" s="54" t="s">
        <v>493</v>
      </c>
      <c r="C62" s="54" t="str">
        <f>Source!G28</f>
        <v>Разборка мелких покрытий и обделок из листовой стали: поясков, сандриков, желобов, отливов, свесов и т.п.</v>
      </c>
      <c r="D62" s="55" t="str">
        <f>Source!H28</f>
        <v>100 м</v>
      </c>
      <c r="E62" s="56">
        <f>Source!K28</f>
        <v>4.5999999999999999E-3</v>
      </c>
      <c r="F62" s="56"/>
      <c r="G62" s="56">
        <f>Source!I28</f>
        <v>4.5999999999999999E-3</v>
      </c>
      <c r="H62" s="58"/>
      <c r="I62" s="57"/>
      <c r="J62" s="58"/>
      <c r="K62" s="57"/>
      <c r="L62" s="58"/>
    </row>
    <row r="63" spans="1:101" ht="25.5" x14ac:dyDescent="0.2">
      <c r="B63" s="59" t="s">
        <v>346</v>
      </c>
      <c r="C63" s="132" t="s">
        <v>494</v>
      </c>
      <c r="D63" s="132"/>
      <c r="E63" s="132"/>
      <c r="F63" s="132"/>
      <c r="G63" s="132"/>
      <c r="H63" s="132"/>
      <c r="I63" s="132"/>
      <c r="J63" s="132"/>
      <c r="K63" s="132"/>
      <c r="L63" s="132"/>
    </row>
    <row r="64" spans="1:101" ht="38.25" x14ac:dyDescent="0.2">
      <c r="B64" s="59" t="s">
        <v>350</v>
      </c>
      <c r="C64" s="132" t="s">
        <v>495</v>
      </c>
      <c r="D64" s="132"/>
      <c r="E64" s="132"/>
      <c r="F64" s="132"/>
      <c r="G64" s="132"/>
      <c r="H64" s="132"/>
      <c r="I64" s="132"/>
      <c r="J64" s="132"/>
      <c r="K64" s="132"/>
      <c r="L64" s="132"/>
      <c r="CW64" s="60" t="s">
        <v>495</v>
      </c>
    </row>
    <row r="65" spans="1:101" ht="51" x14ac:dyDescent="0.2">
      <c r="C65" s="133" t="s">
        <v>496</v>
      </c>
      <c r="D65" s="133"/>
      <c r="E65" s="133"/>
      <c r="F65" s="133"/>
      <c r="CW65" s="61" t="s">
        <v>496</v>
      </c>
    </row>
    <row r="66" spans="1:101" x14ac:dyDescent="0.2">
      <c r="C66" s="62" t="str">
        <f>"Объем: "&amp;Source!I28&amp;"=0,46/"&amp;"100"</f>
        <v>Объем: 0,0046=0,46/100</v>
      </c>
    </row>
    <row r="67" spans="1:101" ht="15" x14ac:dyDescent="0.2">
      <c r="A67" s="53"/>
      <c r="B67" s="56">
        <v>1</v>
      </c>
      <c r="C67" s="53" t="s">
        <v>497</v>
      </c>
      <c r="D67" s="55" t="s">
        <v>282</v>
      </c>
      <c r="E67" s="63"/>
      <c r="F67" s="56"/>
      <c r="G67" s="56">
        <f>Source!U28</f>
        <v>6.01738E-2</v>
      </c>
      <c r="H67" s="56"/>
      <c r="I67" s="56"/>
      <c r="J67" s="56"/>
      <c r="K67" s="56"/>
      <c r="L67" s="64">
        <f>SUM(L68:L68)-SUMIF(CE68:CE68, 1, L68:L68)</f>
        <v>35.78</v>
      </c>
    </row>
    <row r="68" spans="1:101" ht="14.25" x14ac:dyDescent="0.2">
      <c r="A68" s="54"/>
      <c r="B68" s="54" t="s">
        <v>280</v>
      </c>
      <c r="C68" s="54" t="s">
        <v>281</v>
      </c>
      <c r="D68" s="55" t="s">
        <v>282</v>
      </c>
      <c r="E68" s="56">
        <v>9.1</v>
      </c>
      <c r="F68" s="56">
        <f>ROUND((0.15+1)*1.25,7)</f>
        <v>1.4375</v>
      </c>
      <c r="G68" s="56">
        <f>SmtRes!CX1</f>
        <v>6.01738E-2</v>
      </c>
      <c r="H68" s="58"/>
      <c r="I68" s="57"/>
      <c r="J68" s="58">
        <f>SmtRes!CZ1</f>
        <v>594.67999999999995</v>
      </c>
      <c r="K68" s="57"/>
      <c r="L68" s="58">
        <f>SmtRes!DI1</f>
        <v>35.78</v>
      </c>
    </row>
    <row r="69" spans="1:101" ht="15" x14ac:dyDescent="0.2">
      <c r="A69" s="53"/>
      <c r="B69" s="56">
        <v>2</v>
      </c>
      <c r="C69" s="53" t="s">
        <v>498</v>
      </c>
      <c r="D69" s="55"/>
      <c r="E69" s="63"/>
      <c r="F69" s="56"/>
      <c r="G69" s="56"/>
      <c r="H69" s="56"/>
      <c r="I69" s="56"/>
      <c r="J69" s="56"/>
      <c r="K69" s="56"/>
      <c r="L69" s="64">
        <f>SUM(L70:L71)-SUMIF(CE70:CE71, 1, L70:L71)</f>
        <v>0.01</v>
      </c>
    </row>
    <row r="70" spans="1:101" ht="15" x14ac:dyDescent="0.2">
      <c r="A70" s="53"/>
      <c r="B70" s="56"/>
      <c r="C70" s="53" t="s">
        <v>499</v>
      </c>
      <c r="D70" s="55" t="s">
        <v>282</v>
      </c>
      <c r="E70" s="63"/>
      <c r="F70" s="56"/>
      <c r="G70" s="56">
        <f>Source!V28</f>
        <v>0</v>
      </c>
      <c r="H70" s="56"/>
      <c r="I70" s="56"/>
      <c r="J70" s="56"/>
      <c r="K70" s="56"/>
      <c r="L70" s="64">
        <f>SUMIF(CE71:CE71, 1, L71:L71)</f>
        <v>0</v>
      </c>
      <c r="CE70">
        <v>1</v>
      </c>
    </row>
    <row r="71" spans="1:101" ht="28.5" x14ac:dyDescent="0.2">
      <c r="A71" s="54"/>
      <c r="B71" s="54" t="s">
        <v>283</v>
      </c>
      <c r="C71" s="65" t="s">
        <v>285</v>
      </c>
      <c r="D71" s="66" t="s">
        <v>286</v>
      </c>
      <c r="E71" s="67">
        <v>0.12</v>
      </c>
      <c r="F71" s="67">
        <f>ROUND((0.15+1)*1.25,7)</f>
        <v>1.4375</v>
      </c>
      <c r="G71" s="67">
        <f>SmtRes!CX2</f>
        <v>7.9350000000000004E-4</v>
      </c>
      <c r="H71" s="68">
        <f>SmtRes!CZ2</f>
        <v>6.62</v>
      </c>
      <c r="I71" s="69">
        <f>SmtRes!AJ2</f>
        <v>1.5</v>
      </c>
      <c r="J71" s="68">
        <f>ROUND(H71*I71, 2)</f>
        <v>9.93</v>
      </c>
      <c r="K71" s="69"/>
      <c r="L71" s="68">
        <f>SmtRes!DG2</f>
        <v>0.01</v>
      </c>
    </row>
    <row r="72" spans="1:101" ht="15" x14ac:dyDescent="0.2">
      <c r="A72" s="54"/>
      <c r="B72" s="54"/>
      <c r="C72" s="72" t="s">
        <v>500</v>
      </c>
      <c r="D72" s="55"/>
      <c r="E72" s="56"/>
      <c r="F72" s="56"/>
      <c r="G72" s="56"/>
      <c r="H72" s="58"/>
      <c r="I72" s="57"/>
      <c r="J72" s="58"/>
      <c r="K72" s="57"/>
      <c r="L72" s="58">
        <f>L67+L69+L70</f>
        <v>35.79</v>
      </c>
    </row>
    <row r="73" spans="1:101" ht="14.25" x14ac:dyDescent="0.2">
      <c r="A73" s="52" t="s">
        <v>357</v>
      </c>
      <c r="B73" s="54" t="str">
        <f>Source!F29</f>
        <v>999-9900</v>
      </c>
      <c r="C73" s="54" t="str">
        <f>Source!G29</f>
        <v>Строительный мусор</v>
      </c>
      <c r="D73" s="55" t="str">
        <f>Source!H29</f>
        <v>т</v>
      </c>
      <c r="E73" s="56">
        <f>SmtRes!AT3</f>
        <v>0.12</v>
      </c>
      <c r="F73" s="56"/>
      <c r="G73" s="56">
        <f>Source!I29</f>
        <v>5.5199999999999997E-4</v>
      </c>
      <c r="H73" s="58">
        <f>Source!AL29+Source!AO29+Source!AM29+Source!AN29</f>
        <v>0</v>
      </c>
      <c r="I73" s="57"/>
      <c r="J73" s="58"/>
      <c r="K73" s="57"/>
      <c r="L73" s="58">
        <f>Source!P29</f>
        <v>0</v>
      </c>
      <c r="AD73">
        <f>ROUND((Source!AT29/100)*((ROUND(ROUND(Source!AO29,2)*Source!I29, 2)+ROUND(ROUND(Source!AN29,2)*Source!I29, 2))), 2)</f>
        <v>0</v>
      </c>
      <c r="AE73">
        <f>ROUND((Source!AU29/100)*((ROUND(ROUND(Source!AO29,2)*Source!I29, 2)+ROUND(ROUND(Source!AN29,2)*Source!I29, 2))), 2)</f>
        <v>0</v>
      </c>
      <c r="AN73">
        <f>L73</f>
        <v>0</v>
      </c>
      <c r="AW73">
        <f>L73</f>
        <v>0</v>
      </c>
      <c r="AZ73">
        <f>Source!X29</f>
        <v>0</v>
      </c>
      <c r="BA73">
        <f>Source!Y29</f>
        <v>0</v>
      </c>
      <c r="CD73">
        <v>1</v>
      </c>
    </row>
    <row r="74" spans="1:101" ht="14.25" x14ac:dyDescent="0.2">
      <c r="A74" s="54"/>
      <c r="B74" s="54"/>
      <c r="C74" s="54" t="s">
        <v>501</v>
      </c>
      <c r="D74" s="55"/>
      <c r="E74" s="56"/>
      <c r="F74" s="56"/>
      <c r="G74" s="56"/>
      <c r="H74" s="58"/>
      <c r="I74" s="57"/>
      <c r="J74" s="58"/>
      <c r="K74" s="57"/>
      <c r="L74" s="58">
        <f>SUM(AR62:AR77)+SUM(AS62:AS77)+SUM(AT62:AT77)+SUM(AU62:AU77)+SUM(AV62:AV77)</f>
        <v>35.78</v>
      </c>
    </row>
    <row r="75" spans="1:101" ht="14.25" x14ac:dyDescent="0.2">
      <c r="A75" s="54"/>
      <c r="B75" s="54" t="s">
        <v>27</v>
      </c>
      <c r="C75" s="54" t="s">
        <v>502</v>
      </c>
      <c r="D75" s="55" t="s">
        <v>437</v>
      </c>
      <c r="E75" s="56">
        <f>Source!BZ28</f>
        <v>90</v>
      </c>
      <c r="F75" s="56"/>
      <c r="G75" s="56">
        <f>Source!AT28</f>
        <v>90</v>
      </c>
      <c r="H75" s="58"/>
      <c r="I75" s="57"/>
      <c r="J75" s="58"/>
      <c r="K75" s="57"/>
      <c r="L75" s="58">
        <f>SUM(AZ62:AZ77)</f>
        <v>32.200000000000003</v>
      </c>
    </row>
    <row r="76" spans="1:101" ht="14.25" x14ac:dyDescent="0.2">
      <c r="A76" s="65"/>
      <c r="B76" s="65" t="s">
        <v>28</v>
      </c>
      <c r="C76" s="65" t="s">
        <v>503</v>
      </c>
      <c r="D76" s="66" t="s">
        <v>437</v>
      </c>
      <c r="E76" s="67">
        <f>Source!CA28</f>
        <v>46</v>
      </c>
      <c r="F76" s="67"/>
      <c r="G76" s="67">
        <f>Source!AU28</f>
        <v>46</v>
      </c>
      <c r="H76" s="68"/>
      <c r="I76" s="69"/>
      <c r="J76" s="68"/>
      <c r="K76" s="69"/>
      <c r="L76" s="68">
        <f>SUM(BA62:BA77)</f>
        <v>16.46</v>
      </c>
    </row>
    <row r="77" spans="1:101" ht="15" x14ac:dyDescent="0.2">
      <c r="C77" s="134" t="s">
        <v>504</v>
      </c>
      <c r="D77" s="134"/>
      <c r="E77" s="134"/>
      <c r="F77" s="134"/>
      <c r="G77" s="134"/>
      <c r="H77" s="134"/>
      <c r="I77" s="135">
        <f>IF(E62&lt;&gt;0,K77/E62, 0)</f>
        <v>18358.695652173916</v>
      </c>
      <c r="J77" s="135"/>
      <c r="K77" s="135">
        <f>L67+L69+L75+L76+L70+SUM(L73:L73)</f>
        <v>84.450000000000017</v>
      </c>
      <c r="L77" s="135"/>
      <c r="AD77">
        <f>ROUND((Source!AT28/100)*((ROUND(SUMIF(SmtRes!AQ1:'SmtRes'!AQ3,"=1",SmtRes!AD1:'SmtRes'!AD3)*Source!I28, 2)+ROUND(SUMIF(SmtRes!AQ1:'SmtRes'!AQ3,"=1",SmtRes!AC1:'SmtRes'!AC3)*Source!I28, 2))), 2)</f>
        <v>2.4700000000000002</v>
      </c>
      <c r="AE77">
        <f>ROUND((Source!AU28/100)*((ROUND(SUMIF(SmtRes!AQ1:'SmtRes'!AQ3,"=1",SmtRes!AD1:'SmtRes'!AD3)*Source!I28, 2)+ROUND(SUMIF(SmtRes!AQ1:'SmtRes'!AQ3,"=1",SmtRes!AC1:'SmtRes'!AC3)*Source!I28, 2))), 2)</f>
        <v>1.26</v>
      </c>
      <c r="AN77" s="70">
        <f>L67+L69+L75+L76+L70</f>
        <v>84.450000000000017</v>
      </c>
      <c r="AO77" s="70">
        <f>L69</f>
        <v>0.01</v>
      </c>
      <c r="AQ77" t="s">
        <v>505</v>
      </c>
      <c r="AR77" s="70">
        <f>L67</f>
        <v>35.78</v>
      </c>
      <c r="AT77" s="70">
        <f>L70</f>
        <v>0</v>
      </c>
      <c r="AV77" t="s">
        <v>505</v>
      </c>
      <c r="AW77">
        <f>0</f>
        <v>0</v>
      </c>
      <c r="AZ77">
        <f>Source!X28</f>
        <v>32.200000000000003</v>
      </c>
      <c r="BA77">
        <f>Source!Y28</f>
        <v>16.46</v>
      </c>
      <c r="CD77">
        <v>1</v>
      </c>
    </row>
    <row r="78" spans="1:101" ht="57" x14ac:dyDescent="0.2">
      <c r="A78" s="52" t="s">
        <v>34</v>
      </c>
      <c r="B78" s="54" t="s">
        <v>506</v>
      </c>
      <c r="C78" s="54" t="str">
        <f>Source!G30</f>
        <v>Вырубка кустарников с последующей ручной переноской и складированием на расстояние до 50 м при диаметре кустов у корня: до 300 мм</v>
      </c>
      <c r="D78" s="55" t="str">
        <f>Source!H30</f>
        <v>ШТ</v>
      </c>
      <c r="E78" s="56">
        <f>Source!K30</f>
        <v>4</v>
      </c>
      <c r="F78" s="56"/>
      <c r="G78" s="56">
        <f>Source!I30</f>
        <v>4</v>
      </c>
      <c r="H78" s="58"/>
      <c r="I78" s="57"/>
      <c r="J78" s="58"/>
      <c r="K78" s="57"/>
      <c r="L78" s="58"/>
    </row>
    <row r="79" spans="1:101" ht="25.5" x14ac:dyDescent="0.2">
      <c r="B79" s="59" t="s">
        <v>346</v>
      </c>
      <c r="C79" s="132" t="s">
        <v>494</v>
      </c>
      <c r="D79" s="132"/>
      <c r="E79" s="132"/>
      <c r="F79" s="132"/>
      <c r="G79" s="132"/>
      <c r="H79" s="132"/>
      <c r="I79" s="132"/>
      <c r="J79" s="132"/>
      <c r="K79" s="132"/>
      <c r="L79" s="132"/>
    </row>
    <row r="80" spans="1:101" ht="38.25" x14ac:dyDescent="0.2">
      <c r="B80" s="59" t="s">
        <v>350</v>
      </c>
      <c r="C80" s="132" t="s">
        <v>495</v>
      </c>
      <c r="D80" s="132"/>
      <c r="E80" s="132"/>
      <c r="F80" s="132"/>
      <c r="G80" s="132"/>
      <c r="H80" s="132"/>
      <c r="I80" s="132"/>
      <c r="J80" s="132"/>
      <c r="K80" s="132"/>
      <c r="L80" s="132"/>
      <c r="CW80" s="60" t="s">
        <v>495</v>
      </c>
    </row>
    <row r="81" spans="1:101" ht="51" x14ac:dyDescent="0.2">
      <c r="C81" s="133" t="s">
        <v>496</v>
      </c>
      <c r="D81" s="133"/>
      <c r="E81" s="133"/>
      <c r="F81" s="133"/>
      <c r="CW81" s="61" t="s">
        <v>496</v>
      </c>
    </row>
    <row r="82" spans="1:101" ht="15" x14ac:dyDescent="0.2">
      <c r="A82" s="53"/>
      <c r="B82" s="56">
        <v>1</v>
      </c>
      <c r="C82" s="53" t="s">
        <v>497</v>
      </c>
      <c r="D82" s="55" t="s">
        <v>282</v>
      </c>
      <c r="E82" s="63"/>
      <c r="F82" s="56"/>
      <c r="G82" s="56">
        <f>Source!U30</f>
        <v>4.5999999999999996</v>
      </c>
      <c r="H82" s="56"/>
      <c r="I82" s="56"/>
      <c r="J82" s="56"/>
      <c r="K82" s="56"/>
      <c r="L82" s="64">
        <f>SUM(L83:L83)-SUMIF(CE83:CE83, 1, L83:L83)</f>
        <v>2645.18</v>
      </c>
    </row>
    <row r="83" spans="1:101" ht="14.25" x14ac:dyDescent="0.2">
      <c r="A83" s="54"/>
      <c r="B83" s="54" t="s">
        <v>287</v>
      </c>
      <c r="C83" s="65" t="s">
        <v>288</v>
      </c>
      <c r="D83" s="66" t="s">
        <v>282</v>
      </c>
      <c r="E83" s="67">
        <v>0.8</v>
      </c>
      <c r="F83" s="67">
        <f>ROUND((0.15+1)*1.25,7)</f>
        <v>1.4375</v>
      </c>
      <c r="G83" s="67">
        <f>SmtRes!CX4</f>
        <v>4.5999999999999996</v>
      </c>
      <c r="H83" s="68"/>
      <c r="I83" s="69"/>
      <c r="J83" s="68">
        <f>SmtRes!CZ4</f>
        <v>575.04</v>
      </c>
      <c r="K83" s="69"/>
      <c r="L83" s="68">
        <f>SmtRes!DI4</f>
        <v>2645.18</v>
      </c>
    </row>
    <row r="84" spans="1:101" ht="15" x14ac:dyDescent="0.2">
      <c r="A84" s="54"/>
      <c r="B84" s="54"/>
      <c r="C84" s="72" t="s">
        <v>500</v>
      </c>
      <c r="D84" s="55"/>
      <c r="E84" s="56"/>
      <c r="F84" s="56"/>
      <c r="G84" s="56"/>
      <c r="H84" s="58"/>
      <c r="I84" s="57"/>
      <c r="J84" s="58"/>
      <c r="K84" s="57"/>
      <c r="L84" s="58">
        <f>L82</f>
        <v>2645.18</v>
      </c>
    </row>
    <row r="85" spans="1:101" ht="14.25" x14ac:dyDescent="0.2">
      <c r="A85" s="54"/>
      <c r="B85" s="54"/>
      <c r="C85" s="54" t="s">
        <v>501</v>
      </c>
      <c r="D85" s="55"/>
      <c r="E85" s="56"/>
      <c r="F85" s="56"/>
      <c r="G85" s="56"/>
      <c r="H85" s="58"/>
      <c r="I85" s="57"/>
      <c r="J85" s="58"/>
      <c r="K85" s="57"/>
      <c r="L85" s="58">
        <f>SUM(AR78:AR88)+SUM(AS78:AS88)+SUM(AT78:AT88)+SUM(AU78:AU88)+SUM(AV78:AV88)</f>
        <v>2645.18</v>
      </c>
    </row>
    <row r="86" spans="1:101" ht="14.25" x14ac:dyDescent="0.2">
      <c r="A86" s="54"/>
      <c r="B86" s="54" t="s">
        <v>41</v>
      </c>
      <c r="C86" s="54" t="s">
        <v>507</v>
      </c>
      <c r="D86" s="55" t="s">
        <v>437</v>
      </c>
      <c r="E86" s="56">
        <f>Source!BZ30</f>
        <v>102</v>
      </c>
      <c r="F86" s="56"/>
      <c r="G86" s="56">
        <f>Source!AT30</f>
        <v>102</v>
      </c>
      <c r="H86" s="58"/>
      <c r="I86" s="57"/>
      <c r="J86" s="58"/>
      <c r="K86" s="57"/>
      <c r="L86" s="58">
        <f>SUM(AZ78:AZ88)</f>
        <v>2698.08</v>
      </c>
    </row>
    <row r="87" spans="1:101" ht="14.25" x14ac:dyDescent="0.2">
      <c r="A87" s="65"/>
      <c r="B87" s="65" t="s">
        <v>42</v>
      </c>
      <c r="C87" s="65" t="s">
        <v>508</v>
      </c>
      <c r="D87" s="66" t="s">
        <v>437</v>
      </c>
      <c r="E87" s="67">
        <f>Source!CA30</f>
        <v>54</v>
      </c>
      <c r="F87" s="67"/>
      <c r="G87" s="67">
        <f>Source!AU30</f>
        <v>54</v>
      </c>
      <c r="H87" s="68"/>
      <c r="I87" s="69"/>
      <c r="J87" s="68"/>
      <c r="K87" s="69"/>
      <c r="L87" s="68">
        <f>SUM(BA78:BA88)</f>
        <v>1428.4</v>
      </c>
    </row>
    <row r="88" spans="1:101" ht="15" x14ac:dyDescent="0.2">
      <c r="C88" s="134" t="s">
        <v>504</v>
      </c>
      <c r="D88" s="134"/>
      <c r="E88" s="134"/>
      <c r="F88" s="134"/>
      <c r="G88" s="134"/>
      <c r="H88" s="134"/>
      <c r="I88" s="135">
        <f>IF(E78&lt;&gt;0,K88/E78, 0)</f>
        <v>1692.915</v>
      </c>
      <c r="J88" s="135"/>
      <c r="K88" s="135">
        <f>L82+L86+L87</f>
        <v>6771.66</v>
      </c>
      <c r="L88" s="135"/>
      <c r="AD88">
        <f>ROUND((Source!AT30/100)*((ROUND(SUMIF(SmtRes!AQ4:'SmtRes'!AQ4,"=1",SmtRes!AD4:'SmtRes'!AD4)*Source!I30, 2)+ROUND(SUMIF(SmtRes!AQ4:'SmtRes'!AQ4,"=1",SmtRes!AC4:'SmtRes'!AC4)*Source!I30, 2))), 2)</f>
        <v>2346.16</v>
      </c>
      <c r="AE88">
        <f>ROUND((Source!AU30/100)*((ROUND(SUMIF(SmtRes!AQ4:'SmtRes'!AQ4,"=1",SmtRes!AD4:'SmtRes'!AD4)*Source!I30, 2)+ROUND(SUMIF(SmtRes!AQ4:'SmtRes'!AQ4,"=1",SmtRes!AC4:'SmtRes'!AC4)*Source!I30, 2))), 2)</f>
        <v>1242.0899999999999</v>
      </c>
      <c r="AN88" s="70">
        <f>L82+L86+L87</f>
        <v>6771.66</v>
      </c>
      <c r="AO88">
        <f>0</f>
        <v>0</v>
      </c>
      <c r="AQ88" t="s">
        <v>505</v>
      </c>
      <c r="AR88" s="70">
        <f>L82</f>
        <v>2645.18</v>
      </c>
      <c r="AT88">
        <f>0</f>
        <v>0</v>
      </c>
      <c r="AV88" t="s">
        <v>505</v>
      </c>
      <c r="AW88">
        <f>0</f>
        <v>0</v>
      </c>
      <c r="AZ88">
        <f>Source!X30</f>
        <v>2698.08</v>
      </c>
      <c r="BA88">
        <f>Source!Y30</f>
        <v>1428.4</v>
      </c>
      <c r="CD88">
        <v>1</v>
      </c>
    </row>
    <row r="89" spans="1:101" ht="57" x14ac:dyDescent="0.2">
      <c r="A89" s="52" t="s">
        <v>43</v>
      </c>
      <c r="B89" s="54" t="s">
        <v>509</v>
      </c>
      <c r="C89" s="54" t="str">
        <f>Source!G31</f>
        <v>Простукивание поверхностей фасада, облицованного плоскими керамическими плитками при работе: с люлек</v>
      </c>
      <c r="D89" s="55" t="str">
        <f>Source!H31</f>
        <v>100 м2</v>
      </c>
      <c r="E89" s="56">
        <f>Source!K31</f>
        <v>0.26989999999999997</v>
      </c>
      <c r="F89" s="56"/>
      <c r="G89" s="56">
        <f>Source!I31</f>
        <v>0.26989999999999997</v>
      </c>
      <c r="H89" s="58"/>
      <c r="I89" s="57"/>
      <c r="J89" s="58"/>
      <c r="K89" s="57"/>
      <c r="L89" s="58"/>
    </row>
    <row r="90" spans="1:101" ht="25.5" x14ac:dyDescent="0.2">
      <c r="B90" s="59" t="s">
        <v>346</v>
      </c>
      <c r="C90" s="132" t="s">
        <v>494</v>
      </c>
      <c r="D90" s="132"/>
      <c r="E90" s="132"/>
      <c r="F90" s="132"/>
      <c r="G90" s="132"/>
      <c r="H90" s="132"/>
      <c r="I90" s="132"/>
      <c r="J90" s="132"/>
      <c r="K90" s="132"/>
      <c r="L90" s="132"/>
    </row>
    <row r="91" spans="1:101" ht="38.25" x14ac:dyDescent="0.2">
      <c r="B91" s="59" t="s">
        <v>350</v>
      </c>
      <c r="C91" s="132" t="s">
        <v>495</v>
      </c>
      <c r="D91" s="132"/>
      <c r="E91" s="132"/>
      <c r="F91" s="132"/>
      <c r="G91" s="132"/>
      <c r="H91" s="132"/>
      <c r="I91" s="132"/>
      <c r="J91" s="132"/>
      <c r="K91" s="132"/>
      <c r="L91" s="132"/>
      <c r="CW91" s="60" t="s">
        <v>495</v>
      </c>
    </row>
    <row r="92" spans="1:101" ht="51" x14ac:dyDescent="0.2">
      <c r="C92" s="133" t="s">
        <v>496</v>
      </c>
      <c r="D92" s="133"/>
      <c r="E92" s="133"/>
      <c r="F92" s="133"/>
      <c r="CW92" s="61" t="s">
        <v>496</v>
      </c>
    </row>
    <row r="93" spans="1:101" x14ac:dyDescent="0.2">
      <c r="C93" s="62" t="str">
        <f>"Объем: "&amp;Source!I31&amp;"=26,99/"&amp;"100"</f>
        <v>Объем: 0,2699=26,99/100</v>
      </c>
    </row>
    <row r="94" spans="1:101" ht="15" x14ac:dyDescent="0.2">
      <c r="A94" s="53"/>
      <c r="B94" s="56">
        <v>1</v>
      </c>
      <c r="C94" s="53" t="s">
        <v>497</v>
      </c>
      <c r="D94" s="55" t="s">
        <v>282</v>
      </c>
      <c r="E94" s="63"/>
      <c r="F94" s="56"/>
      <c r="G94" s="56">
        <f>Source!U31</f>
        <v>1.9825842</v>
      </c>
      <c r="H94" s="56"/>
      <c r="I94" s="56"/>
      <c r="J94" s="56"/>
      <c r="K94" s="56"/>
      <c r="L94" s="64">
        <f>SUM(L95:L95)-SUMIF(CE95:CE95, 1, L95:L95)</f>
        <v>1276.3499999999999</v>
      </c>
    </row>
    <row r="95" spans="1:101" ht="14.25" x14ac:dyDescent="0.2">
      <c r="A95" s="54"/>
      <c r="B95" s="54" t="s">
        <v>289</v>
      </c>
      <c r="C95" s="54" t="s">
        <v>290</v>
      </c>
      <c r="D95" s="55" t="s">
        <v>282</v>
      </c>
      <c r="E95" s="56">
        <v>5.1100000000000003</v>
      </c>
      <c r="F95" s="56">
        <f>ROUND((0.15+1)*1.25,7)</f>
        <v>1.4375</v>
      </c>
      <c r="G95" s="56">
        <f>SmtRes!CX5</f>
        <v>1.9825842</v>
      </c>
      <c r="H95" s="58"/>
      <c r="I95" s="57"/>
      <c r="J95" s="58">
        <f>SmtRes!CZ5</f>
        <v>643.78</v>
      </c>
      <c r="K95" s="57"/>
      <c r="L95" s="58">
        <f>SmtRes!DI5</f>
        <v>1276.3499999999999</v>
      </c>
    </row>
    <row r="96" spans="1:101" ht="15" x14ac:dyDescent="0.2">
      <c r="A96" s="53"/>
      <c r="B96" s="56">
        <v>2</v>
      </c>
      <c r="C96" s="53" t="s">
        <v>498</v>
      </c>
      <c r="D96" s="55"/>
      <c r="E96" s="63"/>
      <c r="F96" s="56"/>
      <c r="G96" s="56"/>
      <c r="H96" s="56"/>
      <c r="I96" s="56"/>
      <c r="J96" s="56"/>
      <c r="K96" s="56"/>
      <c r="L96" s="64">
        <f>SUM(L97:L98)-SUMIF(CE97:CE98, 1, L97:L98)</f>
        <v>37.06</v>
      </c>
    </row>
    <row r="97" spans="1:101" ht="15" x14ac:dyDescent="0.2">
      <c r="A97" s="53"/>
      <c r="B97" s="56"/>
      <c r="C97" s="53" t="s">
        <v>499</v>
      </c>
      <c r="D97" s="55" t="s">
        <v>282</v>
      </c>
      <c r="E97" s="63"/>
      <c r="F97" s="56"/>
      <c r="G97" s="56">
        <f>Source!V31</f>
        <v>0</v>
      </c>
      <c r="H97" s="56"/>
      <c r="I97" s="56"/>
      <c r="J97" s="56"/>
      <c r="K97" s="56"/>
      <c r="L97" s="64">
        <f>SUMIF(CE98:CE98, 1, L98:L98)</f>
        <v>0</v>
      </c>
      <c r="CE97">
        <v>1</v>
      </c>
    </row>
    <row r="98" spans="1:101" ht="28.5" x14ac:dyDescent="0.2">
      <c r="A98" s="54"/>
      <c r="B98" s="54" t="s">
        <v>291</v>
      </c>
      <c r="C98" s="65" t="s">
        <v>293</v>
      </c>
      <c r="D98" s="66" t="s">
        <v>286</v>
      </c>
      <c r="E98" s="67">
        <v>4.8</v>
      </c>
      <c r="F98" s="67">
        <f>ROUND((0.15+1)*1.25,7)</f>
        <v>1.4375</v>
      </c>
      <c r="G98" s="67">
        <f>SmtRes!CX6</f>
        <v>1.8623099999999999</v>
      </c>
      <c r="H98" s="68">
        <f>SmtRes!CZ6</f>
        <v>17.3</v>
      </c>
      <c r="I98" s="69">
        <f>SmtRes!AJ6</f>
        <v>1.1499999999999999</v>
      </c>
      <c r="J98" s="68">
        <f>ROUND(H98*I98, 2)</f>
        <v>19.899999999999999</v>
      </c>
      <c r="K98" s="69"/>
      <c r="L98" s="68">
        <f>SmtRes!DG6</f>
        <v>37.06</v>
      </c>
    </row>
    <row r="99" spans="1:101" ht="15" x14ac:dyDescent="0.2">
      <c r="A99" s="54"/>
      <c r="B99" s="54"/>
      <c r="C99" s="72" t="s">
        <v>500</v>
      </c>
      <c r="D99" s="55"/>
      <c r="E99" s="56"/>
      <c r="F99" s="56"/>
      <c r="G99" s="56"/>
      <c r="H99" s="58"/>
      <c r="I99" s="57"/>
      <c r="J99" s="58"/>
      <c r="K99" s="57"/>
      <c r="L99" s="58">
        <f>L94+L96+L97</f>
        <v>1313.4099999999999</v>
      </c>
    </row>
    <row r="100" spans="1:101" ht="14.25" x14ac:dyDescent="0.2">
      <c r="A100" s="54"/>
      <c r="B100" s="54"/>
      <c r="C100" s="54" t="s">
        <v>501</v>
      </c>
      <c r="D100" s="55"/>
      <c r="E100" s="56"/>
      <c r="F100" s="56"/>
      <c r="G100" s="56"/>
      <c r="H100" s="58"/>
      <c r="I100" s="57"/>
      <c r="J100" s="58"/>
      <c r="K100" s="57"/>
      <c r="L100" s="58">
        <f>SUM(AR89:AR103)+SUM(AS89:AS103)+SUM(AT89:AT103)+SUM(AU89:AU103)+SUM(AV89:AV103)</f>
        <v>1276.3499999999999</v>
      </c>
    </row>
    <row r="101" spans="1:101" ht="28.5" x14ac:dyDescent="0.2">
      <c r="A101" s="54"/>
      <c r="B101" s="54" t="s">
        <v>51</v>
      </c>
      <c r="C101" s="54" t="s">
        <v>510</v>
      </c>
      <c r="D101" s="55" t="s">
        <v>437</v>
      </c>
      <c r="E101" s="56">
        <f>Source!BZ31</f>
        <v>90</v>
      </c>
      <c r="F101" s="56"/>
      <c r="G101" s="56">
        <f>Source!AT31</f>
        <v>90</v>
      </c>
      <c r="H101" s="58"/>
      <c r="I101" s="57"/>
      <c r="J101" s="58"/>
      <c r="K101" s="57"/>
      <c r="L101" s="58">
        <f>SUM(AZ89:AZ103)</f>
        <v>1148.72</v>
      </c>
    </row>
    <row r="102" spans="1:101" ht="28.5" x14ac:dyDescent="0.2">
      <c r="A102" s="65"/>
      <c r="B102" s="65" t="s">
        <v>52</v>
      </c>
      <c r="C102" s="65" t="s">
        <v>511</v>
      </c>
      <c r="D102" s="66" t="s">
        <v>437</v>
      </c>
      <c r="E102" s="67">
        <f>Source!CA31</f>
        <v>45</v>
      </c>
      <c r="F102" s="67"/>
      <c r="G102" s="67">
        <f>Source!AU31</f>
        <v>45</v>
      </c>
      <c r="H102" s="68"/>
      <c r="I102" s="69"/>
      <c r="J102" s="68"/>
      <c r="K102" s="69"/>
      <c r="L102" s="68">
        <f>SUM(BA89:BA103)</f>
        <v>574.36</v>
      </c>
    </row>
    <row r="103" spans="1:101" ht="15" x14ac:dyDescent="0.2">
      <c r="C103" s="134" t="s">
        <v>504</v>
      </c>
      <c r="D103" s="134"/>
      <c r="E103" s="134"/>
      <c r="F103" s="134"/>
      <c r="G103" s="134"/>
      <c r="H103" s="134"/>
      <c r="I103" s="135">
        <f>IF(E89&lt;&gt;0,K103/E89, 0)</f>
        <v>11250.426083734719</v>
      </c>
      <c r="J103" s="135"/>
      <c r="K103" s="135">
        <f>L94+L96+L101+L102+L97</f>
        <v>3036.4900000000002</v>
      </c>
      <c r="L103" s="135"/>
      <c r="AD103">
        <f>ROUND((Source!AT31/100)*((ROUND(SUMIF(SmtRes!AQ5:'SmtRes'!AQ6,"=1",SmtRes!AD5:'SmtRes'!AD6)*Source!I31, 2)+ROUND(SUMIF(SmtRes!AQ5:'SmtRes'!AQ6,"=1",SmtRes!AC5:'SmtRes'!AC6)*Source!I31, 2))), 2)</f>
        <v>156.38</v>
      </c>
      <c r="AE103">
        <f>ROUND((Source!AU31/100)*((ROUND(SUMIF(SmtRes!AQ5:'SmtRes'!AQ6,"=1",SmtRes!AD5:'SmtRes'!AD6)*Source!I31, 2)+ROUND(SUMIF(SmtRes!AQ5:'SmtRes'!AQ6,"=1",SmtRes!AC5:'SmtRes'!AC6)*Source!I31, 2))), 2)</f>
        <v>78.19</v>
      </c>
      <c r="AN103" s="70">
        <f>L94+L96+L101+L102+L97</f>
        <v>3036.4900000000002</v>
      </c>
      <c r="AO103" s="70">
        <f>L96</f>
        <v>37.06</v>
      </c>
      <c r="AQ103" t="s">
        <v>505</v>
      </c>
      <c r="AR103" s="70">
        <f>L94</f>
        <v>1276.3499999999999</v>
      </c>
      <c r="AT103" s="70">
        <f>L97</f>
        <v>0</v>
      </c>
      <c r="AV103" t="s">
        <v>505</v>
      </c>
      <c r="AW103">
        <f>0</f>
        <v>0</v>
      </c>
      <c r="AZ103">
        <f>Source!X31</f>
        <v>1148.72</v>
      </c>
      <c r="BA103">
        <f>Source!Y31</f>
        <v>574.36</v>
      </c>
      <c r="CD103">
        <v>1</v>
      </c>
    </row>
    <row r="104" spans="1:101" ht="28.5" x14ac:dyDescent="0.2">
      <c r="A104" s="52" t="s">
        <v>53</v>
      </c>
      <c r="B104" s="54" t="s">
        <v>512</v>
      </c>
      <c r="C104" s="54" t="str">
        <f>Source!G32</f>
        <v>Разборка кладки стен: облегченной конструкции из кирпича</v>
      </c>
      <c r="D104" s="55" t="str">
        <f>Source!H32</f>
        <v>10 м3</v>
      </c>
      <c r="E104" s="56">
        <f>Source!K32</f>
        <v>1.9E-2</v>
      </c>
      <c r="F104" s="56"/>
      <c r="G104" s="56">
        <f>Source!I32</f>
        <v>1.9E-2</v>
      </c>
      <c r="H104" s="58"/>
      <c r="I104" s="57"/>
      <c r="J104" s="58"/>
      <c r="K104" s="57"/>
      <c r="L104" s="58"/>
    </row>
    <row r="105" spans="1:101" ht="25.5" x14ac:dyDescent="0.2">
      <c r="B105" s="59" t="s">
        <v>346</v>
      </c>
      <c r="C105" s="132" t="s">
        <v>494</v>
      </c>
      <c r="D105" s="132"/>
      <c r="E105" s="132"/>
      <c r="F105" s="132"/>
      <c r="G105" s="132"/>
      <c r="H105" s="132"/>
      <c r="I105" s="132"/>
      <c r="J105" s="132"/>
      <c r="K105" s="132"/>
      <c r="L105" s="132"/>
    </row>
    <row r="106" spans="1:101" ht="38.25" x14ac:dyDescent="0.2">
      <c r="B106" s="59" t="s">
        <v>350</v>
      </c>
      <c r="C106" s="132" t="s">
        <v>495</v>
      </c>
      <c r="D106" s="132"/>
      <c r="E106" s="132"/>
      <c r="F106" s="132"/>
      <c r="G106" s="132"/>
      <c r="H106" s="132"/>
      <c r="I106" s="132"/>
      <c r="J106" s="132"/>
      <c r="K106" s="132"/>
      <c r="L106" s="132"/>
      <c r="CW106" s="60" t="s">
        <v>495</v>
      </c>
    </row>
    <row r="107" spans="1:101" ht="51" x14ac:dyDescent="0.2">
      <c r="C107" s="133" t="s">
        <v>496</v>
      </c>
      <c r="D107" s="133"/>
      <c r="E107" s="133"/>
      <c r="F107" s="133"/>
      <c r="CW107" s="61" t="s">
        <v>496</v>
      </c>
    </row>
    <row r="108" spans="1:101" x14ac:dyDescent="0.2">
      <c r="C108" s="62" t="str">
        <f>"Объем: "&amp;Source!I32&amp;"=0,19/"&amp;"10"</f>
        <v>Объем: 0,019=0,19/10</v>
      </c>
    </row>
    <row r="109" spans="1:101" ht="15" x14ac:dyDescent="0.2">
      <c r="A109" s="53"/>
      <c r="B109" s="56">
        <v>1</v>
      </c>
      <c r="C109" s="53" t="s">
        <v>497</v>
      </c>
      <c r="D109" s="55" t="s">
        <v>282</v>
      </c>
      <c r="E109" s="63"/>
      <c r="F109" s="56"/>
      <c r="G109" s="56">
        <f>Source!U32</f>
        <v>3.0002781000000001</v>
      </c>
      <c r="H109" s="56"/>
      <c r="I109" s="56"/>
      <c r="J109" s="56"/>
      <c r="K109" s="56"/>
      <c r="L109" s="64">
        <f>SUM(L110:L110)-SUMIF(CE110:CE110, 1, L110:L110)</f>
        <v>1947.9</v>
      </c>
    </row>
    <row r="110" spans="1:101" ht="14.25" x14ac:dyDescent="0.2">
      <c r="A110" s="54"/>
      <c r="B110" s="54" t="s">
        <v>294</v>
      </c>
      <c r="C110" s="54" t="s">
        <v>295</v>
      </c>
      <c r="D110" s="55" t="s">
        <v>282</v>
      </c>
      <c r="E110" s="56">
        <v>109.85</v>
      </c>
      <c r="F110" s="56">
        <f>ROUND((0.15+1)*1.25,7)</f>
        <v>1.4375</v>
      </c>
      <c r="G110" s="56">
        <f>SmtRes!CX7</f>
        <v>3.0002781000000001</v>
      </c>
      <c r="H110" s="58"/>
      <c r="I110" s="57"/>
      <c r="J110" s="58">
        <f>SmtRes!CZ7</f>
        <v>649.24</v>
      </c>
      <c r="K110" s="57"/>
      <c r="L110" s="58">
        <f>SmtRes!DI7</f>
        <v>1947.9</v>
      </c>
    </row>
    <row r="111" spans="1:101" ht="15" x14ac:dyDescent="0.2">
      <c r="A111" s="53"/>
      <c r="B111" s="56">
        <v>2</v>
      </c>
      <c r="C111" s="53" t="s">
        <v>498</v>
      </c>
      <c r="D111" s="55"/>
      <c r="E111" s="63"/>
      <c r="F111" s="56"/>
      <c r="G111" s="56"/>
      <c r="H111" s="56"/>
      <c r="I111" s="56"/>
      <c r="J111" s="56"/>
      <c r="K111" s="56"/>
      <c r="L111" s="64">
        <f>SUM(L112:L118)-SUMIF(CE112:CE118, 1, L112:L118)</f>
        <v>111.44999999999999</v>
      </c>
    </row>
    <row r="112" spans="1:101" ht="15" x14ac:dyDescent="0.2">
      <c r="A112" s="53"/>
      <c r="B112" s="56"/>
      <c r="C112" s="53" t="s">
        <v>499</v>
      </c>
      <c r="D112" s="55" t="s">
        <v>282</v>
      </c>
      <c r="E112" s="63"/>
      <c r="F112" s="56"/>
      <c r="G112" s="56">
        <f>Source!V32</f>
        <v>0.15021880000000001</v>
      </c>
      <c r="H112" s="56"/>
      <c r="I112" s="56"/>
      <c r="J112" s="56"/>
      <c r="K112" s="56"/>
      <c r="L112" s="64">
        <f>SUMIF(CE113:CE118, 1, L113:L118)</f>
        <v>103.66999999999999</v>
      </c>
      <c r="CE112">
        <v>1</v>
      </c>
    </row>
    <row r="113" spans="1:101" ht="71.25" x14ac:dyDescent="0.2">
      <c r="A113" s="54"/>
      <c r="B113" s="54" t="s">
        <v>298</v>
      </c>
      <c r="C113" s="54" t="s">
        <v>300</v>
      </c>
      <c r="D113" s="55" t="s">
        <v>286</v>
      </c>
      <c r="E113" s="56">
        <v>2.75</v>
      </c>
      <c r="F113" s="56">
        <f t="shared" ref="F113:F118" si="0">ROUND((0.15+1)*1.25,7)</f>
        <v>1.4375</v>
      </c>
      <c r="G113" s="56">
        <f>SmtRes!CX9</f>
        <v>7.5109400000000007E-2</v>
      </c>
      <c r="H113" s="58"/>
      <c r="I113" s="57"/>
      <c r="J113" s="58">
        <f>SmtRes!CZ9</f>
        <v>900.04</v>
      </c>
      <c r="K113" s="57"/>
      <c r="L113" s="58">
        <f>SmtRes!DG9</f>
        <v>67.599999999999994</v>
      </c>
    </row>
    <row r="114" spans="1:101" ht="28.5" x14ac:dyDescent="0.2">
      <c r="A114" s="54"/>
      <c r="B114" s="54" t="s">
        <v>301</v>
      </c>
      <c r="C114" s="54" t="s">
        <v>513</v>
      </c>
      <c r="D114" s="55" t="s">
        <v>282</v>
      </c>
      <c r="E114" s="56">
        <f>SmtRes!DO9*SmtRes!AT9</f>
        <v>2.75</v>
      </c>
      <c r="F114" s="56">
        <f t="shared" si="0"/>
        <v>1.4375</v>
      </c>
      <c r="G114" s="56">
        <f>ROUND(E114*F114*G104, 7)</f>
        <v>7.5109400000000007E-2</v>
      </c>
      <c r="H114" s="58"/>
      <c r="I114" s="57"/>
      <c r="J114" s="58">
        <f>ROUND(SmtRes!AG9/SmtRes!DO9, 2)</f>
        <v>731.08</v>
      </c>
      <c r="K114" s="57"/>
      <c r="L114" s="58">
        <f>SmtRes!DH9</f>
        <v>54.91</v>
      </c>
      <c r="CE114">
        <v>1</v>
      </c>
    </row>
    <row r="115" spans="1:101" ht="42.75" x14ac:dyDescent="0.2">
      <c r="A115" s="54"/>
      <c r="B115" s="54" t="s">
        <v>302</v>
      </c>
      <c r="C115" s="54" t="s">
        <v>304</v>
      </c>
      <c r="D115" s="55" t="s">
        <v>286</v>
      </c>
      <c r="E115" s="56">
        <v>2.75</v>
      </c>
      <c r="F115" s="56">
        <f t="shared" si="0"/>
        <v>1.4375</v>
      </c>
      <c r="G115" s="56">
        <f>SmtRes!CX10</f>
        <v>7.5109400000000007E-2</v>
      </c>
      <c r="H115" s="58">
        <f>SmtRes!CZ10</f>
        <v>37.32</v>
      </c>
      <c r="I115" s="57">
        <f>SmtRes!AJ10</f>
        <v>1.57</v>
      </c>
      <c r="J115" s="58">
        <f>ROUND(H115*I115, 2)</f>
        <v>58.59</v>
      </c>
      <c r="K115" s="57"/>
      <c r="L115" s="58">
        <f>SmtRes!DG10</f>
        <v>4.4000000000000004</v>
      </c>
    </row>
    <row r="116" spans="1:101" ht="28.5" x14ac:dyDescent="0.2">
      <c r="A116" s="54"/>
      <c r="B116" s="54" t="s">
        <v>305</v>
      </c>
      <c r="C116" s="54" t="s">
        <v>514</v>
      </c>
      <c r="D116" s="55" t="s">
        <v>282</v>
      </c>
      <c r="E116" s="56">
        <f>SmtRes!DO10*SmtRes!AT10</f>
        <v>2.75</v>
      </c>
      <c r="F116" s="56">
        <f t="shared" si="0"/>
        <v>1.4375</v>
      </c>
      <c r="G116" s="56">
        <f>ROUND(E116*F116*G104, 7)</f>
        <v>7.5109400000000007E-2</v>
      </c>
      <c r="H116" s="58"/>
      <c r="I116" s="57"/>
      <c r="J116" s="58">
        <f>ROUND(SmtRes!AG10/SmtRes!DO10, 2)</f>
        <v>649.24</v>
      </c>
      <c r="K116" s="57"/>
      <c r="L116" s="58">
        <f>SmtRes!DH10</f>
        <v>48.76</v>
      </c>
      <c r="CE116">
        <v>1</v>
      </c>
    </row>
    <row r="117" spans="1:101" ht="57" x14ac:dyDescent="0.2">
      <c r="A117" s="54"/>
      <c r="B117" s="54" t="s">
        <v>306</v>
      </c>
      <c r="C117" s="54" t="s">
        <v>308</v>
      </c>
      <c r="D117" s="55" t="s">
        <v>286</v>
      </c>
      <c r="E117" s="56">
        <v>14.7</v>
      </c>
      <c r="F117" s="56">
        <f t="shared" si="0"/>
        <v>1.4375</v>
      </c>
      <c r="G117" s="56">
        <f>SmtRes!CX11</f>
        <v>0.40149380000000001</v>
      </c>
      <c r="H117" s="58">
        <f>SmtRes!CZ11</f>
        <v>67.2</v>
      </c>
      <c r="I117" s="57">
        <f>SmtRes!AJ11</f>
        <v>1.36</v>
      </c>
      <c r="J117" s="58">
        <f>ROUND(H117*I117, 2)</f>
        <v>91.39</v>
      </c>
      <c r="K117" s="57"/>
      <c r="L117" s="58">
        <f>SmtRes!DG11</f>
        <v>36.69</v>
      </c>
    </row>
    <row r="118" spans="1:101" ht="42.75" x14ac:dyDescent="0.2">
      <c r="A118" s="54"/>
      <c r="B118" s="54" t="s">
        <v>309</v>
      </c>
      <c r="C118" s="65" t="s">
        <v>311</v>
      </c>
      <c r="D118" s="66" t="s">
        <v>286</v>
      </c>
      <c r="E118" s="67">
        <v>29.4</v>
      </c>
      <c r="F118" s="67">
        <f t="shared" si="0"/>
        <v>1.4375</v>
      </c>
      <c r="G118" s="67">
        <f>SmtRes!CX12</f>
        <v>0.80298749999999997</v>
      </c>
      <c r="H118" s="68">
        <f>SmtRes!CZ12</f>
        <v>2.11</v>
      </c>
      <c r="I118" s="69">
        <f>SmtRes!AJ12</f>
        <v>1.63</v>
      </c>
      <c r="J118" s="68">
        <f>ROUND(H118*I118, 2)</f>
        <v>3.44</v>
      </c>
      <c r="K118" s="69"/>
      <c r="L118" s="68">
        <f>SmtRes!DG12</f>
        <v>2.76</v>
      </c>
    </row>
    <row r="119" spans="1:101" ht="15" x14ac:dyDescent="0.2">
      <c r="A119" s="54"/>
      <c r="B119" s="54"/>
      <c r="C119" s="72" t="s">
        <v>500</v>
      </c>
      <c r="D119" s="55"/>
      <c r="E119" s="56"/>
      <c r="F119" s="56"/>
      <c r="G119" s="56"/>
      <c r="H119" s="58"/>
      <c r="I119" s="57"/>
      <c r="J119" s="58"/>
      <c r="K119" s="57"/>
      <c r="L119" s="58">
        <f>L109+L111+L112</f>
        <v>2163.02</v>
      </c>
    </row>
    <row r="120" spans="1:101" ht="14.25" x14ac:dyDescent="0.2">
      <c r="A120" s="52" t="s">
        <v>515</v>
      </c>
      <c r="B120" s="54" t="str">
        <f>Source!F33</f>
        <v>999-9900</v>
      </c>
      <c r="C120" s="54" t="str">
        <f>Source!G33</f>
        <v>Строительный мусор</v>
      </c>
      <c r="D120" s="55" t="str">
        <f>Source!H33</f>
        <v>т</v>
      </c>
      <c r="E120" s="56">
        <f>SmtRes!AT13</f>
        <v>10.84</v>
      </c>
      <c r="F120" s="56"/>
      <c r="G120" s="56">
        <f>Source!I33</f>
        <v>0.20596</v>
      </c>
      <c r="H120" s="58">
        <f>Source!AL33+Source!AO33+Source!AM33+Source!AN33</f>
        <v>0</v>
      </c>
      <c r="I120" s="57"/>
      <c r="J120" s="58"/>
      <c r="K120" s="57"/>
      <c r="L120" s="58">
        <f>Source!P33</f>
        <v>0</v>
      </c>
      <c r="AD120">
        <f>ROUND((Source!AT33/100)*((ROUND(ROUND(Source!AO33,2)*Source!I33, 2)+ROUND(ROUND(Source!AN33,2)*Source!I33, 2))), 2)</f>
        <v>0</v>
      </c>
      <c r="AE120">
        <f>ROUND((Source!AU33/100)*((ROUND(ROUND(Source!AO33,2)*Source!I33, 2)+ROUND(ROUND(Source!AN33,2)*Source!I33, 2))), 2)</f>
        <v>0</v>
      </c>
      <c r="AN120">
        <f>L120</f>
        <v>0</v>
      </c>
      <c r="AW120">
        <f>L120</f>
        <v>0</v>
      </c>
      <c r="AZ120">
        <f>Source!X33</f>
        <v>0</v>
      </c>
      <c r="BA120">
        <f>Source!Y33</f>
        <v>0</v>
      </c>
      <c r="CD120">
        <v>1</v>
      </c>
    </row>
    <row r="121" spans="1:101" ht="14.25" x14ac:dyDescent="0.2">
      <c r="A121" s="54"/>
      <c r="B121" s="54"/>
      <c r="C121" s="54" t="s">
        <v>501</v>
      </c>
      <c r="D121" s="55"/>
      <c r="E121" s="56"/>
      <c r="F121" s="56"/>
      <c r="G121" s="56"/>
      <c r="H121" s="58"/>
      <c r="I121" s="57"/>
      <c r="J121" s="58"/>
      <c r="K121" s="57"/>
      <c r="L121" s="58">
        <f>SUM(AR104:AR124)+SUM(AS104:AS124)+SUM(AT104:AT124)+SUM(AU104:AU124)+SUM(AV104:AV124)</f>
        <v>2051.5700000000002</v>
      </c>
    </row>
    <row r="122" spans="1:101" ht="14.25" x14ac:dyDescent="0.2">
      <c r="A122" s="54"/>
      <c r="B122" s="54" t="s">
        <v>60</v>
      </c>
      <c r="C122" s="54" t="s">
        <v>516</v>
      </c>
      <c r="D122" s="55" t="s">
        <v>437</v>
      </c>
      <c r="E122" s="56">
        <f>Source!BZ32</f>
        <v>92</v>
      </c>
      <c r="F122" s="56"/>
      <c r="G122" s="56">
        <f>Source!AT32</f>
        <v>92</v>
      </c>
      <c r="H122" s="58"/>
      <c r="I122" s="57"/>
      <c r="J122" s="58"/>
      <c r="K122" s="57"/>
      <c r="L122" s="58">
        <f>SUM(AZ104:AZ124)</f>
        <v>1887.44</v>
      </c>
    </row>
    <row r="123" spans="1:101" ht="14.25" x14ac:dyDescent="0.2">
      <c r="A123" s="65"/>
      <c r="B123" s="65" t="s">
        <v>61</v>
      </c>
      <c r="C123" s="65" t="s">
        <v>517</v>
      </c>
      <c r="D123" s="66" t="s">
        <v>437</v>
      </c>
      <c r="E123" s="67">
        <f>Source!CA32</f>
        <v>52</v>
      </c>
      <c r="F123" s="67"/>
      <c r="G123" s="67">
        <f>Source!AU32</f>
        <v>52</v>
      </c>
      <c r="H123" s="68"/>
      <c r="I123" s="69"/>
      <c r="J123" s="68"/>
      <c r="K123" s="69"/>
      <c r="L123" s="68">
        <f>SUM(BA104:BA124)</f>
        <v>1066.82</v>
      </c>
    </row>
    <row r="124" spans="1:101" ht="15" x14ac:dyDescent="0.2">
      <c r="C124" s="134" t="s">
        <v>504</v>
      </c>
      <c r="D124" s="134"/>
      <c r="E124" s="134"/>
      <c r="F124" s="134"/>
      <c r="G124" s="134"/>
      <c r="H124" s="134"/>
      <c r="I124" s="135">
        <f>IF(E104&lt;&gt;0,K124/E104, 0)</f>
        <v>269330.5263157895</v>
      </c>
      <c r="J124" s="135"/>
      <c r="K124" s="135">
        <f>L109+L111+L122+L123+L112+SUM(L120:L120)</f>
        <v>5117.28</v>
      </c>
      <c r="L124" s="135"/>
      <c r="AD124">
        <f>ROUND((Source!AT32/100)*((ROUND(SUMIF(SmtRes!AQ7:'SmtRes'!AQ13,"=1",SmtRes!AD7:'SmtRes'!AD13)*Source!I32, 2)+ROUND(SUMIF(SmtRes!AQ7:'SmtRes'!AQ13,"=1",SmtRes!AC7:'SmtRes'!AC13)*Source!I32, 2))), 2)</f>
        <v>35.479999999999997</v>
      </c>
      <c r="AE124">
        <f>ROUND((Source!AU32/100)*((ROUND(SUMIF(SmtRes!AQ7:'SmtRes'!AQ13,"=1",SmtRes!AD7:'SmtRes'!AD13)*Source!I32, 2)+ROUND(SUMIF(SmtRes!AQ7:'SmtRes'!AQ13,"=1",SmtRes!AC7:'SmtRes'!AC13)*Source!I32, 2))), 2)</f>
        <v>20.059999999999999</v>
      </c>
      <c r="AN124" s="70">
        <f>L109+L111+L122+L123+L112</f>
        <v>5117.28</v>
      </c>
      <c r="AO124" s="70">
        <f>L111</f>
        <v>111.44999999999999</v>
      </c>
      <c r="AQ124" t="s">
        <v>505</v>
      </c>
      <c r="AR124" s="70">
        <f>L109</f>
        <v>1947.9</v>
      </c>
      <c r="AT124" s="70">
        <f>L112</f>
        <v>103.66999999999999</v>
      </c>
      <c r="AV124" t="s">
        <v>505</v>
      </c>
      <c r="AW124">
        <f>0</f>
        <v>0</v>
      </c>
      <c r="AZ124">
        <f>Source!X32</f>
        <v>1887.44</v>
      </c>
      <c r="BA124">
        <f>Source!Y32</f>
        <v>1066.82</v>
      </c>
      <c r="CD124">
        <v>1</v>
      </c>
    </row>
    <row r="125" spans="1:101" ht="28.5" x14ac:dyDescent="0.2">
      <c r="A125" s="52" t="s">
        <v>63</v>
      </c>
      <c r="B125" s="54" t="s">
        <v>518</v>
      </c>
      <c r="C125" s="54" t="str">
        <f>Source!G34</f>
        <v>Промывка поверхности, окрашенной масляными красками: стен и фасадов</v>
      </c>
      <c r="D125" s="55" t="str">
        <f>Source!H34</f>
        <v>100 м2</v>
      </c>
      <c r="E125" s="56">
        <f>Source!K34</f>
        <v>0.28589999999999999</v>
      </c>
      <c r="F125" s="56"/>
      <c r="G125" s="56">
        <f>Source!I34</f>
        <v>0.28589999999999999</v>
      </c>
      <c r="H125" s="58"/>
      <c r="I125" s="57"/>
      <c r="J125" s="58"/>
      <c r="K125" s="57"/>
      <c r="L125" s="58"/>
    </row>
    <row r="126" spans="1:101" ht="25.5" x14ac:dyDescent="0.2">
      <c r="B126" s="59" t="s">
        <v>346</v>
      </c>
      <c r="C126" s="132" t="s">
        <v>494</v>
      </c>
      <c r="D126" s="132"/>
      <c r="E126" s="132"/>
      <c r="F126" s="132"/>
      <c r="G126" s="132"/>
      <c r="H126" s="132"/>
      <c r="I126" s="132"/>
      <c r="J126" s="132"/>
      <c r="K126" s="132"/>
      <c r="L126" s="132"/>
    </row>
    <row r="127" spans="1:101" ht="38.25" x14ac:dyDescent="0.2">
      <c r="B127" s="59" t="s">
        <v>350</v>
      </c>
      <c r="C127" s="132" t="s">
        <v>495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CW127" s="60" t="s">
        <v>495</v>
      </c>
    </row>
    <row r="128" spans="1:101" ht="51" x14ac:dyDescent="0.2">
      <c r="C128" s="133" t="s">
        <v>496</v>
      </c>
      <c r="D128" s="133"/>
      <c r="E128" s="133"/>
      <c r="F128" s="133"/>
      <c r="CW128" s="61" t="s">
        <v>496</v>
      </c>
    </row>
    <row r="129" spans="1:101" x14ac:dyDescent="0.2">
      <c r="C129" s="62" t="str">
        <f>"Объем: "&amp;Source!I34&amp;"=28,59/"&amp;"100"</f>
        <v>Объем: 0,2859=28,59/100</v>
      </c>
    </row>
    <row r="130" spans="1:101" ht="15" x14ac:dyDescent="0.2">
      <c r="A130" s="53"/>
      <c r="B130" s="56">
        <v>1</v>
      </c>
      <c r="C130" s="53" t="s">
        <v>497</v>
      </c>
      <c r="D130" s="55" t="s">
        <v>282</v>
      </c>
      <c r="E130" s="63"/>
      <c r="F130" s="56"/>
      <c r="G130" s="56">
        <f>Source!U34</f>
        <v>2.1782005999999998</v>
      </c>
      <c r="H130" s="56"/>
      <c r="I130" s="56"/>
      <c r="J130" s="56"/>
      <c r="K130" s="56"/>
      <c r="L130" s="64">
        <f>SUM(L131:L131)-SUMIF(CE131:CE131, 1, L131:L131)</f>
        <v>1319.1</v>
      </c>
    </row>
    <row r="131" spans="1:101" ht="14.25" x14ac:dyDescent="0.2">
      <c r="A131" s="54"/>
      <c r="B131" s="54" t="s">
        <v>312</v>
      </c>
      <c r="C131" s="54" t="s">
        <v>313</v>
      </c>
      <c r="D131" s="55" t="s">
        <v>282</v>
      </c>
      <c r="E131" s="56">
        <v>5.3</v>
      </c>
      <c r="F131" s="56">
        <f>ROUND((0.15+1)*1.25,7)</f>
        <v>1.4375</v>
      </c>
      <c r="G131" s="56">
        <f>SmtRes!CX14</f>
        <v>2.1782005999999998</v>
      </c>
      <c r="H131" s="58"/>
      <c r="I131" s="57"/>
      <c r="J131" s="58">
        <f>SmtRes!CZ14</f>
        <v>605.59</v>
      </c>
      <c r="K131" s="57"/>
      <c r="L131" s="58">
        <f>SmtRes!DI14</f>
        <v>1319.1</v>
      </c>
    </row>
    <row r="132" spans="1:101" ht="15" x14ac:dyDescent="0.2">
      <c r="A132" s="53"/>
      <c r="B132" s="56">
        <v>4</v>
      </c>
      <c r="C132" s="53" t="s">
        <v>519</v>
      </c>
      <c r="D132" s="55"/>
      <c r="E132" s="63"/>
      <c r="F132" s="56"/>
      <c r="G132" s="56"/>
      <c r="H132" s="56"/>
      <c r="I132" s="56"/>
      <c r="J132" s="56"/>
      <c r="K132" s="56"/>
      <c r="L132" s="64">
        <f>SUM(L133:L135)-SUMIF(CE133:CE135, 1, L133:L135)</f>
        <v>15.14</v>
      </c>
    </row>
    <row r="133" spans="1:101" ht="14.25" x14ac:dyDescent="0.2">
      <c r="A133" s="54"/>
      <c r="B133" s="54" t="s">
        <v>314</v>
      </c>
      <c r="C133" s="54" t="s">
        <v>316</v>
      </c>
      <c r="D133" s="55" t="s">
        <v>317</v>
      </c>
      <c r="E133" s="56">
        <v>7.0000000000000007E-2</v>
      </c>
      <c r="F133" s="56"/>
      <c r="G133" s="56">
        <f>SmtRes!CX15</f>
        <v>2.0013E-2</v>
      </c>
      <c r="H133" s="58">
        <f>SmtRes!CZ15</f>
        <v>35.71</v>
      </c>
      <c r="I133" s="57">
        <f>SmtRes!AI15</f>
        <v>1.53</v>
      </c>
      <c r="J133" s="58">
        <f>ROUND(H133*I133, 2)</f>
        <v>54.64</v>
      </c>
      <c r="K133" s="57"/>
      <c r="L133" s="58">
        <f>SmtRes!DF15</f>
        <v>1.0900000000000001</v>
      </c>
    </row>
    <row r="134" spans="1:101" ht="14.25" x14ac:dyDescent="0.2">
      <c r="A134" s="54"/>
      <c r="B134" s="54" t="s">
        <v>318</v>
      </c>
      <c r="C134" s="54" t="s">
        <v>320</v>
      </c>
      <c r="D134" s="55" t="s">
        <v>37</v>
      </c>
      <c r="E134" s="56">
        <v>1.6</v>
      </c>
      <c r="F134" s="56"/>
      <c r="G134" s="56">
        <f>SmtRes!CX16</f>
        <v>0.45744000000000001</v>
      </c>
      <c r="H134" s="58">
        <f>SmtRes!CZ16</f>
        <v>18.59</v>
      </c>
      <c r="I134" s="57">
        <f>SmtRes!AI16</f>
        <v>1.35</v>
      </c>
      <c r="J134" s="58">
        <f>ROUND(H134*I134, 2)</f>
        <v>25.1</v>
      </c>
      <c r="K134" s="57"/>
      <c r="L134" s="58">
        <f>SmtRes!DF16</f>
        <v>11.48</v>
      </c>
    </row>
    <row r="135" spans="1:101" ht="14.25" x14ac:dyDescent="0.2">
      <c r="A135" s="54"/>
      <c r="B135" s="54" t="s">
        <v>321</v>
      </c>
      <c r="C135" s="65" t="s">
        <v>323</v>
      </c>
      <c r="D135" s="66" t="s">
        <v>324</v>
      </c>
      <c r="E135" s="67">
        <v>0.1</v>
      </c>
      <c r="F135" s="67"/>
      <c r="G135" s="67">
        <f>SmtRes!CX17</f>
        <v>2.8590000000000001E-2</v>
      </c>
      <c r="H135" s="68">
        <f>SmtRes!CZ17</f>
        <v>56.11</v>
      </c>
      <c r="I135" s="69">
        <f>SmtRes!AI17</f>
        <v>1.6</v>
      </c>
      <c r="J135" s="68">
        <f>ROUND(H135*I135, 2)</f>
        <v>89.78</v>
      </c>
      <c r="K135" s="69"/>
      <c r="L135" s="68">
        <f>SmtRes!DF17</f>
        <v>2.57</v>
      </c>
    </row>
    <row r="136" spans="1:101" ht="15" x14ac:dyDescent="0.2">
      <c r="A136" s="54"/>
      <c r="B136" s="54"/>
      <c r="C136" s="72" t="s">
        <v>500</v>
      </c>
      <c r="D136" s="55"/>
      <c r="E136" s="56"/>
      <c r="F136" s="56"/>
      <c r="G136" s="56"/>
      <c r="H136" s="58"/>
      <c r="I136" s="57"/>
      <c r="J136" s="58"/>
      <c r="K136" s="57"/>
      <c r="L136" s="58">
        <f>L130+L132</f>
        <v>1334.24</v>
      </c>
    </row>
    <row r="137" spans="1:101" ht="14.25" x14ac:dyDescent="0.2">
      <c r="A137" s="54"/>
      <c r="B137" s="54"/>
      <c r="C137" s="54" t="s">
        <v>501</v>
      </c>
      <c r="D137" s="55"/>
      <c r="E137" s="56"/>
      <c r="F137" s="56"/>
      <c r="G137" s="56"/>
      <c r="H137" s="58"/>
      <c r="I137" s="57"/>
      <c r="J137" s="58"/>
      <c r="K137" s="57"/>
      <c r="L137" s="58">
        <f>SUM(AR125:AR140)+SUM(AS125:AS140)+SUM(AT125:AT140)+SUM(AU125:AU140)+SUM(AV125:AV140)</f>
        <v>1319.1</v>
      </c>
    </row>
    <row r="138" spans="1:101" ht="14.25" x14ac:dyDescent="0.2">
      <c r="A138" s="54"/>
      <c r="B138" s="54" t="s">
        <v>69</v>
      </c>
      <c r="C138" s="54" t="s">
        <v>520</v>
      </c>
      <c r="D138" s="55" t="s">
        <v>437</v>
      </c>
      <c r="E138" s="56">
        <f>Source!BZ34</f>
        <v>90</v>
      </c>
      <c r="F138" s="56"/>
      <c r="G138" s="56">
        <f>Source!AT34</f>
        <v>90</v>
      </c>
      <c r="H138" s="58"/>
      <c r="I138" s="57"/>
      <c r="J138" s="58"/>
      <c r="K138" s="57"/>
      <c r="L138" s="58">
        <f>SUM(AZ125:AZ140)</f>
        <v>1187.19</v>
      </c>
    </row>
    <row r="139" spans="1:101" ht="14.25" x14ac:dyDescent="0.2">
      <c r="A139" s="65"/>
      <c r="B139" s="65" t="s">
        <v>70</v>
      </c>
      <c r="C139" s="65" t="s">
        <v>521</v>
      </c>
      <c r="D139" s="66" t="s">
        <v>437</v>
      </c>
      <c r="E139" s="67">
        <f>Source!CA34</f>
        <v>46</v>
      </c>
      <c r="F139" s="67"/>
      <c r="G139" s="67">
        <f>Source!AU34</f>
        <v>46</v>
      </c>
      <c r="H139" s="68"/>
      <c r="I139" s="69"/>
      <c r="J139" s="68"/>
      <c r="K139" s="69"/>
      <c r="L139" s="68">
        <f>SUM(BA125:BA140)</f>
        <v>606.79</v>
      </c>
    </row>
    <row r="140" spans="1:101" ht="15" x14ac:dyDescent="0.2">
      <c r="C140" s="134" t="s">
        <v>504</v>
      </c>
      <c r="D140" s="134"/>
      <c r="E140" s="134"/>
      <c r="F140" s="134"/>
      <c r="G140" s="134"/>
      <c r="H140" s="134"/>
      <c r="I140" s="135">
        <f>IF(E125&lt;&gt;0,K140/E125, 0)</f>
        <v>10941.657922350474</v>
      </c>
      <c r="J140" s="135"/>
      <c r="K140" s="135">
        <f>L130+L132+L138+L139</f>
        <v>3128.2200000000003</v>
      </c>
      <c r="L140" s="135"/>
      <c r="AD140">
        <f>ROUND((Source!AT34/100)*((ROUND(SUMIF(SmtRes!AQ14:'SmtRes'!AQ17,"=1",SmtRes!AD14:'SmtRes'!AD17)*Source!I34, 2)+ROUND(SUMIF(SmtRes!AQ14:'SmtRes'!AQ17,"=1",SmtRes!AC14:'SmtRes'!AC17)*Source!I34, 2))), 2)</f>
        <v>155.83000000000001</v>
      </c>
      <c r="AE140">
        <f>ROUND((Source!AU34/100)*((ROUND(SUMIF(SmtRes!AQ14:'SmtRes'!AQ17,"=1",SmtRes!AD14:'SmtRes'!AD17)*Source!I34, 2)+ROUND(SUMIF(SmtRes!AQ14:'SmtRes'!AQ17,"=1",SmtRes!AC14:'SmtRes'!AC17)*Source!I34, 2))), 2)</f>
        <v>79.64</v>
      </c>
      <c r="AN140" s="70">
        <f>L130+L132+L138+L139</f>
        <v>3128.2200000000003</v>
      </c>
      <c r="AO140">
        <f>0</f>
        <v>0</v>
      </c>
      <c r="AQ140" t="s">
        <v>505</v>
      </c>
      <c r="AR140" s="70">
        <f>L130</f>
        <v>1319.1</v>
      </c>
      <c r="AT140">
        <f>0</f>
        <v>0</v>
      </c>
      <c r="AV140" t="s">
        <v>505</v>
      </c>
      <c r="AW140" s="70">
        <f>L132</f>
        <v>15.14</v>
      </c>
      <c r="AZ140">
        <f>Source!X34</f>
        <v>1187.19</v>
      </c>
      <c r="BA140">
        <f>Source!Y34</f>
        <v>606.79</v>
      </c>
      <c r="CD140">
        <v>1</v>
      </c>
    </row>
    <row r="141" spans="1:101" ht="28.5" x14ac:dyDescent="0.2">
      <c r="A141" s="52" t="s">
        <v>71</v>
      </c>
      <c r="B141" s="54" t="s">
        <v>522</v>
      </c>
      <c r="C141" s="54" t="str">
        <f>Source!G35</f>
        <v>Проолифка бетонных и оштукатуренных поверхностей: кистью</v>
      </c>
      <c r="D141" s="55" t="str">
        <f>Source!H35</f>
        <v>100 м2</v>
      </c>
      <c r="E141" s="56">
        <f>Source!K35</f>
        <v>1.6E-2</v>
      </c>
      <c r="F141" s="56"/>
      <c r="G141" s="56">
        <f>Source!I35</f>
        <v>1.6E-2</v>
      </c>
      <c r="H141" s="58"/>
      <c r="I141" s="57"/>
      <c r="J141" s="58"/>
      <c r="K141" s="57"/>
      <c r="L141" s="58"/>
    </row>
    <row r="142" spans="1:101" ht="25.5" x14ac:dyDescent="0.2">
      <c r="B142" s="59" t="s">
        <v>346</v>
      </c>
      <c r="C142" s="132" t="s">
        <v>494</v>
      </c>
      <c r="D142" s="132"/>
      <c r="E142" s="132"/>
      <c r="F142" s="132"/>
      <c r="G142" s="132"/>
      <c r="H142" s="132"/>
      <c r="I142" s="132"/>
      <c r="J142" s="132"/>
      <c r="K142" s="132"/>
      <c r="L142" s="132"/>
    </row>
    <row r="143" spans="1:101" ht="38.25" x14ac:dyDescent="0.2">
      <c r="B143" s="59" t="s">
        <v>350</v>
      </c>
      <c r="C143" s="132" t="s">
        <v>495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CW143" s="60" t="s">
        <v>495</v>
      </c>
    </row>
    <row r="144" spans="1:101" ht="51" x14ac:dyDescent="0.2">
      <c r="B144" s="59" t="s">
        <v>353</v>
      </c>
      <c r="C144" s="132" t="s">
        <v>523</v>
      </c>
      <c r="D144" s="132"/>
      <c r="E144" s="132"/>
      <c r="F144" s="132"/>
      <c r="G144" s="132"/>
      <c r="H144" s="132"/>
      <c r="I144" s="132"/>
      <c r="J144" s="132"/>
      <c r="K144" s="132"/>
      <c r="L144" s="132"/>
      <c r="CW144" s="60" t="s">
        <v>523</v>
      </c>
    </row>
    <row r="145" spans="1:101" ht="51" x14ac:dyDescent="0.2">
      <c r="C145" s="133" t="s">
        <v>524</v>
      </c>
      <c r="D145" s="133"/>
      <c r="E145" s="133"/>
      <c r="F145" s="133"/>
      <c r="CW145" s="61" t="s">
        <v>524</v>
      </c>
    </row>
    <row r="146" spans="1:101" x14ac:dyDescent="0.2">
      <c r="C146" s="62" t="str">
        <f>"Объем: "&amp;Source!I35&amp;"=1,6/"&amp;"100"</f>
        <v>Объем: 0,016=1,6/100</v>
      </c>
    </row>
    <row r="147" spans="1:101" ht="15" x14ac:dyDescent="0.2">
      <c r="A147" s="53"/>
      <c r="B147" s="56">
        <v>1</v>
      </c>
      <c r="C147" s="53" t="s">
        <v>497</v>
      </c>
      <c r="D147" s="55" t="s">
        <v>282</v>
      </c>
      <c r="E147" s="63"/>
      <c r="F147" s="56"/>
      <c r="G147" s="56">
        <f>Source!U35</f>
        <v>0.21477399999999999</v>
      </c>
      <c r="H147" s="56"/>
      <c r="I147" s="56"/>
      <c r="J147" s="56"/>
      <c r="K147" s="56"/>
      <c r="L147" s="64">
        <f>SUM(L148:L148)-SUMIF(CE148:CE148, 1, L148:L148)</f>
        <v>139.44</v>
      </c>
    </row>
    <row r="148" spans="1:101" ht="14.25" x14ac:dyDescent="0.2">
      <c r="A148" s="54"/>
      <c r="B148" s="54" t="s">
        <v>294</v>
      </c>
      <c r="C148" s="54" t="s">
        <v>295</v>
      </c>
      <c r="D148" s="55" t="s">
        <v>282</v>
      </c>
      <c r="E148" s="56">
        <v>8.1199999999999992</v>
      </c>
      <c r="F148" s="56">
        <f>ROUND((0.15+1)*1.25*1.15,7)</f>
        <v>1.653125</v>
      </c>
      <c r="G148" s="56">
        <f>SmtRes!CX18</f>
        <v>0.21477399999999999</v>
      </c>
      <c r="H148" s="58"/>
      <c r="I148" s="57"/>
      <c r="J148" s="58">
        <f>SmtRes!CZ18</f>
        <v>649.24</v>
      </c>
      <c r="K148" s="57"/>
      <c r="L148" s="58">
        <f>SmtRes!DI18</f>
        <v>139.44</v>
      </c>
    </row>
    <row r="149" spans="1:101" ht="14.25" x14ac:dyDescent="0.2">
      <c r="A149" s="54"/>
      <c r="B149" s="54" t="str">
        <f>EtalonRes!I19</f>
        <v>14.5.05.02</v>
      </c>
      <c r="C149" s="65" t="str">
        <f>EtalonRes!K19</f>
        <v>Олифа</v>
      </c>
      <c r="D149" s="66" t="str">
        <f>EtalonRes!O19</f>
        <v>т</v>
      </c>
      <c r="E149" s="67">
        <f>EtalonRes!X19</f>
        <v>1.2E-2</v>
      </c>
      <c r="F149" s="67"/>
      <c r="G149" s="67">
        <f>ROUND(EtalonRes!AG19*Source!I35, 7)</f>
        <v>1.92E-4</v>
      </c>
      <c r="H149" s="68"/>
      <c r="I149" s="69"/>
      <c r="J149" s="68"/>
      <c r="K149" s="69"/>
      <c r="L149" s="68"/>
    </row>
    <row r="150" spans="1:101" ht="15" x14ac:dyDescent="0.2">
      <c r="A150" s="54"/>
      <c r="B150" s="54"/>
      <c r="C150" s="72" t="s">
        <v>500</v>
      </c>
      <c r="D150" s="55"/>
      <c r="E150" s="56"/>
      <c r="F150" s="56"/>
      <c r="G150" s="56"/>
      <c r="H150" s="58"/>
      <c r="I150" s="57"/>
      <c r="J150" s="58"/>
      <c r="K150" s="57"/>
      <c r="L150" s="58">
        <f>L147</f>
        <v>139.44</v>
      </c>
    </row>
    <row r="151" spans="1:101" ht="14.25" x14ac:dyDescent="0.2">
      <c r="A151" s="54"/>
      <c r="B151" s="54"/>
      <c r="C151" s="54" t="s">
        <v>501</v>
      </c>
      <c r="D151" s="55"/>
      <c r="E151" s="56"/>
      <c r="F151" s="56"/>
      <c r="G151" s="56"/>
      <c r="H151" s="58"/>
      <c r="I151" s="57"/>
      <c r="J151" s="58"/>
      <c r="K151" s="57"/>
      <c r="L151" s="58">
        <f>SUM(AR141:AR154)+SUM(AS141:AS154)+SUM(AT141:AT154)+SUM(AU141:AU154)+SUM(AV141:AV154)</f>
        <v>139.44</v>
      </c>
    </row>
    <row r="152" spans="1:101" ht="14.25" x14ac:dyDescent="0.2">
      <c r="A152" s="54"/>
      <c r="B152" s="54" t="s">
        <v>81</v>
      </c>
      <c r="C152" s="54" t="s">
        <v>525</v>
      </c>
      <c r="D152" s="55" t="s">
        <v>437</v>
      </c>
      <c r="E152" s="56">
        <f>Source!BZ35</f>
        <v>100</v>
      </c>
      <c r="F152" s="56"/>
      <c r="G152" s="56">
        <f>Source!AT35</f>
        <v>100</v>
      </c>
      <c r="H152" s="58"/>
      <c r="I152" s="57"/>
      <c r="J152" s="58"/>
      <c r="K152" s="57"/>
      <c r="L152" s="58">
        <f>SUM(AZ141:AZ154)</f>
        <v>139.44</v>
      </c>
    </row>
    <row r="153" spans="1:101" ht="14.25" x14ac:dyDescent="0.2">
      <c r="A153" s="65"/>
      <c r="B153" s="65" t="s">
        <v>82</v>
      </c>
      <c r="C153" s="65" t="s">
        <v>526</v>
      </c>
      <c r="D153" s="66" t="s">
        <v>437</v>
      </c>
      <c r="E153" s="67">
        <f>Source!CA35</f>
        <v>49</v>
      </c>
      <c r="F153" s="67"/>
      <c r="G153" s="67">
        <f>Source!AU35</f>
        <v>49</v>
      </c>
      <c r="H153" s="68"/>
      <c r="I153" s="69"/>
      <c r="J153" s="68"/>
      <c r="K153" s="69"/>
      <c r="L153" s="68">
        <f>SUM(BA141:BA154)</f>
        <v>68.33</v>
      </c>
    </row>
    <row r="154" spans="1:101" ht="15" x14ac:dyDescent="0.2">
      <c r="C154" s="134" t="s">
        <v>504</v>
      </c>
      <c r="D154" s="134"/>
      <c r="E154" s="134"/>
      <c r="F154" s="134"/>
      <c r="G154" s="134"/>
      <c r="H154" s="134"/>
      <c r="I154" s="135">
        <f>IF(E141&lt;&gt;0,K154/E141, 0)</f>
        <v>21700.625</v>
      </c>
      <c r="J154" s="135"/>
      <c r="K154" s="135">
        <f>L147+L152+L153</f>
        <v>347.21</v>
      </c>
      <c r="L154" s="135"/>
      <c r="AD154">
        <f>ROUND((Source!AT35/100)*((ROUND(SUMIF(SmtRes!AQ18:'SmtRes'!AQ19,"=1",SmtRes!AD18:'SmtRes'!AD19)*Source!I35, 2)+ROUND(SUMIF(SmtRes!AQ18:'SmtRes'!AQ19,"=1",SmtRes!AC18:'SmtRes'!AC19)*Source!I35, 2))), 2)</f>
        <v>10.39</v>
      </c>
      <c r="AE154">
        <f>ROUND((Source!AU35/100)*((ROUND(SUMIF(SmtRes!AQ18:'SmtRes'!AQ19,"=1",SmtRes!AD18:'SmtRes'!AD19)*Source!I35, 2)+ROUND(SUMIF(SmtRes!AQ18:'SmtRes'!AQ19,"=1",SmtRes!AC18:'SmtRes'!AC19)*Source!I35, 2))), 2)</f>
        <v>5.09</v>
      </c>
      <c r="AN154" s="70">
        <f>L147+L152+L153</f>
        <v>347.21</v>
      </c>
      <c r="AO154">
        <f>0</f>
        <v>0</v>
      </c>
      <c r="AQ154" t="s">
        <v>505</v>
      </c>
      <c r="AR154" s="70">
        <f>L147</f>
        <v>139.44</v>
      </c>
      <c r="AT154">
        <f>0</f>
        <v>0</v>
      </c>
      <c r="AV154" t="s">
        <v>505</v>
      </c>
      <c r="AW154">
        <f>0</f>
        <v>0</v>
      </c>
      <c r="AZ154">
        <f>Source!X35</f>
        <v>139.44</v>
      </c>
      <c r="BA154">
        <f>Source!Y35</f>
        <v>68.33</v>
      </c>
      <c r="CD154">
        <v>1</v>
      </c>
    </row>
    <row r="155" spans="1:101" ht="57" x14ac:dyDescent="0.2">
      <c r="A155" s="74" t="s">
        <v>86</v>
      </c>
      <c r="B155" s="65" t="str">
        <f>Source!F37</f>
        <v>ТЦ_ 14.2.06.01_37_372002340471 _08.06.2026_01_2.1</v>
      </c>
      <c r="C155" s="65" t="str">
        <f>Source!G37</f>
        <v>Камнеукрепитель "Петромикс SR-01**", (расход 2 л/м2) в 2 слоя</v>
      </c>
      <c r="D155" s="66" t="str">
        <f>Source!H37</f>
        <v>л</v>
      </c>
      <c r="E155" s="67">
        <f>Source!K37</f>
        <v>6.4</v>
      </c>
      <c r="F155" s="67"/>
      <c r="G155" s="67">
        <f>Source!I37</f>
        <v>6.4</v>
      </c>
      <c r="H155" s="68"/>
      <c r="I155" s="69"/>
      <c r="J155" s="68">
        <f>Source!AL37</f>
        <v>1487.78</v>
      </c>
      <c r="K155" s="69"/>
      <c r="L155" s="68">
        <f>Source!HG37</f>
        <v>9521.7900000000009</v>
      </c>
    </row>
    <row r="156" spans="1:101" ht="15" x14ac:dyDescent="0.2">
      <c r="C156" s="134" t="s">
        <v>504</v>
      </c>
      <c r="D156" s="134"/>
      <c r="E156" s="134"/>
      <c r="F156" s="134"/>
      <c r="G156" s="134"/>
      <c r="H156" s="134"/>
      <c r="I156" s="135">
        <f>IF(E155&lt;&gt;0,K156/E155, 0)</f>
        <v>1487.7796875000001</v>
      </c>
      <c r="J156" s="135"/>
      <c r="K156" s="135">
        <f>L155</f>
        <v>9521.7900000000009</v>
      </c>
      <c r="L156" s="135"/>
      <c r="AD156">
        <f>ROUND((Source!AT37/100)*((ROUND(ROUND(Source!AO37,2)*Source!I37, 2)+ROUND(ROUND(Source!AN37,2)*Source!I37, 2))), 2)</f>
        <v>0</v>
      </c>
      <c r="AE156">
        <f>ROUND((Source!AU37/100)*((ROUND(ROUND(Source!AO37,2)*Source!I37, 2)+ROUND(ROUND(Source!AN37,2)*Source!I37, 2))), 2)</f>
        <v>0</v>
      </c>
      <c r="AN156" s="70">
        <f>L155</f>
        <v>9521.7900000000009</v>
      </c>
      <c r="AO156">
        <f>0</f>
        <v>0</v>
      </c>
      <c r="AQ156" t="s">
        <v>505</v>
      </c>
      <c r="AR156">
        <f>0</f>
        <v>0</v>
      </c>
      <c r="AT156">
        <f>0</f>
        <v>0</v>
      </c>
      <c r="AV156" t="s">
        <v>505</v>
      </c>
      <c r="AW156" s="70">
        <f>L155</f>
        <v>9521.7900000000009</v>
      </c>
      <c r="AX156" s="70">
        <f>L155</f>
        <v>9521.7900000000009</v>
      </c>
      <c r="AZ156">
        <f>Source!X37</f>
        <v>0</v>
      </c>
      <c r="BA156">
        <f>Source!Y37</f>
        <v>0</v>
      </c>
      <c r="CD156">
        <v>1</v>
      </c>
    </row>
    <row r="157" spans="1:101" ht="42.75" x14ac:dyDescent="0.2">
      <c r="A157" s="52" t="s">
        <v>92</v>
      </c>
      <c r="B157" s="54" t="s">
        <v>527</v>
      </c>
      <c r="C157" s="54" t="str">
        <f>Source!G38</f>
        <v>Устройство мелких покрытий (брандмауэры, парапеты, свесы и т.п.) из листовой оцинкованной стали</v>
      </c>
      <c r="D157" s="55" t="str">
        <f>Source!H38</f>
        <v>100 м2</v>
      </c>
      <c r="E157" s="56">
        <f>Source!K38</f>
        <v>2.8899999999999999E-2</v>
      </c>
      <c r="F157" s="56"/>
      <c r="G157" s="56">
        <f>Source!I38</f>
        <v>2.8899999999999999E-2</v>
      </c>
      <c r="H157" s="58"/>
      <c r="I157" s="57"/>
      <c r="J157" s="58"/>
      <c r="K157" s="57"/>
      <c r="L157" s="58"/>
    </row>
    <row r="158" spans="1:101" ht="25.5" x14ac:dyDescent="0.2">
      <c r="B158" s="59" t="s">
        <v>346</v>
      </c>
      <c r="C158" s="132" t="s">
        <v>494</v>
      </c>
      <c r="D158" s="132"/>
      <c r="E158" s="132"/>
      <c r="F158" s="132"/>
      <c r="G158" s="132"/>
      <c r="H158" s="132"/>
      <c r="I158" s="132"/>
      <c r="J158" s="132"/>
      <c r="K158" s="132"/>
      <c r="L158" s="132"/>
    </row>
    <row r="159" spans="1:101" ht="38.25" x14ac:dyDescent="0.2">
      <c r="B159" s="59" t="s">
        <v>350</v>
      </c>
      <c r="C159" s="132" t="s">
        <v>495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CW159" s="60" t="s">
        <v>495</v>
      </c>
    </row>
    <row r="160" spans="1:101" ht="51" x14ac:dyDescent="0.2">
      <c r="B160" s="59" t="s">
        <v>353</v>
      </c>
      <c r="C160" s="132" t="s">
        <v>523</v>
      </c>
      <c r="D160" s="132"/>
      <c r="E160" s="132"/>
      <c r="F160" s="132"/>
      <c r="G160" s="132"/>
      <c r="H160" s="132"/>
      <c r="I160" s="132"/>
      <c r="J160" s="132"/>
      <c r="K160" s="132"/>
      <c r="L160" s="132"/>
      <c r="CW160" s="60" t="s">
        <v>523</v>
      </c>
    </row>
    <row r="161" spans="1:101" ht="51" x14ac:dyDescent="0.2">
      <c r="C161" s="133" t="s">
        <v>524</v>
      </c>
      <c r="D161" s="133"/>
      <c r="E161" s="133"/>
      <c r="F161" s="133"/>
      <c r="CW161" s="61" t="s">
        <v>524</v>
      </c>
    </row>
    <row r="162" spans="1:101" x14ac:dyDescent="0.2">
      <c r="C162" s="62" t="str">
        <f>"Объем: "&amp;Source!I38&amp;"=2,89/"&amp;"100"</f>
        <v>Объем: 0,0289=2,89/100</v>
      </c>
    </row>
    <row r="163" spans="1:101" ht="15" x14ac:dyDescent="0.2">
      <c r="A163" s="53"/>
      <c r="B163" s="56">
        <v>1</v>
      </c>
      <c r="C163" s="53" t="s">
        <v>497</v>
      </c>
      <c r="D163" s="55" t="s">
        <v>282</v>
      </c>
      <c r="E163" s="63"/>
      <c r="F163" s="56"/>
      <c r="G163" s="56">
        <f>Source!U38</f>
        <v>4.6437603999999997</v>
      </c>
      <c r="H163" s="56"/>
      <c r="I163" s="56"/>
      <c r="J163" s="56"/>
      <c r="K163" s="56"/>
      <c r="L163" s="64">
        <f>SUM(L164:L164)-SUMIF(CE164:CE164, 1, L164:L164)</f>
        <v>3014.92</v>
      </c>
    </row>
    <row r="164" spans="1:101" ht="14.25" x14ac:dyDescent="0.2">
      <c r="A164" s="54"/>
      <c r="B164" s="54" t="s">
        <v>294</v>
      </c>
      <c r="C164" s="54" t="s">
        <v>295</v>
      </c>
      <c r="D164" s="55" t="s">
        <v>282</v>
      </c>
      <c r="E164" s="56">
        <v>97.2</v>
      </c>
      <c r="F164" s="56">
        <f>ROUND((0.15+1)*1.25*1.15,7)</f>
        <v>1.653125</v>
      </c>
      <c r="G164" s="56">
        <f>SmtRes!CX20</f>
        <v>4.6437603999999997</v>
      </c>
      <c r="H164" s="58"/>
      <c r="I164" s="57"/>
      <c r="J164" s="58">
        <f>SmtRes!CZ20</f>
        <v>649.24</v>
      </c>
      <c r="K164" s="57"/>
      <c r="L164" s="58">
        <f>SmtRes!DI20</f>
        <v>3014.92</v>
      </c>
    </row>
    <row r="165" spans="1:101" ht="15" x14ac:dyDescent="0.2">
      <c r="A165" s="53"/>
      <c r="B165" s="56">
        <v>2</v>
      </c>
      <c r="C165" s="53" t="s">
        <v>498</v>
      </c>
      <c r="D165" s="55"/>
      <c r="E165" s="63"/>
      <c r="F165" s="56"/>
      <c r="G165" s="56"/>
      <c r="H165" s="56"/>
      <c r="I165" s="56"/>
      <c r="J165" s="56"/>
      <c r="K165" s="56"/>
      <c r="L165" s="64">
        <f>SUM(L166:L170)-SUMIF(CE166:CE170, 1, L166:L170)</f>
        <v>12.75</v>
      </c>
    </row>
    <row r="166" spans="1:101" ht="15" x14ac:dyDescent="0.2">
      <c r="A166" s="53"/>
      <c r="B166" s="56"/>
      <c r="C166" s="53" t="s">
        <v>499</v>
      </c>
      <c r="D166" s="55" t="s">
        <v>282</v>
      </c>
      <c r="E166" s="63"/>
      <c r="F166" s="56"/>
      <c r="G166" s="56">
        <f>Source!V38</f>
        <v>1.4021E-2</v>
      </c>
      <c r="H166" s="56"/>
      <c r="I166" s="56"/>
      <c r="J166" s="56"/>
      <c r="K166" s="56"/>
      <c r="L166" s="64">
        <f>SUMIF(CE167:CE170, 1, L167:L170)</f>
        <v>12.86</v>
      </c>
      <c r="CE166">
        <v>1</v>
      </c>
    </row>
    <row r="167" spans="1:101" ht="28.5" x14ac:dyDescent="0.2">
      <c r="A167" s="54"/>
      <c r="B167" s="54" t="s">
        <v>325</v>
      </c>
      <c r="C167" s="54" t="s">
        <v>327</v>
      </c>
      <c r="D167" s="55" t="s">
        <v>286</v>
      </c>
      <c r="E167" s="56">
        <v>0.2</v>
      </c>
      <c r="F167" s="56">
        <f>ROUND((0.15+1)*1.25*1.25,7)</f>
        <v>1.796875</v>
      </c>
      <c r="G167" s="56">
        <f>SmtRes!CX22</f>
        <v>1.03859E-2</v>
      </c>
      <c r="H167" s="58"/>
      <c r="I167" s="57"/>
      <c r="J167" s="58">
        <f>SmtRes!CZ22</f>
        <v>1036.96</v>
      </c>
      <c r="K167" s="57"/>
      <c r="L167" s="58">
        <f>SmtRes!DG22</f>
        <v>10.77</v>
      </c>
    </row>
    <row r="168" spans="1:101" ht="28.5" x14ac:dyDescent="0.2">
      <c r="A168" s="54"/>
      <c r="B168" s="54" t="s">
        <v>328</v>
      </c>
      <c r="C168" s="54" t="s">
        <v>528</v>
      </c>
      <c r="D168" s="55" t="s">
        <v>282</v>
      </c>
      <c r="E168" s="56">
        <f>SmtRes!DO22*SmtRes!AT22</f>
        <v>0.2</v>
      </c>
      <c r="F168" s="56">
        <f>ROUND((0.15+1)*1.25*1.25,7)</f>
        <v>1.796875</v>
      </c>
      <c r="G168" s="56">
        <f>ROUND(E168*F168*G157, 7)</f>
        <v>1.03859E-2</v>
      </c>
      <c r="H168" s="58"/>
      <c r="I168" s="57"/>
      <c r="J168" s="58">
        <f>ROUND(SmtRes!AG22/SmtRes!DO22, 2)</f>
        <v>982.04</v>
      </c>
      <c r="K168" s="57"/>
      <c r="L168" s="58">
        <f>SmtRes!DH22</f>
        <v>10.199999999999999</v>
      </c>
      <c r="CE168">
        <v>1</v>
      </c>
    </row>
    <row r="169" spans="1:101" ht="28.5" x14ac:dyDescent="0.2">
      <c r="A169" s="54"/>
      <c r="B169" s="54" t="s">
        <v>329</v>
      </c>
      <c r="C169" s="54" t="s">
        <v>331</v>
      </c>
      <c r="D169" s="55" t="s">
        <v>286</v>
      </c>
      <c r="E169" s="56">
        <v>7.0000000000000007E-2</v>
      </c>
      <c r="F169" s="56">
        <f>ROUND((0.15+1)*1.25*1.25,7)</f>
        <v>1.796875</v>
      </c>
      <c r="G169" s="56">
        <f>SmtRes!CX23</f>
        <v>3.6351E-3</v>
      </c>
      <c r="H169" s="58"/>
      <c r="I169" s="57"/>
      <c r="J169" s="58">
        <f>SmtRes!CZ23</f>
        <v>544.91999999999996</v>
      </c>
      <c r="K169" s="57"/>
      <c r="L169" s="58">
        <f>SmtRes!DG23</f>
        <v>1.98</v>
      </c>
    </row>
    <row r="170" spans="1:101" ht="28.5" x14ac:dyDescent="0.2">
      <c r="A170" s="54"/>
      <c r="B170" s="54" t="s">
        <v>301</v>
      </c>
      <c r="C170" s="54" t="s">
        <v>513</v>
      </c>
      <c r="D170" s="55" t="s">
        <v>282</v>
      </c>
      <c r="E170" s="56">
        <f>SmtRes!DO23*SmtRes!AT23</f>
        <v>7.0000000000000007E-2</v>
      </c>
      <c r="F170" s="56">
        <f>ROUND((0.15+1)*1.25*1.25,7)</f>
        <v>1.796875</v>
      </c>
      <c r="G170" s="56">
        <f>ROUND(E170*F170*G157, 7)</f>
        <v>3.6351E-3</v>
      </c>
      <c r="H170" s="58"/>
      <c r="I170" s="57"/>
      <c r="J170" s="58">
        <f>ROUND(SmtRes!AG23/SmtRes!DO23, 2)</f>
        <v>731.08</v>
      </c>
      <c r="K170" s="57"/>
      <c r="L170" s="58">
        <f>SmtRes!DH23</f>
        <v>2.66</v>
      </c>
      <c r="CE170">
        <v>1</v>
      </c>
    </row>
    <row r="171" spans="1:101" ht="15" x14ac:dyDescent="0.2">
      <c r="A171" s="53"/>
      <c r="B171" s="56">
        <v>4</v>
      </c>
      <c r="C171" s="53" t="s">
        <v>519</v>
      </c>
      <c r="D171" s="55"/>
      <c r="E171" s="63"/>
      <c r="F171" s="56"/>
      <c r="G171" s="56"/>
      <c r="H171" s="56"/>
      <c r="I171" s="56"/>
      <c r="J171" s="56"/>
      <c r="K171" s="56"/>
      <c r="L171" s="64">
        <f>SUM(L172:L174)-SUMIF(CE172:CE174, 1, L172:L174)</f>
        <v>1308.74</v>
      </c>
    </row>
    <row r="172" spans="1:101" ht="28.5" x14ac:dyDescent="0.2">
      <c r="A172" s="54"/>
      <c r="B172" s="54" t="s">
        <v>332</v>
      </c>
      <c r="C172" s="54" t="s">
        <v>334</v>
      </c>
      <c r="D172" s="55" t="s">
        <v>324</v>
      </c>
      <c r="E172" s="56">
        <v>4</v>
      </c>
      <c r="F172" s="56"/>
      <c r="G172" s="56">
        <f>SmtRes!CX24</f>
        <v>0.11559999999999999</v>
      </c>
      <c r="H172" s="58">
        <f>SmtRes!CZ24</f>
        <v>72.97</v>
      </c>
      <c r="I172" s="57">
        <f>SmtRes!AI24</f>
        <v>1.31</v>
      </c>
      <c r="J172" s="58">
        <f>ROUND(H172*I172, 2)</f>
        <v>95.59</v>
      </c>
      <c r="K172" s="57"/>
      <c r="L172" s="58">
        <f>SmtRes!DF24</f>
        <v>11.05</v>
      </c>
    </row>
    <row r="173" spans="1:101" ht="28.5" x14ac:dyDescent="0.2">
      <c r="A173" s="54"/>
      <c r="B173" s="54" t="s">
        <v>335</v>
      </c>
      <c r="C173" s="54" t="s">
        <v>337</v>
      </c>
      <c r="D173" s="55" t="s">
        <v>33</v>
      </c>
      <c r="E173" s="56">
        <v>1.2E-2</v>
      </c>
      <c r="F173" s="56"/>
      <c r="G173" s="56">
        <f>SmtRes!CX25</f>
        <v>3.4680000000000003E-4</v>
      </c>
      <c r="H173" s="58">
        <f>SmtRes!CZ25</f>
        <v>149930.17000000001</v>
      </c>
      <c r="I173" s="57">
        <f>SmtRes!AI25</f>
        <v>0.84</v>
      </c>
      <c r="J173" s="58">
        <f>ROUND(H173*I173, 2)</f>
        <v>125941.34</v>
      </c>
      <c r="K173" s="57"/>
      <c r="L173" s="58">
        <f>SmtRes!DF25</f>
        <v>43.68</v>
      </c>
    </row>
    <row r="174" spans="1:101" ht="28.5" x14ac:dyDescent="0.2">
      <c r="A174" s="54"/>
      <c r="B174" s="54" t="s">
        <v>338</v>
      </c>
      <c r="C174" s="65" t="s">
        <v>340</v>
      </c>
      <c r="D174" s="66" t="s">
        <v>33</v>
      </c>
      <c r="E174" s="67">
        <v>0.56999999999999995</v>
      </c>
      <c r="F174" s="67"/>
      <c r="G174" s="67">
        <f>SmtRes!CX26</f>
        <v>1.6473000000000002E-2</v>
      </c>
      <c r="H174" s="68"/>
      <c r="I174" s="69"/>
      <c r="J174" s="68">
        <f>SmtRes!CZ26</f>
        <v>76125.37</v>
      </c>
      <c r="K174" s="69"/>
      <c r="L174" s="68">
        <f>SmtRes!DF26</f>
        <v>1254.01</v>
      </c>
    </row>
    <row r="175" spans="1:101" ht="15" x14ac:dyDescent="0.2">
      <c r="A175" s="54"/>
      <c r="B175" s="54"/>
      <c r="C175" s="72" t="s">
        <v>500</v>
      </c>
      <c r="D175" s="55"/>
      <c r="E175" s="56"/>
      <c r="F175" s="56"/>
      <c r="G175" s="56"/>
      <c r="H175" s="58"/>
      <c r="I175" s="57"/>
      <c r="J175" s="58"/>
      <c r="K175" s="57"/>
      <c r="L175" s="58">
        <f>L163+L165+L166+L171</f>
        <v>4349.2700000000004</v>
      </c>
    </row>
    <row r="176" spans="1:101" ht="14.25" x14ac:dyDescent="0.2">
      <c r="A176" s="54"/>
      <c r="B176" s="54"/>
      <c r="C176" s="54" t="s">
        <v>501</v>
      </c>
      <c r="D176" s="55"/>
      <c r="E176" s="56"/>
      <c r="F176" s="56"/>
      <c r="G176" s="56"/>
      <c r="H176" s="58"/>
      <c r="I176" s="57"/>
      <c r="J176" s="58"/>
      <c r="K176" s="57"/>
      <c r="L176" s="58">
        <f>SUM(AR157:AR179)+SUM(AS157:AS179)+SUM(AT157:AT179)+SUM(AU157:AU179)+SUM(AV157:AV179)</f>
        <v>3027.78</v>
      </c>
    </row>
    <row r="177" spans="1:101" ht="14.25" x14ac:dyDescent="0.2">
      <c r="A177" s="54"/>
      <c r="B177" s="54" t="s">
        <v>98</v>
      </c>
      <c r="C177" s="54" t="s">
        <v>529</v>
      </c>
      <c r="D177" s="55" t="s">
        <v>437</v>
      </c>
      <c r="E177" s="56">
        <f>Source!BZ38</f>
        <v>109</v>
      </c>
      <c r="F177" s="56"/>
      <c r="G177" s="56">
        <f>Source!AT38</f>
        <v>109</v>
      </c>
      <c r="H177" s="58"/>
      <c r="I177" s="57"/>
      <c r="J177" s="58"/>
      <c r="K177" s="57"/>
      <c r="L177" s="58">
        <f>SUM(AZ157:AZ179)</f>
        <v>3300.28</v>
      </c>
    </row>
    <row r="178" spans="1:101" ht="14.25" x14ac:dyDescent="0.2">
      <c r="A178" s="65"/>
      <c r="B178" s="65" t="s">
        <v>99</v>
      </c>
      <c r="C178" s="65" t="s">
        <v>530</v>
      </c>
      <c r="D178" s="66" t="s">
        <v>437</v>
      </c>
      <c r="E178" s="67">
        <f>Source!CA38</f>
        <v>57</v>
      </c>
      <c r="F178" s="67"/>
      <c r="G178" s="67">
        <f>Source!AU38</f>
        <v>57</v>
      </c>
      <c r="H178" s="68"/>
      <c r="I178" s="69"/>
      <c r="J178" s="68"/>
      <c r="K178" s="69"/>
      <c r="L178" s="68">
        <f>SUM(BA157:BA179)</f>
        <v>1725.83</v>
      </c>
    </row>
    <row r="179" spans="1:101" ht="15" x14ac:dyDescent="0.2">
      <c r="C179" s="134" t="s">
        <v>504</v>
      </c>
      <c r="D179" s="134"/>
      <c r="E179" s="134"/>
      <c r="F179" s="134"/>
      <c r="G179" s="134"/>
      <c r="H179" s="134"/>
      <c r="I179" s="135">
        <f>IF(E157&lt;&gt;0,K179/E157, 0)</f>
        <v>324407.61245674745</v>
      </c>
      <c r="J179" s="135"/>
      <c r="K179" s="135">
        <f>L163+L165+L171+L177+L178+L166</f>
        <v>9375.380000000001</v>
      </c>
      <c r="L179" s="135"/>
      <c r="AD179">
        <f>ROUND((Source!AT38/100)*((ROUND(SUMIF(SmtRes!AQ20:'SmtRes'!AQ26,"=1",SmtRes!AD20:'SmtRes'!AD26)*Source!I38, 2)+ROUND(SUMIF(SmtRes!AQ20:'SmtRes'!AQ26,"=1",SmtRes!AC20:'SmtRes'!AC26)*Source!I38, 2))), 2)</f>
        <v>74.41</v>
      </c>
      <c r="AE179">
        <f>ROUND((Source!AU38/100)*((ROUND(SUMIF(SmtRes!AQ20:'SmtRes'!AQ26,"=1",SmtRes!AD20:'SmtRes'!AD26)*Source!I38, 2)+ROUND(SUMIF(SmtRes!AQ20:'SmtRes'!AQ26,"=1",SmtRes!AC20:'SmtRes'!AC26)*Source!I38, 2))), 2)</f>
        <v>38.909999999999997</v>
      </c>
      <c r="AN179" s="70">
        <f>L163+L165+L171+L177+L178+L166</f>
        <v>9375.380000000001</v>
      </c>
      <c r="AO179" s="70">
        <f>L165</f>
        <v>12.75</v>
      </c>
      <c r="AQ179" t="s">
        <v>505</v>
      </c>
      <c r="AR179" s="70">
        <f>L163</f>
        <v>3014.92</v>
      </c>
      <c r="AT179" s="70">
        <f>L166</f>
        <v>12.86</v>
      </c>
      <c r="AV179" t="s">
        <v>505</v>
      </c>
      <c r="AW179" s="70">
        <f>L171</f>
        <v>1308.74</v>
      </c>
      <c r="AZ179">
        <f>Source!X38</f>
        <v>3300.28</v>
      </c>
      <c r="BA179">
        <f>Source!Y38</f>
        <v>1725.83</v>
      </c>
      <c r="CD179">
        <v>1</v>
      </c>
    </row>
    <row r="180" spans="1:101" ht="28.5" x14ac:dyDescent="0.2">
      <c r="A180" s="52" t="s">
        <v>100</v>
      </c>
      <c r="B180" s="54" t="s">
        <v>531</v>
      </c>
      <c r="C180" s="54" t="str">
        <f>Source!G39</f>
        <v>Устройство защитной декоративной сетки на время ремонта фасада</v>
      </c>
      <c r="D180" s="55" t="str">
        <f>Source!H39</f>
        <v>100 м2</v>
      </c>
      <c r="E180" s="56">
        <f>Source!K39</f>
        <v>1.2492000000000001</v>
      </c>
      <c r="F180" s="56"/>
      <c r="G180" s="56">
        <f>Source!I39</f>
        <v>1.2492000000000001</v>
      </c>
      <c r="H180" s="58"/>
      <c r="I180" s="57"/>
      <c r="J180" s="58"/>
      <c r="K180" s="57"/>
      <c r="L180" s="58"/>
    </row>
    <row r="181" spans="1:101" ht="25.5" x14ac:dyDescent="0.2">
      <c r="B181" s="59" t="s">
        <v>346</v>
      </c>
      <c r="C181" s="132" t="s">
        <v>494</v>
      </c>
      <c r="D181" s="132"/>
      <c r="E181" s="132"/>
      <c r="F181" s="132"/>
      <c r="G181" s="132"/>
      <c r="H181" s="132"/>
      <c r="I181" s="132"/>
      <c r="J181" s="132"/>
      <c r="K181" s="132"/>
      <c r="L181" s="132"/>
    </row>
    <row r="182" spans="1:101" ht="38.25" x14ac:dyDescent="0.2">
      <c r="B182" s="59" t="s">
        <v>350</v>
      </c>
      <c r="C182" s="132" t="s">
        <v>495</v>
      </c>
      <c r="D182" s="132"/>
      <c r="E182" s="132"/>
      <c r="F182" s="132"/>
      <c r="G182" s="132"/>
      <c r="H182" s="132"/>
      <c r="I182" s="132"/>
      <c r="J182" s="132"/>
      <c r="K182" s="132"/>
      <c r="L182" s="132"/>
      <c r="CW182" s="60" t="s">
        <v>495</v>
      </c>
    </row>
    <row r="183" spans="1:101" ht="51" x14ac:dyDescent="0.2">
      <c r="B183" s="59" t="s">
        <v>353</v>
      </c>
      <c r="C183" s="132" t="s">
        <v>523</v>
      </c>
      <c r="D183" s="132"/>
      <c r="E183" s="132"/>
      <c r="F183" s="132"/>
      <c r="G183" s="132"/>
      <c r="H183" s="132"/>
      <c r="I183" s="132"/>
      <c r="J183" s="132"/>
      <c r="K183" s="132"/>
      <c r="L183" s="132"/>
      <c r="CW183" s="60" t="s">
        <v>523</v>
      </c>
    </row>
    <row r="184" spans="1:101" ht="51" x14ac:dyDescent="0.2">
      <c r="C184" s="133" t="s">
        <v>524</v>
      </c>
      <c r="D184" s="133"/>
      <c r="E184" s="133"/>
      <c r="F184" s="133"/>
      <c r="CW184" s="61" t="s">
        <v>524</v>
      </c>
    </row>
    <row r="185" spans="1:101" x14ac:dyDescent="0.2">
      <c r="C185" s="62" t="str">
        <f>"Объем: "&amp;Source!I39&amp;"=124,92/"&amp;"100"</f>
        <v>Объем: 1,2492=124,92/100</v>
      </c>
    </row>
    <row r="186" spans="1:101" ht="15" x14ac:dyDescent="0.2">
      <c r="A186" s="53"/>
      <c r="B186" s="56">
        <v>1</v>
      </c>
      <c r="C186" s="53" t="s">
        <v>497</v>
      </c>
      <c r="D186" s="55" t="s">
        <v>282</v>
      </c>
      <c r="E186" s="63"/>
      <c r="F186" s="56"/>
      <c r="G186" s="56">
        <f>Source!U39</f>
        <v>2.6846089000000002</v>
      </c>
      <c r="H186" s="56"/>
      <c r="I186" s="56"/>
      <c r="J186" s="56"/>
      <c r="K186" s="56"/>
      <c r="L186" s="64">
        <f>SUM(L187:L187)-SUMIF(CE187:CE187, 1, L187:L187)</f>
        <v>1742.96</v>
      </c>
    </row>
    <row r="187" spans="1:101" ht="14.25" x14ac:dyDescent="0.2">
      <c r="A187" s="54"/>
      <c r="B187" s="54" t="s">
        <v>294</v>
      </c>
      <c r="C187" s="54" t="s">
        <v>295</v>
      </c>
      <c r="D187" s="55" t="s">
        <v>282</v>
      </c>
      <c r="E187" s="56">
        <v>1.3</v>
      </c>
      <c r="F187" s="56">
        <f>ROUND((0.15+1)*1.25*1.15,7)</f>
        <v>1.653125</v>
      </c>
      <c r="G187" s="56">
        <f>SmtRes!CX27</f>
        <v>2.6846089000000002</v>
      </c>
      <c r="H187" s="58"/>
      <c r="I187" s="57"/>
      <c r="J187" s="58">
        <f>SmtRes!CZ27</f>
        <v>649.24</v>
      </c>
      <c r="K187" s="57"/>
      <c r="L187" s="58">
        <f>SmtRes!DI27</f>
        <v>1742.96</v>
      </c>
    </row>
    <row r="188" spans="1:101" ht="28.5" x14ac:dyDescent="0.2">
      <c r="A188" s="54"/>
      <c r="B188" s="54" t="str">
        <f>EtalonRes!I28</f>
        <v>08.1.02.17</v>
      </c>
      <c r="C188" s="65" t="str">
        <f>EtalonRes!K28</f>
        <v>Сетка фасадная защитно-декоративная</v>
      </c>
      <c r="D188" s="66" t="str">
        <f>EtalonRes!O28</f>
        <v>м2</v>
      </c>
      <c r="E188" s="67">
        <f>EtalonRes!X28</f>
        <v>0</v>
      </c>
      <c r="F188" s="67"/>
      <c r="G188" s="67">
        <f>ROUND(EtalonRes!AG28*Source!I39, 7)</f>
        <v>0</v>
      </c>
      <c r="H188" s="68"/>
      <c r="I188" s="69"/>
      <c r="J188" s="68"/>
      <c r="K188" s="69"/>
      <c r="L188" s="68"/>
    </row>
    <row r="189" spans="1:101" ht="15" x14ac:dyDescent="0.2">
      <c r="A189" s="54"/>
      <c r="B189" s="54"/>
      <c r="C189" s="72" t="s">
        <v>500</v>
      </c>
      <c r="D189" s="55"/>
      <c r="E189" s="56"/>
      <c r="F189" s="56"/>
      <c r="G189" s="56"/>
      <c r="H189" s="58"/>
      <c r="I189" s="57"/>
      <c r="J189" s="58"/>
      <c r="K189" s="57"/>
      <c r="L189" s="58">
        <f>L186</f>
        <v>1742.96</v>
      </c>
    </row>
    <row r="190" spans="1:101" ht="14.25" x14ac:dyDescent="0.2">
      <c r="A190" s="54"/>
      <c r="B190" s="54"/>
      <c r="C190" s="54" t="s">
        <v>501</v>
      </c>
      <c r="D190" s="55"/>
      <c r="E190" s="56"/>
      <c r="F190" s="56"/>
      <c r="G190" s="56"/>
      <c r="H190" s="58"/>
      <c r="I190" s="57"/>
      <c r="J190" s="58"/>
      <c r="K190" s="57"/>
      <c r="L190" s="58">
        <f>SUM(AR180:AR193)+SUM(AS180:AS193)+SUM(AT180:AT193)+SUM(AU180:AU193)+SUM(AV180:AV193)</f>
        <v>1742.96</v>
      </c>
    </row>
    <row r="191" spans="1:101" ht="14.25" x14ac:dyDescent="0.2">
      <c r="A191" s="54"/>
      <c r="B191" s="54" t="s">
        <v>106</v>
      </c>
      <c r="C191" s="54" t="s">
        <v>532</v>
      </c>
      <c r="D191" s="55" t="s">
        <v>437</v>
      </c>
      <c r="E191" s="56">
        <f>Source!BZ39</f>
        <v>110</v>
      </c>
      <c r="F191" s="56"/>
      <c r="G191" s="56">
        <f>Source!AT39</f>
        <v>110</v>
      </c>
      <c r="H191" s="58"/>
      <c r="I191" s="57"/>
      <c r="J191" s="58"/>
      <c r="K191" s="57"/>
      <c r="L191" s="58">
        <f>SUM(AZ180:AZ193)</f>
        <v>1917.26</v>
      </c>
    </row>
    <row r="192" spans="1:101" ht="14.25" x14ac:dyDescent="0.2">
      <c r="A192" s="65"/>
      <c r="B192" s="65" t="s">
        <v>107</v>
      </c>
      <c r="C192" s="65" t="s">
        <v>533</v>
      </c>
      <c r="D192" s="66" t="s">
        <v>437</v>
      </c>
      <c r="E192" s="67">
        <f>Source!CA39</f>
        <v>69</v>
      </c>
      <c r="F192" s="67"/>
      <c r="G192" s="67">
        <f>Source!AU39</f>
        <v>69</v>
      </c>
      <c r="H192" s="68"/>
      <c r="I192" s="69"/>
      <c r="J192" s="68"/>
      <c r="K192" s="69"/>
      <c r="L192" s="68">
        <f>SUM(BA180:BA193)</f>
        <v>1202.6400000000001</v>
      </c>
    </row>
    <row r="193" spans="1:101" ht="15" x14ac:dyDescent="0.2">
      <c r="C193" s="134" t="s">
        <v>504</v>
      </c>
      <c r="D193" s="134"/>
      <c r="E193" s="134"/>
      <c r="F193" s="134"/>
      <c r="G193" s="134"/>
      <c r="H193" s="134"/>
      <c r="I193" s="135">
        <f>IF(E180&lt;&gt;0,K193/E180, 0)</f>
        <v>3892.7793788024337</v>
      </c>
      <c r="J193" s="135"/>
      <c r="K193" s="135">
        <f>L186+L191+L192</f>
        <v>4862.8600000000006</v>
      </c>
      <c r="L193" s="135"/>
      <c r="AD193">
        <f>ROUND((Source!AT39/100)*((ROUND(SUMIF(SmtRes!AQ27:'SmtRes'!AQ28,"=1",SmtRes!AD27:'SmtRes'!AD28)*Source!I39, 2)+ROUND(SUMIF(SmtRes!AQ27:'SmtRes'!AQ28,"=1",SmtRes!AC27:'SmtRes'!AC28)*Source!I39, 2))), 2)</f>
        <v>892.13</v>
      </c>
      <c r="AE193">
        <f>ROUND((Source!AU39/100)*((ROUND(SUMIF(SmtRes!AQ27:'SmtRes'!AQ28,"=1",SmtRes!AD27:'SmtRes'!AD28)*Source!I39, 2)+ROUND(SUMIF(SmtRes!AQ27:'SmtRes'!AQ28,"=1",SmtRes!AC27:'SmtRes'!AC28)*Source!I39, 2))), 2)</f>
        <v>559.61</v>
      </c>
      <c r="AN193" s="70">
        <f>L186+L191+L192</f>
        <v>4862.8600000000006</v>
      </c>
      <c r="AO193">
        <f>0</f>
        <v>0</v>
      </c>
      <c r="AQ193" t="s">
        <v>505</v>
      </c>
      <c r="AR193" s="70">
        <f>L186</f>
        <v>1742.96</v>
      </c>
      <c r="AT193">
        <f>0</f>
        <v>0</v>
      </c>
      <c r="AV193" t="s">
        <v>505</v>
      </c>
      <c r="AW193">
        <f>0</f>
        <v>0</v>
      </c>
      <c r="AZ193">
        <f>Source!X39</f>
        <v>1917.26</v>
      </c>
      <c r="BA193">
        <f>Source!Y39</f>
        <v>1202.6400000000001</v>
      </c>
      <c r="CD193">
        <v>1</v>
      </c>
    </row>
    <row r="194" spans="1:101" ht="42.75" x14ac:dyDescent="0.2">
      <c r="A194" s="74" t="s">
        <v>112</v>
      </c>
      <c r="B194" s="65" t="str">
        <f>Source!F41</f>
        <v>ТЦ_01.8.01.06_77_9701044387_08.06.2026_01_1.3</v>
      </c>
      <c r="C194" s="65" t="str">
        <f>Source!G41</f>
        <v>Сетка фасадная защитная 80 гр/м2</v>
      </c>
      <c r="D194" s="66" t="str">
        <f>Source!H41</f>
        <v>м2</v>
      </c>
      <c r="E194" s="67">
        <f>Source!K41</f>
        <v>131.66</v>
      </c>
      <c r="F194" s="67"/>
      <c r="G194" s="67">
        <f>Source!I41</f>
        <v>131.66</v>
      </c>
      <c r="H194" s="68"/>
      <c r="I194" s="69"/>
      <c r="J194" s="68">
        <f>Source!AL41</f>
        <v>37.630000000000003</v>
      </c>
      <c r="K194" s="69"/>
      <c r="L194" s="68">
        <f>Source!HG41</f>
        <v>4954.37</v>
      </c>
    </row>
    <row r="195" spans="1:101" ht="15" x14ac:dyDescent="0.2">
      <c r="C195" s="134" t="s">
        <v>504</v>
      </c>
      <c r="D195" s="134"/>
      <c r="E195" s="134"/>
      <c r="F195" s="134"/>
      <c r="G195" s="134"/>
      <c r="H195" s="134"/>
      <c r="I195" s="135">
        <f>IF(E194&lt;&gt;0,K195/E194, 0)</f>
        <v>37.630031900349387</v>
      </c>
      <c r="J195" s="135"/>
      <c r="K195" s="135">
        <f>L194</f>
        <v>4954.37</v>
      </c>
      <c r="L195" s="135"/>
      <c r="AD195">
        <f>ROUND((Source!AT41/100)*((ROUND(ROUND(Source!AO41,2)*Source!I41, 2)+ROUND(ROUND(Source!AN41,2)*Source!I41, 2))), 2)</f>
        <v>0</v>
      </c>
      <c r="AE195">
        <f>ROUND((Source!AU41/100)*((ROUND(ROUND(Source!AO41,2)*Source!I41, 2)+ROUND(ROUND(Source!AN41,2)*Source!I41, 2))), 2)</f>
        <v>0</v>
      </c>
      <c r="AN195" s="70">
        <f>L194</f>
        <v>4954.37</v>
      </c>
      <c r="AO195">
        <f>0</f>
        <v>0</v>
      </c>
      <c r="AQ195" t="s">
        <v>505</v>
      </c>
      <c r="AR195">
        <f>0</f>
        <v>0</v>
      </c>
      <c r="AT195">
        <f>0</f>
        <v>0</v>
      </c>
      <c r="AV195" t="s">
        <v>505</v>
      </c>
      <c r="AW195" s="70">
        <f>L194</f>
        <v>4954.37</v>
      </c>
      <c r="AX195" s="70">
        <f>L194</f>
        <v>4954.37</v>
      </c>
      <c r="AZ195">
        <f>Source!X41</f>
        <v>0</v>
      </c>
      <c r="BA195">
        <f>Source!Y41</f>
        <v>0</v>
      </c>
      <c r="CD195">
        <v>1</v>
      </c>
    </row>
    <row r="196" spans="1:101" ht="57" x14ac:dyDescent="0.2">
      <c r="A196" s="52" t="s">
        <v>115</v>
      </c>
      <c r="B196" s="54" t="s">
        <v>534</v>
      </c>
      <c r="C196" s="54" t="str">
        <f>Source!G42</f>
        <v>Сверление горизонтальных отверстий в бетонных конструкциях стен перфоратором глубиной 200 мм диаметром: до 20 мм</v>
      </c>
      <c r="D196" s="55" t="str">
        <f>Source!H42</f>
        <v>100 отверстий</v>
      </c>
      <c r="E196" s="56">
        <f>Source!K42</f>
        <v>1.06</v>
      </c>
      <c r="F196" s="56"/>
      <c r="G196" s="56">
        <f>Source!I42</f>
        <v>1.06</v>
      </c>
      <c r="H196" s="58"/>
      <c r="I196" s="57"/>
      <c r="J196" s="58"/>
      <c r="K196" s="57"/>
      <c r="L196" s="58"/>
    </row>
    <row r="197" spans="1:101" ht="25.5" x14ac:dyDescent="0.2">
      <c r="B197" s="59" t="s">
        <v>346</v>
      </c>
      <c r="C197" s="132" t="s">
        <v>494</v>
      </c>
      <c r="D197" s="132"/>
      <c r="E197" s="132"/>
      <c r="F197" s="132"/>
      <c r="G197" s="132"/>
      <c r="H197" s="132"/>
      <c r="I197" s="132"/>
      <c r="J197" s="132"/>
      <c r="K197" s="132"/>
      <c r="L197" s="132"/>
    </row>
    <row r="198" spans="1:101" ht="38.25" x14ac:dyDescent="0.2">
      <c r="B198" s="59" t="s">
        <v>350</v>
      </c>
      <c r="C198" s="132" t="s">
        <v>495</v>
      </c>
      <c r="D198" s="132"/>
      <c r="E198" s="132"/>
      <c r="F198" s="132"/>
      <c r="G198" s="132"/>
      <c r="H198" s="132"/>
      <c r="I198" s="132"/>
      <c r="J198" s="132"/>
      <c r="K198" s="132"/>
      <c r="L198" s="132"/>
      <c r="CW198" s="60" t="s">
        <v>495</v>
      </c>
    </row>
    <row r="199" spans="1:101" ht="51" x14ac:dyDescent="0.2">
      <c r="C199" s="133" t="s">
        <v>496</v>
      </c>
      <c r="D199" s="133"/>
      <c r="E199" s="133"/>
      <c r="F199" s="133"/>
      <c r="CW199" s="61" t="s">
        <v>496</v>
      </c>
    </row>
    <row r="200" spans="1:101" x14ac:dyDescent="0.2">
      <c r="C200" s="62" t="str">
        <f>"Объем: "&amp;Source!I42&amp;"=106/"&amp;"100"</f>
        <v>Объем: 1,06=106/100</v>
      </c>
    </row>
    <row r="201" spans="1:101" ht="15" x14ac:dyDescent="0.2">
      <c r="A201" s="53"/>
      <c r="B201" s="56">
        <v>1</v>
      </c>
      <c r="C201" s="53" t="s">
        <v>497</v>
      </c>
      <c r="D201" s="55" t="s">
        <v>282</v>
      </c>
      <c r="E201" s="63"/>
      <c r="F201" s="56"/>
      <c r="G201" s="56">
        <f>Source!U42</f>
        <v>8.4415750000000003</v>
      </c>
      <c r="H201" s="56"/>
      <c r="I201" s="56"/>
      <c r="J201" s="56"/>
      <c r="K201" s="56"/>
      <c r="L201" s="64">
        <f>SUM(L202:L202)-SUMIF(CE202:CE202, 1, L202:L202)</f>
        <v>5480.61</v>
      </c>
    </row>
    <row r="202" spans="1:101" ht="14.25" x14ac:dyDescent="0.2">
      <c r="A202" s="54"/>
      <c r="B202" s="54" t="s">
        <v>294</v>
      </c>
      <c r="C202" s="54" t="s">
        <v>295</v>
      </c>
      <c r="D202" s="55" t="s">
        <v>282</v>
      </c>
      <c r="E202" s="56">
        <v>5.54</v>
      </c>
      <c r="F202" s="56">
        <f>ROUND((0.15+1)*1.25,7)</f>
        <v>1.4375</v>
      </c>
      <c r="G202" s="56">
        <f>SmtRes!CX29</f>
        <v>8.4415750000000003</v>
      </c>
      <c r="H202" s="58"/>
      <c r="I202" s="57"/>
      <c r="J202" s="58">
        <f>SmtRes!CZ29</f>
        <v>649.24</v>
      </c>
      <c r="K202" s="57"/>
      <c r="L202" s="58">
        <f>SmtRes!DI29</f>
        <v>5480.61</v>
      </c>
    </row>
    <row r="203" spans="1:101" ht="15" x14ac:dyDescent="0.2">
      <c r="A203" s="53"/>
      <c r="B203" s="56">
        <v>4</v>
      </c>
      <c r="C203" s="53" t="s">
        <v>519</v>
      </c>
      <c r="D203" s="55"/>
      <c r="E203" s="63"/>
      <c r="F203" s="56"/>
      <c r="G203" s="56"/>
      <c r="H203" s="56"/>
      <c r="I203" s="56"/>
      <c r="J203" s="56"/>
      <c r="K203" s="56"/>
      <c r="L203" s="64">
        <f>SUM(L204:L204)-SUMIF(CE204:CE204, 1, L204:L204)</f>
        <v>43.35</v>
      </c>
    </row>
    <row r="204" spans="1:101" ht="14.25" x14ac:dyDescent="0.2">
      <c r="A204" s="54"/>
      <c r="B204" s="54" t="s">
        <v>341</v>
      </c>
      <c r="C204" s="54" t="s">
        <v>343</v>
      </c>
      <c r="D204" s="55" t="s">
        <v>344</v>
      </c>
      <c r="E204" s="56">
        <v>5.91</v>
      </c>
      <c r="F204" s="56"/>
      <c r="G204" s="56">
        <f>SmtRes!CX30</f>
        <v>6.2645999999999997</v>
      </c>
      <c r="H204" s="58"/>
      <c r="I204" s="57"/>
      <c r="J204" s="58">
        <f>SmtRes!CZ30</f>
        <v>6.92</v>
      </c>
      <c r="K204" s="57"/>
      <c r="L204" s="58">
        <f>SmtRes!DF30</f>
        <v>43.35</v>
      </c>
    </row>
    <row r="205" spans="1:101" ht="14.25" x14ac:dyDescent="0.2">
      <c r="A205" s="54"/>
      <c r="B205" s="54" t="str">
        <f>EtalonRes!I31</f>
        <v>01.7.17.09</v>
      </c>
      <c r="C205" s="65" t="str">
        <f>EtalonRes!K31</f>
        <v>Сверла, буры</v>
      </c>
      <c r="D205" s="66" t="str">
        <f>EtalonRes!O31</f>
        <v>ШТ</v>
      </c>
      <c r="E205" s="67">
        <f>EtalonRes!X31</f>
        <v>0</v>
      </c>
      <c r="F205" s="67"/>
      <c r="G205" s="67">
        <f>ROUND(EtalonRes!AG31*Source!I42, 7)</f>
        <v>0</v>
      </c>
      <c r="H205" s="68"/>
      <c r="I205" s="69"/>
      <c r="J205" s="68"/>
      <c r="K205" s="69"/>
      <c r="L205" s="68"/>
    </row>
    <row r="206" spans="1:101" ht="15" x14ac:dyDescent="0.2">
      <c r="A206" s="54"/>
      <c r="B206" s="54"/>
      <c r="C206" s="72" t="s">
        <v>500</v>
      </c>
      <c r="D206" s="55"/>
      <c r="E206" s="56"/>
      <c r="F206" s="56"/>
      <c r="G206" s="56"/>
      <c r="H206" s="58"/>
      <c r="I206" s="57"/>
      <c r="J206" s="58"/>
      <c r="K206" s="57"/>
      <c r="L206" s="58">
        <f>L201+L203</f>
        <v>5523.96</v>
      </c>
    </row>
    <row r="207" spans="1:101" ht="14.25" x14ac:dyDescent="0.2">
      <c r="A207" s="54"/>
      <c r="B207" s="54"/>
      <c r="C207" s="54" t="s">
        <v>501</v>
      </c>
      <c r="D207" s="55"/>
      <c r="E207" s="56"/>
      <c r="F207" s="56"/>
      <c r="G207" s="56"/>
      <c r="H207" s="58"/>
      <c r="I207" s="57"/>
      <c r="J207" s="58"/>
      <c r="K207" s="57"/>
      <c r="L207" s="58">
        <f>SUM(AR196:AR210)+SUM(AS196:AS210)+SUM(AT196:AT210)+SUM(AU196:AU210)+SUM(AV196:AV210)</f>
        <v>5480.61</v>
      </c>
    </row>
    <row r="208" spans="1:101" ht="71.25" x14ac:dyDescent="0.2">
      <c r="A208" s="54"/>
      <c r="B208" s="54" t="s">
        <v>123</v>
      </c>
      <c r="C208" s="54" t="s">
        <v>535</v>
      </c>
      <c r="D208" s="55" t="s">
        <v>437</v>
      </c>
      <c r="E208" s="56">
        <f>Source!BZ42</f>
        <v>103</v>
      </c>
      <c r="F208" s="56"/>
      <c r="G208" s="56">
        <f>Source!AT42</f>
        <v>103</v>
      </c>
      <c r="H208" s="58"/>
      <c r="I208" s="57"/>
      <c r="J208" s="58"/>
      <c r="K208" s="57"/>
      <c r="L208" s="58">
        <f>SUM(AZ196:AZ210)</f>
        <v>5645.03</v>
      </c>
    </row>
    <row r="209" spans="1:101" ht="71.25" x14ac:dyDescent="0.2">
      <c r="A209" s="65"/>
      <c r="B209" s="65" t="s">
        <v>124</v>
      </c>
      <c r="C209" s="65" t="s">
        <v>536</v>
      </c>
      <c r="D209" s="66" t="s">
        <v>437</v>
      </c>
      <c r="E209" s="67">
        <f>Source!CA42</f>
        <v>59</v>
      </c>
      <c r="F209" s="67"/>
      <c r="G209" s="67">
        <f>Source!AU42</f>
        <v>59</v>
      </c>
      <c r="H209" s="68"/>
      <c r="I209" s="69"/>
      <c r="J209" s="68"/>
      <c r="K209" s="69"/>
      <c r="L209" s="68">
        <f>SUM(BA196:BA210)</f>
        <v>3233.56</v>
      </c>
    </row>
    <row r="210" spans="1:101" ht="15" x14ac:dyDescent="0.2">
      <c r="C210" s="134" t="s">
        <v>504</v>
      </c>
      <c r="D210" s="134"/>
      <c r="E210" s="134"/>
      <c r="F210" s="134"/>
      <c r="G210" s="134"/>
      <c r="H210" s="134"/>
      <c r="I210" s="135">
        <f>IF(E196&lt;&gt;0,K210/E196, 0)</f>
        <v>13587.311320754716</v>
      </c>
      <c r="J210" s="135"/>
      <c r="K210" s="135">
        <f>L201+L203+L208+L209</f>
        <v>14402.55</v>
      </c>
      <c r="L210" s="135"/>
      <c r="AD210">
        <f>ROUND((Source!AT42/100)*((ROUND(SUMIF(SmtRes!AQ29:'SmtRes'!AQ31,"=1",SmtRes!AD29:'SmtRes'!AD31)*Source!I42, 2)+ROUND(SUMIF(SmtRes!AQ29:'SmtRes'!AQ31,"=1",SmtRes!AC29:'SmtRes'!AC31)*Source!I42, 2))), 2)</f>
        <v>708.84</v>
      </c>
      <c r="AE210">
        <f>ROUND((Source!AU42/100)*((ROUND(SUMIF(SmtRes!AQ29:'SmtRes'!AQ31,"=1",SmtRes!AD29:'SmtRes'!AD31)*Source!I42, 2)+ROUND(SUMIF(SmtRes!AQ29:'SmtRes'!AQ31,"=1",SmtRes!AC29:'SmtRes'!AC31)*Source!I42, 2))), 2)</f>
        <v>406.03</v>
      </c>
      <c r="AN210" s="70">
        <f>L201+L203+L208+L209</f>
        <v>14402.55</v>
      </c>
      <c r="AO210">
        <f>0</f>
        <v>0</v>
      </c>
      <c r="AQ210" t="s">
        <v>505</v>
      </c>
      <c r="AR210" s="70">
        <f>L201</f>
        <v>5480.61</v>
      </c>
      <c r="AT210">
        <f>0</f>
        <v>0</v>
      </c>
      <c r="AV210" t="s">
        <v>505</v>
      </c>
      <c r="AW210" s="70">
        <f>L203</f>
        <v>43.35</v>
      </c>
      <c r="AZ210">
        <f>Source!X42</f>
        <v>5645.03</v>
      </c>
      <c r="BA210">
        <f>Source!Y42</f>
        <v>3233.56</v>
      </c>
      <c r="CD210">
        <v>1</v>
      </c>
    </row>
    <row r="211" spans="1:101" ht="42.75" x14ac:dyDescent="0.2">
      <c r="A211" s="52" t="s">
        <v>128</v>
      </c>
      <c r="B211" s="54" t="str">
        <f>Source!F44</f>
        <v>01.7.15.07-0083</v>
      </c>
      <c r="C211" s="54" t="str">
        <f>Source!G44</f>
        <v>Дюбель-гвозди полипропиленовые анкерные с бортом, диаметр 8 мм, длина 100 мм</v>
      </c>
      <c r="D211" s="55" t="str">
        <f>Source!H44</f>
        <v>100 ШТ</v>
      </c>
      <c r="E211" s="56">
        <f>Source!K44</f>
        <v>1.06</v>
      </c>
      <c r="F211" s="56"/>
      <c r="G211" s="56">
        <f>Source!I44</f>
        <v>1.06</v>
      </c>
      <c r="H211" s="58">
        <f>Source!AL44</f>
        <v>248.75</v>
      </c>
      <c r="I211" s="57">
        <f>IF(Source!BC44&lt;&gt; 0, Source!BC44, 1)</f>
        <v>1.31</v>
      </c>
      <c r="J211" s="58">
        <f>ROUND(H211*I211, 2)</f>
        <v>325.86</v>
      </c>
      <c r="K211" s="57"/>
      <c r="L211" s="58">
        <f>Source!P44</f>
        <v>345.41</v>
      </c>
    </row>
    <row r="212" spans="1:101" x14ac:dyDescent="0.2">
      <c r="A212" s="75"/>
      <c r="B212" s="75"/>
      <c r="C212" s="76" t="str">
        <f>"Объем: "&amp;Source!I44&amp;"=106/"&amp;"100"</f>
        <v>Объем: 1,06=106/100</v>
      </c>
      <c r="D212" s="75"/>
      <c r="E212" s="75"/>
      <c r="F212" s="75"/>
      <c r="G212" s="75"/>
      <c r="H212" s="75"/>
      <c r="I212" s="75"/>
      <c r="J212" s="75"/>
      <c r="K212" s="75"/>
      <c r="L212" s="75"/>
    </row>
    <row r="213" spans="1:101" ht="15" x14ac:dyDescent="0.2">
      <c r="C213" s="134" t="s">
        <v>504</v>
      </c>
      <c r="D213" s="134"/>
      <c r="E213" s="134"/>
      <c r="F213" s="134"/>
      <c r="G213" s="134"/>
      <c r="H213" s="134"/>
      <c r="I213" s="135">
        <f>IF(E211&lt;&gt;0,K213/E211, 0)</f>
        <v>325.85849056603774</v>
      </c>
      <c r="J213" s="135"/>
      <c r="K213" s="135">
        <f>L211</f>
        <v>345.41</v>
      </c>
      <c r="L213" s="135"/>
      <c r="AD213">
        <f>ROUND((Source!AT44/100)*((ROUND(ROUND(Source!AO44,2)*Source!I44, 2)+ROUND(ROUND(Source!AN44,2)*Source!I44, 2))), 2)</f>
        <v>0</v>
      </c>
      <c r="AE213">
        <f>ROUND((Source!AU44/100)*((ROUND(ROUND(Source!AO44,2)*Source!I44, 2)+ROUND(ROUND(Source!AN44,2)*Source!I44, 2))), 2)</f>
        <v>0</v>
      </c>
      <c r="AN213" s="70">
        <f>L211</f>
        <v>345.41</v>
      </c>
      <c r="AO213">
        <f>0</f>
        <v>0</v>
      </c>
      <c r="AQ213" t="s">
        <v>505</v>
      </c>
      <c r="AR213">
        <f>0</f>
        <v>0</v>
      </c>
      <c r="AT213">
        <f>0</f>
        <v>0</v>
      </c>
      <c r="AV213" t="s">
        <v>505</v>
      </c>
      <c r="AW213" s="70">
        <f>L211</f>
        <v>345.41</v>
      </c>
      <c r="AZ213">
        <f>Source!X44</f>
        <v>0</v>
      </c>
      <c r="BA213">
        <f>Source!Y44</f>
        <v>0</v>
      </c>
      <c r="CD213">
        <v>1</v>
      </c>
    </row>
    <row r="214" spans="1:101" ht="42.75" x14ac:dyDescent="0.2">
      <c r="A214" s="52" t="s">
        <v>136</v>
      </c>
      <c r="B214" s="54" t="str">
        <f>Source!F45</f>
        <v>ТЦ_91.06.06_77_7715941979_08.06.2026_01_3.2</v>
      </c>
      <c r="C214" s="54" t="str">
        <f>Source!G45</f>
        <v>Автогидроподъемники, высота подъема 16 м</v>
      </c>
      <c r="D214" s="55" t="str">
        <f>Source!H45</f>
        <v>маш/час</v>
      </c>
      <c r="E214" s="56">
        <f>Source!K45</f>
        <v>80</v>
      </c>
      <c r="F214" s="56"/>
      <c r="G214" s="56">
        <f>Source!I45</f>
        <v>80</v>
      </c>
      <c r="H214" s="58"/>
      <c r="I214" s="57"/>
      <c r="J214" s="58">
        <f>Source!AM45</f>
        <v>983.5</v>
      </c>
      <c r="K214" s="57">
        <f>ROUND((0.15+1)*1.25,7)</f>
        <v>1.4375</v>
      </c>
      <c r="L214" s="58">
        <f>Source!Q45</f>
        <v>113102.5</v>
      </c>
    </row>
    <row r="215" spans="1:101" ht="25.5" x14ac:dyDescent="0.2">
      <c r="B215" s="59" t="s">
        <v>346</v>
      </c>
      <c r="C215" s="132" t="s">
        <v>494</v>
      </c>
      <c r="D215" s="132"/>
      <c r="E215" s="132"/>
      <c r="F215" s="132"/>
      <c r="G215" s="132"/>
      <c r="H215" s="132"/>
      <c r="I215" s="132"/>
      <c r="J215" s="132"/>
      <c r="K215" s="132"/>
      <c r="L215" s="132"/>
    </row>
    <row r="216" spans="1:101" ht="38.25" x14ac:dyDescent="0.2">
      <c r="B216" s="59" t="s">
        <v>350</v>
      </c>
      <c r="C216" s="132" t="s">
        <v>495</v>
      </c>
      <c r="D216" s="132"/>
      <c r="E216" s="132"/>
      <c r="F216" s="132"/>
      <c r="G216" s="132"/>
      <c r="H216" s="132"/>
      <c r="I216" s="132"/>
      <c r="J216" s="132"/>
      <c r="K216" s="132"/>
      <c r="L216" s="132"/>
      <c r="CW216" s="60" t="s">
        <v>495</v>
      </c>
    </row>
    <row r="217" spans="1:101" ht="51" x14ac:dyDescent="0.2">
      <c r="C217" s="133" t="s">
        <v>496</v>
      </c>
      <c r="D217" s="133"/>
      <c r="E217" s="133"/>
      <c r="F217" s="133"/>
      <c r="CW217" s="61" t="s">
        <v>496</v>
      </c>
    </row>
    <row r="218" spans="1:101" ht="14.25" x14ac:dyDescent="0.2">
      <c r="A218" s="54"/>
      <c r="B218" s="54"/>
      <c r="C218" s="54" t="s">
        <v>501</v>
      </c>
      <c r="D218" s="55"/>
      <c r="E218" s="56"/>
      <c r="F218" s="56"/>
      <c r="G218" s="56"/>
      <c r="H218" s="58"/>
      <c r="I218" s="57"/>
      <c r="J218" s="58"/>
      <c r="K218" s="57"/>
      <c r="L218" s="58">
        <f>SUM(AR214:AR221)+SUM(AS214:AS221)+SUM(AT214:AT221)+SUM(AU214:AU221)+SUM(AV214:AV221)</f>
        <v>0</v>
      </c>
    </row>
    <row r="219" spans="1:101" ht="14.25" x14ac:dyDescent="0.2">
      <c r="A219" s="54"/>
      <c r="B219" s="54"/>
      <c r="C219" s="54" t="s">
        <v>537</v>
      </c>
      <c r="D219" s="55" t="s">
        <v>437</v>
      </c>
      <c r="E219" s="56">
        <f>Source!BZ45</f>
        <v>0</v>
      </c>
      <c r="F219" s="56"/>
      <c r="G219" s="56">
        <f>Source!AT45</f>
        <v>0</v>
      </c>
      <c r="H219" s="58"/>
      <c r="I219" s="57"/>
      <c r="J219" s="58"/>
      <c r="K219" s="57"/>
      <c r="L219" s="58">
        <f>SUM(AZ214:AZ221)</f>
        <v>0</v>
      </c>
    </row>
    <row r="220" spans="1:101" ht="14.25" x14ac:dyDescent="0.2">
      <c r="A220" s="65"/>
      <c r="B220" s="65"/>
      <c r="C220" s="65" t="s">
        <v>538</v>
      </c>
      <c r="D220" s="66" t="s">
        <v>437</v>
      </c>
      <c r="E220" s="67">
        <f>Source!CA45</f>
        <v>0</v>
      </c>
      <c r="F220" s="67"/>
      <c r="G220" s="67">
        <f>Source!AU45</f>
        <v>0</v>
      </c>
      <c r="H220" s="68"/>
      <c r="I220" s="69"/>
      <c r="J220" s="68"/>
      <c r="K220" s="69"/>
      <c r="L220" s="68">
        <f>SUM(BA214:BA221)</f>
        <v>0</v>
      </c>
    </row>
    <row r="221" spans="1:101" ht="15" x14ac:dyDescent="0.2">
      <c r="C221" s="134" t="s">
        <v>504</v>
      </c>
      <c r="D221" s="134"/>
      <c r="E221" s="134"/>
      <c r="F221" s="134"/>
      <c r="G221" s="134"/>
      <c r="H221" s="134"/>
      <c r="I221" s="135">
        <f>IF(E214&lt;&gt;0,K221/E214, 0)</f>
        <v>1413.78125</v>
      </c>
      <c r="J221" s="135"/>
      <c r="K221" s="135">
        <f>L214+L219+L220</f>
        <v>113102.5</v>
      </c>
      <c r="L221" s="135"/>
      <c r="AD221">
        <f>ROUND((Source!AT45/100)*((ROUND((ROUND(Source!AO45,2)*ROUND(((0.15+1)*1.25),7))*Source!I45, 2)+ROUND((ROUND(Source!AN45,2)*ROUND(((0.15+1)*1.25),7))*Source!I45, 2))), 2)</f>
        <v>0</v>
      </c>
      <c r="AE221">
        <f>ROUND((Source!AU45/100)*((ROUND((ROUND(Source!AO45,2)*ROUND(((0.15+1)*1.25),7))*Source!I45, 2)+ROUND((ROUND(Source!AN45,2)*ROUND(((0.15+1)*1.25),7))*Source!I45, 2))), 2)</f>
        <v>0</v>
      </c>
      <c r="AN221" s="70">
        <f>L214+L219+L220</f>
        <v>113102.5</v>
      </c>
      <c r="AO221" s="70">
        <f>L214</f>
        <v>113102.5</v>
      </c>
      <c r="AQ221" t="s">
        <v>505</v>
      </c>
      <c r="AR221">
        <f>0</f>
        <v>0</v>
      </c>
      <c r="AT221">
        <f>0</f>
        <v>0</v>
      </c>
      <c r="AV221" t="s">
        <v>505</v>
      </c>
      <c r="AW221">
        <f>0</f>
        <v>0</v>
      </c>
      <c r="AZ221">
        <f>Source!X45</f>
        <v>0</v>
      </c>
      <c r="BA221">
        <f>Source!Y45</f>
        <v>0</v>
      </c>
      <c r="CD221">
        <v>1</v>
      </c>
    </row>
    <row r="223" spans="1:101" ht="15" x14ac:dyDescent="0.2">
      <c r="A223" s="78"/>
      <c r="B223" s="79"/>
      <c r="C223" s="129" t="s">
        <v>539</v>
      </c>
      <c r="D223" s="129"/>
      <c r="E223" s="129"/>
      <c r="F223" s="129"/>
      <c r="G223" s="129"/>
      <c r="H223" s="129"/>
      <c r="I223" s="64"/>
      <c r="J223" s="78"/>
      <c r="K223" s="80"/>
      <c r="L223" s="64">
        <f>L225+L226+L232+L236</f>
        <v>147171.34</v>
      </c>
    </row>
    <row r="224" spans="1:101" ht="14.25" x14ac:dyDescent="0.2">
      <c r="A224" s="73"/>
      <c r="B224" s="77"/>
      <c r="C224" s="130" t="s">
        <v>540</v>
      </c>
      <c r="D224" s="124"/>
      <c r="E224" s="124"/>
      <c r="F224" s="124"/>
      <c r="G224" s="124"/>
      <c r="H224" s="124"/>
      <c r="I224" s="58"/>
      <c r="J224" s="73"/>
      <c r="K224" s="56"/>
      <c r="L224" s="58"/>
    </row>
    <row r="225" spans="1:12" ht="14.25" x14ac:dyDescent="0.2">
      <c r="A225" s="73"/>
      <c r="B225" s="77"/>
      <c r="C225" s="124" t="s">
        <v>541</v>
      </c>
      <c r="D225" s="124"/>
      <c r="E225" s="124"/>
      <c r="F225" s="124"/>
      <c r="G225" s="124"/>
      <c r="H225" s="124"/>
      <c r="I225" s="58"/>
      <c r="J225" s="73"/>
      <c r="K225" s="56"/>
      <c r="L225" s="58">
        <f>SUM(AR61:AR221)</f>
        <v>17602.239999999998</v>
      </c>
    </row>
    <row r="226" spans="1:12" ht="14.25" hidden="1" x14ac:dyDescent="0.2">
      <c r="A226" s="73"/>
      <c r="B226" s="77"/>
      <c r="C226" s="124" t="s">
        <v>542</v>
      </c>
      <c r="D226" s="124"/>
      <c r="E226" s="124"/>
      <c r="F226" s="124"/>
      <c r="G226" s="124"/>
      <c r="H226" s="124"/>
      <c r="I226" s="58"/>
      <c r="J226" s="73"/>
      <c r="K226" s="56"/>
      <c r="L226" s="58">
        <f>L228+L231+L230</f>
        <v>113380.3</v>
      </c>
    </row>
    <row r="227" spans="1:12" ht="14.25" hidden="1" x14ac:dyDescent="0.2">
      <c r="A227" s="73"/>
      <c r="B227" s="77"/>
      <c r="C227" s="130" t="s">
        <v>543</v>
      </c>
      <c r="D227" s="124"/>
      <c r="E227" s="124"/>
      <c r="F227" s="124"/>
      <c r="G227" s="124"/>
      <c r="H227" s="124"/>
      <c r="I227" s="58"/>
      <c r="J227" s="73"/>
      <c r="K227" s="56"/>
      <c r="L227" s="58"/>
    </row>
    <row r="228" spans="1:12" ht="14.25" x14ac:dyDescent="0.2">
      <c r="A228" s="73"/>
      <c r="B228" s="77"/>
      <c r="C228" s="124" t="s">
        <v>542</v>
      </c>
      <c r="D228" s="124"/>
      <c r="E228" s="124"/>
      <c r="F228" s="124"/>
      <c r="G228" s="124"/>
      <c r="H228" s="124"/>
      <c r="I228" s="58"/>
      <c r="J228" s="73"/>
      <c r="K228" s="56"/>
      <c r="L228" s="58">
        <f>SUM(AO61:AO221)</f>
        <v>113263.77</v>
      </c>
    </row>
    <row r="229" spans="1:12" ht="14.25" hidden="1" x14ac:dyDescent="0.2">
      <c r="A229" s="73"/>
      <c r="B229" s="77"/>
      <c r="C229" s="130" t="s">
        <v>544</v>
      </c>
      <c r="D229" s="124"/>
      <c r="E229" s="124"/>
      <c r="F229" s="124"/>
      <c r="G229" s="124"/>
      <c r="H229" s="124"/>
      <c r="I229" s="58"/>
      <c r="J229" s="73"/>
      <c r="K229" s="56"/>
      <c r="L229" s="58"/>
    </row>
    <row r="230" spans="1:12" ht="14.25" x14ac:dyDescent="0.2">
      <c r="A230" s="73"/>
      <c r="B230" s="77"/>
      <c r="C230" s="124" t="s">
        <v>564</v>
      </c>
      <c r="D230" s="124"/>
      <c r="E230" s="124"/>
      <c r="F230" s="124"/>
      <c r="G230" s="124"/>
      <c r="H230" s="124"/>
      <c r="I230" s="58"/>
      <c r="J230" s="73"/>
      <c r="K230" s="56"/>
      <c r="L230" s="58">
        <f>SUM(AT61:AT221)</f>
        <v>116.52999999999999</v>
      </c>
    </row>
    <row r="231" spans="1:12" ht="14.25" hidden="1" x14ac:dyDescent="0.2">
      <c r="A231" s="73"/>
      <c r="B231" s="77"/>
      <c r="C231" s="124" t="s">
        <v>545</v>
      </c>
      <c r="D231" s="124"/>
      <c r="E231" s="124"/>
      <c r="F231" s="124"/>
      <c r="G231" s="124"/>
      <c r="H231" s="124"/>
      <c r="I231" s="58"/>
      <c r="J231" s="73"/>
      <c r="K231" s="56"/>
      <c r="L231" s="58">
        <f>SUM(AV61:AV221)</f>
        <v>0</v>
      </c>
    </row>
    <row r="232" spans="1:12" ht="14.25" x14ac:dyDescent="0.2">
      <c r="A232" s="73"/>
      <c r="B232" s="77"/>
      <c r="C232" s="124" t="s">
        <v>546</v>
      </c>
      <c r="D232" s="124"/>
      <c r="E232" s="124"/>
      <c r="F232" s="124"/>
      <c r="G232" s="124"/>
      <c r="H232" s="124"/>
      <c r="I232" s="58"/>
      <c r="J232" s="73"/>
      <c r="K232" s="56"/>
      <c r="L232" s="58">
        <f>L234+L235</f>
        <v>16188.800000000001</v>
      </c>
    </row>
    <row r="233" spans="1:12" ht="14.25" x14ac:dyDescent="0.2">
      <c r="A233" s="73"/>
      <c r="B233" s="77"/>
      <c r="C233" s="130" t="s">
        <v>543</v>
      </c>
      <c r="D233" s="124"/>
      <c r="E233" s="124"/>
      <c r="F233" s="124"/>
      <c r="G233" s="124"/>
      <c r="H233" s="124"/>
      <c r="I233" s="58"/>
      <c r="J233" s="73"/>
      <c r="K233" s="56"/>
      <c r="L233" s="58"/>
    </row>
    <row r="234" spans="1:12" ht="14.25" x14ac:dyDescent="0.2">
      <c r="A234" s="73"/>
      <c r="B234" s="77"/>
      <c r="C234" s="124" t="s">
        <v>547</v>
      </c>
      <c r="D234" s="124"/>
      <c r="E234" s="124"/>
      <c r="F234" s="124"/>
      <c r="G234" s="124"/>
      <c r="H234" s="124"/>
      <c r="I234" s="58"/>
      <c r="J234" s="73"/>
      <c r="K234" s="56"/>
      <c r="L234" s="58">
        <f>SUM(AW61:AW221)-SUM(BK61:BK221)</f>
        <v>16188.800000000001</v>
      </c>
    </row>
    <row r="235" spans="1:12" ht="14.25" hidden="1" x14ac:dyDescent="0.2">
      <c r="A235" s="73"/>
      <c r="B235" s="77"/>
      <c r="C235" s="124" t="s">
        <v>548</v>
      </c>
      <c r="D235" s="124"/>
      <c r="E235" s="124"/>
      <c r="F235" s="124"/>
      <c r="G235" s="124"/>
      <c r="H235" s="124"/>
      <c r="I235" s="58"/>
      <c r="J235" s="73"/>
      <c r="K235" s="56"/>
      <c r="L235" s="58">
        <f>SUM(BC61:BC221)</f>
        <v>0</v>
      </c>
    </row>
    <row r="236" spans="1:12" ht="14.25" hidden="1" x14ac:dyDescent="0.2">
      <c r="A236" s="73"/>
      <c r="B236" s="77"/>
      <c r="C236" s="124" t="s">
        <v>549</v>
      </c>
      <c r="D236" s="124"/>
      <c r="E236" s="124"/>
      <c r="F236" s="124"/>
      <c r="G236" s="124"/>
      <c r="H236" s="124"/>
      <c r="I236" s="58"/>
      <c r="J236" s="73"/>
      <c r="K236" s="56"/>
      <c r="L236" s="58">
        <f>SUM(BB61:BB221)</f>
        <v>0</v>
      </c>
    </row>
    <row r="237" spans="1:12" ht="14.25" x14ac:dyDescent="0.2">
      <c r="A237" s="73"/>
      <c r="B237" s="77"/>
      <c r="C237" s="124" t="s">
        <v>550</v>
      </c>
      <c r="D237" s="124"/>
      <c r="E237" s="124"/>
      <c r="F237" s="124"/>
      <c r="G237" s="124"/>
      <c r="H237" s="124"/>
      <c r="I237" s="58"/>
      <c r="J237" s="73"/>
      <c r="K237" s="56"/>
      <c r="L237" s="58">
        <f>SUM(AR61:AR221)+SUM(AT61:AT221)+SUM(AV61:AV221)</f>
        <v>17718.769999999997</v>
      </c>
    </row>
    <row r="238" spans="1:12" ht="14.25" x14ac:dyDescent="0.2">
      <c r="A238" s="73"/>
      <c r="B238" s="77"/>
      <c r="C238" s="124" t="s">
        <v>551</v>
      </c>
      <c r="D238" s="124"/>
      <c r="E238" s="124"/>
      <c r="F238" s="124"/>
      <c r="G238" s="124"/>
      <c r="H238" s="124"/>
      <c r="I238" s="58"/>
      <c r="J238" s="73"/>
      <c r="K238" s="56"/>
      <c r="L238" s="58">
        <f>SUM(AZ61:AZ221)</f>
        <v>17955.64</v>
      </c>
    </row>
    <row r="239" spans="1:12" ht="14.25" x14ac:dyDescent="0.2">
      <c r="A239" s="73"/>
      <c r="B239" s="77"/>
      <c r="C239" s="124" t="s">
        <v>552</v>
      </c>
      <c r="D239" s="124"/>
      <c r="E239" s="124"/>
      <c r="F239" s="124"/>
      <c r="G239" s="124"/>
      <c r="H239" s="124"/>
      <c r="I239" s="58"/>
      <c r="J239" s="73"/>
      <c r="K239" s="56"/>
      <c r="L239" s="58">
        <f>SUM(BA61:BA221)</f>
        <v>9923.19</v>
      </c>
    </row>
    <row r="240" spans="1:12" ht="14.25" hidden="1" x14ac:dyDescent="0.2">
      <c r="A240" s="73"/>
      <c r="B240" s="77"/>
      <c r="C240" s="124" t="s">
        <v>553</v>
      </c>
      <c r="D240" s="124"/>
      <c r="E240" s="124"/>
      <c r="F240" s="124"/>
      <c r="G240" s="124"/>
      <c r="H240" s="124"/>
      <c r="I240" s="58"/>
      <c r="J240" s="73"/>
      <c r="K240" s="56"/>
      <c r="L240" s="58">
        <f>L242+L243</f>
        <v>0</v>
      </c>
    </row>
    <row r="241" spans="1:12" ht="14.25" hidden="1" x14ac:dyDescent="0.2">
      <c r="A241" s="73"/>
      <c r="B241" s="77"/>
      <c r="C241" s="130" t="s">
        <v>540</v>
      </c>
      <c r="D241" s="124"/>
      <c r="E241" s="124"/>
      <c r="F241" s="124"/>
      <c r="G241" s="124"/>
      <c r="H241" s="124"/>
      <c r="I241" s="58"/>
      <c r="J241" s="73"/>
      <c r="K241" s="56"/>
      <c r="L241" s="58"/>
    </row>
    <row r="242" spans="1:12" ht="14.25" hidden="1" x14ac:dyDescent="0.2">
      <c r="A242" s="73"/>
      <c r="B242" s="77"/>
      <c r="C242" s="124" t="s">
        <v>554</v>
      </c>
      <c r="D242" s="124"/>
      <c r="E242" s="124"/>
      <c r="F242" s="124"/>
      <c r="G242" s="124"/>
      <c r="H242" s="124"/>
      <c r="I242" s="58"/>
      <c r="J242" s="73"/>
      <c r="K242" s="56"/>
      <c r="L242" s="58">
        <f>SUM(BK61:BK221)</f>
        <v>0</v>
      </c>
    </row>
    <row r="243" spans="1:12" ht="14.25" hidden="1" x14ac:dyDescent="0.2">
      <c r="A243" s="73"/>
      <c r="B243" s="77"/>
      <c r="C243" s="124" t="s">
        <v>555</v>
      </c>
      <c r="D243" s="124"/>
      <c r="E243" s="124"/>
      <c r="F243" s="124"/>
      <c r="G243" s="124"/>
      <c r="H243" s="124"/>
      <c r="I243" s="58"/>
      <c r="J243" s="73"/>
      <c r="K243" s="56"/>
      <c r="L243" s="58">
        <f>SUM(BD61:BD221)</f>
        <v>0</v>
      </c>
    </row>
    <row r="244" spans="1:12" ht="14.25" hidden="1" x14ac:dyDescent="0.2">
      <c r="A244" s="73"/>
      <c r="B244" s="77"/>
      <c r="C244" s="124" t="s">
        <v>556</v>
      </c>
      <c r="D244" s="124"/>
      <c r="E244" s="124"/>
      <c r="F244" s="124"/>
      <c r="G244" s="124"/>
      <c r="H244" s="124"/>
      <c r="I244" s="58"/>
      <c r="J244" s="73"/>
      <c r="K244" s="56"/>
      <c r="L244" s="58"/>
    </row>
    <row r="245" spans="1:12" ht="14.25" hidden="1" x14ac:dyDescent="0.2">
      <c r="A245" s="73"/>
      <c r="B245" s="77"/>
      <c r="C245" s="124" t="s">
        <v>556</v>
      </c>
      <c r="D245" s="124"/>
      <c r="E245" s="124"/>
      <c r="F245" s="124"/>
      <c r="G245" s="124"/>
      <c r="H245" s="124"/>
      <c r="I245" s="58"/>
      <c r="J245" s="73"/>
      <c r="K245" s="56"/>
      <c r="L245" s="58">
        <f>SUM(BQ61:BQ221)</f>
        <v>0</v>
      </c>
    </row>
    <row r="246" spans="1:12" ht="14.25" hidden="1" x14ac:dyDescent="0.2">
      <c r="A246" s="73"/>
      <c r="B246" s="77"/>
      <c r="C246" s="124" t="s">
        <v>557</v>
      </c>
      <c r="D246" s="124"/>
      <c r="E246" s="124"/>
      <c r="F246" s="124"/>
      <c r="G246" s="124"/>
      <c r="H246" s="124"/>
      <c r="I246" s="58"/>
      <c r="J246" s="73"/>
      <c r="K246" s="56"/>
      <c r="L246" s="58">
        <f>SUM(BO61:BO221)</f>
        <v>0</v>
      </c>
    </row>
    <row r="247" spans="1:12" ht="15" x14ac:dyDescent="0.2">
      <c r="A247" s="78"/>
      <c r="B247" s="79"/>
      <c r="C247" s="129" t="s">
        <v>558</v>
      </c>
      <c r="D247" s="129"/>
      <c r="E247" s="129"/>
      <c r="F247" s="129"/>
      <c r="G247" s="129"/>
      <c r="H247" s="129"/>
      <c r="I247" s="64"/>
      <c r="J247" s="78"/>
      <c r="K247" s="80"/>
      <c r="L247" s="64">
        <f>L223+L238+L239+L240+L245+L246</f>
        <v>175050.16999999998</v>
      </c>
    </row>
    <row r="248" spans="1:12" ht="14.25" x14ac:dyDescent="0.2">
      <c r="A248" s="73"/>
      <c r="B248" s="77"/>
      <c r="C248" s="130" t="s">
        <v>559</v>
      </c>
      <c r="D248" s="124"/>
      <c r="E248" s="124"/>
      <c r="F248" s="124"/>
      <c r="G248" s="124"/>
      <c r="H248" s="124"/>
      <c r="I248" s="58"/>
      <c r="J248" s="73"/>
      <c r="K248" s="56"/>
      <c r="L248" s="58"/>
    </row>
    <row r="249" spans="1:12" ht="14.25" x14ac:dyDescent="0.2">
      <c r="A249" s="73"/>
      <c r="B249" s="77"/>
      <c r="C249" s="124" t="s">
        <v>560</v>
      </c>
      <c r="D249" s="124"/>
      <c r="E249" s="124"/>
      <c r="F249" s="124"/>
      <c r="G249" s="124"/>
      <c r="H249" s="124"/>
      <c r="I249" s="58"/>
      <c r="J249" s="73"/>
      <c r="K249" s="56"/>
      <c r="L249" s="58">
        <f>SUM(AX61:AX221)</f>
        <v>14476.16</v>
      </c>
    </row>
    <row r="250" spans="1:12" ht="14.25" hidden="1" x14ac:dyDescent="0.2">
      <c r="A250" s="73"/>
      <c r="B250" s="77"/>
      <c r="C250" s="124" t="s">
        <v>561</v>
      </c>
      <c r="D250" s="124"/>
      <c r="E250" s="124"/>
      <c r="F250" s="124"/>
      <c r="G250" s="124"/>
      <c r="H250" s="124"/>
      <c r="I250" s="58"/>
      <c r="J250" s="73"/>
      <c r="K250" s="56"/>
      <c r="L250" s="58">
        <f>SUM(AY61:AY221)</f>
        <v>0</v>
      </c>
    </row>
    <row r="251" spans="1:12" ht="14.25" x14ac:dyDescent="0.2">
      <c r="A251" s="73"/>
      <c r="B251" s="77"/>
      <c r="C251" s="124" t="s">
        <v>562</v>
      </c>
      <c r="D251" s="124"/>
      <c r="E251" s="124"/>
      <c r="F251" s="125"/>
      <c r="G251" s="63">
        <f>Source!F69</f>
        <v>27.805955000000001</v>
      </c>
      <c r="H251" s="73"/>
      <c r="I251" s="73"/>
      <c r="J251" s="73"/>
      <c r="K251" s="73"/>
      <c r="L251" s="73"/>
    </row>
    <row r="252" spans="1:12" ht="14.25" x14ac:dyDescent="0.2">
      <c r="A252" s="73"/>
      <c r="B252" s="77"/>
      <c r="C252" s="124" t="s">
        <v>563</v>
      </c>
      <c r="D252" s="124"/>
      <c r="E252" s="124"/>
      <c r="F252" s="125"/>
      <c r="G252" s="63">
        <f>Source!F70</f>
        <v>0.16423979999999999</v>
      </c>
      <c r="H252" s="73"/>
      <c r="I252" s="73"/>
      <c r="J252" s="73"/>
      <c r="K252" s="73"/>
      <c r="L252" s="73"/>
    </row>
    <row r="255" spans="1:12" ht="15" x14ac:dyDescent="0.2">
      <c r="A255" s="81"/>
      <c r="B255" s="82"/>
      <c r="C255" s="131" t="s">
        <v>565</v>
      </c>
      <c r="D255" s="131"/>
      <c r="E255" s="131"/>
      <c r="F255" s="131"/>
      <c r="G255" s="131"/>
      <c r="H255" s="131"/>
      <c r="I255" s="83"/>
      <c r="J255" s="81"/>
      <c r="K255" s="84"/>
      <c r="L255" s="83"/>
    </row>
    <row r="257" spans="1:12" ht="15" x14ac:dyDescent="0.2">
      <c r="A257" s="78"/>
      <c r="B257" s="79"/>
      <c r="C257" s="129" t="s">
        <v>566</v>
      </c>
      <c r="D257" s="129"/>
      <c r="E257" s="129"/>
      <c r="F257" s="129"/>
      <c r="G257" s="129"/>
      <c r="H257" s="129"/>
      <c r="I257" s="64"/>
      <c r="J257" s="78"/>
      <c r="K257" s="80"/>
      <c r="L257" s="64">
        <f>L259+L274+L275</f>
        <v>175050.16999999998</v>
      </c>
    </row>
    <row r="258" spans="1:12" ht="14.25" x14ac:dyDescent="0.2">
      <c r="A258" s="73"/>
      <c r="B258" s="77"/>
      <c r="C258" s="130" t="s">
        <v>540</v>
      </c>
      <c r="D258" s="124"/>
      <c r="E258" s="124"/>
      <c r="F258" s="124"/>
      <c r="G258" s="124"/>
      <c r="H258" s="124"/>
      <c r="I258" s="58"/>
      <c r="J258" s="73"/>
      <c r="K258" s="56"/>
      <c r="L258" s="58"/>
    </row>
    <row r="259" spans="1:12" ht="14.25" x14ac:dyDescent="0.2">
      <c r="A259" s="73"/>
      <c r="B259" s="77"/>
      <c r="C259" s="124" t="s">
        <v>567</v>
      </c>
      <c r="D259" s="124"/>
      <c r="E259" s="124"/>
      <c r="F259" s="124"/>
      <c r="G259" s="124"/>
      <c r="H259" s="124"/>
      <c r="I259" s="58"/>
      <c r="J259" s="73"/>
      <c r="K259" s="56"/>
      <c r="L259" s="58">
        <f>L261+L262+L268+L272</f>
        <v>147171.34</v>
      </c>
    </row>
    <row r="260" spans="1:12" ht="14.25" x14ac:dyDescent="0.2">
      <c r="A260" s="73"/>
      <c r="B260" s="77"/>
      <c r="C260" s="130" t="s">
        <v>540</v>
      </c>
      <c r="D260" s="124"/>
      <c r="E260" s="124"/>
      <c r="F260" s="124"/>
      <c r="G260" s="124"/>
      <c r="H260" s="124"/>
      <c r="I260" s="58"/>
      <c r="J260" s="73"/>
      <c r="K260" s="56"/>
      <c r="L260" s="58"/>
    </row>
    <row r="261" spans="1:12" ht="14.25" x14ac:dyDescent="0.2">
      <c r="A261" s="73"/>
      <c r="B261" s="77"/>
      <c r="C261" s="124" t="s">
        <v>568</v>
      </c>
      <c r="D261" s="124"/>
      <c r="E261" s="124"/>
      <c r="F261" s="124"/>
      <c r="G261" s="124"/>
      <c r="H261" s="124"/>
      <c r="I261" s="58"/>
      <c r="J261" s="73"/>
      <c r="K261" s="56"/>
      <c r="L261" s="58">
        <f>SUMIF(CD60:CD253, 1, AR60:AR253)</f>
        <v>17602.239999999998</v>
      </c>
    </row>
    <row r="262" spans="1:12" ht="14.25" hidden="1" x14ac:dyDescent="0.2">
      <c r="A262" s="73"/>
      <c r="B262" s="77"/>
      <c r="C262" s="124" t="s">
        <v>542</v>
      </c>
      <c r="D262" s="124"/>
      <c r="E262" s="124"/>
      <c r="F262" s="124"/>
      <c r="G262" s="124"/>
      <c r="H262" s="124"/>
      <c r="I262" s="58"/>
      <c r="J262" s="73"/>
      <c r="K262" s="56"/>
      <c r="L262" s="58">
        <f>L264+L267+L266</f>
        <v>113380.3</v>
      </c>
    </row>
    <row r="263" spans="1:12" ht="14.25" hidden="1" x14ac:dyDescent="0.2">
      <c r="A263" s="73"/>
      <c r="B263" s="77"/>
      <c r="C263" s="130" t="s">
        <v>543</v>
      </c>
      <c r="D263" s="124"/>
      <c r="E263" s="124"/>
      <c r="F263" s="124"/>
      <c r="G263" s="124"/>
      <c r="H263" s="124"/>
      <c r="I263" s="58"/>
      <c r="J263" s="73"/>
      <c r="K263" s="56"/>
      <c r="L263" s="58"/>
    </row>
    <row r="264" spans="1:12" ht="14.25" x14ac:dyDescent="0.2">
      <c r="A264" s="73"/>
      <c r="B264" s="77"/>
      <c r="C264" s="124" t="s">
        <v>542</v>
      </c>
      <c r="D264" s="124"/>
      <c r="E264" s="124"/>
      <c r="F264" s="124"/>
      <c r="G264" s="124"/>
      <c r="H264" s="124"/>
      <c r="I264" s="58"/>
      <c r="J264" s="73"/>
      <c r="K264" s="56"/>
      <c r="L264" s="58">
        <f>SUMIF(CD60:CD253, 1, AO60:AO253)</f>
        <v>113263.77</v>
      </c>
    </row>
    <row r="265" spans="1:12" ht="14.25" hidden="1" x14ac:dyDescent="0.2">
      <c r="A265" s="73"/>
      <c r="B265" s="77"/>
      <c r="C265" s="130" t="s">
        <v>544</v>
      </c>
      <c r="D265" s="124"/>
      <c r="E265" s="124"/>
      <c r="F265" s="124"/>
      <c r="G265" s="124"/>
      <c r="H265" s="124"/>
      <c r="I265" s="58"/>
      <c r="J265" s="73"/>
      <c r="K265" s="56"/>
      <c r="L265" s="58"/>
    </row>
    <row r="266" spans="1:12" ht="14.25" x14ac:dyDescent="0.2">
      <c r="A266" s="73"/>
      <c r="B266" s="77"/>
      <c r="C266" s="124" t="s">
        <v>564</v>
      </c>
      <c r="D266" s="124"/>
      <c r="E266" s="124"/>
      <c r="F266" s="124"/>
      <c r="G266" s="124"/>
      <c r="H266" s="124"/>
      <c r="I266" s="58"/>
      <c r="J266" s="73"/>
      <c r="K266" s="56"/>
      <c r="L266" s="58">
        <f>SUMIF(CD60:CD253, 1, AT60:AT253)</f>
        <v>116.52999999999999</v>
      </c>
    </row>
    <row r="267" spans="1:12" ht="14.25" hidden="1" x14ac:dyDescent="0.2">
      <c r="A267" s="73"/>
      <c r="B267" s="77"/>
      <c r="C267" s="124" t="s">
        <v>545</v>
      </c>
      <c r="D267" s="124"/>
      <c r="E267" s="124"/>
      <c r="F267" s="124"/>
      <c r="G267" s="124"/>
      <c r="H267" s="124"/>
      <c r="I267" s="58"/>
      <c r="J267" s="73"/>
      <c r="K267" s="56"/>
      <c r="L267" s="58">
        <f>SUMIF(CD60:CD253, 1, AV60:AV253)</f>
        <v>0</v>
      </c>
    </row>
    <row r="268" spans="1:12" ht="14.25" x14ac:dyDescent="0.2">
      <c r="A268" s="73"/>
      <c r="B268" s="77"/>
      <c r="C268" s="124" t="s">
        <v>546</v>
      </c>
      <c r="D268" s="124"/>
      <c r="E268" s="124"/>
      <c r="F268" s="124"/>
      <c r="G268" s="124"/>
      <c r="H268" s="124"/>
      <c r="I268" s="58"/>
      <c r="J268" s="73"/>
      <c r="K268" s="56"/>
      <c r="L268" s="58">
        <f>L270+L271</f>
        <v>16188.800000000001</v>
      </c>
    </row>
    <row r="269" spans="1:12" ht="14.25" x14ac:dyDescent="0.2">
      <c r="A269" s="73"/>
      <c r="B269" s="77"/>
      <c r="C269" s="130" t="s">
        <v>543</v>
      </c>
      <c r="D269" s="124"/>
      <c r="E269" s="124"/>
      <c r="F269" s="124"/>
      <c r="G269" s="124"/>
      <c r="H269" s="124"/>
      <c r="I269" s="58"/>
      <c r="J269" s="73"/>
      <c r="K269" s="56"/>
      <c r="L269" s="58"/>
    </row>
    <row r="270" spans="1:12" ht="14.25" x14ac:dyDescent="0.2">
      <c r="A270" s="73"/>
      <c r="B270" s="77"/>
      <c r="C270" s="124" t="s">
        <v>547</v>
      </c>
      <c r="D270" s="124"/>
      <c r="E270" s="124"/>
      <c r="F270" s="124"/>
      <c r="G270" s="124"/>
      <c r="H270" s="124"/>
      <c r="I270" s="58"/>
      <c r="J270" s="73"/>
      <c r="K270" s="56"/>
      <c r="L270" s="58">
        <f>SUMIF(CD60:CD253, 1, AW60:AW253)-SUMIF(CD60:CD253, 1, BK60:BK253)</f>
        <v>16188.800000000001</v>
      </c>
    </row>
    <row r="271" spans="1:12" ht="14.25" hidden="1" x14ac:dyDescent="0.2">
      <c r="A271" s="73"/>
      <c r="B271" s="77"/>
      <c r="C271" s="124" t="s">
        <v>548</v>
      </c>
      <c r="D271" s="124"/>
      <c r="E271" s="124"/>
      <c r="F271" s="124"/>
      <c r="G271" s="124"/>
      <c r="H271" s="124"/>
      <c r="I271" s="58"/>
      <c r="J271" s="73"/>
      <c r="K271" s="56"/>
      <c r="L271" s="58">
        <f>SUMIF(CD60:CD253, 1, BC60:BC253)</f>
        <v>0</v>
      </c>
    </row>
    <row r="272" spans="1:12" ht="14.25" hidden="1" x14ac:dyDescent="0.2">
      <c r="A272" s="73"/>
      <c r="B272" s="77"/>
      <c r="C272" s="124" t="s">
        <v>549</v>
      </c>
      <c r="D272" s="124"/>
      <c r="E272" s="124"/>
      <c r="F272" s="124"/>
      <c r="G272" s="124"/>
      <c r="H272" s="124"/>
      <c r="I272" s="58"/>
      <c r="J272" s="73"/>
      <c r="K272" s="56"/>
      <c r="L272" s="58">
        <f>SUMIF(CD60:CD253, 1, BB60:BB253)</f>
        <v>0</v>
      </c>
    </row>
    <row r="273" spans="1:12" ht="14.25" x14ac:dyDescent="0.2">
      <c r="A273" s="73"/>
      <c r="B273" s="77"/>
      <c r="C273" s="124" t="s">
        <v>569</v>
      </c>
      <c r="D273" s="124"/>
      <c r="E273" s="124"/>
      <c r="F273" s="124"/>
      <c r="G273" s="124"/>
      <c r="H273" s="124"/>
      <c r="I273" s="58"/>
      <c r="J273" s="73"/>
      <c r="K273" s="56"/>
      <c r="L273" s="58">
        <f>SUMIF(CD60:CD253, 1, AR60:AR253)+SUMIF(CD60:CD253, 1, AT60:AT253)+SUMIF(CD60:CD253, 1, AV60:AV253)</f>
        <v>17718.769999999997</v>
      </c>
    </row>
    <row r="274" spans="1:12" ht="14.25" x14ac:dyDescent="0.2">
      <c r="A274" s="73"/>
      <c r="B274" s="77"/>
      <c r="C274" s="124" t="s">
        <v>570</v>
      </c>
      <c r="D274" s="124"/>
      <c r="E274" s="124"/>
      <c r="F274" s="124"/>
      <c r="G274" s="124"/>
      <c r="H274" s="124"/>
      <c r="I274" s="58"/>
      <c r="J274" s="73"/>
      <c r="K274" s="56"/>
      <c r="L274" s="58">
        <f>SUMIF(CD60:CD253, 1, AZ60:AZ253)</f>
        <v>17955.64</v>
      </c>
    </row>
    <row r="275" spans="1:12" ht="14.25" x14ac:dyDescent="0.2">
      <c r="A275" s="73"/>
      <c r="B275" s="77"/>
      <c r="C275" s="124" t="s">
        <v>571</v>
      </c>
      <c r="D275" s="124"/>
      <c r="E275" s="124"/>
      <c r="F275" s="124"/>
      <c r="G275" s="124"/>
      <c r="H275" s="124"/>
      <c r="I275" s="58"/>
      <c r="J275" s="73"/>
      <c r="K275" s="56"/>
      <c r="L275" s="58">
        <f>SUMIF(CD60:CD253, 1, BA60:BA253)</f>
        <v>9923.19</v>
      </c>
    </row>
    <row r="276" spans="1:12" hidden="1" x14ac:dyDescent="0.2"/>
    <row r="277" spans="1:12" ht="15" hidden="1" x14ac:dyDescent="0.2">
      <c r="A277" s="78"/>
      <c r="B277" s="79"/>
      <c r="C277" s="129" t="s">
        <v>572</v>
      </c>
      <c r="D277" s="129"/>
      <c r="E277" s="129"/>
      <c r="F277" s="129"/>
      <c r="G277" s="129"/>
      <c r="H277" s="129"/>
      <c r="I277" s="64"/>
      <c r="J277" s="78"/>
      <c r="K277" s="80"/>
      <c r="L277" s="64">
        <f>L279+L294+L295</f>
        <v>0</v>
      </c>
    </row>
    <row r="278" spans="1:12" ht="14.25" hidden="1" x14ac:dyDescent="0.2">
      <c r="A278" s="73"/>
      <c r="B278" s="77"/>
      <c r="C278" s="130" t="s">
        <v>540</v>
      </c>
      <c r="D278" s="124"/>
      <c r="E278" s="124"/>
      <c r="F278" s="124"/>
      <c r="G278" s="124"/>
      <c r="H278" s="124"/>
      <c r="I278" s="58"/>
      <c r="J278" s="73"/>
      <c r="K278" s="56"/>
      <c r="L278" s="58"/>
    </row>
    <row r="279" spans="1:12" ht="14.25" hidden="1" x14ac:dyDescent="0.2">
      <c r="A279" s="73"/>
      <c r="B279" s="77"/>
      <c r="C279" s="124" t="s">
        <v>567</v>
      </c>
      <c r="D279" s="124"/>
      <c r="E279" s="124"/>
      <c r="F279" s="124"/>
      <c r="G279" s="124"/>
      <c r="H279" s="124"/>
      <c r="I279" s="58"/>
      <c r="J279" s="73"/>
      <c r="K279" s="56"/>
      <c r="L279" s="58">
        <f>L281+L282+L288+L292</f>
        <v>0</v>
      </c>
    </row>
    <row r="280" spans="1:12" ht="14.25" hidden="1" x14ac:dyDescent="0.2">
      <c r="A280" s="73"/>
      <c r="B280" s="77"/>
      <c r="C280" s="130" t="s">
        <v>540</v>
      </c>
      <c r="D280" s="124"/>
      <c r="E280" s="124"/>
      <c r="F280" s="124"/>
      <c r="G280" s="124"/>
      <c r="H280" s="124"/>
      <c r="I280" s="58"/>
      <c r="J280" s="73"/>
      <c r="K280" s="56"/>
      <c r="L280" s="58"/>
    </row>
    <row r="281" spans="1:12" ht="14.25" hidden="1" x14ac:dyDescent="0.2">
      <c r="A281" s="73"/>
      <c r="B281" s="77"/>
      <c r="C281" s="124" t="s">
        <v>568</v>
      </c>
      <c r="D281" s="124"/>
      <c r="E281" s="124"/>
      <c r="F281" s="124"/>
      <c r="G281" s="124"/>
      <c r="H281" s="124"/>
      <c r="I281" s="58"/>
      <c r="J281" s="73"/>
      <c r="K281" s="56"/>
      <c r="L281" s="58">
        <f>SUMIF(CD60:CD275, 2, AR60:AR275)</f>
        <v>0</v>
      </c>
    </row>
    <row r="282" spans="1:12" ht="14.25" hidden="1" x14ac:dyDescent="0.2">
      <c r="A282" s="73"/>
      <c r="B282" s="77"/>
      <c r="C282" s="124" t="s">
        <v>542</v>
      </c>
      <c r="D282" s="124"/>
      <c r="E282" s="124"/>
      <c r="F282" s="124"/>
      <c r="G282" s="124"/>
      <c r="H282" s="124"/>
      <c r="I282" s="58"/>
      <c r="J282" s="73"/>
      <c r="K282" s="56"/>
      <c r="L282" s="58">
        <f>L284+L287+L286</f>
        <v>0</v>
      </c>
    </row>
    <row r="283" spans="1:12" ht="14.25" hidden="1" x14ac:dyDescent="0.2">
      <c r="A283" s="73"/>
      <c r="B283" s="77"/>
      <c r="C283" s="130" t="s">
        <v>543</v>
      </c>
      <c r="D283" s="124"/>
      <c r="E283" s="124"/>
      <c r="F283" s="124"/>
      <c r="G283" s="124"/>
      <c r="H283" s="124"/>
      <c r="I283" s="58"/>
      <c r="J283" s="73"/>
      <c r="K283" s="56"/>
      <c r="L283" s="58"/>
    </row>
    <row r="284" spans="1:12" ht="14.25" hidden="1" x14ac:dyDescent="0.2">
      <c r="A284" s="73"/>
      <c r="B284" s="77"/>
      <c r="C284" s="124" t="s">
        <v>542</v>
      </c>
      <c r="D284" s="124"/>
      <c r="E284" s="124"/>
      <c r="F284" s="124"/>
      <c r="G284" s="124"/>
      <c r="H284" s="124"/>
      <c r="I284" s="58"/>
      <c r="J284" s="73"/>
      <c r="K284" s="56"/>
      <c r="L284" s="58">
        <f>SUMIF(CD60:CD275, 2, AO60:AO275)</f>
        <v>0</v>
      </c>
    </row>
    <row r="285" spans="1:12" ht="14.25" hidden="1" x14ac:dyDescent="0.2">
      <c r="A285" s="73"/>
      <c r="B285" s="77"/>
      <c r="C285" s="130" t="s">
        <v>544</v>
      </c>
      <c r="D285" s="124"/>
      <c r="E285" s="124"/>
      <c r="F285" s="124"/>
      <c r="G285" s="124"/>
      <c r="H285" s="124"/>
      <c r="I285" s="58"/>
      <c r="J285" s="73"/>
      <c r="K285" s="56"/>
      <c r="L285" s="58"/>
    </row>
    <row r="286" spans="1:12" ht="14.25" hidden="1" x14ac:dyDescent="0.2">
      <c r="A286" s="73"/>
      <c r="B286" s="77"/>
      <c r="C286" s="124" t="s">
        <v>564</v>
      </c>
      <c r="D286" s="124"/>
      <c r="E286" s="124"/>
      <c r="F286" s="124"/>
      <c r="G286" s="124"/>
      <c r="H286" s="124"/>
      <c r="I286" s="58"/>
      <c r="J286" s="73"/>
      <c r="K286" s="56"/>
      <c r="L286" s="58">
        <f>SUMIF(CD60:CD275, 2, AT60:AT275)</f>
        <v>0</v>
      </c>
    </row>
    <row r="287" spans="1:12" ht="14.25" hidden="1" x14ac:dyDescent="0.2">
      <c r="A287" s="73"/>
      <c r="B287" s="77"/>
      <c r="C287" s="124" t="s">
        <v>545</v>
      </c>
      <c r="D287" s="124"/>
      <c r="E287" s="124"/>
      <c r="F287" s="124"/>
      <c r="G287" s="124"/>
      <c r="H287" s="124"/>
      <c r="I287" s="58"/>
      <c r="J287" s="73"/>
      <c r="K287" s="56"/>
      <c r="L287" s="58">
        <f>SUMIF(CD60:CD275, 2, AV60:AV275)</f>
        <v>0</v>
      </c>
    </row>
    <row r="288" spans="1:12" ht="14.25" hidden="1" x14ac:dyDescent="0.2">
      <c r="A288" s="73"/>
      <c r="B288" s="77"/>
      <c r="C288" s="124" t="s">
        <v>546</v>
      </c>
      <c r="D288" s="124"/>
      <c r="E288" s="124"/>
      <c r="F288" s="124"/>
      <c r="G288" s="124"/>
      <c r="H288" s="124"/>
      <c r="I288" s="58"/>
      <c r="J288" s="73"/>
      <c r="K288" s="56"/>
      <c r="L288" s="58">
        <f>L290+L291</f>
        <v>0</v>
      </c>
    </row>
    <row r="289" spans="1:12" ht="14.25" hidden="1" x14ac:dyDescent="0.2">
      <c r="A289" s="73"/>
      <c r="B289" s="77"/>
      <c r="C289" s="130" t="s">
        <v>543</v>
      </c>
      <c r="D289" s="124"/>
      <c r="E289" s="124"/>
      <c r="F289" s="124"/>
      <c r="G289" s="124"/>
      <c r="H289" s="124"/>
      <c r="I289" s="58"/>
      <c r="J289" s="73"/>
      <c r="K289" s="56"/>
      <c r="L289" s="58"/>
    </row>
    <row r="290" spans="1:12" ht="14.25" hidden="1" x14ac:dyDescent="0.2">
      <c r="A290" s="73"/>
      <c r="B290" s="77"/>
      <c r="C290" s="124" t="s">
        <v>547</v>
      </c>
      <c r="D290" s="124"/>
      <c r="E290" s="124"/>
      <c r="F290" s="124"/>
      <c r="G290" s="124"/>
      <c r="H290" s="124"/>
      <c r="I290" s="58"/>
      <c r="J290" s="73"/>
      <c r="K290" s="56"/>
      <c r="L290" s="58">
        <f>SUMIF(CD60:CD275, 2, AW60:AW275)-SUMIF(CD60:CD275, 2, BK60:BK275)</f>
        <v>0</v>
      </c>
    </row>
    <row r="291" spans="1:12" ht="14.25" hidden="1" x14ac:dyDescent="0.2">
      <c r="A291" s="73"/>
      <c r="B291" s="77"/>
      <c r="C291" s="124" t="s">
        <v>548</v>
      </c>
      <c r="D291" s="124"/>
      <c r="E291" s="124"/>
      <c r="F291" s="124"/>
      <c r="G291" s="124"/>
      <c r="H291" s="124"/>
      <c r="I291" s="58"/>
      <c r="J291" s="73"/>
      <c r="K291" s="56"/>
      <c r="L291" s="58">
        <f>SUMIF(CD60:CD275, 2, BC60:BC275)</f>
        <v>0</v>
      </c>
    </row>
    <row r="292" spans="1:12" ht="14.25" hidden="1" x14ac:dyDescent="0.2">
      <c r="A292" s="73"/>
      <c r="B292" s="77"/>
      <c r="C292" s="124" t="s">
        <v>549</v>
      </c>
      <c r="D292" s="124"/>
      <c r="E292" s="124"/>
      <c r="F292" s="124"/>
      <c r="G292" s="124"/>
      <c r="H292" s="124"/>
      <c r="I292" s="58"/>
      <c r="J292" s="73"/>
      <c r="K292" s="56"/>
      <c r="L292" s="58">
        <f>SUMIF(CD60:CD275, 2, BB60:BB275)</f>
        <v>0</v>
      </c>
    </row>
    <row r="293" spans="1:12" ht="14.25" hidden="1" x14ac:dyDescent="0.2">
      <c r="A293" s="73"/>
      <c r="B293" s="77"/>
      <c r="C293" s="124" t="s">
        <v>569</v>
      </c>
      <c r="D293" s="124"/>
      <c r="E293" s="124"/>
      <c r="F293" s="124"/>
      <c r="G293" s="124"/>
      <c r="H293" s="124"/>
      <c r="I293" s="58"/>
      <c r="J293" s="73"/>
      <c r="K293" s="56"/>
      <c r="L293" s="58">
        <f>SUMIF(CD60:CD275, 2, AR60:AR275)+SUMIF(CD60:CD275, 2, AT60:AT275)+SUMIF(CD60:CD275, 2, AV60:AV275)</f>
        <v>0</v>
      </c>
    </row>
    <row r="294" spans="1:12" ht="14.25" hidden="1" x14ac:dyDescent="0.2">
      <c r="A294" s="73"/>
      <c r="B294" s="77"/>
      <c r="C294" s="124" t="s">
        <v>570</v>
      </c>
      <c r="D294" s="124"/>
      <c r="E294" s="124"/>
      <c r="F294" s="124"/>
      <c r="G294" s="124"/>
      <c r="H294" s="124"/>
      <c r="I294" s="58"/>
      <c r="J294" s="73"/>
      <c r="K294" s="56"/>
      <c r="L294" s="58">
        <f>SUMIF(CD60:CD275, 2, AZ60:AZ275)</f>
        <v>0</v>
      </c>
    </row>
    <row r="295" spans="1:12" ht="14.25" hidden="1" x14ac:dyDescent="0.2">
      <c r="A295" s="73"/>
      <c r="B295" s="77"/>
      <c r="C295" s="124" t="s">
        <v>571</v>
      </c>
      <c r="D295" s="124"/>
      <c r="E295" s="124"/>
      <c r="F295" s="124"/>
      <c r="G295" s="124"/>
      <c r="H295" s="124"/>
      <c r="I295" s="58"/>
      <c r="J295" s="73"/>
      <c r="K295" s="56"/>
      <c r="L295" s="58">
        <f>SUMIF(CD60:CD275, 2, BA60:BA275)</f>
        <v>0</v>
      </c>
    </row>
    <row r="296" spans="1:12" hidden="1" x14ac:dyDescent="0.2"/>
    <row r="297" spans="1:12" ht="15" hidden="1" x14ac:dyDescent="0.2">
      <c r="A297" s="78"/>
      <c r="B297" s="79"/>
      <c r="C297" s="129" t="s">
        <v>573</v>
      </c>
      <c r="D297" s="129"/>
      <c r="E297" s="129"/>
      <c r="F297" s="129"/>
      <c r="G297" s="129"/>
      <c r="H297" s="129"/>
      <c r="I297" s="64"/>
      <c r="J297" s="78"/>
      <c r="K297" s="80"/>
      <c r="L297" s="64">
        <f>L299+L300</f>
        <v>0</v>
      </c>
    </row>
    <row r="298" spans="1:12" ht="14.25" hidden="1" x14ac:dyDescent="0.2">
      <c r="A298" s="73"/>
      <c r="B298" s="77"/>
      <c r="C298" s="130" t="s">
        <v>540</v>
      </c>
      <c r="D298" s="124"/>
      <c r="E298" s="124"/>
      <c r="F298" s="124"/>
      <c r="G298" s="124"/>
      <c r="H298" s="124"/>
      <c r="I298" s="58"/>
      <c r="J298" s="73"/>
      <c r="K298" s="56"/>
      <c r="L298" s="58"/>
    </row>
    <row r="299" spans="1:12" ht="14.25" hidden="1" x14ac:dyDescent="0.2">
      <c r="A299" s="73"/>
      <c r="B299" s="77"/>
      <c r="C299" s="124" t="s">
        <v>554</v>
      </c>
      <c r="D299" s="124"/>
      <c r="E299" s="124"/>
      <c r="F299" s="124"/>
      <c r="G299" s="124"/>
      <c r="H299" s="124"/>
      <c r="I299" s="58"/>
      <c r="J299" s="73"/>
      <c r="K299" s="56"/>
      <c r="L299" s="58">
        <f>SUMIF(CD60:CD295, 3, BK60:BK295)</f>
        <v>0</v>
      </c>
    </row>
    <row r="300" spans="1:12" ht="14.25" hidden="1" x14ac:dyDescent="0.2">
      <c r="A300" s="73"/>
      <c r="B300" s="77"/>
      <c r="C300" s="124" t="s">
        <v>555</v>
      </c>
      <c r="D300" s="124"/>
      <c r="E300" s="124"/>
      <c r="F300" s="124"/>
      <c r="G300" s="124"/>
      <c r="H300" s="124"/>
      <c r="I300" s="58"/>
      <c r="J300" s="73"/>
      <c r="K300" s="56"/>
      <c r="L300" s="58">
        <f>SUMIF(CD60:CD295, 3, BD60:BD295)</f>
        <v>0</v>
      </c>
    </row>
    <row r="301" spans="1:12" hidden="1" x14ac:dyDescent="0.2"/>
    <row r="302" spans="1:12" ht="15" hidden="1" x14ac:dyDescent="0.2">
      <c r="A302" s="78"/>
      <c r="B302" s="79"/>
      <c r="C302" s="129" t="s">
        <v>574</v>
      </c>
      <c r="D302" s="129"/>
      <c r="E302" s="129"/>
      <c r="F302" s="129"/>
      <c r="G302" s="129"/>
      <c r="H302" s="129"/>
      <c r="I302" s="64"/>
      <c r="J302" s="78"/>
      <c r="K302" s="80"/>
      <c r="L302" s="64">
        <f>L310+L325+L326+L304+L305+L306+L307</f>
        <v>0</v>
      </c>
    </row>
    <row r="303" spans="1:12" ht="14.25" hidden="1" x14ac:dyDescent="0.2">
      <c r="A303" s="73"/>
      <c r="B303" s="77"/>
      <c r="C303" s="130" t="s">
        <v>540</v>
      </c>
      <c r="D303" s="124"/>
      <c r="E303" s="124"/>
      <c r="F303" s="124"/>
      <c r="G303" s="124"/>
      <c r="H303" s="124"/>
      <c r="I303" s="58"/>
      <c r="J303" s="73"/>
      <c r="K303" s="56"/>
      <c r="L303" s="58"/>
    </row>
    <row r="304" spans="1:12" ht="14.25" hidden="1" x14ac:dyDescent="0.2">
      <c r="A304" s="73"/>
      <c r="B304" s="77"/>
      <c r="C304" s="124" t="s">
        <v>575</v>
      </c>
      <c r="D304" s="124"/>
      <c r="E304" s="124"/>
      <c r="F304" s="124"/>
      <c r="G304" s="124"/>
      <c r="H304" s="124"/>
      <c r="I304" s="58"/>
      <c r="J304" s="73"/>
      <c r="K304" s="56"/>
      <c r="L304" s="58"/>
    </row>
    <row r="305" spans="1:12" ht="14.25" hidden="1" x14ac:dyDescent="0.2">
      <c r="A305" s="73"/>
      <c r="B305" s="77"/>
      <c r="C305" s="124" t="s">
        <v>575</v>
      </c>
      <c r="D305" s="124"/>
      <c r="E305" s="124"/>
      <c r="F305" s="124"/>
      <c r="G305" s="124"/>
      <c r="H305" s="124"/>
      <c r="I305" s="58"/>
      <c r="J305" s="73"/>
      <c r="K305" s="56"/>
      <c r="L305" s="58">
        <f>SUM(BQ60:BQ300)</f>
        <v>0</v>
      </c>
    </row>
    <row r="306" spans="1:12" ht="14.25" hidden="1" x14ac:dyDescent="0.2">
      <c r="A306" s="73"/>
      <c r="B306" s="77"/>
      <c r="C306" s="124" t="s">
        <v>576</v>
      </c>
      <c r="D306" s="124"/>
      <c r="E306" s="124"/>
      <c r="F306" s="124"/>
      <c r="G306" s="124"/>
      <c r="H306" s="124"/>
      <c r="I306" s="58"/>
      <c r="J306" s="73"/>
      <c r="K306" s="56"/>
      <c r="L306" s="58">
        <f>SUMIF(CD60:CD300, 4, BB60:BB300)+SUMIF(CD60:CD300, 4, BC60:BC300)+SUMIF(CD60:CD300, 4, BD60:BD300)</f>
        <v>0</v>
      </c>
    </row>
    <row r="307" spans="1:12" ht="14.25" hidden="1" x14ac:dyDescent="0.2">
      <c r="A307" s="73"/>
      <c r="B307" s="77"/>
      <c r="C307" s="124" t="s">
        <v>577</v>
      </c>
      <c r="D307" s="124"/>
      <c r="E307" s="124"/>
      <c r="F307" s="124"/>
      <c r="G307" s="124"/>
      <c r="H307" s="124"/>
      <c r="I307" s="58"/>
      <c r="J307" s="73"/>
      <c r="K307" s="56"/>
      <c r="L307" s="58">
        <f>SUM(BO60:BO300)</f>
        <v>0</v>
      </c>
    </row>
    <row r="308" spans="1:12" ht="14.25" hidden="1" x14ac:dyDescent="0.2">
      <c r="A308" s="73"/>
      <c r="B308" s="77"/>
      <c r="C308" s="124" t="s">
        <v>578</v>
      </c>
      <c r="D308" s="124"/>
      <c r="E308" s="124"/>
      <c r="F308" s="124"/>
      <c r="G308" s="124"/>
      <c r="H308" s="124"/>
      <c r="I308" s="58"/>
      <c r="J308" s="73"/>
      <c r="K308" s="56"/>
      <c r="L308" s="58">
        <f>L310+L325+L326</f>
        <v>0</v>
      </c>
    </row>
    <row r="309" spans="1:12" ht="14.25" hidden="1" x14ac:dyDescent="0.2">
      <c r="A309" s="73"/>
      <c r="B309" s="77"/>
      <c r="C309" s="130" t="s">
        <v>540</v>
      </c>
      <c r="D309" s="124"/>
      <c r="E309" s="124"/>
      <c r="F309" s="124"/>
      <c r="G309" s="124"/>
      <c r="H309" s="124"/>
      <c r="I309" s="58"/>
      <c r="J309" s="73"/>
      <c r="K309" s="56"/>
      <c r="L309" s="58"/>
    </row>
    <row r="310" spans="1:12" ht="14.25" hidden="1" x14ac:dyDescent="0.2">
      <c r="A310" s="73"/>
      <c r="B310" s="77"/>
      <c r="C310" s="124" t="s">
        <v>567</v>
      </c>
      <c r="D310" s="124"/>
      <c r="E310" s="124"/>
      <c r="F310" s="124"/>
      <c r="G310" s="124"/>
      <c r="H310" s="124"/>
      <c r="I310" s="58"/>
      <c r="J310" s="73"/>
      <c r="K310" s="56"/>
      <c r="L310" s="58">
        <f>L312+L313+L319+L323</f>
        <v>0</v>
      </c>
    </row>
    <row r="311" spans="1:12" ht="14.25" hidden="1" x14ac:dyDescent="0.2">
      <c r="A311" s="73"/>
      <c r="B311" s="77"/>
      <c r="C311" s="130" t="s">
        <v>540</v>
      </c>
      <c r="D311" s="124"/>
      <c r="E311" s="124"/>
      <c r="F311" s="124"/>
      <c r="G311" s="124"/>
      <c r="H311" s="124"/>
      <c r="I311" s="58"/>
      <c r="J311" s="73"/>
      <c r="K311" s="56"/>
      <c r="L311" s="58"/>
    </row>
    <row r="312" spans="1:12" ht="14.25" hidden="1" x14ac:dyDescent="0.2">
      <c r="A312" s="73"/>
      <c r="B312" s="77"/>
      <c r="C312" s="124" t="s">
        <v>568</v>
      </c>
      <c r="D312" s="124"/>
      <c r="E312" s="124"/>
      <c r="F312" s="124"/>
      <c r="G312" s="124"/>
      <c r="H312" s="124"/>
      <c r="I312" s="58"/>
      <c r="J312" s="73"/>
      <c r="K312" s="56"/>
      <c r="L312" s="58">
        <f>SUMIF(CD60:CD300, 4, AR60:AR300)</f>
        <v>0</v>
      </c>
    </row>
    <row r="313" spans="1:12" ht="14.25" hidden="1" x14ac:dyDescent="0.2">
      <c r="A313" s="73"/>
      <c r="B313" s="77"/>
      <c r="C313" s="124" t="s">
        <v>542</v>
      </c>
      <c r="D313" s="124"/>
      <c r="E313" s="124"/>
      <c r="F313" s="124"/>
      <c r="G313" s="124"/>
      <c r="H313" s="124"/>
      <c r="I313" s="58"/>
      <c r="J313" s="73"/>
      <c r="K313" s="56"/>
      <c r="L313" s="58">
        <f>L315+L318+L317</f>
        <v>0</v>
      </c>
    </row>
    <row r="314" spans="1:12" ht="14.25" hidden="1" x14ac:dyDescent="0.2">
      <c r="A314" s="73"/>
      <c r="B314" s="77"/>
      <c r="C314" s="130" t="s">
        <v>543</v>
      </c>
      <c r="D314" s="124"/>
      <c r="E314" s="124"/>
      <c r="F314" s="124"/>
      <c r="G314" s="124"/>
      <c r="H314" s="124"/>
      <c r="I314" s="58"/>
      <c r="J314" s="73"/>
      <c r="K314" s="56"/>
      <c r="L314" s="58"/>
    </row>
    <row r="315" spans="1:12" ht="14.25" hidden="1" x14ac:dyDescent="0.2">
      <c r="A315" s="73"/>
      <c r="B315" s="77"/>
      <c r="C315" s="124" t="s">
        <v>542</v>
      </c>
      <c r="D315" s="124"/>
      <c r="E315" s="124"/>
      <c r="F315" s="124"/>
      <c r="G315" s="124"/>
      <c r="H315" s="124"/>
      <c r="I315" s="58"/>
      <c r="J315" s="73"/>
      <c r="K315" s="56"/>
      <c r="L315" s="58">
        <f>SUMIF(CD60:CD300, 4, AO60:AO300)</f>
        <v>0</v>
      </c>
    </row>
    <row r="316" spans="1:12" ht="14.25" hidden="1" x14ac:dyDescent="0.2">
      <c r="A316" s="73"/>
      <c r="B316" s="77"/>
      <c r="C316" s="130" t="s">
        <v>544</v>
      </c>
      <c r="D316" s="124"/>
      <c r="E316" s="124"/>
      <c r="F316" s="124"/>
      <c r="G316" s="124"/>
      <c r="H316" s="124"/>
      <c r="I316" s="58"/>
      <c r="J316" s="73"/>
      <c r="K316" s="56"/>
      <c r="L316" s="58"/>
    </row>
    <row r="317" spans="1:12" ht="14.25" hidden="1" x14ac:dyDescent="0.2">
      <c r="A317" s="73"/>
      <c r="B317" s="77"/>
      <c r="C317" s="124" t="s">
        <v>564</v>
      </c>
      <c r="D317" s="124"/>
      <c r="E317" s="124"/>
      <c r="F317" s="124"/>
      <c r="G317" s="124"/>
      <c r="H317" s="124"/>
      <c r="I317" s="58"/>
      <c r="J317" s="73"/>
      <c r="K317" s="56"/>
      <c r="L317" s="58">
        <f>SUMIF(CD60:CD300, 4, AT60:AT300)</f>
        <v>0</v>
      </c>
    </row>
    <row r="318" spans="1:12" ht="14.25" hidden="1" x14ac:dyDescent="0.2">
      <c r="A318" s="73"/>
      <c r="B318" s="77"/>
      <c r="C318" s="124" t="s">
        <v>545</v>
      </c>
      <c r="D318" s="124"/>
      <c r="E318" s="124"/>
      <c r="F318" s="124"/>
      <c r="G318" s="124"/>
      <c r="H318" s="124"/>
      <c r="I318" s="58"/>
      <c r="J318" s="73"/>
      <c r="K318" s="56"/>
      <c r="L318" s="58">
        <f>SUMIF(CD60:CD300, 4, AV60:AV300)</f>
        <v>0</v>
      </c>
    </row>
    <row r="319" spans="1:12" ht="14.25" hidden="1" x14ac:dyDescent="0.2">
      <c r="A319" s="73"/>
      <c r="B319" s="77"/>
      <c r="C319" s="124" t="s">
        <v>546</v>
      </c>
      <c r="D319" s="124"/>
      <c r="E319" s="124"/>
      <c r="F319" s="124"/>
      <c r="G319" s="124"/>
      <c r="H319" s="124"/>
      <c r="I319" s="58"/>
      <c r="J319" s="73"/>
      <c r="K319" s="56"/>
      <c r="L319" s="58">
        <f>L321+L322</f>
        <v>0</v>
      </c>
    </row>
    <row r="320" spans="1:12" ht="14.25" hidden="1" x14ac:dyDescent="0.2">
      <c r="A320" s="73"/>
      <c r="B320" s="77"/>
      <c r="C320" s="130" t="s">
        <v>543</v>
      </c>
      <c r="D320" s="124"/>
      <c r="E320" s="124"/>
      <c r="F320" s="124"/>
      <c r="G320" s="124"/>
      <c r="H320" s="124"/>
      <c r="I320" s="58"/>
      <c r="J320" s="73"/>
      <c r="K320" s="56"/>
      <c r="L320" s="58"/>
    </row>
    <row r="321" spans="1:12" ht="14.25" hidden="1" x14ac:dyDescent="0.2">
      <c r="A321" s="73"/>
      <c r="B321" s="77"/>
      <c r="C321" s="124" t="s">
        <v>547</v>
      </c>
      <c r="D321" s="124"/>
      <c r="E321" s="124"/>
      <c r="F321" s="124"/>
      <c r="G321" s="124"/>
      <c r="H321" s="124"/>
      <c r="I321" s="58"/>
      <c r="J321" s="73"/>
      <c r="K321" s="56"/>
      <c r="L321" s="58">
        <f>SUMIF(CD60:CD300, 4, AW60:AW300)-SUMIF(CD60:CD300, 4, BK60:BK300)</f>
        <v>0</v>
      </c>
    </row>
    <row r="322" spans="1:12" ht="14.25" hidden="1" x14ac:dyDescent="0.2">
      <c r="A322" s="73"/>
      <c r="B322" s="77"/>
      <c r="C322" s="124" t="s">
        <v>548</v>
      </c>
      <c r="D322" s="124"/>
      <c r="E322" s="124"/>
      <c r="F322" s="124"/>
      <c r="G322" s="124"/>
      <c r="H322" s="124"/>
      <c r="I322" s="58"/>
      <c r="J322" s="73"/>
      <c r="K322" s="56"/>
      <c r="L322" s="58">
        <f>SUMIF(CD60:CD300, 4, BC60:BC300)</f>
        <v>0</v>
      </c>
    </row>
    <row r="323" spans="1:12" ht="14.25" hidden="1" x14ac:dyDescent="0.2">
      <c r="A323" s="73"/>
      <c r="B323" s="77"/>
      <c r="C323" s="124" t="s">
        <v>549</v>
      </c>
      <c r="D323" s="124"/>
      <c r="E323" s="124"/>
      <c r="F323" s="124"/>
      <c r="G323" s="124"/>
      <c r="H323" s="124"/>
      <c r="I323" s="58"/>
      <c r="J323" s="73"/>
      <c r="K323" s="56"/>
      <c r="L323" s="58">
        <f>SUMIF(CD60:CD300, 4, BB60:BB300)</f>
        <v>0</v>
      </c>
    </row>
    <row r="324" spans="1:12" ht="14.25" hidden="1" x14ac:dyDescent="0.2">
      <c r="A324" s="73"/>
      <c r="B324" s="77"/>
      <c r="C324" s="124" t="s">
        <v>569</v>
      </c>
      <c r="D324" s="124"/>
      <c r="E324" s="124"/>
      <c r="F324" s="124"/>
      <c r="G324" s="124"/>
      <c r="H324" s="124"/>
      <c r="I324" s="58"/>
      <c r="J324" s="73"/>
      <c r="K324" s="56"/>
      <c r="L324" s="58">
        <f>SUMIF(CD60:CD300, 4, AR60:AR300)+SUMIF(CD60:CD300, 4, AT60:AT300)+SUMIF(CD60:CD300, 4, AV60:AV300)</f>
        <v>0</v>
      </c>
    </row>
    <row r="325" spans="1:12" ht="14.25" hidden="1" x14ac:dyDescent="0.2">
      <c r="A325" s="73"/>
      <c r="B325" s="77"/>
      <c r="C325" s="124" t="s">
        <v>570</v>
      </c>
      <c r="D325" s="124"/>
      <c r="E325" s="124"/>
      <c r="F325" s="124"/>
      <c r="G325" s="124"/>
      <c r="H325" s="124"/>
      <c r="I325" s="58"/>
      <c r="J325" s="73"/>
      <c r="K325" s="56"/>
      <c r="L325" s="58">
        <f>SUMIF(CD60:CD300, 4, AZ60:AZ300)</f>
        <v>0</v>
      </c>
    </row>
    <row r="326" spans="1:12" ht="14.25" hidden="1" x14ac:dyDescent="0.2">
      <c r="A326" s="73"/>
      <c r="B326" s="77"/>
      <c r="C326" s="124" t="s">
        <v>571</v>
      </c>
      <c r="D326" s="124"/>
      <c r="E326" s="124"/>
      <c r="F326" s="124"/>
      <c r="G326" s="124"/>
      <c r="H326" s="124"/>
      <c r="I326" s="58"/>
      <c r="J326" s="73"/>
      <c r="K326" s="56"/>
      <c r="L326" s="58">
        <f>SUMIF(CD60:CD300, 4, BA60:BA300)</f>
        <v>0</v>
      </c>
    </row>
    <row r="328" spans="1:12" ht="15" x14ac:dyDescent="0.2">
      <c r="A328" s="78"/>
      <c r="B328" s="79"/>
      <c r="C328" s="129" t="s">
        <v>579</v>
      </c>
      <c r="D328" s="129"/>
      <c r="E328" s="129"/>
      <c r="F328" s="129"/>
      <c r="G328" s="129"/>
      <c r="H328" s="129"/>
      <c r="I328" s="64"/>
      <c r="J328" s="78"/>
      <c r="K328" s="80"/>
      <c r="L328" s="64">
        <f>L257+L277+L297+L302</f>
        <v>175050.16999999998</v>
      </c>
    </row>
    <row r="329" spans="1:12" ht="14.25" x14ac:dyDescent="0.2">
      <c r="A329" s="73"/>
      <c r="B329" s="77"/>
      <c r="C329" s="130" t="s">
        <v>540</v>
      </c>
      <c r="D329" s="124"/>
      <c r="E329" s="124"/>
      <c r="F329" s="124"/>
      <c r="G329" s="124"/>
      <c r="H329" s="124"/>
      <c r="I329" s="58"/>
      <c r="J329" s="73"/>
      <c r="K329" s="56"/>
      <c r="L329" s="58"/>
    </row>
    <row r="330" spans="1:12" ht="14.25" x14ac:dyDescent="0.2">
      <c r="A330" s="73"/>
      <c r="B330" s="77"/>
      <c r="C330" s="124" t="s">
        <v>567</v>
      </c>
      <c r="D330" s="124"/>
      <c r="E330" s="124"/>
      <c r="F330" s="124"/>
      <c r="G330" s="124"/>
      <c r="H330" s="124"/>
      <c r="I330" s="58"/>
      <c r="J330" s="73"/>
      <c r="K330" s="56"/>
      <c r="L330" s="58">
        <f>L332+L333+L339+L343</f>
        <v>147171.34</v>
      </c>
    </row>
    <row r="331" spans="1:12" ht="14.25" x14ac:dyDescent="0.2">
      <c r="A331" s="73"/>
      <c r="B331" s="77"/>
      <c r="C331" s="130" t="s">
        <v>540</v>
      </c>
      <c r="D331" s="124"/>
      <c r="E331" s="124"/>
      <c r="F331" s="124"/>
      <c r="G331" s="124"/>
      <c r="H331" s="124"/>
      <c r="I331" s="58"/>
      <c r="J331" s="73"/>
      <c r="K331" s="56"/>
      <c r="L331" s="58"/>
    </row>
    <row r="332" spans="1:12" ht="14.25" x14ac:dyDescent="0.2">
      <c r="A332" s="73"/>
      <c r="B332" s="77"/>
      <c r="C332" s="124" t="s">
        <v>568</v>
      </c>
      <c r="D332" s="124"/>
      <c r="E332" s="124"/>
      <c r="F332" s="124"/>
      <c r="G332" s="124"/>
      <c r="H332" s="124"/>
      <c r="I332" s="58"/>
      <c r="J332" s="73"/>
      <c r="K332" s="56"/>
      <c r="L332" s="58">
        <f>SUM(AR60:AR326)</f>
        <v>17602.239999999998</v>
      </c>
    </row>
    <row r="333" spans="1:12" ht="14.25" hidden="1" x14ac:dyDescent="0.2">
      <c r="A333" s="73"/>
      <c r="B333" s="77"/>
      <c r="C333" s="124" t="s">
        <v>542</v>
      </c>
      <c r="D333" s="124"/>
      <c r="E333" s="124"/>
      <c r="F333" s="124"/>
      <c r="G333" s="124"/>
      <c r="H333" s="124"/>
      <c r="I333" s="58"/>
      <c r="J333" s="73"/>
      <c r="K333" s="56"/>
      <c r="L333" s="58">
        <f>L335+L338+L337</f>
        <v>113380.3</v>
      </c>
    </row>
    <row r="334" spans="1:12" ht="14.25" hidden="1" x14ac:dyDescent="0.2">
      <c r="A334" s="73"/>
      <c r="B334" s="77"/>
      <c r="C334" s="130" t="s">
        <v>543</v>
      </c>
      <c r="D334" s="124"/>
      <c r="E334" s="124"/>
      <c r="F334" s="124"/>
      <c r="G334" s="124"/>
      <c r="H334" s="124"/>
      <c r="I334" s="58"/>
      <c r="J334" s="73"/>
      <c r="K334" s="56"/>
      <c r="L334" s="58"/>
    </row>
    <row r="335" spans="1:12" ht="14.25" x14ac:dyDescent="0.2">
      <c r="A335" s="73"/>
      <c r="B335" s="77"/>
      <c r="C335" s="124" t="s">
        <v>542</v>
      </c>
      <c r="D335" s="124"/>
      <c r="E335" s="124"/>
      <c r="F335" s="124"/>
      <c r="G335" s="124"/>
      <c r="H335" s="124"/>
      <c r="I335" s="58"/>
      <c r="J335" s="73"/>
      <c r="K335" s="56"/>
      <c r="L335" s="58">
        <f>SUM(AO60:AO326)</f>
        <v>113263.77</v>
      </c>
    </row>
    <row r="336" spans="1:12" ht="14.25" hidden="1" x14ac:dyDescent="0.2">
      <c r="A336" s="73"/>
      <c r="B336" s="77"/>
      <c r="C336" s="130" t="s">
        <v>544</v>
      </c>
      <c r="D336" s="124"/>
      <c r="E336" s="124"/>
      <c r="F336" s="124"/>
      <c r="G336" s="124"/>
      <c r="H336" s="124"/>
      <c r="I336" s="58"/>
      <c r="J336" s="73"/>
      <c r="K336" s="56"/>
      <c r="L336" s="58"/>
    </row>
    <row r="337" spans="1:12" ht="14.25" x14ac:dyDescent="0.2">
      <c r="A337" s="73"/>
      <c r="B337" s="77"/>
      <c r="C337" s="124" t="s">
        <v>564</v>
      </c>
      <c r="D337" s="124"/>
      <c r="E337" s="124"/>
      <c r="F337" s="124"/>
      <c r="G337" s="124"/>
      <c r="H337" s="124"/>
      <c r="I337" s="58"/>
      <c r="J337" s="73"/>
      <c r="K337" s="56"/>
      <c r="L337" s="58">
        <f>SUM(AT60:AT326)</f>
        <v>116.52999999999999</v>
      </c>
    </row>
    <row r="338" spans="1:12" ht="14.25" hidden="1" x14ac:dyDescent="0.2">
      <c r="A338" s="73"/>
      <c r="B338" s="77"/>
      <c r="C338" s="124" t="s">
        <v>545</v>
      </c>
      <c r="D338" s="124"/>
      <c r="E338" s="124"/>
      <c r="F338" s="124"/>
      <c r="G338" s="124"/>
      <c r="H338" s="124"/>
      <c r="I338" s="58"/>
      <c r="J338" s="73"/>
      <c r="K338" s="56"/>
      <c r="L338" s="58">
        <f>SUM(AV60:AV326)</f>
        <v>0</v>
      </c>
    </row>
    <row r="339" spans="1:12" ht="14.25" x14ac:dyDescent="0.2">
      <c r="A339" s="73"/>
      <c r="B339" s="77"/>
      <c r="C339" s="124" t="s">
        <v>546</v>
      </c>
      <c r="D339" s="124"/>
      <c r="E339" s="124"/>
      <c r="F339" s="124"/>
      <c r="G339" s="124"/>
      <c r="H339" s="124"/>
      <c r="I339" s="58"/>
      <c r="J339" s="73"/>
      <c r="K339" s="56"/>
      <c r="L339" s="58">
        <f>L341+L342</f>
        <v>16188.800000000001</v>
      </c>
    </row>
    <row r="340" spans="1:12" ht="14.25" x14ac:dyDescent="0.2">
      <c r="A340" s="73"/>
      <c r="B340" s="77"/>
      <c r="C340" s="130" t="s">
        <v>543</v>
      </c>
      <c r="D340" s="124"/>
      <c r="E340" s="124"/>
      <c r="F340" s="124"/>
      <c r="G340" s="124"/>
      <c r="H340" s="124"/>
      <c r="I340" s="58"/>
      <c r="J340" s="73"/>
      <c r="K340" s="56"/>
      <c r="L340" s="58"/>
    </row>
    <row r="341" spans="1:12" ht="14.25" x14ac:dyDescent="0.2">
      <c r="A341" s="73"/>
      <c r="B341" s="77"/>
      <c r="C341" s="124" t="s">
        <v>547</v>
      </c>
      <c r="D341" s="124"/>
      <c r="E341" s="124"/>
      <c r="F341" s="124"/>
      <c r="G341" s="124"/>
      <c r="H341" s="124"/>
      <c r="I341" s="58"/>
      <c r="J341" s="73"/>
      <c r="K341" s="56"/>
      <c r="L341" s="58">
        <f>SUM(AW60:AW326)-SUM(BK60:BK326)</f>
        <v>16188.800000000001</v>
      </c>
    </row>
    <row r="342" spans="1:12" ht="14.25" hidden="1" x14ac:dyDescent="0.2">
      <c r="A342" s="73"/>
      <c r="B342" s="77"/>
      <c r="C342" s="124" t="s">
        <v>548</v>
      </c>
      <c r="D342" s="124"/>
      <c r="E342" s="124"/>
      <c r="F342" s="124"/>
      <c r="G342" s="124"/>
      <c r="H342" s="124"/>
      <c r="I342" s="58"/>
      <c r="J342" s="73"/>
      <c r="K342" s="56"/>
      <c r="L342" s="58">
        <f>SUM(BC60:BC326)</f>
        <v>0</v>
      </c>
    </row>
    <row r="343" spans="1:12" ht="14.25" hidden="1" x14ac:dyDescent="0.2">
      <c r="A343" s="73"/>
      <c r="B343" s="77"/>
      <c r="C343" s="124" t="s">
        <v>549</v>
      </c>
      <c r="D343" s="124"/>
      <c r="E343" s="124"/>
      <c r="F343" s="124"/>
      <c r="G343" s="124"/>
      <c r="H343" s="124"/>
      <c r="I343" s="58"/>
      <c r="J343" s="73"/>
      <c r="K343" s="56"/>
      <c r="L343" s="58">
        <f>SUM(BB60:BB326)</f>
        <v>0</v>
      </c>
    </row>
    <row r="344" spans="1:12" ht="14.25" x14ac:dyDescent="0.2">
      <c r="A344" s="73"/>
      <c r="B344" s="77"/>
      <c r="C344" s="124" t="s">
        <v>550</v>
      </c>
      <c r="D344" s="124"/>
      <c r="E344" s="124"/>
      <c r="F344" s="124"/>
      <c r="G344" s="124"/>
      <c r="H344" s="124"/>
      <c r="I344" s="58"/>
      <c r="J344" s="73"/>
      <c r="K344" s="56"/>
      <c r="L344" s="58">
        <f>SUM(AR60:AR326)+SUM(AT60:AT326)+SUM(AV60:AV326)</f>
        <v>17718.769999999997</v>
      </c>
    </row>
    <row r="345" spans="1:12" ht="14.25" x14ac:dyDescent="0.2">
      <c r="A345" s="73"/>
      <c r="B345" s="77"/>
      <c r="C345" s="124" t="s">
        <v>551</v>
      </c>
      <c r="D345" s="124"/>
      <c r="E345" s="124"/>
      <c r="F345" s="124"/>
      <c r="G345" s="124"/>
      <c r="H345" s="124"/>
      <c r="I345" s="58"/>
      <c r="J345" s="73"/>
      <c r="K345" s="56"/>
      <c r="L345" s="58">
        <f>SUM(AZ60:AZ326)</f>
        <v>17955.64</v>
      </c>
    </row>
    <row r="346" spans="1:12" ht="14.25" x14ac:dyDescent="0.2">
      <c r="A346" s="73"/>
      <c r="B346" s="77"/>
      <c r="C346" s="124" t="s">
        <v>552</v>
      </c>
      <c r="D346" s="124"/>
      <c r="E346" s="124"/>
      <c r="F346" s="124"/>
      <c r="G346" s="124"/>
      <c r="H346" s="124"/>
      <c r="I346" s="58"/>
      <c r="J346" s="73"/>
      <c r="K346" s="56"/>
      <c r="L346" s="58">
        <f>SUM(BA60:BA326)</f>
        <v>9923.19</v>
      </c>
    </row>
    <row r="347" spans="1:12" ht="14.25" hidden="1" x14ac:dyDescent="0.2">
      <c r="A347" s="73"/>
      <c r="B347" s="77"/>
      <c r="C347" s="124" t="s">
        <v>580</v>
      </c>
      <c r="D347" s="124"/>
      <c r="E347" s="124"/>
      <c r="F347" s="124"/>
      <c r="G347" s="124"/>
      <c r="H347" s="124"/>
      <c r="I347" s="58"/>
      <c r="J347" s="73"/>
      <c r="K347" s="56"/>
      <c r="L347" s="58">
        <f>L349+L350</f>
        <v>0</v>
      </c>
    </row>
    <row r="348" spans="1:12" ht="14.25" hidden="1" x14ac:dyDescent="0.2">
      <c r="A348" s="73"/>
      <c r="B348" s="77"/>
      <c r="C348" s="130" t="s">
        <v>540</v>
      </c>
      <c r="D348" s="124"/>
      <c r="E348" s="124"/>
      <c r="F348" s="124"/>
      <c r="G348" s="124"/>
      <c r="H348" s="124"/>
      <c r="I348" s="58"/>
      <c r="J348" s="73"/>
      <c r="K348" s="56"/>
      <c r="L348" s="58"/>
    </row>
    <row r="349" spans="1:12" ht="14.25" hidden="1" x14ac:dyDescent="0.2">
      <c r="A349" s="73"/>
      <c r="B349" s="77"/>
      <c r="C349" s="124" t="s">
        <v>554</v>
      </c>
      <c r="D349" s="124"/>
      <c r="E349" s="124"/>
      <c r="F349" s="124"/>
      <c r="G349" s="124"/>
      <c r="H349" s="124"/>
      <c r="I349" s="58"/>
      <c r="J349" s="73"/>
      <c r="K349" s="56"/>
      <c r="L349" s="58">
        <f>SUM(BK60:BK326)</f>
        <v>0</v>
      </c>
    </row>
    <row r="350" spans="1:12" ht="14.25" hidden="1" x14ac:dyDescent="0.2">
      <c r="A350" s="73"/>
      <c r="B350" s="77"/>
      <c r="C350" s="124" t="s">
        <v>555</v>
      </c>
      <c r="D350" s="124"/>
      <c r="E350" s="124"/>
      <c r="F350" s="124"/>
      <c r="G350" s="124"/>
      <c r="H350" s="124"/>
      <c r="I350" s="58"/>
      <c r="J350" s="73"/>
      <c r="K350" s="56"/>
      <c r="L350" s="58">
        <f>SUM(BD60:BD326)</f>
        <v>0</v>
      </c>
    </row>
    <row r="351" spans="1:12" ht="14.25" hidden="1" x14ac:dyDescent="0.2">
      <c r="A351" s="73"/>
      <c r="B351" s="77"/>
      <c r="C351" s="124" t="s">
        <v>581</v>
      </c>
      <c r="D351" s="124"/>
      <c r="E351" s="124"/>
      <c r="F351" s="124"/>
      <c r="G351" s="124"/>
      <c r="H351" s="124"/>
      <c r="I351" s="58"/>
      <c r="J351" s="73"/>
      <c r="K351" s="56"/>
      <c r="L351" s="58">
        <f>L302</f>
        <v>0</v>
      </c>
    </row>
    <row r="352" spans="1:12" ht="14.25" x14ac:dyDescent="0.2">
      <c r="A352" s="73"/>
      <c r="B352" s="77"/>
      <c r="C352" s="129" t="s">
        <v>559</v>
      </c>
      <c r="D352" s="124"/>
      <c r="E352" s="124"/>
      <c r="F352" s="124"/>
      <c r="G352" s="124"/>
      <c r="H352" s="124"/>
      <c r="I352" s="58"/>
      <c r="J352" s="73"/>
      <c r="K352" s="56"/>
      <c r="L352" s="58"/>
    </row>
    <row r="353" spans="1:15" ht="14.25" x14ac:dyDescent="0.2">
      <c r="A353" s="73"/>
      <c r="B353" s="77"/>
      <c r="C353" s="124" t="s">
        <v>560</v>
      </c>
      <c r="D353" s="124"/>
      <c r="E353" s="124"/>
      <c r="F353" s="124"/>
      <c r="G353" s="124"/>
      <c r="H353" s="124"/>
      <c r="I353" s="58"/>
      <c r="J353" s="73"/>
      <c r="K353" s="56"/>
      <c r="L353" s="58">
        <f>SUM(AX60:AX326)</f>
        <v>14476.16</v>
      </c>
    </row>
    <row r="354" spans="1:15" ht="14.25" hidden="1" x14ac:dyDescent="0.2">
      <c r="A354" s="73"/>
      <c r="B354" s="77"/>
      <c r="C354" s="124" t="s">
        <v>561</v>
      </c>
      <c r="D354" s="124"/>
      <c r="E354" s="124"/>
      <c r="F354" s="124"/>
      <c r="G354" s="124"/>
      <c r="H354" s="124"/>
      <c r="I354" s="58"/>
      <c r="J354" s="73"/>
      <c r="K354" s="56"/>
      <c r="L354" s="58">
        <f>SUM(AY60:AY326)</f>
        <v>0</v>
      </c>
    </row>
    <row r="355" spans="1:15" ht="14.25" x14ac:dyDescent="0.2">
      <c r="A355" s="73"/>
      <c r="B355" s="77"/>
      <c r="C355" s="124" t="s">
        <v>562</v>
      </c>
      <c r="D355" s="124"/>
      <c r="E355" s="124"/>
      <c r="F355" s="125"/>
      <c r="G355" s="63">
        <f>Source!F99</f>
        <v>27.805955000000001</v>
      </c>
      <c r="H355" s="73"/>
      <c r="I355" s="73"/>
      <c r="J355" s="73"/>
      <c r="K355" s="73"/>
      <c r="L355" s="73"/>
    </row>
    <row r="356" spans="1:15" ht="14.25" x14ac:dyDescent="0.2">
      <c r="A356" s="73"/>
      <c r="B356" s="77"/>
      <c r="C356" s="124" t="s">
        <v>563</v>
      </c>
      <c r="D356" s="124"/>
      <c r="E356" s="124"/>
      <c r="F356" s="125"/>
      <c r="G356" s="63">
        <f>Source!F100</f>
        <v>0.16423979999999999</v>
      </c>
      <c r="H356" s="73"/>
      <c r="I356" s="73"/>
      <c r="J356" s="73"/>
      <c r="K356" s="73"/>
      <c r="L356" s="73"/>
    </row>
    <row r="358" spans="1:15" ht="14.25" x14ac:dyDescent="0.2">
      <c r="C358" s="126" t="str">
        <f>Source!H106</f>
        <v>Итого</v>
      </c>
      <c r="D358" s="126"/>
      <c r="E358" s="126"/>
      <c r="F358" s="126"/>
      <c r="G358" s="126"/>
      <c r="H358" s="126"/>
      <c r="I358" s="126"/>
      <c r="J358" s="126"/>
      <c r="K358" s="126"/>
      <c r="L358" s="71">
        <f>IF(Source!Y106=0, "", Source!Y106)</f>
        <v>175050.17</v>
      </c>
    </row>
    <row r="359" spans="1:15" ht="14.25" x14ac:dyDescent="0.2">
      <c r="C359" s="127" t="s">
        <v>627</v>
      </c>
      <c r="D359" s="127"/>
      <c r="E359" s="127"/>
      <c r="F359" s="127"/>
      <c r="G359" s="127"/>
      <c r="H359" s="127"/>
      <c r="I359" s="127"/>
      <c r="J359" s="127"/>
      <c r="K359" s="127"/>
      <c r="L359" s="71">
        <f>(L335+L339)*0.22</f>
        <v>28479.565400000003</v>
      </c>
      <c r="M359" s="123"/>
      <c r="N359" s="123"/>
      <c r="O359" s="123"/>
    </row>
    <row r="360" spans="1:15" ht="14.25" x14ac:dyDescent="0.2">
      <c r="C360" s="126" t="str">
        <f>Source!H108</f>
        <v>Всего</v>
      </c>
      <c r="D360" s="126"/>
      <c r="E360" s="126"/>
      <c r="F360" s="126"/>
      <c r="G360" s="126"/>
      <c r="H360" s="126"/>
      <c r="I360" s="126"/>
      <c r="J360" s="126"/>
      <c r="K360" s="126"/>
      <c r="L360" s="71">
        <f>L358+L359</f>
        <v>203529.73540000001</v>
      </c>
    </row>
    <row r="363" spans="1:15" ht="14.25" customHeight="1" x14ac:dyDescent="0.2">
      <c r="A363" s="89"/>
      <c r="B363" s="90" t="s">
        <v>443</v>
      </c>
      <c r="C363" s="91" t="str">
        <f>IF(Source!AC12&lt;&gt;"", Source!AC12," ")</f>
        <v xml:space="preserve"> </v>
      </c>
      <c r="D363" s="18"/>
      <c r="E363" s="18"/>
      <c r="F363" s="18"/>
      <c r="G363" s="18"/>
      <c r="H363" s="19" t="str">
        <f>IF(Source!AB12&lt;&gt;"", Source!AB12," ")</f>
        <v xml:space="preserve"> </v>
      </c>
      <c r="I363" s="34"/>
      <c r="J363" s="34"/>
      <c r="K363" s="47"/>
      <c r="L363" s="47"/>
    </row>
    <row r="364" spans="1:15" ht="14.25" customHeight="1" x14ac:dyDescent="0.2">
      <c r="A364" s="89"/>
      <c r="B364" s="92"/>
      <c r="C364" s="128" t="s">
        <v>444</v>
      </c>
      <c r="D364" s="128"/>
      <c r="E364" s="128"/>
      <c r="F364" s="128"/>
      <c r="G364" s="128"/>
      <c r="H364" s="34"/>
      <c r="I364" s="34"/>
      <c r="J364" s="34"/>
      <c r="K364" s="47"/>
      <c r="L364" s="47"/>
    </row>
    <row r="365" spans="1:15" ht="14.25" customHeight="1" x14ac:dyDescent="0.2">
      <c r="A365" s="89"/>
      <c r="B365" s="92"/>
      <c r="C365" s="17"/>
      <c r="D365" s="17"/>
      <c r="E365" s="17"/>
      <c r="F365" s="17"/>
      <c r="G365" s="17"/>
      <c r="H365" s="34"/>
      <c r="I365" s="34"/>
      <c r="J365" s="34"/>
      <c r="K365" s="47"/>
      <c r="L365" s="47"/>
    </row>
    <row r="366" spans="1:15" ht="14.25" customHeight="1" x14ac:dyDescent="0.2">
      <c r="A366" s="89"/>
      <c r="B366" s="90" t="s">
        <v>445</v>
      </c>
      <c r="C366" s="91" t="str">
        <f>IF(Source!AE12&lt;&gt;"", Source!AE12," ")</f>
        <v xml:space="preserve"> </v>
      </c>
      <c r="D366" s="18"/>
      <c r="E366" s="18"/>
      <c r="F366" s="18"/>
      <c r="G366" s="18"/>
      <c r="H366" s="19" t="str">
        <f>IF(Source!AD12&lt;&gt;"", Source!AD12," ")</f>
        <v xml:space="preserve"> </v>
      </c>
      <c r="I366" s="34"/>
      <c r="J366" s="34"/>
      <c r="K366" s="47"/>
      <c r="L366" s="47"/>
    </row>
    <row r="367" spans="1:15" ht="14.25" customHeight="1" x14ac:dyDescent="0.2">
      <c r="A367" s="17"/>
      <c r="B367" s="17"/>
      <c r="C367" s="128" t="s">
        <v>444</v>
      </c>
      <c r="D367" s="128"/>
      <c r="E367" s="128"/>
      <c r="F367" s="128"/>
      <c r="G367" s="128"/>
      <c r="H367" s="34"/>
      <c r="I367" s="34"/>
      <c r="J367" s="34"/>
      <c r="K367" s="47"/>
      <c r="L367" s="47"/>
    </row>
  </sheetData>
  <mergeCells count="250">
    <mergeCell ref="I1:L1"/>
    <mergeCell ref="B3:E3"/>
    <mergeCell ref="H3:L3"/>
    <mergeCell ref="B4:E4"/>
    <mergeCell ref="H4:L4"/>
    <mergeCell ref="B6:E6"/>
    <mergeCell ref="H6:L6"/>
    <mergeCell ref="A14:E14"/>
    <mergeCell ref="F14:L14"/>
    <mergeCell ref="A16:E16"/>
    <mergeCell ref="F16:L16"/>
    <mergeCell ref="A18:E18"/>
    <mergeCell ref="F18:L18"/>
    <mergeCell ref="B7:E7"/>
    <mergeCell ref="H7:L7"/>
    <mergeCell ref="A10:E10"/>
    <mergeCell ref="F10:L10"/>
    <mergeCell ref="A12:E12"/>
    <mergeCell ref="F12:L12"/>
    <mergeCell ref="A27:L27"/>
    <mergeCell ref="A28:L28"/>
    <mergeCell ref="A30:L30"/>
    <mergeCell ref="A31:L31"/>
    <mergeCell ref="A33:L33"/>
    <mergeCell ref="A35:L35"/>
    <mergeCell ref="A20:E20"/>
    <mergeCell ref="F20:L20"/>
    <mergeCell ref="A22:E22"/>
    <mergeCell ref="F22:L22"/>
    <mergeCell ref="A24:E24"/>
    <mergeCell ref="F24:L24"/>
    <mergeCell ref="C51:D51"/>
    <mergeCell ref="C52:D52"/>
    <mergeCell ref="A54:A58"/>
    <mergeCell ref="B54:B58"/>
    <mergeCell ref="C54:C58"/>
    <mergeCell ref="D54:D58"/>
    <mergeCell ref="A36:L36"/>
    <mergeCell ref="C41:L41"/>
    <mergeCell ref="C42:L42"/>
    <mergeCell ref="C46:D46"/>
    <mergeCell ref="C49:D49"/>
    <mergeCell ref="C50:D50"/>
    <mergeCell ref="C77:H77"/>
    <mergeCell ref="I77:J77"/>
    <mergeCell ref="K77:L77"/>
    <mergeCell ref="C79:L79"/>
    <mergeCell ref="C80:L80"/>
    <mergeCell ref="C81:F81"/>
    <mergeCell ref="E54:G57"/>
    <mergeCell ref="H54:L57"/>
    <mergeCell ref="A61:L61"/>
    <mergeCell ref="C63:L63"/>
    <mergeCell ref="C64:L64"/>
    <mergeCell ref="C65:F65"/>
    <mergeCell ref="C103:H103"/>
    <mergeCell ref="I103:J103"/>
    <mergeCell ref="K103:L103"/>
    <mergeCell ref="C105:L105"/>
    <mergeCell ref="C106:L106"/>
    <mergeCell ref="C107:F107"/>
    <mergeCell ref="C88:H88"/>
    <mergeCell ref="I88:J88"/>
    <mergeCell ref="K88:L88"/>
    <mergeCell ref="C90:L90"/>
    <mergeCell ref="C91:L91"/>
    <mergeCell ref="C92:F92"/>
    <mergeCell ref="C140:H140"/>
    <mergeCell ref="I140:J140"/>
    <mergeCell ref="K140:L140"/>
    <mergeCell ref="C142:L142"/>
    <mergeCell ref="C143:L143"/>
    <mergeCell ref="C144:L144"/>
    <mergeCell ref="C124:H124"/>
    <mergeCell ref="I124:J124"/>
    <mergeCell ref="K124:L124"/>
    <mergeCell ref="C126:L126"/>
    <mergeCell ref="C127:L127"/>
    <mergeCell ref="C128:F128"/>
    <mergeCell ref="C158:L158"/>
    <mergeCell ref="C159:L159"/>
    <mergeCell ref="C160:L160"/>
    <mergeCell ref="C161:F161"/>
    <mergeCell ref="C179:H179"/>
    <mergeCell ref="I179:J179"/>
    <mergeCell ref="K179:L179"/>
    <mergeCell ref="C145:F145"/>
    <mergeCell ref="C154:H154"/>
    <mergeCell ref="I154:J154"/>
    <mergeCell ref="K154:L154"/>
    <mergeCell ref="C156:H156"/>
    <mergeCell ref="I156:J156"/>
    <mergeCell ref="K156:L156"/>
    <mergeCell ref="C195:H195"/>
    <mergeCell ref="I195:J195"/>
    <mergeCell ref="K195:L195"/>
    <mergeCell ref="C197:L197"/>
    <mergeCell ref="C198:L198"/>
    <mergeCell ref="C199:F199"/>
    <mergeCell ref="C181:L181"/>
    <mergeCell ref="C182:L182"/>
    <mergeCell ref="C183:L183"/>
    <mergeCell ref="C184:F184"/>
    <mergeCell ref="C193:H193"/>
    <mergeCell ref="I193:J193"/>
    <mergeCell ref="K193:L193"/>
    <mergeCell ref="C215:L215"/>
    <mergeCell ref="C216:L216"/>
    <mergeCell ref="C217:F217"/>
    <mergeCell ref="C221:H221"/>
    <mergeCell ref="I221:J221"/>
    <mergeCell ref="K221:L221"/>
    <mergeCell ref="C210:H210"/>
    <mergeCell ref="I210:J210"/>
    <mergeCell ref="K210:L210"/>
    <mergeCell ref="C213:H213"/>
    <mergeCell ref="I213:J213"/>
    <mergeCell ref="K213:L213"/>
    <mergeCell ref="C229:H229"/>
    <mergeCell ref="C230:H230"/>
    <mergeCell ref="C231:H231"/>
    <mergeCell ref="C232:H232"/>
    <mergeCell ref="C233:H233"/>
    <mergeCell ref="C234:H234"/>
    <mergeCell ref="C223:H223"/>
    <mergeCell ref="C224:H224"/>
    <mergeCell ref="C225:H225"/>
    <mergeCell ref="C226:H226"/>
    <mergeCell ref="C227:H227"/>
    <mergeCell ref="C228:H228"/>
    <mergeCell ref="C241:H241"/>
    <mergeCell ref="C242:H242"/>
    <mergeCell ref="C243:H243"/>
    <mergeCell ref="C244:H244"/>
    <mergeCell ref="C245:H245"/>
    <mergeCell ref="C246:H246"/>
    <mergeCell ref="C235:H235"/>
    <mergeCell ref="C236:H236"/>
    <mergeCell ref="C237:H237"/>
    <mergeCell ref="C238:H238"/>
    <mergeCell ref="C239:H239"/>
    <mergeCell ref="C240:H240"/>
    <mergeCell ref="C255:H255"/>
    <mergeCell ref="C257:H257"/>
    <mergeCell ref="C258:H258"/>
    <mergeCell ref="C259:H259"/>
    <mergeCell ref="C260:H260"/>
    <mergeCell ref="C261:H261"/>
    <mergeCell ref="C247:H247"/>
    <mergeCell ref="C248:H248"/>
    <mergeCell ref="C249:H249"/>
    <mergeCell ref="C250:H250"/>
    <mergeCell ref="C251:F251"/>
    <mergeCell ref="C252:F252"/>
    <mergeCell ref="C268:H268"/>
    <mergeCell ref="C269:H269"/>
    <mergeCell ref="C270:H270"/>
    <mergeCell ref="C271:H271"/>
    <mergeCell ref="C272:H272"/>
    <mergeCell ref="C273:H273"/>
    <mergeCell ref="C262:H262"/>
    <mergeCell ref="C263:H263"/>
    <mergeCell ref="C264:H264"/>
    <mergeCell ref="C265:H265"/>
    <mergeCell ref="C266:H266"/>
    <mergeCell ref="C267:H267"/>
    <mergeCell ref="C281:H281"/>
    <mergeCell ref="C282:H282"/>
    <mergeCell ref="C283:H283"/>
    <mergeCell ref="C284:H284"/>
    <mergeCell ref="C285:H285"/>
    <mergeCell ref="C286:H286"/>
    <mergeCell ref="C274:H274"/>
    <mergeCell ref="C275:H275"/>
    <mergeCell ref="C277:H277"/>
    <mergeCell ref="C278:H278"/>
    <mergeCell ref="C279:H279"/>
    <mergeCell ref="C280:H280"/>
    <mergeCell ref="C293:H293"/>
    <mergeCell ref="C294:H294"/>
    <mergeCell ref="C295:H295"/>
    <mergeCell ref="C297:H297"/>
    <mergeCell ref="C298:H298"/>
    <mergeCell ref="C299:H299"/>
    <mergeCell ref="C287:H287"/>
    <mergeCell ref="C288:H288"/>
    <mergeCell ref="C289:H289"/>
    <mergeCell ref="C290:H290"/>
    <mergeCell ref="C291:H291"/>
    <mergeCell ref="C292:H292"/>
    <mergeCell ref="C307:H307"/>
    <mergeCell ref="C308:H308"/>
    <mergeCell ref="C309:H309"/>
    <mergeCell ref="C310:H310"/>
    <mergeCell ref="C311:H311"/>
    <mergeCell ref="C312:H312"/>
    <mergeCell ref="C300:H300"/>
    <mergeCell ref="C302:H302"/>
    <mergeCell ref="C303:H303"/>
    <mergeCell ref="C304:H304"/>
    <mergeCell ref="C305:H305"/>
    <mergeCell ref="C306:H306"/>
    <mergeCell ref="C319:H319"/>
    <mergeCell ref="C320:H320"/>
    <mergeCell ref="C321:H321"/>
    <mergeCell ref="C322:H322"/>
    <mergeCell ref="C323:H323"/>
    <mergeCell ref="C324:H324"/>
    <mergeCell ref="C313:H313"/>
    <mergeCell ref="C314:H314"/>
    <mergeCell ref="C315:H315"/>
    <mergeCell ref="C316:H316"/>
    <mergeCell ref="C317:H317"/>
    <mergeCell ref="C318:H318"/>
    <mergeCell ref="C332:H332"/>
    <mergeCell ref="C333:H333"/>
    <mergeCell ref="C334:H334"/>
    <mergeCell ref="C335:H335"/>
    <mergeCell ref="C336:H336"/>
    <mergeCell ref="C337:H337"/>
    <mergeCell ref="C325:H325"/>
    <mergeCell ref="C326:H326"/>
    <mergeCell ref="C328:H328"/>
    <mergeCell ref="C329:H329"/>
    <mergeCell ref="C330:H330"/>
    <mergeCell ref="C331:H331"/>
    <mergeCell ref="C344:H344"/>
    <mergeCell ref="C345:H345"/>
    <mergeCell ref="C346:H346"/>
    <mergeCell ref="C347:H347"/>
    <mergeCell ref="C348:H348"/>
    <mergeCell ref="C349:H349"/>
    <mergeCell ref="C338:H338"/>
    <mergeCell ref="C339:H339"/>
    <mergeCell ref="C340:H340"/>
    <mergeCell ref="C341:H341"/>
    <mergeCell ref="C342:H342"/>
    <mergeCell ref="C343:H343"/>
    <mergeCell ref="C356:F356"/>
    <mergeCell ref="C358:K358"/>
    <mergeCell ref="C359:K359"/>
    <mergeCell ref="C360:K360"/>
    <mergeCell ref="C364:G364"/>
    <mergeCell ref="C367:G367"/>
    <mergeCell ref="C350:H350"/>
    <mergeCell ref="C351:H351"/>
    <mergeCell ref="C352:H352"/>
    <mergeCell ref="C353:H353"/>
    <mergeCell ref="C354:H354"/>
    <mergeCell ref="C355:F355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DA03-7D0B-410B-95FE-F9D8C543BAE9}">
  <sheetPr>
    <pageSetUpPr fitToPage="1"/>
  </sheetPr>
  <dimension ref="A1:AE39"/>
  <sheetViews>
    <sheetView zoomScaleNormal="100" workbookViewId="0"/>
  </sheetViews>
  <sheetFormatPr defaultRowHeight="12.75" x14ac:dyDescent="0.2"/>
  <cols>
    <col min="1" max="2" width="6.7109375" customWidth="1"/>
    <col min="3" max="3" width="75.7109375" customWidth="1"/>
    <col min="4" max="8" width="15.7109375" customWidth="1"/>
    <col min="30" max="30" width="0" hidden="1" customWidth="1"/>
    <col min="31" max="31" width="114.7109375" hidden="1" customWidth="1"/>
    <col min="32" max="32" width="0" hidden="1" customWidth="1"/>
  </cols>
  <sheetData>
    <row r="1" spans="1:31" x14ac:dyDescent="0.2">
      <c r="A1" s="23" t="str">
        <f>Source!B1</f>
        <v>Smeta.RU  (495) 974-1589</v>
      </c>
    </row>
    <row r="2" spans="1:31" ht="14.25" x14ac:dyDescent="0.2">
      <c r="C2" s="51"/>
      <c r="D2" s="51"/>
      <c r="E2" s="51"/>
    </row>
    <row r="3" spans="1:31" ht="15" x14ac:dyDescent="0.25">
      <c r="C3" s="93" t="s">
        <v>447</v>
      </c>
      <c r="D3" s="51"/>
      <c r="E3" s="94" t="s">
        <v>448</v>
      </c>
    </row>
    <row r="4" spans="1:31" ht="15" x14ac:dyDescent="0.25">
      <c r="C4" s="51"/>
      <c r="D4" s="94"/>
      <c r="E4" s="94"/>
    </row>
    <row r="5" spans="1:31" ht="15" x14ac:dyDescent="0.25">
      <c r="C5" s="93" t="s">
        <v>582</v>
      </c>
      <c r="D5" s="188" t="s">
        <v>582</v>
      </c>
      <c r="E5" s="188"/>
    </row>
    <row r="6" spans="1:31" ht="15" x14ac:dyDescent="0.25">
      <c r="C6" s="51"/>
      <c r="D6" s="94"/>
      <c r="E6" s="94"/>
    </row>
    <row r="7" spans="1:31" ht="15" x14ac:dyDescent="0.25">
      <c r="C7" s="93" t="s">
        <v>582</v>
      </c>
      <c r="D7" s="188" t="s">
        <v>582</v>
      </c>
      <c r="E7" s="188"/>
    </row>
    <row r="8" spans="1:31" ht="15" x14ac:dyDescent="0.25">
      <c r="C8" s="51"/>
      <c r="D8" s="94"/>
      <c r="E8" s="94"/>
    </row>
    <row r="9" spans="1:31" ht="15" x14ac:dyDescent="0.25">
      <c r="D9" s="94" t="s">
        <v>583</v>
      </c>
      <c r="E9" s="51"/>
    </row>
    <row r="10" spans="1:31" ht="14.25" x14ac:dyDescent="0.2">
      <c r="D10" s="51"/>
      <c r="E10" s="51"/>
    </row>
    <row r="12" spans="1:31" ht="15.75" x14ac:dyDescent="0.2">
      <c r="B12" s="189" t="str">
        <f>CONCATENATE("Ведомость объемов работ ", IF(Source!AN15&lt;&gt;"", Source!AN15," "))</f>
        <v xml:space="preserve">Ведомость объемов работ  </v>
      </c>
      <c r="C12" s="189"/>
      <c r="D12" s="189"/>
      <c r="E12" s="189"/>
    </row>
    <row r="13" spans="1:31" ht="30" x14ac:dyDescent="0.2">
      <c r="B13" s="190" t="str">
        <f>Source!G12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C13" s="190"/>
      <c r="D13" s="190"/>
      <c r="E13" s="190"/>
      <c r="AE13" s="95" t="str">
        <f>Source!G12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</row>
    <row r="14" spans="1:31" ht="15" x14ac:dyDescent="0.2">
      <c r="B14" s="190" t="str">
        <f>Source!G20</f>
        <v>Новая локальная смета</v>
      </c>
      <c r="C14" s="190"/>
      <c r="D14" s="190"/>
      <c r="E14" s="190"/>
    </row>
    <row r="16" spans="1:31" ht="99.75" x14ac:dyDescent="0.2">
      <c r="A16" s="97" t="s">
        <v>413</v>
      </c>
      <c r="B16" s="97" t="s">
        <v>584</v>
      </c>
      <c r="C16" s="97" t="s">
        <v>477</v>
      </c>
      <c r="D16" s="97" t="s">
        <v>478</v>
      </c>
      <c r="E16" s="97" t="s">
        <v>479</v>
      </c>
      <c r="F16" s="97" t="s">
        <v>585</v>
      </c>
      <c r="G16" s="97" t="s">
        <v>586</v>
      </c>
      <c r="H16" s="97" t="s">
        <v>587</v>
      </c>
    </row>
    <row r="17" spans="1:8" ht="14.25" x14ac:dyDescent="0.2">
      <c r="A17" s="97">
        <v>1</v>
      </c>
      <c r="B17" s="97">
        <v>2</v>
      </c>
      <c r="C17" s="97">
        <v>3</v>
      </c>
      <c r="D17" s="97">
        <v>4</v>
      </c>
      <c r="E17" s="97">
        <v>5</v>
      </c>
      <c r="F17" s="97">
        <v>6</v>
      </c>
      <c r="G17" s="97">
        <v>7</v>
      </c>
      <c r="H17" s="97">
        <v>8</v>
      </c>
    </row>
    <row r="18" spans="1:8" ht="16.5" x14ac:dyDescent="0.25">
      <c r="A18" s="187" t="str">
        <f>CONCATENATE("Раздел: ", Source!G24)</f>
        <v>Раздел: Монтажные работы</v>
      </c>
      <c r="B18" s="187"/>
      <c r="C18" s="187"/>
      <c r="D18" s="187"/>
      <c r="E18" s="187"/>
      <c r="F18" s="187"/>
      <c r="G18" s="187"/>
      <c r="H18" s="187"/>
    </row>
    <row r="19" spans="1:8" ht="28.5" x14ac:dyDescent="0.2">
      <c r="A19" s="97">
        <v>1</v>
      </c>
      <c r="B19" s="97" t="str">
        <f>Source!E28</f>
        <v>1</v>
      </c>
      <c r="C19" s="100" t="str">
        <f>Source!G28</f>
        <v>Разборка мелких покрытий и обделок из листовой стали: поясков, сандриков, желобов, отливов, свесов и т.п.</v>
      </c>
      <c r="D19" s="97" t="s">
        <v>588</v>
      </c>
      <c r="E19" s="101">
        <f>Source!I28*100</f>
        <v>0.45999999999999996</v>
      </c>
      <c r="F19" s="97" t="str">
        <f>Source!U24</f>
        <v/>
      </c>
      <c r="G19" s="97" t="str">
        <f>"=(0,46/"&amp;"100"&amp;")*100"</f>
        <v>=(0,46/100)*100</v>
      </c>
      <c r="H19" s="100"/>
    </row>
    <row r="20" spans="1:8" ht="14.25" x14ac:dyDescent="0.2">
      <c r="A20" s="97">
        <v>1.1000000000000001</v>
      </c>
      <c r="B20" s="97" t="str">
        <f>Source!E29</f>
        <v>1,1</v>
      </c>
      <c r="C20" s="100" t="str">
        <f>Source!G29</f>
        <v>Строительный мусор</v>
      </c>
      <c r="D20" s="97" t="s">
        <v>33</v>
      </c>
      <c r="E20" s="101">
        <f>Source!I29</f>
        <v>5.5199999999999997E-4</v>
      </c>
      <c r="F20" s="97" t="str">
        <f>Source!U24</f>
        <v/>
      </c>
      <c r="G20" s="97"/>
      <c r="H20" s="100"/>
    </row>
    <row r="21" spans="1:8" ht="42.75" x14ac:dyDescent="0.2">
      <c r="A21" s="97">
        <v>2</v>
      </c>
      <c r="B21" s="97" t="str">
        <f>Source!E30</f>
        <v>2</v>
      </c>
      <c r="C21" s="100" t="str">
        <f>Source!G30</f>
        <v>Вырубка кустарников с последующей ручной переноской и складированием на расстояние до 50 м при диаметре кустов у корня: до 300 мм</v>
      </c>
      <c r="D21" s="97" t="s">
        <v>37</v>
      </c>
      <c r="E21" s="101">
        <f>Source!I30</f>
        <v>4</v>
      </c>
      <c r="F21" s="97" t="str">
        <f>Source!U24</f>
        <v/>
      </c>
      <c r="G21" s="97">
        <f>Source!I30</f>
        <v>4</v>
      </c>
      <c r="H21" s="100"/>
    </row>
    <row r="22" spans="1:8" ht="28.5" x14ac:dyDescent="0.2">
      <c r="A22" s="97">
        <v>3</v>
      </c>
      <c r="B22" s="97" t="str">
        <f>Source!E31</f>
        <v>3</v>
      </c>
      <c r="C22" s="100" t="str">
        <f>Source!G31</f>
        <v>Простукивание поверхностей фасада, облицованного плоскими керамическими плитками при работе: с люлек</v>
      </c>
      <c r="D22" s="97" t="s">
        <v>589</v>
      </c>
      <c r="E22" s="101">
        <f>Source!I31*100</f>
        <v>26.99</v>
      </c>
      <c r="F22" s="97" t="str">
        <f>Source!U24</f>
        <v/>
      </c>
      <c r="G22" s="97" t="str">
        <f>"=(26,99/"&amp;"100"&amp;")*100"</f>
        <v>=(26,99/100)*100</v>
      </c>
      <c r="H22" s="100"/>
    </row>
    <row r="23" spans="1:8" ht="14.25" x14ac:dyDescent="0.2">
      <c r="A23" s="97">
        <v>4</v>
      </c>
      <c r="B23" s="97" t="str">
        <f>Source!E32</f>
        <v>4</v>
      </c>
      <c r="C23" s="100" t="str">
        <f>Source!G32</f>
        <v>Разборка кладки стен: облегченной конструкции из кирпича</v>
      </c>
      <c r="D23" s="97" t="s">
        <v>590</v>
      </c>
      <c r="E23" s="101">
        <f>Source!I32*10</f>
        <v>0.19</v>
      </c>
      <c r="F23" s="97" t="str">
        <f>Source!U24</f>
        <v/>
      </c>
      <c r="G23" s="97" t="str">
        <f>"=(0,19/"&amp;"10"&amp;")*10"</f>
        <v>=(0,19/10)*10</v>
      </c>
      <c r="H23" s="100"/>
    </row>
    <row r="24" spans="1:8" ht="14.25" x14ac:dyDescent="0.2">
      <c r="A24" s="97">
        <v>4.0999999999999996</v>
      </c>
      <c r="B24" s="97" t="str">
        <f>Source!E33</f>
        <v>4,1</v>
      </c>
      <c r="C24" s="100" t="str">
        <f>Source!G33</f>
        <v>Строительный мусор</v>
      </c>
      <c r="D24" s="97" t="s">
        <v>33</v>
      </c>
      <c r="E24" s="101">
        <f>Source!I33</f>
        <v>0.20596</v>
      </c>
      <c r="F24" s="97" t="str">
        <f>Source!U24</f>
        <v/>
      </c>
      <c r="G24" s="97"/>
      <c r="H24" s="100"/>
    </row>
    <row r="25" spans="1:8" ht="28.5" x14ac:dyDescent="0.2">
      <c r="A25" s="97">
        <v>5</v>
      </c>
      <c r="B25" s="97" t="str">
        <f>Source!E34</f>
        <v>5</v>
      </c>
      <c r="C25" s="100" t="str">
        <f>Source!G34</f>
        <v>Промывка поверхности, окрашенной масляными красками: стен и фасадов</v>
      </c>
      <c r="D25" s="97" t="s">
        <v>589</v>
      </c>
      <c r="E25" s="101">
        <f>Source!I34*100</f>
        <v>28.59</v>
      </c>
      <c r="F25" s="97" t="str">
        <f>Source!U24</f>
        <v/>
      </c>
      <c r="G25" s="97" t="str">
        <f>"=(28,59/"&amp;"100"&amp;")*100"</f>
        <v>=(28,59/100)*100</v>
      </c>
      <c r="H25" s="100"/>
    </row>
    <row r="26" spans="1:8" ht="14.25" x14ac:dyDescent="0.2">
      <c r="A26" s="97">
        <v>6</v>
      </c>
      <c r="B26" s="97" t="str">
        <f>Source!E35</f>
        <v>6</v>
      </c>
      <c r="C26" s="100" t="str">
        <f>Source!G35</f>
        <v>Проолифка бетонных и оштукатуренных поверхностей: кистью</v>
      </c>
      <c r="D26" s="97" t="s">
        <v>589</v>
      </c>
      <c r="E26" s="101">
        <f>Source!I35*100</f>
        <v>1.6</v>
      </c>
      <c r="F26" s="97" t="str">
        <f>Source!U24</f>
        <v/>
      </c>
      <c r="G26" s="97" t="str">
        <f>"=(1,6/"&amp;"100"&amp;")*100"</f>
        <v>=(1,6/100)*100</v>
      </c>
      <c r="H26" s="100"/>
    </row>
    <row r="27" spans="1:8" ht="14.25" x14ac:dyDescent="0.2">
      <c r="A27" s="97">
        <v>6.1</v>
      </c>
      <c r="B27" s="97" t="str">
        <f>Source!E36</f>
        <v>6,1</v>
      </c>
      <c r="C27" s="100" t="str">
        <f>Source!G36</f>
        <v>Олифа</v>
      </c>
      <c r="D27" s="97" t="s">
        <v>33</v>
      </c>
      <c r="E27" s="101">
        <f>Source!I36</f>
        <v>1.92E-4</v>
      </c>
      <c r="F27" s="97" t="str">
        <f>Source!U24</f>
        <v/>
      </c>
      <c r="G27" s="97"/>
      <c r="H27" s="100"/>
    </row>
    <row r="28" spans="1:8" ht="14.25" x14ac:dyDescent="0.2">
      <c r="A28" s="97">
        <v>7</v>
      </c>
      <c r="B28" s="97" t="str">
        <f>Source!E37</f>
        <v>7</v>
      </c>
      <c r="C28" s="100" t="str">
        <f>Source!G37</f>
        <v>Камнеукрепитель "Петромикс SR-01**", (расход 2 л/м2) в 2 слоя</v>
      </c>
      <c r="D28" s="97" t="s">
        <v>89</v>
      </c>
      <c r="E28" s="101">
        <f>Source!I37</f>
        <v>6.4</v>
      </c>
      <c r="F28" s="97" t="str">
        <f>Source!U24</f>
        <v/>
      </c>
      <c r="G28" s="97">
        <f>Source!I37</f>
        <v>6.4</v>
      </c>
      <c r="H28" s="100"/>
    </row>
    <row r="29" spans="1:8" ht="28.5" x14ac:dyDescent="0.2">
      <c r="A29" s="97">
        <v>8</v>
      </c>
      <c r="B29" s="97" t="str">
        <f>Source!E38</f>
        <v>8</v>
      </c>
      <c r="C29" s="100" t="str">
        <f>Source!G38</f>
        <v>Устройство мелких покрытий (брандмауэры, парапеты, свесы и т.п.) из листовой оцинкованной стали</v>
      </c>
      <c r="D29" s="97" t="s">
        <v>589</v>
      </c>
      <c r="E29" s="101">
        <f>Source!I38*100</f>
        <v>2.8899999999999997</v>
      </c>
      <c r="F29" s="97" t="str">
        <f>Source!U24</f>
        <v/>
      </c>
      <c r="G29" s="97" t="str">
        <f>"=(2,89/"&amp;"100"&amp;")*100"</f>
        <v>=(2,89/100)*100</v>
      </c>
      <c r="H29" s="100"/>
    </row>
    <row r="30" spans="1:8" ht="28.5" x14ac:dyDescent="0.2">
      <c r="A30" s="97">
        <v>9</v>
      </c>
      <c r="B30" s="97" t="str">
        <f>Source!E39</f>
        <v>9</v>
      </c>
      <c r="C30" s="100" t="str">
        <f>Source!G39</f>
        <v>Устройство защитной декоративной сетки на время ремонта фасада</v>
      </c>
      <c r="D30" s="97" t="s">
        <v>589</v>
      </c>
      <c r="E30" s="101">
        <f>Source!I39*100</f>
        <v>124.92000000000002</v>
      </c>
      <c r="F30" s="97" t="str">
        <f>Source!U24</f>
        <v/>
      </c>
      <c r="G30" s="97" t="str">
        <f>"=(124,92/"&amp;"100"&amp;")*100"</f>
        <v>=(124,92/100)*100</v>
      </c>
      <c r="H30" s="100"/>
    </row>
    <row r="31" spans="1:8" ht="14.25" x14ac:dyDescent="0.2">
      <c r="A31" s="97">
        <v>10</v>
      </c>
      <c r="B31" s="97" t="str">
        <f>Source!E41</f>
        <v>10</v>
      </c>
      <c r="C31" s="100" t="str">
        <f>Source!G41</f>
        <v>Сетка фасадная защитная 80 гр/м2</v>
      </c>
      <c r="D31" s="97" t="s">
        <v>111</v>
      </c>
      <c r="E31" s="101">
        <f>Source!I41</f>
        <v>131.66</v>
      </c>
      <c r="F31" s="97" t="str">
        <f>Source!U24</f>
        <v/>
      </c>
      <c r="G31" s="97">
        <f>Source!I41</f>
        <v>131.66</v>
      </c>
      <c r="H31" s="100"/>
    </row>
    <row r="32" spans="1:8" ht="28.5" x14ac:dyDescent="0.2">
      <c r="A32" s="97">
        <v>11</v>
      </c>
      <c r="B32" s="97" t="str">
        <f>Source!E42</f>
        <v>11</v>
      </c>
      <c r="C32" s="100" t="str">
        <f>Source!G42</f>
        <v>Сверление горизонтальных отверстий в бетонных конструкциях стен перфоратором глубиной 200 мм диаметром: до 20 мм</v>
      </c>
      <c r="D32" s="97" t="s">
        <v>591</v>
      </c>
      <c r="E32" s="101">
        <f>Source!I42*100</f>
        <v>106</v>
      </c>
      <c r="F32" s="97" t="str">
        <f>Source!U24</f>
        <v/>
      </c>
      <c r="G32" s="97" t="str">
        <f>"=(106/"&amp;"100"&amp;")*100"</f>
        <v>=(106/100)*100</v>
      </c>
      <c r="H32" s="100"/>
    </row>
    <row r="33" spans="1:8" ht="28.5" x14ac:dyDescent="0.2">
      <c r="A33" s="97">
        <v>12</v>
      </c>
      <c r="B33" s="97" t="str">
        <f>Source!E44</f>
        <v>12</v>
      </c>
      <c r="C33" s="100" t="str">
        <f>Source!G44</f>
        <v>Дюбель-гвозди полипропиленовые анкерные с бортом, диаметр 8 мм, длина 100 мм</v>
      </c>
      <c r="D33" s="97" t="s">
        <v>592</v>
      </c>
      <c r="E33" s="101">
        <f>Source!I44*100</f>
        <v>106</v>
      </c>
      <c r="F33" s="97" t="str">
        <f>Source!U24</f>
        <v/>
      </c>
      <c r="G33" s="97" t="str">
        <f>"=(106/"&amp;"100"&amp;")*100"</f>
        <v>=(106/100)*100</v>
      </c>
      <c r="H33" s="100"/>
    </row>
    <row r="34" spans="1:8" ht="14.25" x14ac:dyDescent="0.2">
      <c r="A34" s="96">
        <v>13</v>
      </c>
      <c r="B34" s="96" t="str">
        <f>Source!E45</f>
        <v>13</v>
      </c>
      <c r="C34" s="98" t="str">
        <f>Source!G45</f>
        <v>Автогидроподъемники, высота подъема 16 м</v>
      </c>
      <c r="D34" s="96" t="s">
        <v>139</v>
      </c>
      <c r="E34" s="99">
        <f>Source!I45</f>
        <v>80</v>
      </c>
      <c r="F34" s="96" t="str">
        <f>Source!U24</f>
        <v/>
      </c>
      <c r="G34" s="96">
        <f>Source!I45</f>
        <v>80</v>
      </c>
      <c r="H34" s="98"/>
    </row>
    <row r="37" spans="1:8" ht="15" x14ac:dyDescent="0.25">
      <c r="C37" s="93" t="s">
        <v>593</v>
      </c>
      <c r="D37" s="93" t="str">
        <f>IF(Source!X12&lt;&gt;"", Source!X12," ")</f>
        <v xml:space="preserve"> </v>
      </c>
      <c r="E37" s="102"/>
    </row>
    <row r="38" spans="1:8" ht="15" x14ac:dyDescent="0.25">
      <c r="C38" s="51"/>
      <c r="D38" s="102"/>
      <c r="E38" s="102"/>
    </row>
    <row r="39" spans="1:8" ht="15" x14ac:dyDescent="0.25">
      <c r="C39" s="93" t="s">
        <v>594</v>
      </c>
      <c r="D39" s="93" t="str">
        <f>IF(Source!AB12&lt;&gt;"", Source!AB12," ")</f>
        <v xml:space="preserve"> </v>
      </c>
      <c r="E39" s="102"/>
    </row>
  </sheetData>
  <mergeCells count="6">
    <mergeCell ref="A18:H18"/>
    <mergeCell ref="D5:E5"/>
    <mergeCell ref="D7:E7"/>
    <mergeCell ref="B12:E12"/>
    <mergeCell ref="B13:E13"/>
    <mergeCell ref="B14:E14"/>
  </mergeCells>
  <pageMargins left="0.4" right="0.2" top="0.2" bottom="0.4" header="0.2" footer="0.2"/>
  <pageSetup paperSize="9" scale="59" fitToHeight="0" orientation="portrait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4AEE6-8320-42DF-B76B-B61C9D0E6C17}">
  <sheetPr>
    <pageSetUpPr fitToPage="1"/>
  </sheetPr>
  <dimension ref="A1:CW344"/>
  <sheetViews>
    <sheetView topLeftCell="A237" zoomScaleNormal="100" workbookViewId="0">
      <selection activeCell="M337" sqref="M337"/>
    </sheetView>
  </sheetViews>
  <sheetFormatPr defaultRowHeight="12.75" x14ac:dyDescent="0.2"/>
  <cols>
    <col min="1" max="2" width="5.7109375" customWidth="1"/>
    <col min="3" max="3" width="20.7109375" customWidth="1"/>
    <col min="4" max="4" width="40.7109375" customWidth="1"/>
    <col min="5" max="5" width="10.7109375" customWidth="1"/>
    <col min="6" max="13" width="15.7109375" customWidth="1"/>
    <col min="15" max="91" width="0" hidden="1" customWidth="1"/>
    <col min="92" max="92" width="133.7109375" hidden="1" customWidth="1"/>
    <col min="93" max="100" width="0" hidden="1" customWidth="1"/>
    <col min="101" max="101" width="83.7109375" hidden="1" customWidth="1"/>
  </cols>
  <sheetData>
    <row r="1" spans="1:92" x14ac:dyDescent="0.2">
      <c r="A1" s="23" t="str">
        <f>Source!B1</f>
        <v>Smeta.RU  (495) 974-1589</v>
      </c>
    </row>
    <row r="2" spans="1:92" ht="12.7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226" t="s">
        <v>595</v>
      </c>
      <c r="K2" s="226"/>
      <c r="L2" s="226"/>
      <c r="M2" s="226"/>
    </row>
    <row r="3" spans="1:92" ht="12.75" customHeight="1" x14ac:dyDescent="0.2">
      <c r="A3" s="38"/>
      <c r="B3" s="38"/>
      <c r="C3" s="38"/>
      <c r="D3" s="38"/>
      <c r="E3" s="38"/>
      <c r="F3" s="38"/>
      <c r="G3" s="38"/>
      <c r="H3" s="38"/>
      <c r="I3" s="226" t="s">
        <v>596</v>
      </c>
      <c r="J3" s="226"/>
      <c r="K3" s="226"/>
      <c r="L3" s="226"/>
      <c r="M3" s="226"/>
    </row>
    <row r="4" spans="1:92" ht="12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226" t="s">
        <v>597</v>
      </c>
      <c r="K4" s="226"/>
      <c r="L4" s="226"/>
      <c r="M4" s="226"/>
    </row>
    <row r="5" spans="1:92" ht="12.7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92" ht="14.2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220" t="s">
        <v>598</v>
      </c>
      <c r="L6" s="220"/>
      <c r="M6" s="220"/>
    </row>
    <row r="7" spans="1:92" ht="28.5" customHeight="1" x14ac:dyDescent="0.2">
      <c r="A7" s="38"/>
      <c r="B7" s="38"/>
      <c r="C7" s="38"/>
      <c r="D7" s="38"/>
      <c r="E7" s="38"/>
      <c r="F7" s="38"/>
      <c r="G7" s="38"/>
      <c r="H7" s="38"/>
      <c r="I7" s="38"/>
      <c r="J7" s="104" t="s">
        <v>599</v>
      </c>
      <c r="K7" s="207">
        <v>322005</v>
      </c>
      <c r="L7" s="208"/>
      <c r="M7" s="209"/>
    </row>
    <row r="8" spans="1:92" ht="12.75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216" t="str">
        <f>IF(Source!AT15 &lt;&gt; "", Source!AT15, "")</f>
        <v/>
      </c>
      <c r="L8" s="217"/>
      <c r="M8" s="218"/>
    </row>
    <row r="9" spans="1:92" ht="14.25" customHeight="1" x14ac:dyDescent="0.2">
      <c r="A9" s="222" t="s">
        <v>600</v>
      </c>
      <c r="B9" s="222"/>
      <c r="C9" s="223" t="str">
        <f>IF(Source!BA15 &lt;&gt; "", Source!BA15, IF(Source!AU15 &lt;&gt; "", Source!AU15, ""))</f>
        <v/>
      </c>
      <c r="D9" s="223"/>
      <c r="E9" s="223"/>
      <c r="F9" s="223"/>
      <c r="G9" s="223"/>
      <c r="H9" s="223"/>
      <c r="I9" s="223"/>
      <c r="J9" s="106" t="s">
        <v>601</v>
      </c>
      <c r="K9" s="219"/>
      <c r="L9" s="220"/>
      <c r="M9" s="221"/>
    </row>
    <row r="10" spans="1:92" ht="12.75" customHeight="1" x14ac:dyDescent="0.2">
      <c r="A10" s="38"/>
      <c r="B10" s="38"/>
      <c r="C10" s="191" t="s">
        <v>602</v>
      </c>
      <c r="D10" s="191"/>
      <c r="E10" s="191"/>
      <c r="F10" s="191"/>
      <c r="G10" s="191"/>
      <c r="H10" s="191"/>
      <c r="I10" s="191"/>
      <c r="J10" s="38"/>
      <c r="K10" s="216" t="str">
        <f>IF(Source!AK15 &lt;&gt; "", Source!AK15, "")</f>
        <v/>
      </c>
      <c r="L10" s="217"/>
      <c r="M10" s="218"/>
    </row>
    <row r="11" spans="1:92" ht="14.25" customHeight="1" x14ac:dyDescent="0.2">
      <c r="A11" s="222" t="s">
        <v>603</v>
      </c>
      <c r="B11" s="222"/>
      <c r="C11" s="223" t="str">
        <f>IF(Source!AX12&lt;&gt; "", Source!AX12, IF(Source!AJ12 &lt;&gt; "", Source!AJ12, ""))</f>
        <v/>
      </c>
      <c r="D11" s="223"/>
      <c r="E11" s="223"/>
      <c r="F11" s="223"/>
      <c r="G11" s="223"/>
      <c r="H11" s="223"/>
      <c r="I11" s="223"/>
      <c r="J11" s="106" t="s">
        <v>601</v>
      </c>
      <c r="K11" s="219"/>
      <c r="L11" s="220"/>
      <c r="M11" s="221"/>
    </row>
    <row r="12" spans="1:92" ht="12.75" customHeight="1" x14ac:dyDescent="0.2">
      <c r="A12" s="38"/>
      <c r="B12" s="38"/>
      <c r="C12" s="191" t="s">
        <v>602</v>
      </c>
      <c r="D12" s="191"/>
      <c r="E12" s="191"/>
      <c r="F12" s="191"/>
      <c r="G12" s="191"/>
      <c r="H12" s="191"/>
      <c r="I12" s="191"/>
      <c r="J12" s="38"/>
      <c r="K12" s="216" t="str">
        <f>IF(Source!AO15 &lt;&gt; "", Source!AO15, "")</f>
        <v/>
      </c>
      <c r="L12" s="217"/>
      <c r="M12" s="218"/>
    </row>
    <row r="13" spans="1:92" ht="14.25" customHeight="1" x14ac:dyDescent="0.2">
      <c r="A13" s="222" t="s">
        <v>604</v>
      </c>
      <c r="B13" s="222"/>
      <c r="C13" s="223" t="str">
        <f>IF(Source!AY12&lt;&gt; "", Source!AY12, IF(Source!AN12 &lt;&gt; "", Source!AN12, ""))</f>
        <v/>
      </c>
      <c r="D13" s="223"/>
      <c r="E13" s="223"/>
      <c r="F13" s="223"/>
      <c r="G13" s="223"/>
      <c r="H13" s="223"/>
      <c r="I13" s="223"/>
      <c r="J13" s="106" t="s">
        <v>601</v>
      </c>
      <c r="K13" s="219"/>
      <c r="L13" s="220"/>
      <c r="M13" s="221"/>
    </row>
    <row r="14" spans="1:92" ht="12.75" customHeight="1" x14ac:dyDescent="0.2">
      <c r="A14" s="38"/>
      <c r="B14" s="38"/>
      <c r="C14" s="191" t="s">
        <v>602</v>
      </c>
      <c r="D14" s="191"/>
      <c r="E14" s="191"/>
      <c r="F14" s="191"/>
      <c r="G14" s="191"/>
      <c r="H14" s="191"/>
      <c r="I14" s="191"/>
      <c r="J14" s="38"/>
      <c r="K14" s="216" t="str">
        <f>IF(Source!CO15 &lt;&gt; "", Source!CO15, "")</f>
        <v/>
      </c>
      <c r="L14" s="217"/>
      <c r="M14" s="218"/>
    </row>
    <row r="15" spans="1:92" ht="42.75" x14ac:dyDescent="0.2">
      <c r="A15" s="222" t="s">
        <v>605</v>
      </c>
      <c r="B15" s="222"/>
      <c r="C15" s="223" t="s">
        <v>407</v>
      </c>
      <c r="D15" s="223"/>
      <c r="E15" s="223"/>
      <c r="F15" s="223"/>
      <c r="G15" s="223"/>
      <c r="H15" s="223"/>
      <c r="I15" s="223"/>
      <c r="J15" s="107"/>
      <c r="K15" s="219"/>
      <c r="L15" s="220"/>
      <c r="M15" s="221"/>
      <c r="CN15" s="118" t="s">
        <v>407</v>
      </c>
    </row>
    <row r="16" spans="1:92" ht="12.75" customHeight="1" x14ac:dyDescent="0.2">
      <c r="A16" s="38"/>
      <c r="B16" s="38"/>
      <c r="C16" s="191" t="s">
        <v>606</v>
      </c>
      <c r="D16" s="191"/>
      <c r="E16" s="191"/>
      <c r="F16" s="191"/>
      <c r="G16" s="191"/>
      <c r="H16" s="191"/>
      <c r="I16" s="191"/>
      <c r="J16" s="38"/>
      <c r="K16" s="216" t="str">
        <f>IF(Source!CP15 &lt;&gt; "", Source!CP15, "")</f>
        <v/>
      </c>
      <c r="L16" s="217"/>
      <c r="M16" s="218"/>
    </row>
    <row r="17" spans="1:92" ht="28.5" x14ac:dyDescent="0.2">
      <c r="A17" s="222" t="s">
        <v>607</v>
      </c>
      <c r="B17" s="222"/>
      <c r="C17" s="223" t="str">
        <f>IF(Source!G12&lt;&gt;"Новый объект", Source!G12, 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D17" s="223"/>
      <c r="E17" s="223"/>
      <c r="F17" s="223"/>
      <c r="G17" s="223"/>
      <c r="H17" s="223"/>
      <c r="I17" s="223"/>
      <c r="J17" s="107"/>
      <c r="K17" s="219"/>
      <c r="L17" s="220"/>
      <c r="M17" s="221"/>
      <c r="CN17" s="118" t="str">
        <f>IF(Source!G12&lt;&gt;"Новый объект", Source!G12, 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</row>
    <row r="18" spans="1:92" ht="12.75" customHeight="1" x14ac:dyDescent="0.2">
      <c r="A18" s="38"/>
      <c r="B18" s="38"/>
      <c r="C18" s="191" t="s">
        <v>608</v>
      </c>
      <c r="D18" s="191"/>
      <c r="E18" s="191"/>
      <c r="F18" s="191"/>
      <c r="G18" s="191"/>
      <c r="H18" s="191"/>
      <c r="I18" s="191"/>
      <c r="J18" s="38"/>
      <c r="K18" s="109"/>
      <c r="L18" s="109"/>
      <c r="M18" s="109"/>
    </row>
    <row r="19" spans="1:92" ht="14.25" customHeight="1" x14ac:dyDescent="0.2">
      <c r="A19" s="38"/>
      <c r="B19" s="38"/>
      <c r="C19" s="38"/>
      <c r="D19" s="38"/>
      <c r="E19" s="38"/>
      <c r="F19" s="38"/>
      <c r="G19" s="38"/>
      <c r="H19" s="224" t="s">
        <v>609</v>
      </c>
      <c r="I19" s="224"/>
      <c r="J19" s="225"/>
      <c r="K19" s="207" t="str">
        <f>IF(Source!CQ15 &lt;&gt; "", Source!CQ15, "")</f>
        <v/>
      </c>
      <c r="L19" s="208"/>
      <c r="M19" s="209"/>
    </row>
    <row r="20" spans="1:92" ht="14.25" customHeight="1" x14ac:dyDescent="0.2">
      <c r="A20" s="38"/>
      <c r="B20" s="38"/>
      <c r="C20" s="38"/>
      <c r="D20" s="38"/>
      <c r="E20" s="38"/>
      <c r="F20" s="38"/>
      <c r="G20" s="38"/>
      <c r="H20" s="205" t="s">
        <v>610</v>
      </c>
      <c r="I20" s="206"/>
      <c r="J20" s="110" t="s">
        <v>611</v>
      </c>
      <c r="K20" s="207" t="str">
        <f>IF(Source!CR15 &lt;&gt; "", Source!CR15, "")</f>
        <v/>
      </c>
      <c r="L20" s="208"/>
      <c r="M20" s="209"/>
    </row>
    <row r="21" spans="1:92" ht="14.25" customHeight="1" x14ac:dyDescent="0.2">
      <c r="A21" s="38"/>
      <c r="B21" s="38"/>
      <c r="C21" s="38"/>
      <c r="D21" s="38"/>
      <c r="E21" s="38"/>
      <c r="F21" s="38"/>
      <c r="G21" s="38"/>
      <c r="H21" s="38"/>
      <c r="I21" s="105"/>
      <c r="J21" s="110" t="s">
        <v>612</v>
      </c>
      <c r="K21" s="210" t="str">
        <f>IF(Source!CS15 &lt;&gt; 0, Source!CS15, "")</f>
        <v/>
      </c>
      <c r="L21" s="211"/>
      <c r="M21" s="212"/>
    </row>
    <row r="22" spans="1:92" ht="14.25" customHeight="1" x14ac:dyDescent="0.2">
      <c r="A22" s="38"/>
      <c r="B22" s="38"/>
      <c r="C22" s="38"/>
      <c r="D22" s="38"/>
      <c r="E22" s="38"/>
      <c r="F22" s="38"/>
      <c r="G22" s="38"/>
      <c r="H22" s="38"/>
      <c r="I22" s="38"/>
      <c r="J22" s="111" t="s">
        <v>613</v>
      </c>
      <c r="K22" s="207" t="str">
        <f>IF(Source!CT15 &lt;&gt; "", Source!CT15, "")</f>
        <v/>
      </c>
      <c r="L22" s="208"/>
      <c r="M22" s="209"/>
    </row>
    <row r="23" spans="1:92" ht="12.75" customHeight="1" x14ac:dyDescent="0.2">
      <c r="A23" s="38"/>
      <c r="B23" s="38"/>
      <c r="C23" s="38"/>
      <c r="D23" s="38"/>
      <c r="E23" s="38"/>
      <c r="F23" s="38"/>
      <c r="G23" s="112"/>
      <c r="H23" s="112"/>
      <c r="I23" s="112"/>
      <c r="J23" s="112"/>
      <c r="K23" s="108"/>
      <c r="L23" s="108"/>
      <c r="M23" s="108"/>
    </row>
    <row r="24" spans="1:92" ht="12.75" customHeight="1" x14ac:dyDescent="0.2">
      <c r="A24" s="38"/>
      <c r="B24" s="38"/>
      <c r="C24" s="38"/>
      <c r="D24" s="38"/>
      <c r="E24" s="38"/>
      <c r="F24" s="38"/>
      <c r="G24" s="200" t="s">
        <v>614</v>
      </c>
      <c r="H24" s="148" t="s">
        <v>615</v>
      </c>
      <c r="I24" s="198" t="s">
        <v>616</v>
      </c>
      <c r="J24" s="215"/>
      <c r="K24" s="113"/>
      <c r="L24" s="38"/>
      <c r="M24" s="38"/>
    </row>
    <row r="25" spans="1:92" ht="12.75" customHeight="1" x14ac:dyDescent="0.2">
      <c r="A25" s="38"/>
      <c r="B25" s="38"/>
      <c r="C25" s="38"/>
      <c r="D25" s="38"/>
      <c r="E25" s="38"/>
      <c r="F25" s="107"/>
      <c r="G25" s="213"/>
      <c r="H25" s="214"/>
      <c r="I25" s="44" t="s">
        <v>617</v>
      </c>
      <c r="J25" s="44" t="s">
        <v>618</v>
      </c>
      <c r="K25" s="113"/>
      <c r="L25" s="38"/>
      <c r="M25" s="38"/>
    </row>
    <row r="26" spans="1:92" ht="12.75" customHeight="1" x14ac:dyDescent="0.2">
      <c r="A26" s="38"/>
      <c r="B26" s="38"/>
      <c r="C26" s="38"/>
      <c r="D26" s="38"/>
      <c r="E26" s="38"/>
      <c r="F26" s="105"/>
      <c r="G26" s="114" t="str">
        <f>IF(Source!CN15 &lt;&gt; "", Source!CN15, "")</f>
        <v/>
      </c>
      <c r="H26" s="115" t="str">
        <f>IF(Source!CX15 &lt;&gt; 0, Source!CX15, "")</f>
        <v/>
      </c>
      <c r="I26" s="115" t="str">
        <f>IF(Source!CV15 &lt;&gt; 0, Source!CV15, "")</f>
        <v/>
      </c>
      <c r="J26" s="115" t="str">
        <f>IF(Source!CW15 &lt;&gt; 0, Source!CW15, "")</f>
        <v/>
      </c>
      <c r="K26" s="113"/>
      <c r="L26" s="38"/>
      <c r="M26" s="38"/>
    </row>
    <row r="27" spans="1:92" ht="12.75" customHeight="1" x14ac:dyDescent="0.2">
      <c r="A27" s="38"/>
      <c r="B27" s="38"/>
      <c r="C27" s="38"/>
      <c r="D27" s="38"/>
      <c r="E27" s="38"/>
      <c r="F27" s="38"/>
      <c r="G27" s="108"/>
      <c r="H27" s="108"/>
      <c r="I27" s="108"/>
      <c r="J27" s="108"/>
      <c r="K27" s="38"/>
      <c r="L27" s="38"/>
      <c r="M27" s="38"/>
    </row>
    <row r="28" spans="1:92" ht="18" customHeight="1" x14ac:dyDescent="0.25">
      <c r="A28" s="196" t="s">
        <v>619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</row>
    <row r="29" spans="1:92" ht="18" customHeight="1" x14ac:dyDescent="0.25">
      <c r="A29" s="196" t="s">
        <v>620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</row>
    <row r="30" spans="1:92" ht="12.75" customHeight="1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92" ht="14.25" customHeight="1" x14ac:dyDescent="0.2">
      <c r="A31" s="197" t="s">
        <v>491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</row>
    <row r="32" spans="1:92" ht="12.75" customHeight="1" x14ac:dyDescent="0.2">
      <c r="A32" s="198" t="s">
        <v>413</v>
      </c>
      <c r="B32" s="199"/>
      <c r="C32" s="200" t="s">
        <v>476</v>
      </c>
      <c r="D32" s="148" t="s">
        <v>477</v>
      </c>
      <c r="E32" s="148" t="s">
        <v>478</v>
      </c>
      <c r="F32" s="136" t="s">
        <v>479</v>
      </c>
      <c r="G32" s="137"/>
      <c r="H32" s="138"/>
      <c r="I32" s="136" t="s">
        <v>480</v>
      </c>
      <c r="J32" s="137"/>
      <c r="K32" s="137"/>
      <c r="L32" s="137"/>
      <c r="M32" s="138"/>
    </row>
    <row r="33" spans="1:101" ht="12.75" customHeight="1" x14ac:dyDescent="0.2">
      <c r="A33" s="148" t="s">
        <v>413</v>
      </c>
      <c r="B33" s="193" t="s">
        <v>621</v>
      </c>
      <c r="C33" s="201"/>
      <c r="D33" s="149"/>
      <c r="E33" s="149"/>
      <c r="F33" s="139"/>
      <c r="G33" s="140"/>
      <c r="H33" s="141"/>
      <c r="I33" s="203"/>
      <c r="J33" s="140"/>
      <c r="K33" s="140"/>
      <c r="L33" s="140"/>
      <c r="M33" s="141"/>
    </row>
    <row r="34" spans="1:101" ht="12.75" customHeight="1" x14ac:dyDescent="0.2">
      <c r="A34" s="149"/>
      <c r="B34" s="194"/>
      <c r="C34" s="201"/>
      <c r="D34" s="149"/>
      <c r="E34" s="149"/>
      <c r="F34" s="139"/>
      <c r="G34" s="140"/>
      <c r="H34" s="141"/>
      <c r="I34" s="203"/>
      <c r="J34" s="140"/>
      <c r="K34" s="140"/>
      <c r="L34" s="140"/>
      <c r="M34" s="141"/>
    </row>
    <row r="35" spans="1:101" ht="12.75" customHeight="1" x14ac:dyDescent="0.2">
      <c r="A35" s="149"/>
      <c r="B35" s="194"/>
      <c r="C35" s="201"/>
      <c r="D35" s="149"/>
      <c r="E35" s="149"/>
      <c r="F35" s="142"/>
      <c r="G35" s="143"/>
      <c r="H35" s="144"/>
      <c r="I35" s="204"/>
      <c r="J35" s="143"/>
      <c r="K35" s="143"/>
      <c r="L35" s="143"/>
      <c r="M35" s="144"/>
    </row>
    <row r="36" spans="1:101" ht="51" customHeight="1" x14ac:dyDescent="0.2">
      <c r="A36" s="150"/>
      <c r="B36" s="195"/>
      <c r="C36" s="202"/>
      <c r="D36" s="150"/>
      <c r="E36" s="150"/>
      <c r="F36" s="44" t="s">
        <v>481</v>
      </c>
      <c r="G36" s="44" t="s">
        <v>482</v>
      </c>
      <c r="H36" s="45" t="s">
        <v>483</v>
      </c>
      <c r="I36" s="44" t="s">
        <v>484</v>
      </c>
      <c r="J36" s="44" t="s">
        <v>485</v>
      </c>
      <c r="K36" s="44" t="s">
        <v>486</v>
      </c>
      <c r="L36" s="44" t="s">
        <v>482</v>
      </c>
      <c r="M36" s="44" t="s">
        <v>487</v>
      </c>
    </row>
    <row r="37" spans="1:101" ht="12.75" customHeight="1" x14ac:dyDescent="0.2">
      <c r="A37" s="116">
        <v>1</v>
      </c>
      <c r="B37" s="116">
        <v>2</v>
      </c>
      <c r="C37" s="116">
        <v>3</v>
      </c>
      <c r="D37" s="116">
        <v>4</v>
      </c>
      <c r="E37" s="116">
        <v>5</v>
      </c>
      <c r="F37" s="116">
        <v>6</v>
      </c>
      <c r="G37" s="116">
        <v>7</v>
      </c>
      <c r="H37" s="116">
        <v>8</v>
      </c>
      <c r="I37" s="116">
        <v>9</v>
      </c>
      <c r="J37" s="116">
        <v>10</v>
      </c>
      <c r="K37" s="116">
        <v>11</v>
      </c>
      <c r="L37" s="116">
        <v>12</v>
      </c>
      <c r="M37" s="116">
        <v>13</v>
      </c>
    </row>
    <row r="39" spans="1:101" ht="16.5" x14ac:dyDescent="0.2">
      <c r="A39" s="145" t="s">
        <v>622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</row>
    <row r="41" spans="1:101" ht="16.5" x14ac:dyDescent="0.2">
      <c r="A41" s="145" t="s">
        <v>492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</row>
    <row r="42" spans="1:101" ht="57" x14ac:dyDescent="0.2">
      <c r="A42" s="52" t="s">
        <v>17</v>
      </c>
      <c r="B42" s="52" t="s">
        <v>17</v>
      </c>
      <c r="C42" s="54" t="s">
        <v>493</v>
      </c>
      <c r="D42" s="54" t="str">
        <f>Source!G28</f>
        <v>Разборка мелких покрытий и обделок из листовой стали: поясков, сандриков, желобов, отливов, свесов и т.п.</v>
      </c>
      <c r="E42" s="55" t="str">
        <f>Source!H28</f>
        <v>100 м</v>
      </c>
      <c r="F42" s="56">
        <f>Source!K28</f>
        <v>4.5999999999999999E-3</v>
      </c>
      <c r="G42" s="56"/>
      <c r="H42" s="56">
        <f>Source!I28</f>
        <v>4.5999999999999999E-3</v>
      </c>
      <c r="I42" s="58"/>
      <c r="J42" s="57"/>
      <c r="K42" s="58"/>
      <c r="L42" s="57"/>
      <c r="M42" s="58"/>
    </row>
    <row r="43" spans="1:101" ht="25.5" x14ac:dyDescent="0.2">
      <c r="C43" s="59" t="s">
        <v>346</v>
      </c>
      <c r="D43" s="132" t="s">
        <v>494</v>
      </c>
      <c r="E43" s="132"/>
      <c r="F43" s="132"/>
      <c r="G43" s="132"/>
      <c r="H43" s="132"/>
      <c r="I43" s="132"/>
      <c r="J43" s="132"/>
      <c r="K43" s="132"/>
      <c r="L43" s="132"/>
      <c r="M43" s="132"/>
    </row>
    <row r="44" spans="1:101" ht="38.25" x14ac:dyDescent="0.2">
      <c r="C44" s="59" t="s">
        <v>350</v>
      </c>
      <c r="D44" s="132" t="s">
        <v>495</v>
      </c>
      <c r="E44" s="132"/>
      <c r="F44" s="132"/>
      <c r="G44" s="132"/>
      <c r="H44" s="132"/>
      <c r="I44" s="132"/>
      <c r="J44" s="132"/>
      <c r="K44" s="132"/>
      <c r="L44" s="132"/>
      <c r="M44" s="132"/>
      <c r="CW44" s="60" t="s">
        <v>495</v>
      </c>
    </row>
    <row r="45" spans="1:101" ht="51" x14ac:dyDescent="0.2">
      <c r="D45" s="133" t="s">
        <v>496</v>
      </c>
      <c r="E45" s="133"/>
      <c r="F45" s="133"/>
      <c r="G45" s="133"/>
      <c r="CW45" s="61" t="s">
        <v>496</v>
      </c>
    </row>
    <row r="46" spans="1:101" x14ac:dyDescent="0.2">
      <c r="D46" s="62" t="str">
        <f>"Объем: "&amp;Source!I28&amp;"=0,46/"&amp;"100"</f>
        <v>Объем: 0,0046=0,46/100</v>
      </c>
    </row>
    <row r="47" spans="1:101" ht="15" x14ac:dyDescent="0.2">
      <c r="A47" s="53"/>
      <c r="B47" s="53"/>
      <c r="C47" s="56">
        <v>1</v>
      </c>
      <c r="D47" s="53" t="s">
        <v>497</v>
      </c>
      <c r="E47" s="55" t="s">
        <v>282</v>
      </c>
      <c r="F47" s="63"/>
      <c r="G47" s="56"/>
      <c r="H47" s="56">
        <f>Source!U28</f>
        <v>6.01738E-2</v>
      </c>
      <c r="I47" s="56"/>
      <c r="J47" s="56"/>
      <c r="K47" s="56"/>
      <c r="L47" s="56"/>
      <c r="M47" s="64">
        <f>SUM(M48:M48)-SUMIF(CE48:CE48, 1, M48:M48)</f>
        <v>35.78</v>
      </c>
    </row>
    <row r="48" spans="1:101" ht="14.25" x14ac:dyDescent="0.2">
      <c r="A48" s="54"/>
      <c r="B48" s="54"/>
      <c r="C48" s="54" t="s">
        <v>280</v>
      </c>
      <c r="D48" s="54" t="s">
        <v>281</v>
      </c>
      <c r="E48" s="55" t="s">
        <v>282</v>
      </c>
      <c r="F48" s="56">
        <v>9.1</v>
      </c>
      <c r="G48" s="56">
        <f>ROUND((0.15+1)*1.25,7)</f>
        <v>1.4375</v>
      </c>
      <c r="H48" s="56">
        <f>SmtRes!CX1</f>
        <v>6.01738E-2</v>
      </c>
      <c r="I48" s="58"/>
      <c r="J48" s="57"/>
      <c r="K48" s="58">
        <f>SmtRes!CZ1</f>
        <v>594.67999999999995</v>
      </c>
      <c r="L48" s="57"/>
      <c r="M48" s="58">
        <f>SmtRes!DI1</f>
        <v>35.78</v>
      </c>
    </row>
    <row r="49" spans="1:101" ht="15" x14ac:dyDescent="0.2">
      <c r="A49" s="53"/>
      <c r="B49" s="53"/>
      <c r="C49" s="56">
        <v>2</v>
      </c>
      <c r="D49" s="53" t="s">
        <v>498</v>
      </c>
      <c r="E49" s="55"/>
      <c r="F49" s="63"/>
      <c r="G49" s="56"/>
      <c r="H49" s="56"/>
      <c r="I49" s="56"/>
      <c r="J49" s="56"/>
      <c r="K49" s="56"/>
      <c r="L49" s="56"/>
      <c r="M49" s="64">
        <f>SUM(M50:M51)-SUMIF(CE50:CE51, 1, M50:M51)</f>
        <v>0.01</v>
      </c>
    </row>
    <row r="50" spans="1:101" ht="15" hidden="1" x14ac:dyDescent="0.2">
      <c r="A50" s="53"/>
      <c r="B50" s="53"/>
      <c r="C50" s="56"/>
      <c r="D50" s="53" t="s">
        <v>499</v>
      </c>
      <c r="E50" s="55" t="s">
        <v>282</v>
      </c>
      <c r="F50" s="63"/>
      <c r="G50" s="56"/>
      <c r="H50" s="56">
        <f>Source!V28</f>
        <v>0</v>
      </c>
      <c r="I50" s="56"/>
      <c r="J50" s="56"/>
      <c r="K50" s="56"/>
      <c r="L50" s="56"/>
      <c r="M50" s="64">
        <f>SUMIF(CE51:CE51, 1, M51:M51)</f>
        <v>0</v>
      </c>
      <c r="CE50">
        <v>1</v>
      </c>
    </row>
    <row r="51" spans="1:101" ht="28.5" x14ac:dyDescent="0.2">
      <c r="A51" s="54"/>
      <c r="B51" s="54"/>
      <c r="C51" s="54" t="s">
        <v>283</v>
      </c>
      <c r="D51" s="65" t="s">
        <v>285</v>
      </c>
      <c r="E51" s="66" t="s">
        <v>286</v>
      </c>
      <c r="F51" s="67">
        <v>0.12</v>
      </c>
      <c r="G51" s="67">
        <f>ROUND((0.15+1)*1.25,7)</f>
        <v>1.4375</v>
      </c>
      <c r="H51" s="67">
        <f>SmtRes!CX2</f>
        <v>7.9350000000000004E-4</v>
      </c>
      <c r="I51" s="68">
        <f>SmtRes!CZ2</f>
        <v>6.62</v>
      </c>
      <c r="J51" s="69">
        <f>SmtRes!AJ2</f>
        <v>1.5</v>
      </c>
      <c r="K51" s="68">
        <f>ROUND(I51*J51, 2)</f>
        <v>9.93</v>
      </c>
      <c r="L51" s="69"/>
      <c r="M51" s="68">
        <f>SmtRes!DG2</f>
        <v>0.01</v>
      </c>
    </row>
    <row r="52" spans="1:101" ht="15" x14ac:dyDescent="0.2">
      <c r="A52" s="54"/>
      <c r="B52" s="54"/>
      <c r="C52" s="54"/>
      <c r="D52" s="72" t="s">
        <v>500</v>
      </c>
      <c r="E52" s="55"/>
      <c r="F52" s="56"/>
      <c r="G52" s="56"/>
      <c r="H52" s="56"/>
      <c r="I52" s="58"/>
      <c r="J52" s="57"/>
      <c r="K52" s="58"/>
      <c r="L52" s="57"/>
      <c r="M52" s="58">
        <f>M47+M49+M50</f>
        <v>35.79</v>
      </c>
    </row>
    <row r="53" spans="1:101" ht="14.25" x14ac:dyDescent="0.2">
      <c r="A53" s="52" t="s">
        <v>357</v>
      </c>
      <c r="B53" s="52" t="s">
        <v>357</v>
      </c>
      <c r="C53" s="54" t="str">
        <f>Source!F29</f>
        <v>999-9900</v>
      </c>
      <c r="D53" s="54" t="str">
        <f>Source!G29</f>
        <v>Строительный мусор</v>
      </c>
      <c r="E53" s="55" t="str">
        <f>Source!H29</f>
        <v>т</v>
      </c>
      <c r="F53" s="56">
        <f>SmtRes!AT3</f>
        <v>0.12</v>
      </c>
      <c r="G53" s="56"/>
      <c r="H53" s="56">
        <f>Source!I29</f>
        <v>5.5199999999999997E-4</v>
      </c>
      <c r="I53" s="58">
        <f>Source!AL29+Source!AO29+Source!AM29+Source!AN29</f>
        <v>0</v>
      </c>
      <c r="J53" s="57"/>
      <c r="K53" s="58"/>
      <c r="L53" s="57"/>
      <c r="M53" s="58">
        <f>Source!P29</f>
        <v>0</v>
      </c>
      <c r="AD53">
        <f>ROUND((Source!AT29/100)*((ROUND(ROUND(Source!AO29,2)*Source!I29, 2)+ROUND(ROUND(Source!AN29,2)*Source!I29, 2))), 2)</f>
        <v>0</v>
      </c>
      <c r="AE53">
        <f>ROUND((Source!AU29/100)*((ROUND(ROUND(Source!AO29,2)*Source!I29, 2)+ROUND(ROUND(Source!AN29,2)*Source!I29, 2))), 2)</f>
        <v>0</v>
      </c>
      <c r="AN53">
        <f>M53</f>
        <v>0</v>
      </c>
      <c r="AW53">
        <f>M53</f>
        <v>0</v>
      </c>
      <c r="AZ53">
        <f>Source!X29</f>
        <v>0</v>
      </c>
      <c r="BA53">
        <f>Source!Y29</f>
        <v>0</v>
      </c>
      <c r="CD53">
        <v>1</v>
      </c>
    </row>
    <row r="54" spans="1:101" ht="14.25" x14ac:dyDescent="0.2">
      <c r="A54" s="54"/>
      <c r="B54" s="54"/>
      <c r="C54" s="54"/>
      <c r="D54" s="54" t="s">
        <v>501</v>
      </c>
      <c r="E54" s="55"/>
      <c r="F54" s="56"/>
      <c r="G54" s="56"/>
      <c r="H54" s="56"/>
      <c r="I54" s="58"/>
      <c r="J54" s="57"/>
      <c r="K54" s="58"/>
      <c r="L54" s="57"/>
      <c r="M54" s="58">
        <f>SUM(AR42:AR57)+SUM(AS42:AS57)+SUM(AT42:AT57)+SUM(AU42:AU57)+SUM(AV42:AV57)</f>
        <v>35.78</v>
      </c>
    </row>
    <row r="55" spans="1:101" ht="14.25" x14ac:dyDescent="0.2">
      <c r="A55" s="54"/>
      <c r="B55" s="54"/>
      <c r="C55" s="54" t="s">
        <v>27</v>
      </c>
      <c r="D55" s="54" t="s">
        <v>502</v>
      </c>
      <c r="E55" s="55" t="s">
        <v>437</v>
      </c>
      <c r="F55" s="56">
        <f>Source!BZ28</f>
        <v>90</v>
      </c>
      <c r="G55" s="56"/>
      <c r="H55" s="56">
        <f>Source!AT28</f>
        <v>90</v>
      </c>
      <c r="I55" s="58"/>
      <c r="J55" s="57"/>
      <c r="K55" s="58"/>
      <c r="L55" s="57"/>
      <c r="M55" s="58">
        <f>SUM(AZ42:AZ57)</f>
        <v>32.200000000000003</v>
      </c>
    </row>
    <row r="56" spans="1:101" ht="14.25" x14ac:dyDescent="0.2">
      <c r="A56" s="65"/>
      <c r="B56" s="65"/>
      <c r="C56" s="65" t="s">
        <v>28</v>
      </c>
      <c r="D56" s="65" t="s">
        <v>503</v>
      </c>
      <c r="E56" s="66" t="s">
        <v>437</v>
      </c>
      <c r="F56" s="67">
        <f>Source!CA28</f>
        <v>46</v>
      </c>
      <c r="G56" s="67"/>
      <c r="H56" s="67">
        <f>Source!AU28</f>
        <v>46</v>
      </c>
      <c r="I56" s="68"/>
      <c r="J56" s="69"/>
      <c r="K56" s="68"/>
      <c r="L56" s="69"/>
      <c r="M56" s="68">
        <f>SUM(BA42:BA57)</f>
        <v>16.46</v>
      </c>
    </row>
    <row r="57" spans="1:101" ht="15" x14ac:dyDescent="0.2">
      <c r="D57" s="134" t="s">
        <v>504</v>
      </c>
      <c r="E57" s="134"/>
      <c r="F57" s="134"/>
      <c r="G57" s="134"/>
      <c r="H57" s="134"/>
      <c r="I57" s="134"/>
      <c r="J57" s="135">
        <f>IF(F42&lt;&gt;0,L57/F42, 0)</f>
        <v>18358.695652173916</v>
      </c>
      <c r="K57" s="135"/>
      <c r="L57" s="135">
        <f>M47+M49+M55+M56+M50+SUM(M53:M53)</f>
        <v>84.450000000000017</v>
      </c>
      <c r="M57" s="135"/>
      <c r="AD57">
        <f>ROUND((Source!AT28/100)*((ROUND(SUMIF(SmtRes!AQ1:'SmtRes'!AQ3,"=1",SmtRes!AD1:'SmtRes'!AD3)*Source!I28, 2)+ROUND(SUMIF(SmtRes!AQ1:'SmtRes'!AQ3,"=1",SmtRes!AC1:'SmtRes'!AC3)*Source!I28, 2))), 2)</f>
        <v>2.4700000000000002</v>
      </c>
      <c r="AE57">
        <f>ROUND((Source!AU28/100)*((ROUND(SUMIF(SmtRes!AQ1:'SmtRes'!AQ3,"=1",SmtRes!AD1:'SmtRes'!AD3)*Source!I28, 2)+ROUND(SUMIF(SmtRes!AQ1:'SmtRes'!AQ3,"=1",SmtRes!AC1:'SmtRes'!AC3)*Source!I28, 2))), 2)</f>
        <v>1.26</v>
      </c>
      <c r="AN57" s="70">
        <f>M47+M49+M55+M56+M50</f>
        <v>84.450000000000017</v>
      </c>
      <c r="AO57" s="70">
        <f>M49</f>
        <v>0.01</v>
      </c>
      <c r="AQ57" t="s">
        <v>505</v>
      </c>
      <c r="AR57" s="70">
        <f>M47</f>
        <v>35.78</v>
      </c>
      <c r="AT57" s="70">
        <f>M50</f>
        <v>0</v>
      </c>
      <c r="AV57" t="s">
        <v>505</v>
      </c>
      <c r="AW57">
        <f>0</f>
        <v>0</v>
      </c>
      <c r="AZ57">
        <f>Source!X28</f>
        <v>32.200000000000003</v>
      </c>
      <c r="BA57">
        <f>Source!Y28</f>
        <v>16.46</v>
      </c>
      <c r="CD57">
        <v>1</v>
      </c>
    </row>
    <row r="58" spans="1:101" ht="57" x14ac:dyDescent="0.2">
      <c r="A58" s="52" t="s">
        <v>34</v>
      </c>
      <c r="B58" s="52" t="s">
        <v>34</v>
      </c>
      <c r="C58" s="54" t="s">
        <v>506</v>
      </c>
      <c r="D58" s="54" t="str">
        <f>Source!G30</f>
        <v>Вырубка кустарников с последующей ручной переноской и складированием на расстояние до 50 м при диаметре кустов у корня: до 300 мм</v>
      </c>
      <c r="E58" s="55" t="str">
        <f>Source!H30</f>
        <v>ШТ</v>
      </c>
      <c r="F58" s="56">
        <f>Source!K30</f>
        <v>4</v>
      </c>
      <c r="G58" s="56"/>
      <c r="H58" s="56">
        <f>Source!I30</f>
        <v>4</v>
      </c>
      <c r="I58" s="58"/>
      <c r="J58" s="57"/>
      <c r="K58" s="58"/>
      <c r="L58" s="57"/>
      <c r="M58" s="58"/>
    </row>
    <row r="59" spans="1:101" ht="25.5" x14ac:dyDescent="0.2">
      <c r="C59" s="59" t="s">
        <v>346</v>
      </c>
      <c r="D59" s="132" t="s">
        <v>494</v>
      </c>
      <c r="E59" s="132"/>
      <c r="F59" s="132"/>
      <c r="G59" s="132"/>
      <c r="H59" s="132"/>
      <c r="I59" s="132"/>
      <c r="J59" s="132"/>
      <c r="K59" s="132"/>
      <c r="L59" s="132"/>
      <c r="M59" s="132"/>
    </row>
    <row r="60" spans="1:101" ht="38.25" x14ac:dyDescent="0.2">
      <c r="C60" s="59" t="s">
        <v>350</v>
      </c>
      <c r="D60" s="132" t="s">
        <v>495</v>
      </c>
      <c r="E60" s="132"/>
      <c r="F60" s="132"/>
      <c r="G60" s="132"/>
      <c r="H60" s="132"/>
      <c r="I60" s="132"/>
      <c r="J60" s="132"/>
      <c r="K60" s="132"/>
      <c r="L60" s="132"/>
      <c r="M60" s="132"/>
      <c r="CW60" s="60" t="s">
        <v>495</v>
      </c>
    </row>
    <row r="61" spans="1:101" ht="51" x14ac:dyDescent="0.2">
      <c r="D61" s="133" t="s">
        <v>496</v>
      </c>
      <c r="E61" s="133"/>
      <c r="F61" s="133"/>
      <c r="G61" s="133"/>
      <c r="CW61" s="61" t="s">
        <v>496</v>
      </c>
    </row>
    <row r="62" spans="1:101" ht="15" x14ac:dyDescent="0.2">
      <c r="A62" s="53"/>
      <c r="B62" s="53"/>
      <c r="C62" s="56">
        <v>1</v>
      </c>
      <c r="D62" s="53" t="s">
        <v>497</v>
      </c>
      <c r="E62" s="55" t="s">
        <v>282</v>
      </c>
      <c r="F62" s="63"/>
      <c r="G62" s="56"/>
      <c r="H62" s="56">
        <f>Source!U30</f>
        <v>4.5999999999999996</v>
      </c>
      <c r="I62" s="56"/>
      <c r="J62" s="56"/>
      <c r="K62" s="56"/>
      <c r="L62" s="56"/>
      <c r="M62" s="64">
        <f>SUM(M63:M63)-SUMIF(CE63:CE63, 1, M63:M63)</f>
        <v>2645.18</v>
      </c>
    </row>
    <row r="63" spans="1:101" ht="14.25" x14ac:dyDescent="0.2">
      <c r="A63" s="54"/>
      <c r="B63" s="54"/>
      <c r="C63" s="54" t="s">
        <v>287</v>
      </c>
      <c r="D63" s="65" t="s">
        <v>288</v>
      </c>
      <c r="E63" s="66" t="s">
        <v>282</v>
      </c>
      <c r="F63" s="67">
        <v>0.8</v>
      </c>
      <c r="G63" s="67">
        <f>ROUND((0.15+1)*1.25,7)</f>
        <v>1.4375</v>
      </c>
      <c r="H63" s="67">
        <f>SmtRes!CX4</f>
        <v>4.5999999999999996</v>
      </c>
      <c r="I63" s="68"/>
      <c r="J63" s="69"/>
      <c r="K63" s="68">
        <f>SmtRes!CZ4</f>
        <v>575.04</v>
      </c>
      <c r="L63" s="69"/>
      <c r="M63" s="68">
        <f>SmtRes!DI4</f>
        <v>2645.18</v>
      </c>
    </row>
    <row r="64" spans="1:101" ht="15" x14ac:dyDescent="0.2">
      <c r="A64" s="54"/>
      <c r="B64" s="54"/>
      <c r="C64" s="54"/>
      <c r="D64" s="72" t="s">
        <v>500</v>
      </c>
      <c r="E64" s="55"/>
      <c r="F64" s="56"/>
      <c r="G64" s="56"/>
      <c r="H64" s="56"/>
      <c r="I64" s="58"/>
      <c r="J64" s="57"/>
      <c r="K64" s="58"/>
      <c r="L64" s="57"/>
      <c r="M64" s="58">
        <f>M62</f>
        <v>2645.18</v>
      </c>
    </row>
    <row r="65" spans="1:101" ht="14.25" x14ac:dyDescent="0.2">
      <c r="A65" s="54"/>
      <c r="B65" s="54"/>
      <c r="C65" s="54"/>
      <c r="D65" s="54" t="s">
        <v>501</v>
      </c>
      <c r="E65" s="55"/>
      <c r="F65" s="56"/>
      <c r="G65" s="56"/>
      <c r="H65" s="56"/>
      <c r="I65" s="58"/>
      <c r="J65" s="57"/>
      <c r="K65" s="58"/>
      <c r="L65" s="57"/>
      <c r="M65" s="58">
        <f>SUM(AR58:AR68)+SUM(AS58:AS68)+SUM(AT58:AT68)+SUM(AU58:AU68)+SUM(AV58:AV68)</f>
        <v>2645.18</v>
      </c>
    </row>
    <row r="66" spans="1:101" ht="14.25" x14ac:dyDescent="0.2">
      <c r="A66" s="54"/>
      <c r="B66" s="54"/>
      <c r="C66" s="54" t="s">
        <v>41</v>
      </c>
      <c r="D66" s="54" t="s">
        <v>507</v>
      </c>
      <c r="E66" s="55" t="s">
        <v>437</v>
      </c>
      <c r="F66" s="56">
        <f>Source!BZ30</f>
        <v>102</v>
      </c>
      <c r="G66" s="56"/>
      <c r="H66" s="56">
        <f>Source!AT30</f>
        <v>102</v>
      </c>
      <c r="I66" s="58"/>
      <c r="J66" s="57"/>
      <c r="K66" s="58"/>
      <c r="L66" s="57"/>
      <c r="M66" s="58">
        <f>SUM(AZ58:AZ68)</f>
        <v>2698.08</v>
      </c>
    </row>
    <row r="67" spans="1:101" ht="14.25" x14ac:dyDescent="0.2">
      <c r="A67" s="65"/>
      <c r="B67" s="65"/>
      <c r="C67" s="65" t="s">
        <v>42</v>
      </c>
      <c r="D67" s="65" t="s">
        <v>508</v>
      </c>
      <c r="E67" s="66" t="s">
        <v>437</v>
      </c>
      <c r="F67" s="67">
        <f>Source!CA30</f>
        <v>54</v>
      </c>
      <c r="G67" s="67"/>
      <c r="H67" s="67">
        <f>Source!AU30</f>
        <v>54</v>
      </c>
      <c r="I67" s="68"/>
      <c r="J67" s="69"/>
      <c r="K67" s="68"/>
      <c r="L67" s="69"/>
      <c r="M67" s="68">
        <f>SUM(BA58:BA68)</f>
        <v>1428.4</v>
      </c>
    </row>
    <row r="68" spans="1:101" ht="15" x14ac:dyDescent="0.2">
      <c r="D68" s="134" t="s">
        <v>504</v>
      </c>
      <c r="E68" s="134"/>
      <c r="F68" s="134"/>
      <c r="G68" s="134"/>
      <c r="H68" s="134"/>
      <c r="I68" s="134"/>
      <c r="J68" s="135">
        <f>IF(F58&lt;&gt;0,L68/F58, 0)</f>
        <v>1692.915</v>
      </c>
      <c r="K68" s="135"/>
      <c r="L68" s="135">
        <f>M62+M66+M67</f>
        <v>6771.66</v>
      </c>
      <c r="M68" s="135"/>
      <c r="AD68">
        <f>ROUND((Source!AT30/100)*((ROUND(SUMIF(SmtRes!AQ4:'SmtRes'!AQ4,"=1",SmtRes!AD4:'SmtRes'!AD4)*Source!I30, 2)+ROUND(SUMIF(SmtRes!AQ4:'SmtRes'!AQ4,"=1",SmtRes!AC4:'SmtRes'!AC4)*Source!I30, 2))), 2)</f>
        <v>2346.16</v>
      </c>
      <c r="AE68">
        <f>ROUND((Source!AU30/100)*((ROUND(SUMIF(SmtRes!AQ4:'SmtRes'!AQ4,"=1",SmtRes!AD4:'SmtRes'!AD4)*Source!I30, 2)+ROUND(SUMIF(SmtRes!AQ4:'SmtRes'!AQ4,"=1",SmtRes!AC4:'SmtRes'!AC4)*Source!I30, 2))), 2)</f>
        <v>1242.0899999999999</v>
      </c>
      <c r="AN68" s="70">
        <f>M62+M66+M67</f>
        <v>6771.66</v>
      </c>
      <c r="AO68">
        <f>0</f>
        <v>0</v>
      </c>
      <c r="AQ68" t="s">
        <v>505</v>
      </c>
      <c r="AR68" s="70">
        <f>M62</f>
        <v>2645.18</v>
      </c>
      <c r="AT68">
        <f>0</f>
        <v>0</v>
      </c>
      <c r="AV68" t="s">
        <v>505</v>
      </c>
      <c r="AW68">
        <f>0</f>
        <v>0</v>
      </c>
      <c r="AZ68">
        <f>Source!X30</f>
        <v>2698.08</v>
      </c>
      <c r="BA68">
        <f>Source!Y30</f>
        <v>1428.4</v>
      </c>
      <c r="CD68">
        <v>1</v>
      </c>
    </row>
    <row r="69" spans="1:101" ht="57" x14ac:dyDescent="0.2">
      <c r="A69" s="52" t="s">
        <v>43</v>
      </c>
      <c r="B69" s="52" t="s">
        <v>43</v>
      </c>
      <c r="C69" s="54" t="s">
        <v>509</v>
      </c>
      <c r="D69" s="54" t="str">
        <f>Source!G31</f>
        <v>Простукивание поверхностей фасада, облицованного плоскими керамическими плитками при работе: с люлек</v>
      </c>
      <c r="E69" s="55" t="str">
        <f>Source!H31</f>
        <v>100 м2</v>
      </c>
      <c r="F69" s="56">
        <f>Source!K31</f>
        <v>0.26989999999999997</v>
      </c>
      <c r="G69" s="56"/>
      <c r="H69" s="56">
        <f>Source!I31</f>
        <v>0.26989999999999997</v>
      </c>
      <c r="I69" s="58"/>
      <c r="J69" s="57"/>
      <c r="K69" s="58"/>
      <c r="L69" s="57"/>
      <c r="M69" s="58"/>
    </row>
    <row r="70" spans="1:101" ht="25.5" x14ac:dyDescent="0.2">
      <c r="C70" s="59" t="s">
        <v>346</v>
      </c>
      <c r="D70" s="132" t="s">
        <v>494</v>
      </c>
      <c r="E70" s="132"/>
      <c r="F70" s="132"/>
      <c r="G70" s="132"/>
      <c r="H70" s="132"/>
      <c r="I70" s="132"/>
      <c r="J70" s="132"/>
      <c r="K70" s="132"/>
      <c r="L70" s="132"/>
      <c r="M70" s="132"/>
    </row>
    <row r="71" spans="1:101" ht="38.25" x14ac:dyDescent="0.2">
      <c r="C71" s="59" t="s">
        <v>350</v>
      </c>
      <c r="D71" s="132" t="s">
        <v>495</v>
      </c>
      <c r="E71" s="132"/>
      <c r="F71" s="132"/>
      <c r="G71" s="132"/>
      <c r="H71" s="132"/>
      <c r="I71" s="132"/>
      <c r="J71" s="132"/>
      <c r="K71" s="132"/>
      <c r="L71" s="132"/>
      <c r="M71" s="132"/>
      <c r="CW71" s="60" t="s">
        <v>495</v>
      </c>
    </row>
    <row r="72" spans="1:101" ht="51" x14ac:dyDescent="0.2">
      <c r="D72" s="133" t="s">
        <v>496</v>
      </c>
      <c r="E72" s="133"/>
      <c r="F72" s="133"/>
      <c r="G72" s="133"/>
      <c r="CW72" s="61" t="s">
        <v>496</v>
      </c>
    </row>
    <row r="73" spans="1:101" x14ac:dyDescent="0.2">
      <c r="D73" s="62" t="str">
        <f>"Объем: "&amp;Source!I31&amp;"=26,99/"&amp;"100"</f>
        <v>Объем: 0,2699=26,99/100</v>
      </c>
    </row>
    <row r="74" spans="1:101" ht="15" x14ac:dyDescent="0.2">
      <c r="A74" s="53"/>
      <c r="B74" s="53"/>
      <c r="C74" s="56">
        <v>1</v>
      </c>
      <c r="D74" s="53" t="s">
        <v>497</v>
      </c>
      <c r="E74" s="55" t="s">
        <v>282</v>
      </c>
      <c r="F74" s="63"/>
      <c r="G74" s="56"/>
      <c r="H74" s="56">
        <f>Source!U31</f>
        <v>1.9825842</v>
      </c>
      <c r="I74" s="56"/>
      <c r="J74" s="56"/>
      <c r="K74" s="56"/>
      <c r="L74" s="56"/>
      <c r="M74" s="64">
        <f>SUM(M75:M75)-SUMIF(CE75:CE75, 1, M75:M75)</f>
        <v>1276.3499999999999</v>
      </c>
    </row>
    <row r="75" spans="1:101" ht="14.25" x14ac:dyDescent="0.2">
      <c r="A75" s="54"/>
      <c r="B75" s="54"/>
      <c r="C75" s="54" t="s">
        <v>289</v>
      </c>
      <c r="D75" s="54" t="s">
        <v>290</v>
      </c>
      <c r="E75" s="55" t="s">
        <v>282</v>
      </c>
      <c r="F75" s="56">
        <v>5.1100000000000003</v>
      </c>
      <c r="G75" s="56">
        <f>ROUND((0.15+1)*1.25,7)</f>
        <v>1.4375</v>
      </c>
      <c r="H75" s="56">
        <f>SmtRes!CX5</f>
        <v>1.9825842</v>
      </c>
      <c r="I75" s="58"/>
      <c r="J75" s="57"/>
      <c r="K75" s="58">
        <f>SmtRes!CZ5</f>
        <v>643.78</v>
      </c>
      <c r="L75" s="57"/>
      <c r="M75" s="58">
        <f>SmtRes!DI5</f>
        <v>1276.3499999999999</v>
      </c>
    </row>
    <row r="76" spans="1:101" ht="15" x14ac:dyDescent="0.2">
      <c r="A76" s="53"/>
      <c r="B76" s="53"/>
      <c r="C76" s="56">
        <v>2</v>
      </c>
      <c r="D76" s="53" t="s">
        <v>498</v>
      </c>
      <c r="E76" s="55"/>
      <c r="F76" s="63"/>
      <c r="G76" s="56"/>
      <c r="H76" s="56"/>
      <c r="I76" s="56"/>
      <c r="J76" s="56"/>
      <c r="K76" s="56"/>
      <c r="L76" s="56"/>
      <c r="M76" s="64">
        <f>SUM(M77:M78)-SUMIF(CE77:CE78, 1, M77:M78)</f>
        <v>37.06</v>
      </c>
    </row>
    <row r="77" spans="1:101" ht="15" hidden="1" x14ac:dyDescent="0.2">
      <c r="A77" s="53"/>
      <c r="B77" s="53"/>
      <c r="C77" s="56"/>
      <c r="D77" s="53" t="s">
        <v>499</v>
      </c>
      <c r="E77" s="55" t="s">
        <v>282</v>
      </c>
      <c r="F77" s="63"/>
      <c r="G77" s="56"/>
      <c r="H77" s="56">
        <f>Source!V31</f>
        <v>0</v>
      </c>
      <c r="I77" s="56"/>
      <c r="J77" s="56"/>
      <c r="K77" s="56"/>
      <c r="L77" s="56"/>
      <c r="M77" s="64">
        <f>SUMIF(CE78:CE78, 1, M78:M78)</f>
        <v>0</v>
      </c>
      <c r="CE77">
        <v>1</v>
      </c>
    </row>
    <row r="78" spans="1:101" ht="28.5" x14ac:dyDescent="0.2">
      <c r="A78" s="54"/>
      <c r="B78" s="54"/>
      <c r="C78" s="54" t="s">
        <v>291</v>
      </c>
      <c r="D78" s="65" t="s">
        <v>293</v>
      </c>
      <c r="E78" s="66" t="s">
        <v>286</v>
      </c>
      <c r="F78" s="67">
        <v>4.8</v>
      </c>
      <c r="G78" s="67">
        <f>ROUND((0.15+1)*1.25,7)</f>
        <v>1.4375</v>
      </c>
      <c r="H78" s="67">
        <f>SmtRes!CX6</f>
        <v>1.8623099999999999</v>
      </c>
      <c r="I78" s="68">
        <f>SmtRes!CZ6</f>
        <v>17.3</v>
      </c>
      <c r="J78" s="69">
        <f>SmtRes!AJ6</f>
        <v>1.1499999999999999</v>
      </c>
      <c r="K78" s="68">
        <f>ROUND(I78*J78, 2)</f>
        <v>19.899999999999999</v>
      </c>
      <c r="L78" s="69"/>
      <c r="M78" s="68">
        <f>SmtRes!DG6</f>
        <v>37.06</v>
      </c>
    </row>
    <row r="79" spans="1:101" ht="15" x14ac:dyDescent="0.2">
      <c r="A79" s="54"/>
      <c r="B79" s="54"/>
      <c r="C79" s="54"/>
      <c r="D79" s="72" t="s">
        <v>500</v>
      </c>
      <c r="E79" s="55"/>
      <c r="F79" s="56"/>
      <c r="G79" s="56"/>
      <c r="H79" s="56"/>
      <c r="I79" s="58"/>
      <c r="J79" s="57"/>
      <c r="K79" s="58"/>
      <c r="L79" s="57"/>
      <c r="M79" s="58">
        <f>M74+M76+M77</f>
        <v>1313.4099999999999</v>
      </c>
    </row>
    <row r="80" spans="1:101" ht="14.25" x14ac:dyDescent="0.2">
      <c r="A80" s="54"/>
      <c r="B80" s="54"/>
      <c r="C80" s="54"/>
      <c r="D80" s="54" t="s">
        <v>501</v>
      </c>
      <c r="E80" s="55"/>
      <c r="F80" s="56"/>
      <c r="G80" s="56"/>
      <c r="H80" s="56"/>
      <c r="I80" s="58"/>
      <c r="J80" s="57"/>
      <c r="K80" s="58"/>
      <c r="L80" s="57"/>
      <c r="M80" s="58">
        <f>SUM(AR69:AR83)+SUM(AS69:AS83)+SUM(AT69:AT83)+SUM(AU69:AU83)+SUM(AV69:AV83)</f>
        <v>1276.3499999999999</v>
      </c>
    </row>
    <row r="81" spans="1:101" ht="28.5" x14ac:dyDescent="0.2">
      <c r="A81" s="54"/>
      <c r="B81" s="54"/>
      <c r="C81" s="54" t="s">
        <v>51</v>
      </c>
      <c r="D81" s="54" t="s">
        <v>510</v>
      </c>
      <c r="E81" s="55" t="s">
        <v>437</v>
      </c>
      <c r="F81" s="56">
        <f>Source!BZ31</f>
        <v>90</v>
      </c>
      <c r="G81" s="56"/>
      <c r="H81" s="56">
        <f>Source!AT31</f>
        <v>90</v>
      </c>
      <c r="I81" s="58"/>
      <c r="J81" s="57"/>
      <c r="K81" s="58"/>
      <c r="L81" s="57"/>
      <c r="M81" s="58">
        <f>SUM(AZ69:AZ83)</f>
        <v>1148.72</v>
      </c>
    </row>
    <row r="82" spans="1:101" ht="28.5" x14ac:dyDescent="0.2">
      <c r="A82" s="65"/>
      <c r="B82" s="65"/>
      <c r="C82" s="65" t="s">
        <v>52</v>
      </c>
      <c r="D82" s="65" t="s">
        <v>511</v>
      </c>
      <c r="E82" s="66" t="s">
        <v>437</v>
      </c>
      <c r="F82" s="67">
        <f>Source!CA31</f>
        <v>45</v>
      </c>
      <c r="G82" s="67"/>
      <c r="H82" s="67">
        <f>Source!AU31</f>
        <v>45</v>
      </c>
      <c r="I82" s="68"/>
      <c r="J82" s="69"/>
      <c r="K82" s="68"/>
      <c r="L82" s="69"/>
      <c r="M82" s="68">
        <f>SUM(BA69:BA83)</f>
        <v>574.36</v>
      </c>
    </row>
    <row r="83" spans="1:101" ht="15" x14ac:dyDescent="0.2">
      <c r="D83" s="134" t="s">
        <v>504</v>
      </c>
      <c r="E83" s="134"/>
      <c r="F83" s="134"/>
      <c r="G83" s="134"/>
      <c r="H83" s="134"/>
      <c r="I83" s="134"/>
      <c r="J83" s="135">
        <f>IF(F69&lt;&gt;0,L83/F69, 0)</f>
        <v>11250.426083734719</v>
      </c>
      <c r="K83" s="135"/>
      <c r="L83" s="135">
        <f>M74+M76+M81+M82+M77</f>
        <v>3036.4900000000002</v>
      </c>
      <c r="M83" s="135"/>
      <c r="AD83">
        <f>ROUND((Source!AT31/100)*((ROUND(SUMIF(SmtRes!AQ5:'SmtRes'!AQ6,"=1",SmtRes!AD5:'SmtRes'!AD6)*Source!I31, 2)+ROUND(SUMIF(SmtRes!AQ5:'SmtRes'!AQ6,"=1",SmtRes!AC5:'SmtRes'!AC6)*Source!I31, 2))), 2)</f>
        <v>156.38</v>
      </c>
      <c r="AE83">
        <f>ROUND((Source!AU31/100)*((ROUND(SUMIF(SmtRes!AQ5:'SmtRes'!AQ6,"=1",SmtRes!AD5:'SmtRes'!AD6)*Source!I31, 2)+ROUND(SUMIF(SmtRes!AQ5:'SmtRes'!AQ6,"=1",SmtRes!AC5:'SmtRes'!AC6)*Source!I31, 2))), 2)</f>
        <v>78.19</v>
      </c>
      <c r="AN83" s="70">
        <f>M74+M76+M81+M82+M77</f>
        <v>3036.4900000000002</v>
      </c>
      <c r="AO83" s="70">
        <f>M76</f>
        <v>37.06</v>
      </c>
      <c r="AQ83" t="s">
        <v>505</v>
      </c>
      <c r="AR83" s="70">
        <f>M74</f>
        <v>1276.3499999999999</v>
      </c>
      <c r="AT83" s="70">
        <f>M77</f>
        <v>0</v>
      </c>
      <c r="AV83" t="s">
        <v>505</v>
      </c>
      <c r="AW83">
        <f>0</f>
        <v>0</v>
      </c>
      <c r="AZ83">
        <f>Source!X31</f>
        <v>1148.72</v>
      </c>
      <c r="BA83">
        <f>Source!Y31</f>
        <v>574.36</v>
      </c>
      <c r="CD83">
        <v>1</v>
      </c>
    </row>
    <row r="84" spans="1:101" ht="28.5" x14ac:dyDescent="0.2">
      <c r="A84" s="52" t="s">
        <v>53</v>
      </c>
      <c r="B84" s="52" t="s">
        <v>53</v>
      </c>
      <c r="C84" s="54" t="s">
        <v>512</v>
      </c>
      <c r="D84" s="54" t="str">
        <f>Source!G32</f>
        <v>Разборка кладки стен: облегченной конструкции из кирпича</v>
      </c>
      <c r="E84" s="55" t="str">
        <f>Source!H32</f>
        <v>10 м3</v>
      </c>
      <c r="F84" s="56">
        <f>Source!K32</f>
        <v>1.9E-2</v>
      </c>
      <c r="G84" s="56"/>
      <c r="H84" s="56">
        <f>Source!I32</f>
        <v>1.9E-2</v>
      </c>
      <c r="I84" s="58"/>
      <c r="J84" s="57"/>
      <c r="K84" s="58"/>
      <c r="L84" s="57"/>
      <c r="M84" s="58"/>
    </row>
    <row r="85" spans="1:101" ht="25.5" x14ac:dyDescent="0.2">
      <c r="C85" s="59" t="s">
        <v>346</v>
      </c>
      <c r="D85" s="132" t="s">
        <v>494</v>
      </c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01" ht="38.25" x14ac:dyDescent="0.2">
      <c r="C86" s="59" t="s">
        <v>350</v>
      </c>
      <c r="D86" s="132" t="s">
        <v>495</v>
      </c>
      <c r="E86" s="132"/>
      <c r="F86" s="132"/>
      <c r="G86" s="132"/>
      <c r="H86" s="132"/>
      <c r="I86" s="132"/>
      <c r="J86" s="132"/>
      <c r="K86" s="132"/>
      <c r="L86" s="132"/>
      <c r="M86" s="132"/>
      <c r="CW86" s="60" t="s">
        <v>495</v>
      </c>
    </row>
    <row r="87" spans="1:101" ht="51" x14ac:dyDescent="0.2">
      <c r="D87" s="133" t="s">
        <v>496</v>
      </c>
      <c r="E87" s="133"/>
      <c r="F87" s="133"/>
      <c r="G87" s="133"/>
      <c r="CW87" s="61" t="s">
        <v>496</v>
      </c>
    </row>
    <row r="88" spans="1:101" x14ac:dyDescent="0.2">
      <c r="D88" s="62" t="str">
        <f>"Объем: "&amp;Source!I32&amp;"=0,19/"&amp;"10"</f>
        <v>Объем: 0,019=0,19/10</v>
      </c>
    </row>
    <row r="89" spans="1:101" ht="15" x14ac:dyDescent="0.2">
      <c r="A89" s="53"/>
      <c r="B89" s="53"/>
      <c r="C89" s="56">
        <v>1</v>
      </c>
      <c r="D89" s="53" t="s">
        <v>497</v>
      </c>
      <c r="E89" s="55" t="s">
        <v>282</v>
      </c>
      <c r="F89" s="63"/>
      <c r="G89" s="56"/>
      <c r="H89" s="56">
        <f>Source!U32</f>
        <v>3.0002781000000001</v>
      </c>
      <c r="I89" s="56"/>
      <c r="J89" s="56"/>
      <c r="K89" s="56"/>
      <c r="L89" s="56"/>
      <c r="M89" s="64">
        <f>SUM(M90:M90)-SUMIF(CE90:CE90, 1, M90:M90)</f>
        <v>1947.9</v>
      </c>
    </row>
    <row r="90" spans="1:101" ht="14.25" x14ac:dyDescent="0.2">
      <c r="A90" s="54"/>
      <c r="B90" s="54"/>
      <c r="C90" s="54" t="s">
        <v>294</v>
      </c>
      <c r="D90" s="54" t="s">
        <v>295</v>
      </c>
      <c r="E90" s="55" t="s">
        <v>282</v>
      </c>
      <c r="F90" s="56">
        <v>109.85</v>
      </c>
      <c r="G90" s="56">
        <f>ROUND((0.15+1)*1.25,7)</f>
        <v>1.4375</v>
      </c>
      <c r="H90" s="56">
        <f>SmtRes!CX7</f>
        <v>3.0002781000000001</v>
      </c>
      <c r="I90" s="58"/>
      <c r="J90" s="57"/>
      <c r="K90" s="58">
        <f>SmtRes!CZ7</f>
        <v>649.24</v>
      </c>
      <c r="L90" s="57"/>
      <c r="M90" s="58">
        <f>SmtRes!DI7</f>
        <v>1947.9</v>
      </c>
    </row>
    <row r="91" spans="1:101" ht="15" x14ac:dyDescent="0.2">
      <c r="A91" s="53"/>
      <c r="B91" s="53"/>
      <c r="C91" s="56">
        <v>2</v>
      </c>
      <c r="D91" s="53" t="s">
        <v>498</v>
      </c>
      <c r="E91" s="55"/>
      <c r="F91" s="63"/>
      <c r="G91" s="56"/>
      <c r="H91" s="56"/>
      <c r="I91" s="56"/>
      <c r="J91" s="56"/>
      <c r="K91" s="56"/>
      <c r="L91" s="56"/>
      <c r="M91" s="64">
        <f>SUM(M92:M98)-SUMIF(CE92:CE98, 1, M92:M98)</f>
        <v>111.44999999999999</v>
      </c>
    </row>
    <row r="92" spans="1:101" ht="15" x14ac:dyDescent="0.2">
      <c r="A92" s="53"/>
      <c r="B92" s="53"/>
      <c r="C92" s="56"/>
      <c r="D92" s="53" t="s">
        <v>499</v>
      </c>
      <c r="E92" s="55" t="s">
        <v>282</v>
      </c>
      <c r="F92" s="63"/>
      <c r="G92" s="56"/>
      <c r="H92" s="56">
        <f>Source!V32</f>
        <v>0.15021880000000001</v>
      </c>
      <c r="I92" s="56"/>
      <c r="J92" s="56"/>
      <c r="K92" s="56"/>
      <c r="L92" s="56"/>
      <c r="M92" s="64">
        <f>SUMIF(CE93:CE98, 1, M93:M98)</f>
        <v>103.66999999999999</v>
      </c>
      <c r="CE92">
        <v>1</v>
      </c>
    </row>
    <row r="93" spans="1:101" ht="71.25" x14ac:dyDescent="0.2">
      <c r="A93" s="54"/>
      <c r="B93" s="54"/>
      <c r="C93" s="54" t="s">
        <v>298</v>
      </c>
      <c r="D93" s="54" t="s">
        <v>300</v>
      </c>
      <c r="E93" s="55" t="s">
        <v>286</v>
      </c>
      <c r="F93" s="56">
        <v>2.75</v>
      </c>
      <c r="G93" s="56">
        <f t="shared" ref="G93:G98" si="0">ROUND((0.15+1)*1.25,7)</f>
        <v>1.4375</v>
      </c>
      <c r="H93" s="56">
        <f>SmtRes!CX9</f>
        <v>7.5109400000000007E-2</v>
      </c>
      <c r="I93" s="58"/>
      <c r="J93" s="57"/>
      <c r="K93" s="58">
        <f>SmtRes!CZ9</f>
        <v>900.04</v>
      </c>
      <c r="L93" s="57"/>
      <c r="M93" s="58">
        <f>SmtRes!DG9</f>
        <v>67.599999999999994</v>
      </c>
    </row>
    <row r="94" spans="1:101" ht="28.5" x14ac:dyDescent="0.2">
      <c r="A94" s="54"/>
      <c r="B94" s="54"/>
      <c r="C94" s="54" t="s">
        <v>301</v>
      </c>
      <c r="D94" s="54" t="s">
        <v>513</v>
      </c>
      <c r="E94" s="55" t="s">
        <v>282</v>
      </c>
      <c r="F94" s="56">
        <f>SmtRes!DO9*SmtRes!AT9</f>
        <v>2.75</v>
      </c>
      <c r="G94" s="56">
        <f t="shared" si="0"/>
        <v>1.4375</v>
      </c>
      <c r="H94" s="56">
        <f>ROUND(F94*G94*H84, 7)</f>
        <v>7.5109400000000007E-2</v>
      </c>
      <c r="I94" s="58"/>
      <c r="J94" s="57"/>
      <c r="K94" s="58">
        <f>ROUND(SmtRes!AG9/SmtRes!DO9, 2)</f>
        <v>731.08</v>
      </c>
      <c r="L94" s="57"/>
      <c r="M94" s="58">
        <f>SmtRes!DH9</f>
        <v>54.91</v>
      </c>
      <c r="CE94">
        <v>1</v>
      </c>
    </row>
    <row r="95" spans="1:101" ht="42.75" x14ac:dyDescent="0.2">
      <c r="A95" s="54"/>
      <c r="B95" s="54"/>
      <c r="C95" s="54" t="s">
        <v>302</v>
      </c>
      <c r="D95" s="54" t="s">
        <v>304</v>
      </c>
      <c r="E95" s="55" t="s">
        <v>286</v>
      </c>
      <c r="F95" s="56">
        <v>2.75</v>
      </c>
      <c r="G95" s="56">
        <f t="shared" si="0"/>
        <v>1.4375</v>
      </c>
      <c r="H95" s="56">
        <f>SmtRes!CX10</f>
        <v>7.5109400000000007E-2</v>
      </c>
      <c r="I95" s="58">
        <f>SmtRes!CZ10</f>
        <v>37.32</v>
      </c>
      <c r="J95" s="57">
        <f>SmtRes!AJ10</f>
        <v>1.57</v>
      </c>
      <c r="K95" s="58">
        <f>ROUND(I95*J95, 2)</f>
        <v>58.59</v>
      </c>
      <c r="L95" s="57"/>
      <c r="M95" s="58">
        <f>SmtRes!DG10</f>
        <v>4.4000000000000004</v>
      </c>
    </row>
    <row r="96" spans="1:101" ht="28.5" x14ac:dyDescent="0.2">
      <c r="A96" s="54"/>
      <c r="B96" s="54"/>
      <c r="C96" s="54" t="s">
        <v>305</v>
      </c>
      <c r="D96" s="54" t="s">
        <v>514</v>
      </c>
      <c r="E96" s="55" t="s">
        <v>282</v>
      </c>
      <c r="F96" s="56">
        <f>SmtRes!DO10*SmtRes!AT10</f>
        <v>2.75</v>
      </c>
      <c r="G96" s="56">
        <f t="shared" si="0"/>
        <v>1.4375</v>
      </c>
      <c r="H96" s="56">
        <f>ROUND(F96*G96*H84, 7)</f>
        <v>7.5109400000000007E-2</v>
      </c>
      <c r="I96" s="58"/>
      <c r="J96" s="57"/>
      <c r="K96" s="58">
        <f>ROUND(SmtRes!AG10/SmtRes!DO10, 2)</f>
        <v>649.24</v>
      </c>
      <c r="L96" s="57"/>
      <c r="M96" s="58">
        <f>SmtRes!DH10</f>
        <v>48.76</v>
      </c>
      <c r="CE96">
        <v>1</v>
      </c>
    </row>
    <row r="97" spans="1:101" ht="57" x14ac:dyDescent="0.2">
      <c r="A97" s="54"/>
      <c r="B97" s="54"/>
      <c r="C97" s="54" t="s">
        <v>306</v>
      </c>
      <c r="D97" s="54" t="s">
        <v>308</v>
      </c>
      <c r="E97" s="55" t="s">
        <v>286</v>
      </c>
      <c r="F97" s="56">
        <v>14.7</v>
      </c>
      <c r="G97" s="56">
        <f t="shared" si="0"/>
        <v>1.4375</v>
      </c>
      <c r="H97" s="56">
        <f>SmtRes!CX11</f>
        <v>0.40149380000000001</v>
      </c>
      <c r="I97" s="58">
        <f>SmtRes!CZ11</f>
        <v>67.2</v>
      </c>
      <c r="J97" s="57">
        <f>SmtRes!AJ11</f>
        <v>1.36</v>
      </c>
      <c r="K97" s="58">
        <f>ROUND(I97*J97, 2)</f>
        <v>91.39</v>
      </c>
      <c r="L97" s="57"/>
      <c r="M97" s="58">
        <f>SmtRes!DG11</f>
        <v>36.69</v>
      </c>
    </row>
    <row r="98" spans="1:101" ht="42.75" x14ac:dyDescent="0.2">
      <c r="A98" s="54"/>
      <c r="B98" s="54"/>
      <c r="C98" s="54" t="s">
        <v>309</v>
      </c>
      <c r="D98" s="65" t="s">
        <v>311</v>
      </c>
      <c r="E98" s="66" t="s">
        <v>286</v>
      </c>
      <c r="F98" s="67">
        <v>29.4</v>
      </c>
      <c r="G98" s="67">
        <f t="shared" si="0"/>
        <v>1.4375</v>
      </c>
      <c r="H98" s="67">
        <f>SmtRes!CX12</f>
        <v>0.80298749999999997</v>
      </c>
      <c r="I98" s="68">
        <f>SmtRes!CZ12</f>
        <v>2.11</v>
      </c>
      <c r="J98" s="69">
        <f>SmtRes!AJ12</f>
        <v>1.63</v>
      </c>
      <c r="K98" s="68">
        <f>ROUND(I98*J98, 2)</f>
        <v>3.44</v>
      </c>
      <c r="L98" s="69"/>
      <c r="M98" s="68">
        <f>SmtRes!DG12</f>
        <v>2.76</v>
      </c>
    </row>
    <row r="99" spans="1:101" ht="15" x14ac:dyDescent="0.2">
      <c r="A99" s="54"/>
      <c r="B99" s="54"/>
      <c r="C99" s="54"/>
      <c r="D99" s="72" t="s">
        <v>500</v>
      </c>
      <c r="E99" s="55"/>
      <c r="F99" s="56"/>
      <c r="G99" s="56"/>
      <c r="H99" s="56"/>
      <c r="I99" s="58"/>
      <c r="J99" s="57"/>
      <c r="K99" s="58"/>
      <c r="L99" s="57"/>
      <c r="M99" s="58">
        <f>M89+M91+M92</f>
        <v>2163.02</v>
      </c>
    </row>
    <row r="100" spans="1:101" ht="14.25" x14ac:dyDescent="0.2">
      <c r="A100" s="52" t="s">
        <v>515</v>
      </c>
      <c r="B100" s="52" t="s">
        <v>515</v>
      </c>
      <c r="C100" s="54" t="str">
        <f>Source!F33</f>
        <v>999-9900</v>
      </c>
      <c r="D100" s="54" t="str">
        <f>Source!G33</f>
        <v>Строительный мусор</v>
      </c>
      <c r="E100" s="55" t="str">
        <f>Source!H33</f>
        <v>т</v>
      </c>
      <c r="F100" s="56">
        <f>SmtRes!AT13</f>
        <v>10.84</v>
      </c>
      <c r="G100" s="56"/>
      <c r="H100" s="56">
        <f>Source!I33</f>
        <v>0.20596</v>
      </c>
      <c r="I100" s="58">
        <f>Source!AL33+Source!AO33+Source!AM33+Source!AN33</f>
        <v>0</v>
      </c>
      <c r="J100" s="57"/>
      <c r="K100" s="58"/>
      <c r="L100" s="57"/>
      <c r="M100" s="58">
        <f>Source!P33</f>
        <v>0</v>
      </c>
      <c r="AD100">
        <f>ROUND((Source!AT33/100)*((ROUND(ROUND(Source!AO33,2)*Source!I33, 2)+ROUND(ROUND(Source!AN33,2)*Source!I33, 2))), 2)</f>
        <v>0</v>
      </c>
      <c r="AE100">
        <f>ROUND((Source!AU33/100)*((ROUND(ROUND(Source!AO33,2)*Source!I33, 2)+ROUND(ROUND(Source!AN33,2)*Source!I33, 2))), 2)</f>
        <v>0</v>
      </c>
      <c r="AN100">
        <f>M100</f>
        <v>0</v>
      </c>
      <c r="AW100">
        <f>M100</f>
        <v>0</v>
      </c>
      <c r="AZ100">
        <f>Source!X33</f>
        <v>0</v>
      </c>
      <c r="BA100">
        <f>Source!Y33</f>
        <v>0</v>
      </c>
      <c r="CD100">
        <v>1</v>
      </c>
    </row>
    <row r="101" spans="1:101" ht="14.25" x14ac:dyDescent="0.2">
      <c r="A101" s="54"/>
      <c r="B101" s="54"/>
      <c r="C101" s="54"/>
      <c r="D101" s="54" t="s">
        <v>501</v>
      </c>
      <c r="E101" s="55"/>
      <c r="F101" s="56"/>
      <c r="G101" s="56"/>
      <c r="H101" s="56"/>
      <c r="I101" s="58"/>
      <c r="J101" s="57"/>
      <c r="K101" s="58"/>
      <c r="L101" s="57"/>
      <c r="M101" s="58">
        <f>SUM(AR84:AR104)+SUM(AS84:AS104)+SUM(AT84:AT104)+SUM(AU84:AU104)+SUM(AV84:AV104)</f>
        <v>2051.5700000000002</v>
      </c>
    </row>
    <row r="102" spans="1:101" ht="14.25" x14ac:dyDescent="0.2">
      <c r="A102" s="54"/>
      <c r="B102" s="54"/>
      <c r="C102" s="54" t="s">
        <v>60</v>
      </c>
      <c r="D102" s="54" t="s">
        <v>516</v>
      </c>
      <c r="E102" s="55" t="s">
        <v>437</v>
      </c>
      <c r="F102" s="56">
        <f>Source!BZ32</f>
        <v>92</v>
      </c>
      <c r="G102" s="56"/>
      <c r="H102" s="56">
        <f>Source!AT32</f>
        <v>92</v>
      </c>
      <c r="I102" s="58"/>
      <c r="J102" s="57"/>
      <c r="K102" s="58"/>
      <c r="L102" s="57"/>
      <c r="M102" s="58">
        <f>SUM(AZ84:AZ104)</f>
        <v>1887.44</v>
      </c>
    </row>
    <row r="103" spans="1:101" ht="14.25" x14ac:dyDescent="0.2">
      <c r="A103" s="65"/>
      <c r="B103" s="65"/>
      <c r="C103" s="65" t="s">
        <v>61</v>
      </c>
      <c r="D103" s="65" t="s">
        <v>517</v>
      </c>
      <c r="E103" s="66" t="s">
        <v>437</v>
      </c>
      <c r="F103" s="67">
        <f>Source!CA32</f>
        <v>52</v>
      </c>
      <c r="G103" s="67"/>
      <c r="H103" s="67">
        <f>Source!AU32</f>
        <v>52</v>
      </c>
      <c r="I103" s="68"/>
      <c r="J103" s="69"/>
      <c r="K103" s="68"/>
      <c r="L103" s="69"/>
      <c r="M103" s="68">
        <f>SUM(BA84:BA104)</f>
        <v>1066.82</v>
      </c>
    </row>
    <row r="104" spans="1:101" ht="15" x14ac:dyDescent="0.2">
      <c r="D104" s="134" t="s">
        <v>504</v>
      </c>
      <c r="E104" s="134"/>
      <c r="F104" s="134"/>
      <c r="G104" s="134"/>
      <c r="H104" s="134"/>
      <c r="I104" s="134"/>
      <c r="J104" s="135">
        <f>IF(F84&lt;&gt;0,L104/F84, 0)</f>
        <v>269330.5263157895</v>
      </c>
      <c r="K104" s="135"/>
      <c r="L104" s="135">
        <f>M89+M91+M102+M103+M92+SUM(M100:M100)</f>
        <v>5117.28</v>
      </c>
      <c r="M104" s="135"/>
      <c r="AD104">
        <f>ROUND((Source!AT32/100)*((ROUND(SUMIF(SmtRes!AQ7:'SmtRes'!AQ13,"=1",SmtRes!AD7:'SmtRes'!AD13)*Source!I32, 2)+ROUND(SUMIF(SmtRes!AQ7:'SmtRes'!AQ13,"=1",SmtRes!AC7:'SmtRes'!AC13)*Source!I32, 2))), 2)</f>
        <v>35.479999999999997</v>
      </c>
      <c r="AE104">
        <f>ROUND((Source!AU32/100)*((ROUND(SUMIF(SmtRes!AQ7:'SmtRes'!AQ13,"=1",SmtRes!AD7:'SmtRes'!AD13)*Source!I32, 2)+ROUND(SUMIF(SmtRes!AQ7:'SmtRes'!AQ13,"=1",SmtRes!AC7:'SmtRes'!AC13)*Source!I32, 2))), 2)</f>
        <v>20.059999999999999</v>
      </c>
      <c r="AN104" s="70">
        <f>M89+M91+M102+M103+M92</f>
        <v>5117.28</v>
      </c>
      <c r="AO104" s="70">
        <f>M91</f>
        <v>111.44999999999999</v>
      </c>
      <c r="AQ104" t="s">
        <v>505</v>
      </c>
      <c r="AR104" s="70">
        <f>M89</f>
        <v>1947.9</v>
      </c>
      <c r="AT104" s="70">
        <f>M92</f>
        <v>103.66999999999999</v>
      </c>
      <c r="AV104" t="s">
        <v>505</v>
      </c>
      <c r="AW104">
        <f>0</f>
        <v>0</v>
      </c>
      <c r="AZ104">
        <f>Source!X32</f>
        <v>1887.44</v>
      </c>
      <c r="BA104">
        <f>Source!Y32</f>
        <v>1066.82</v>
      </c>
      <c r="CD104">
        <v>1</v>
      </c>
    </row>
    <row r="105" spans="1:101" ht="28.5" x14ac:dyDescent="0.2">
      <c r="A105" s="52" t="s">
        <v>63</v>
      </c>
      <c r="B105" s="52" t="s">
        <v>63</v>
      </c>
      <c r="C105" s="54" t="s">
        <v>518</v>
      </c>
      <c r="D105" s="54" t="str">
        <f>Source!G34</f>
        <v>Промывка поверхности, окрашенной масляными красками: стен и фасадов</v>
      </c>
      <c r="E105" s="55" t="str">
        <f>Source!H34</f>
        <v>100 м2</v>
      </c>
      <c r="F105" s="56">
        <f>Source!K34</f>
        <v>0.28589999999999999</v>
      </c>
      <c r="G105" s="56"/>
      <c r="H105" s="56">
        <f>Source!I34</f>
        <v>0.28589999999999999</v>
      </c>
      <c r="I105" s="58"/>
      <c r="J105" s="57"/>
      <c r="K105" s="58"/>
      <c r="L105" s="57"/>
      <c r="M105" s="58"/>
    </row>
    <row r="106" spans="1:101" ht="25.5" x14ac:dyDescent="0.2">
      <c r="C106" s="59" t="s">
        <v>346</v>
      </c>
      <c r="D106" s="132" t="s">
        <v>494</v>
      </c>
      <c r="E106" s="132"/>
      <c r="F106" s="132"/>
      <c r="G106" s="132"/>
      <c r="H106" s="132"/>
      <c r="I106" s="132"/>
      <c r="J106" s="132"/>
      <c r="K106" s="132"/>
      <c r="L106" s="132"/>
      <c r="M106" s="132"/>
    </row>
    <row r="107" spans="1:101" ht="38.25" x14ac:dyDescent="0.2">
      <c r="C107" s="59" t="s">
        <v>350</v>
      </c>
      <c r="D107" s="132" t="s">
        <v>495</v>
      </c>
      <c r="E107" s="132"/>
      <c r="F107" s="132"/>
      <c r="G107" s="132"/>
      <c r="H107" s="132"/>
      <c r="I107" s="132"/>
      <c r="J107" s="132"/>
      <c r="K107" s="132"/>
      <c r="L107" s="132"/>
      <c r="M107" s="132"/>
      <c r="CW107" s="60" t="s">
        <v>495</v>
      </c>
    </row>
    <row r="108" spans="1:101" ht="51" x14ac:dyDescent="0.2">
      <c r="D108" s="133" t="s">
        <v>496</v>
      </c>
      <c r="E108" s="133"/>
      <c r="F108" s="133"/>
      <c r="G108" s="133"/>
      <c r="CW108" s="61" t="s">
        <v>496</v>
      </c>
    </row>
    <row r="109" spans="1:101" x14ac:dyDescent="0.2">
      <c r="D109" s="62" t="str">
        <f>"Объем: "&amp;Source!I34&amp;"=28,59/"&amp;"100"</f>
        <v>Объем: 0,2859=28,59/100</v>
      </c>
    </row>
    <row r="110" spans="1:101" ht="15" x14ac:dyDescent="0.2">
      <c r="A110" s="53"/>
      <c r="B110" s="53"/>
      <c r="C110" s="56">
        <v>1</v>
      </c>
      <c r="D110" s="53" t="s">
        <v>497</v>
      </c>
      <c r="E110" s="55" t="s">
        <v>282</v>
      </c>
      <c r="F110" s="63"/>
      <c r="G110" s="56"/>
      <c r="H110" s="56">
        <f>Source!U34</f>
        <v>2.1782005999999998</v>
      </c>
      <c r="I110" s="56"/>
      <c r="J110" s="56"/>
      <c r="K110" s="56"/>
      <c r="L110" s="56"/>
      <c r="M110" s="64">
        <f>SUM(M111:M111)-SUMIF(CE111:CE111, 1, M111:M111)</f>
        <v>1319.1</v>
      </c>
    </row>
    <row r="111" spans="1:101" ht="14.25" x14ac:dyDescent="0.2">
      <c r="A111" s="54"/>
      <c r="B111" s="54"/>
      <c r="C111" s="54" t="s">
        <v>312</v>
      </c>
      <c r="D111" s="54" t="s">
        <v>313</v>
      </c>
      <c r="E111" s="55" t="s">
        <v>282</v>
      </c>
      <c r="F111" s="56">
        <v>5.3</v>
      </c>
      <c r="G111" s="56">
        <f>ROUND((0.15+1)*1.25,7)</f>
        <v>1.4375</v>
      </c>
      <c r="H111" s="56">
        <f>SmtRes!CX14</f>
        <v>2.1782005999999998</v>
      </c>
      <c r="I111" s="58"/>
      <c r="J111" s="57"/>
      <c r="K111" s="58">
        <f>SmtRes!CZ14</f>
        <v>605.59</v>
      </c>
      <c r="L111" s="57"/>
      <c r="M111" s="58">
        <f>SmtRes!DI14</f>
        <v>1319.1</v>
      </c>
    </row>
    <row r="112" spans="1:101" ht="15" x14ac:dyDescent="0.2">
      <c r="A112" s="53"/>
      <c r="B112" s="53"/>
      <c r="C112" s="56">
        <v>4</v>
      </c>
      <c r="D112" s="53" t="s">
        <v>519</v>
      </c>
      <c r="E112" s="55"/>
      <c r="F112" s="63"/>
      <c r="G112" s="56"/>
      <c r="H112" s="56"/>
      <c r="I112" s="56"/>
      <c r="J112" s="56"/>
      <c r="K112" s="56"/>
      <c r="L112" s="56"/>
      <c r="M112" s="64">
        <f>SUM(M113:M115)-SUMIF(CE113:CE115, 1, M113:M115)</f>
        <v>15.14</v>
      </c>
    </row>
    <row r="113" spans="1:101" ht="14.25" x14ac:dyDescent="0.2">
      <c r="A113" s="54"/>
      <c r="B113" s="54"/>
      <c r="C113" s="54" t="s">
        <v>314</v>
      </c>
      <c r="D113" s="54" t="s">
        <v>316</v>
      </c>
      <c r="E113" s="55" t="s">
        <v>317</v>
      </c>
      <c r="F113" s="56">
        <v>7.0000000000000007E-2</v>
      </c>
      <c r="G113" s="56"/>
      <c r="H113" s="56">
        <f>SmtRes!CX15</f>
        <v>2.0013E-2</v>
      </c>
      <c r="I113" s="58">
        <f>SmtRes!CZ15</f>
        <v>35.71</v>
      </c>
      <c r="J113" s="57">
        <f>SmtRes!AI15</f>
        <v>1.53</v>
      </c>
      <c r="K113" s="58">
        <f>ROUND(I113*J113, 2)</f>
        <v>54.64</v>
      </c>
      <c r="L113" s="57"/>
      <c r="M113" s="58">
        <f>SmtRes!DF15</f>
        <v>1.0900000000000001</v>
      </c>
    </row>
    <row r="114" spans="1:101" ht="14.25" x14ac:dyDescent="0.2">
      <c r="A114" s="54"/>
      <c r="B114" s="54"/>
      <c r="C114" s="54" t="s">
        <v>318</v>
      </c>
      <c r="D114" s="54" t="s">
        <v>320</v>
      </c>
      <c r="E114" s="55" t="s">
        <v>37</v>
      </c>
      <c r="F114" s="56">
        <v>1.6</v>
      </c>
      <c r="G114" s="56"/>
      <c r="H114" s="56">
        <f>SmtRes!CX16</f>
        <v>0.45744000000000001</v>
      </c>
      <c r="I114" s="58">
        <f>SmtRes!CZ16</f>
        <v>18.59</v>
      </c>
      <c r="J114" s="57">
        <f>SmtRes!AI16</f>
        <v>1.35</v>
      </c>
      <c r="K114" s="58">
        <f>ROUND(I114*J114, 2)</f>
        <v>25.1</v>
      </c>
      <c r="L114" s="57"/>
      <c r="M114" s="58">
        <f>SmtRes!DF16</f>
        <v>11.48</v>
      </c>
    </row>
    <row r="115" spans="1:101" ht="14.25" x14ac:dyDescent="0.2">
      <c r="A115" s="54"/>
      <c r="B115" s="54"/>
      <c r="C115" s="54" t="s">
        <v>321</v>
      </c>
      <c r="D115" s="65" t="s">
        <v>323</v>
      </c>
      <c r="E115" s="66" t="s">
        <v>324</v>
      </c>
      <c r="F115" s="67">
        <v>0.1</v>
      </c>
      <c r="G115" s="67"/>
      <c r="H115" s="67">
        <f>SmtRes!CX17</f>
        <v>2.8590000000000001E-2</v>
      </c>
      <c r="I115" s="68">
        <f>SmtRes!CZ17</f>
        <v>56.11</v>
      </c>
      <c r="J115" s="69">
        <f>SmtRes!AI17</f>
        <v>1.6</v>
      </c>
      <c r="K115" s="68">
        <f>ROUND(I115*J115, 2)</f>
        <v>89.78</v>
      </c>
      <c r="L115" s="69"/>
      <c r="M115" s="68">
        <f>SmtRes!DF17</f>
        <v>2.57</v>
      </c>
    </row>
    <row r="116" spans="1:101" ht="15" x14ac:dyDescent="0.2">
      <c r="A116" s="54"/>
      <c r="B116" s="54"/>
      <c r="C116" s="54"/>
      <c r="D116" s="72" t="s">
        <v>500</v>
      </c>
      <c r="E116" s="55"/>
      <c r="F116" s="56"/>
      <c r="G116" s="56"/>
      <c r="H116" s="56"/>
      <c r="I116" s="58"/>
      <c r="J116" s="57"/>
      <c r="K116" s="58"/>
      <c r="L116" s="57"/>
      <c r="M116" s="58">
        <f>M110+M112</f>
        <v>1334.24</v>
      </c>
    </row>
    <row r="117" spans="1:101" ht="14.25" x14ac:dyDescent="0.2">
      <c r="A117" s="54"/>
      <c r="B117" s="54"/>
      <c r="C117" s="54"/>
      <c r="D117" s="54" t="s">
        <v>501</v>
      </c>
      <c r="E117" s="55"/>
      <c r="F117" s="56"/>
      <c r="G117" s="56"/>
      <c r="H117" s="56"/>
      <c r="I117" s="58"/>
      <c r="J117" s="57"/>
      <c r="K117" s="58"/>
      <c r="L117" s="57"/>
      <c r="M117" s="58">
        <f>SUM(AR105:AR120)+SUM(AS105:AS120)+SUM(AT105:AT120)+SUM(AU105:AU120)+SUM(AV105:AV120)</f>
        <v>1319.1</v>
      </c>
    </row>
    <row r="118" spans="1:101" ht="14.25" x14ac:dyDescent="0.2">
      <c r="A118" s="54"/>
      <c r="B118" s="54"/>
      <c r="C118" s="54" t="s">
        <v>69</v>
      </c>
      <c r="D118" s="54" t="s">
        <v>520</v>
      </c>
      <c r="E118" s="55" t="s">
        <v>437</v>
      </c>
      <c r="F118" s="56">
        <f>Source!BZ34</f>
        <v>90</v>
      </c>
      <c r="G118" s="56"/>
      <c r="H118" s="56">
        <f>Source!AT34</f>
        <v>90</v>
      </c>
      <c r="I118" s="58"/>
      <c r="J118" s="57"/>
      <c r="K118" s="58"/>
      <c r="L118" s="57"/>
      <c r="M118" s="58">
        <f>SUM(AZ105:AZ120)</f>
        <v>1187.19</v>
      </c>
    </row>
    <row r="119" spans="1:101" ht="14.25" x14ac:dyDescent="0.2">
      <c r="A119" s="65"/>
      <c r="B119" s="65"/>
      <c r="C119" s="65" t="s">
        <v>70</v>
      </c>
      <c r="D119" s="65" t="s">
        <v>521</v>
      </c>
      <c r="E119" s="66" t="s">
        <v>437</v>
      </c>
      <c r="F119" s="67">
        <f>Source!CA34</f>
        <v>46</v>
      </c>
      <c r="G119" s="67"/>
      <c r="H119" s="67">
        <f>Source!AU34</f>
        <v>46</v>
      </c>
      <c r="I119" s="68"/>
      <c r="J119" s="69"/>
      <c r="K119" s="68"/>
      <c r="L119" s="69"/>
      <c r="M119" s="68">
        <f>SUM(BA105:BA120)</f>
        <v>606.79</v>
      </c>
    </row>
    <row r="120" spans="1:101" ht="15" x14ac:dyDescent="0.2">
      <c r="D120" s="134" t="s">
        <v>504</v>
      </c>
      <c r="E120" s="134"/>
      <c r="F120" s="134"/>
      <c r="G120" s="134"/>
      <c r="H120" s="134"/>
      <c r="I120" s="134"/>
      <c r="J120" s="135">
        <f>IF(F105&lt;&gt;0,L120/F105, 0)</f>
        <v>10941.657922350474</v>
      </c>
      <c r="K120" s="135"/>
      <c r="L120" s="135">
        <f>M110+M112+M118+M119</f>
        <v>3128.2200000000003</v>
      </c>
      <c r="M120" s="135"/>
      <c r="AD120">
        <f>ROUND((Source!AT34/100)*((ROUND(SUMIF(SmtRes!AQ14:'SmtRes'!AQ17,"=1",SmtRes!AD14:'SmtRes'!AD17)*Source!I34, 2)+ROUND(SUMIF(SmtRes!AQ14:'SmtRes'!AQ17,"=1",SmtRes!AC14:'SmtRes'!AC17)*Source!I34, 2))), 2)</f>
        <v>155.83000000000001</v>
      </c>
      <c r="AE120">
        <f>ROUND((Source!AU34/100)*((ROUND(SUMIF(SmtRes!AQ14:'SmtRes'!AQ17,"=1",SmtRes!AD14:'SmtRes'!AD17)*Source!I34, 2)+ROUND(SUMIF(SmtRes!AQ14:'SmtRes'!AQ17,"=1",SmtRes!AC14:'SmtRes'!AC17)*Source!I34, 2))), 2)</f>
        <v>79.64</v>
      </c>
      <c r="AN120" s="70">
        <f>M110+M112+M118+M119</f>
        <v>3128.2200000000003</v>
      </c>
      <c r="AO120">
        <f>0</f>
        <v>0</v>
      </c>
      <c r="AQ120" t="s">
        <v>505</v>
      </c>
      <c r="AR120" s="70">
        <f>M110</f>
        <v>1319.1</v>
      </c>
      <c r="AT120">
        <f>0</f>
        <v>0</v>
      </c>
      <c r="AV120" t="s">
        <v>505</v>
      </c>
      <c r="AW120" s="70">
        <f>M112</f>
        <v>15.14</v>
      </c>
      <c r="AZ120">
        <f>Source!X34</f>
        <v>1187.19</v>
      </c>
      <c r="BA120">
        <f>Source!Y34</f>
        <v>606.79</v>
      </c>
      <c r="CD120">
        <v>1</v>
      </c>
    </row>
    <row r="121" spans="1:101" ht="28.5" x14ac:dyDescent="0.2">
      <c r="A121" s="52" t="s">
        <v>71</v>
      </c>
      <c r="B121" s="52" t="s">
        <v>71</v>
      </c>
      <c r="C121" s="54" t="s">
        <v>522</v>
      </c>
      <c r="D121" s="54" t="str">
        <f>Source!G35</f>
        <v>Проолифка бетонных и оштукатуренных поверхностей: кистью</v>
      </c>
      <c r="E121" s="55" t="str">
        <f>Source!H35</f>
        <v>100 м2</v>
      </c>
      <c r="F121" s="56">
        <f>Source!K35</f>
        <v>1.6E-2</v>
      </c>
      <c r="G121" s="56"/>
      <c r="H121" s="56">
        <f>Source!I35</f>
        <v>1.6E-2</v>
      </c>
      <c r="I121" s="58"/>
      <c r="J121" s="57"/>
      <c r="K121" s="58"/>
      <c r="L121" s="57"/>
      <c r="M121" s="58"/>
    </row>
    <row r="122" spans="1:101" ht="25.5" x14ac:dyDescent="0.2">
      <c r="C122" s="59" t="s">
        <v>346</v>
      </c>
      <c r="D122" s="132" t="s">
        <v>494</v>
      </c>
      <c r="E122" s="132"/>
      <c r="F122" s="132"/>
      <c r="G122" s="132"/>
      <c r="H122" s="132"/>
      <c r="I122" s="132"/>
      <c r="J122" s="132"/>
      <c r="K122" s="132"/>
      <c r="L122" s="132"/>
      <c r="M122" s="132"/>
    </row>
    <row r="123" spans="1:101" ht="38.25" x14ac:dyDescent="0.2">
      <c r="C123" s="59" t="s">
        <v>350</v>
      </c>
      <c r="D123" s="132" t="s">
        <v>495</v>
      </c>
      <c r="E123" s="132"/>
      <c r="F123" s="132"/>
      <c r="G123" s="132"/>
      <c r="H123" s="132"/>
      <c r="I123" s="132"/>
      <c r="J123" s="132"/>
      <c r="K123" s="132"/>
      <c r="L123" s="132"/>
      <c r="M123" s="132"/>
      <c r="CW123" s="60" t="s">
        <v>495</v>
      </c>
    </row>
    <row r="124" spans="1:101" ht="51" x14ac:dyDescent="0.2">
      <c r="C124" s="59" t="s">
        <v>353</v>
      </c>
      <c r="D124" s="132" t="s">
        <v>523</v>
      </c>
      <c r="E124" s="132"/>
      <c r="F124" s="132"/>
      <c r="G124" s="132"/>
      <c r="H124" s="132"/>
      <c r="I124" s="132"/>
      <c r="J124" s="132"/>
      <c r="K124" s="132"/>
      <c r="L124" s="132"/>
      <c r="M124" s="132"/>
      <c r="CW124" s="60" t="s">
        <v>523</v>
      </c>
    </row>
    <row r="125" spans="1:101" ht="51" x14ac:dyDescent="0.2">
      <c r="D125" s="133" t="s">
        <v>524</v>
      </c>
      <c r="E125" s="133"/>
      <c r="F125" s="133"/>
      <c r="G125" s="133"/>
      <c r="CW125" s="61" t="s">
        <v>524</v>
      </c>
    </row>
    <row r="126" spans="1:101" x14ac:dyDescent="0.2">
      <c r="D126" s="62" t="str">
        <f>"Объем: "&amp;Source!I35&amp;"=1,6/"&amp;"100"</f>
        <v>Объем: 0,016=1,6/100</v>
      </c>
    </row>
    <row r="127" spans="1:101" ht="15" x14ac:dyDescent="0.2">
      <c r="A127" s="53"/>
      <c r="B127" s="53"/>
      <c r="C127" s="56">
        <v>1</v>
      </c>
      <c r="D127" s="53" t="s">
        <v>497</v>
      </c>
      <c r="E127" s="55" t="s">
        <v>282</v>
      </c>
      <c r="F127" s="63"/>
      <c r="G127" s="56"/>
      <c r="H127" s="56">
        <f>Source!U35</f>
        <v>0.21477399999999999</v>
      </c>
      <c r="I127" s="56"/>
      <c r="J127" s="56"/>
      <c r="K127" s="56"/>
      <c r="L127" s="56"/>
      <c r="M127" s="64">
        <f>SUM(M128:M128)-SUMIF(CE128:CE128, 1, M128:M128)</f>
        <v>139.44</v>
      </c>
    </row>
    <row r="128" spans="1:101" ht="14.25" x14ac:dyDescent="0.2">
      <c r="A128" s="54"/>
      <c r="B128" s="54"/>
      <c r="C128" s="54" t="s">
        <v>294</v>
      </c>
      <c r="D128" s="54" t="s">
        <v>295</v>
      </c>
      <c r="E128" s="55" t="s">
        <v>282</v>
      </c>
      <c r="F128" s="56">
        <v>8.1199999999999992</v>
      </c>
      <c r="G128" s="56">
        <f>ROUND((0.15+1)*1.25*1.15,7)</f>
        <v>1.653125</v>
      </c>
      <c r="H128" s="56">
        <f>SmtRes!CX18</f>
        <v>0.21477399999999999</v>
      </c>
      <c r="I128" s="58"/>
      <c r="J128" s="57"/>
      <c r="K128" s="58">
        <f>SmtRes!CZ18</f>
        <v>649.24</v>
      </c>
      <c r="L128" s="57"/>
      <c r="M128" s="58">
        <f>SmtRes!DI18</f>
        <v>139.44</v>
      </c>
    </row>
    <row r="129" spans="1:101" ht="14.25" x14ac:dyDescent="0.2">
      <c r="A129" s="54"/>
      <c r="B129" s="54"/>
      <c r="C129" s="54" t="str">
        <f>EtalonRes!I19</f>
        <v>14.5.05.02</v>
      </c>
      <c r="D129" s="65" t="str">
        <f>EtalonRes!K19</f>
        <v>Олифа</v>
      </c>
      <c r="E129" s="66" t="str">
        <f>EtalonRes!O19</f>
        <v>т</v>
      </c>
      <c r="F129" s="67">
        <f>EtalonRes!X19</f>
        <v>1.2E-2</v>
      </c>
      <c r="G129" s="67"/>
      <c r="H129" s="67">
        <f>ROUND(EtalonRes!AG19*Source!I35, 7)</f>
        <v>1.92E-4</v>
      </c>
      <c r="I129" s="68"/>
      <c r="J129" s="69"/>
      <c r="K129" s="68"/>
      <c r="L129" s="69"/>
      <c r="M129" s="68"/>
    </row>
    <row r="130" spans="1:101" ht="15" x14ac:dyDescent="0.2">
      <c r="A130" s="54"/>
      <c r="B130" s="54"/>
      <c r="C130" s="54"/>
      <c r="D130" s="72" t="s">
        <v>500</v>
      </c>
      <c r="E130" s="55"/>
      <c r="F130" s="56"/>
      <c r="G130" s="56"/>
      <c r="H130" s="56"/>
      <c r="I130" s="58"/>
      <c r="J130" s="57"/>
      <c r="K130" s="58"/>
      <c r="L130" s="57"/>
      <c r="M130" s="58">
        <f>M127</f>
        <v>139.44</v>
      </c>
    </row>
    <row r="131" spans="1:101" ht="14.25" x14ac:dyDescent="0.2">
      <c r="A131" s="54"/>
      <c r="B131" s="54"/>
      <c r="C131" s="54"/>
      <c r="D131" s="54" t="s">
        <v>501</v>
      </c>
      <c r="E131" s="55"/>
      <c r="F131" s="56"/>
      <c r="G131" s="56"/>
      <c r="H131" s="56"/>
      <c r="I131" s="58"/>
      <c r="J131" s="57"/>
      <c r="K131" s="58"/>
      <c r="L131" s="57"/>
      <c r="M131" s="58">
        <f>SUM(AR121:AR134)+SUM(AS121:AS134)+SUM(AT121:AT134)+SUM(AU121:AU134)+SUM(AV121:AV134)</f>
        <v>139.44</v>
      </c>
    </row>
    <row r="132" spans="1:101" ht="14.25" x14ac:dyDescent="0.2">
      <c r="A132" s="54"/>
      <c r="B132" s="54"/>
      <c r="C132" s="54" t="s">
        <v>81</v>
      </c>
      <c r="D132" s="54" t="s">
        <v>525</v>
      </c>
      <c r="E132" s="55" t="s">
        <v>437</v>
      </c>
      <c r="F132" s="56">
        <f>Source!BZ35</f>
        <v>100</v>
      </c>
      <c r="G132" s="56"/>
      <c r="H132" s="56">
        <f>Source!AT35</f>
        <v>100</v>
      </c>
      <c r="I132" s="58"/>
      <c r="J132" s="57"/>
      <c r="K132" s="58"/>
      <c r="L132" s="57"/>
      <c r="M132" s="58">
        <f>SUM(AZ121:AZ134)</f>
        <v>139.44</v>
      </c>
    </row>
    <row r="133" spans="1:101" ht="14.25" x14ac:dyDescent="0.2">
      <c r="A133" s="65"/>
      <c r="B133" s="65"/>
      <c r="C133" s="65" t="s">
        <v>82</v>
      </c>
      <c r="D133" s="65" t="s">
        <v>526</v>
      </c>
      <c r="E133" s="66" t="s">
        <v>437</v>
      </c>
      <c r="F133" s="67">
        <f>Source!CA35</f>
        <v>49</v>
      </c>
      <c r="G133" s="67"/>
      <c r="H133" s="67">
        <f>Source!AU35</f>
        <v>49</v>
      </c>
      <c r="I133" s="68"/>
      <c r="J133" s="69"/>
      <c r="K133" s="68"/>
      <c r="L133" s="69"/>
      <c r="M133" s="68">
        <f>SUM(BA121:BA134)</f>
        <v>68.33</v>
      </c>
    </row>
    <row r="134" spans="1:101" ht="15" x14ac:dyDescent="0.2">
      <c r="D134" s="134" t="s">
        <v>504</v>
      </c>
      <c r="E134" s="134"/>
      <c r="F134" s="134"/>
      <c r="G134" s="134"/>
      <c r="H134" s="134"/>
      <c r="I134" s="134"/>
      <c r="J134" s="135">
        <f>IF(F121&lt;&gt;0,L134/F121, 0)</f>
        <v>21700.625</v>
      </c>
      <c r="K134" s="135"/>
      <c r="L134" s="135">
        <f>M127+M132+M133</f>
        <v>347.21</v>
      </c>
      <c r="M134" s="135"/>
      <c r="AD134">
        <f>ROUND((Source!AT35/100)*((ROUND(SUMIF(SmtRes!AQ18:'SmtRes'!AQ19,"=1",SmtRes!AD18:'SmtRes'!AD19)*Source!I35, 2)+ROUND(SUMIF(SmtRes!AQ18:'SmtRes'!AQ19,"=1",SmtRes!AC18:'SmtRes'!AC19)*Source!I35, 2))), 2)</f>
        <v>10.39</v>
      </c>
      <c r="AE134">
        <f>ROUND((Source!AU35/100)*((ROUND(SUMIF(SmtRes!AQ18:'SmtRes'!AQ19,"=1",SmtRes!AD18:'SmtRes'!AD19)*Source!I35, 2)+ROUND(SUMIF(SmtRes!AQ18:'SmtRes'!AQ19,"=1",SmtRes!AC18:'SmtRes'!AC19)*Source!I35, 2))), 2)</f>
        <v>5.09</v>
      </c>
      <c r="AN134" s="70">
        <f>M127+M132+M133</f>
        <v>347.21</v>
      </c>
      <c r="AO134">
        <f>0</f>
        <v>0</v>
      </c>
      <c r="AQ134" t="s">
        <v>505</v>
      </c>
      <c r="AR134" s="70">
        <f>M127</f>
        <v>139.44</v>
      </c>
      <c r="AT134">
        <f>0</f>
        <v>0</v>
      </c>
      <c r="AV134" t="s">
        <v>505</v>
      </c>
      <c r="AW134">
        <f>0</f>
        <v>0</v>
      </c>
      <c r="AZ134">
        <f>Source!X35</f>
        <v>139.44</v>
      </c>
      <c r="BA134">
        <f>Source!Y35</f>
        <v>68.33</v>
      </c>
      <c r="CD134">
        <v>1</v>
      </c>
    </row>
    <row r="135" spans="1:101" ht="57" x14ac:dyDescent="0.2">
      <c r="A135" s="74" t="s">
        <v>86</v>
      </c>
      <c r="B135" s="74" t="s">
        <v>86</v>
      </c>
      <c r="C135" s="65" t="str">
        <f>Source!F37</f>
        <v>ТЦ_ 14.2.06.01_37_372002340471 _08.06.2026_01_2.1</v>
      </c>
      <c r="D135" s="65" t="str">
        <f>Source!G37</f>
        <v>Камнеукрепитель "Петромикс SR-01**", (расход 2 л/м2) в 2 слоя</v>
      </c>
      <c r="E135" s="66" t="str">
        <f>Source!H37</f>
        <v>л</v>
      </c>
      <c r="F135" s="67">
        <f>Source!K37</f>
        <v>6.4</v>
      </c>
      <c r="G135" s="67"/>
      <c r="H135" s="67">
        <f>Source!I37</f>
        <v>6.4</v>
      </c>
      <c r="I135" s="68"/>
      <c r="J135" s="69"/>
      <c r="K135" s="68">
        <f>Source!AL37</f>
        <v>1487.78</v>
      </c>
      <c r="L135" s="69"/>
      <c r="M135" s="68">
        <f>Source!HG37</f>
        <v>9521.7900000000009</v>
      </c>
    </row>
    <row r="136" spans="1:101" ht="15" x14ac:dyDescent="0.2">
      <c r="D136" s="134" t="s">
        <v>504</v>
      </c>
      <c r="E136" s="134"/>
      <c r="F136" s="134"/>
      <c r="G136" s="134"/>
      <c r="H136" s="134"/>
      <c r="I136" s="134"/>
      <c r="J136" s="135">
        <f>IF(F135&lt;&gt;0,L136/F135, 0)</f>
        <v>1487.7796875000001</v>
      </c>
      <c r="K136" s="135"/>
      <c r="L136" s="135">
        <f>M135</f>
        <v>9521.7900000000009</v>
      </c>
      <c r="M136" s="135"/>
      <c r="AD136">
        <f>ROUND((Source!AT37/100)*((ROUND(ROUND(Source!AO37,2)*Source!I37, 2)+ROUND(ROUND(Source!AN37,2)*Source!I37, 2))), 2)</f>
        <v>0</v>
      </c>
      <c r="AE136">
        <f>ROUND((Source!AU37/100)*((ROUND(ROUND(Source!AO37,2)*Source!I37, 2)+ROUND(ROUND(Source!AN37,2)*Source!I37, 2))), 2)</f>
        <v>0</v>
      </c>
      <c r="AN136" s="70">
        <f>M135</f>
        <v>9521.7900000000009</v>
      </c>
      <c r="AO136">
        <f>0</f>
        <v>0</v>
      </c>
      <c r="AQ136" t="s">
        <v>505</v>
      </c>
      <c r="AR136">
        <f>0</f>
        <v>0</v>
      </c>
      <c r="AT136">
        <f>0</f>
        <v>0</v>
      </c>
      <c r="AV136" t="s">
        <v>505</v>
      </c>
      <c r="AW136" s="70">
        <f>M135</f>
        <v>9521.7900000000009</v>
      </c>
      <c r="AX136" s="70">
        <f>M135</f>
        <v>9521.7900000000009</v>
      </c>
      <c r="AZ136">
        <f>Source!X37</f>
        <v>0</v>
      </c>
      <c r="BA136">
        <f>Source!Y37</f>
        <v>0</v>
      </c>
      <c r="CD136">
        <v>1</v>
      </c>
    </row>
    <row r="137" spans="1:101" ht="42.75" x14ac:dyDescent="0.2">
      <c r="A137" s="52" t="s">
        <v>92</v>
      </c>
      <c r="B137" s="52" t="s">
        <v>92</v>
      </c>
      <c r="C137" s="54" t="s">
        <v>527</v>
      </c>
      <c r="D137" s="54" t="str">
        <f>Source!G38</f>
        <v>Устройство мелких покрытий (брандмауэры, парапеты, свесы и т.п.) из листовой оцинкованной стали</v>
      </c>
      <c r="E137" s="55" t="str">
        <f>Source!H38</f>
        <v>100 м2</v>
      </c>
      <c r="F137" s="56">
        <f>Source!K38</f>
        <v>2.8899999999999999E-2</v>
      </c>
      <c r="G137" s="56"/>
      <c r="H137" s="56">
        <f>Source!I38</f>
        <v>2.8899999999999999E-2</v>
      </c>
      <c r="I137" s="58"/>
      <c r="J137" s="57"/>
      <c r="K137" s="58"/>
      <c r="L137" s="57"/>
      <c r="M137" s="58"/>
    </row>
    <row r="138" spans="1:101" ht="25.5" x14ac:dyDescent="0.2">
      <c r="C138" s="59" t="s">
        <v>346</v>
      </c>
      <c r="D138" s="132" t="s">
        <v>494</v>
      </c>
      <c r="E138" s="132"/>
      <c r="F138" s="132"/>
      <c r="G138" s="132"/>
      <c r="H138" s="132"/>
      <c r="I138" s="132"/>
      <c r="J138" s="132"/>
      <c r="K138" s="132"/>
      <c r="L138" s="132"/>
      <c r="M138" s="132"/>
    </row>
    <row r="139" spans="1:101" ht="38.25" x14ac:dyDescent="0.2">
      <c r="C139" s="59" t="s">
        <v>350</v>
      </c>
      <c r="D139" s="132" t="s">
        <v>495</v>
      </c>
      <c r="E139" s="132"/>
      <c r="F139" s="132"/>
      <c r="G139" s="132"/>
      <c r="H139" s="132"/>
      <c r="I139" s="132"/>
      <c r="J139" s="132"/>
      <c r="K139" s="132"/>
      <c r="L139" s="132"/>
      <c r="M139" s="132"/>
      <c r="CW139" s="60" t="s">
        <v>495</v>
      </c>
    </row>
    <row r="140" spans="1:101" ht="51" x14ac:dyDescent="0.2">
      <c r="C140" s="59" t="s">
        <v>353</v>
      </c>
      <c r="D140" s="132" t="s">
        <v>523</v>
      </c>
      <c r="E140" s="132"/>
      <c r="F140" s="132"/>
      <c r="G140" s="132"/>
      <c r="H140" s="132"/>
      <c r="I140" s="132"/>
      <c r="J140" s="132"/>
      <c r="K140" s="132"/>
      <c r="L140" s="132"/>
      <c r="M140" s="132"/>
      <c r="CW140" s="60" t="s">
        <v>523</v>
      </c>
    </row>
    <row r="141" spans="1:101" ht="51" x14ac:dyDescent="0.2">
      <c r="D141" s="133" t="s">
        <v>524</v>
      </c>
      <c r="E141" s="133"/>
      <c r="F141" s="133"/>
      <c r="G141" s="133"/>
      <c r="CW141" s="61" t="s">
        <v>524</v>
      </c>
    </row>
    <row r="142" spans="1:101" x14ac:dyDescent="0.2">
      <c r="D142" s="62" t="str">
        <f>"Объем: "&amp;Source!I38&amp;"=2,89/"&amp;"100"</f>
        <v>Объем: 0,0289=2,89/100</v>
      </c>
    </row>
    <row r="143" spans="1:101" ht="15" x14ac:dyDescent="0.2">
      <c r="A143" s="53"/>
      <c r="B143" s="53"/>
      <c r="C143" s="56">
        <v>1</v>
      </c>
      <c r="D143" s="53" t="s">
        <v>497</v>
      </c>
      <c r="E143" s="55" t="s">
        <v>282</v>
      </c>
      <c r="F143" s="63"/>
      <c r="G143" s="56"/>
      <c r="H143" s="56">
        <f>Source!U38</f>
        <v>4.6437603999999997</v>
      </c>
      <c r="I143" s="56"/>
      <c r="J143" s="56"/>
      <c r="K143" s="56"/>
      <c r="L143" s="56"/>
      <c r="M143" s="64">
        <f>SUM(M144:M144)-SUMIF(CE144:CE144, 1, M144:M144)</f>
        <v>3014.92</v>
      </c>
    </row>
    <row r="144" spans="1:101" ht="14.25" x14ac:dyDescent="0.2">
      <c r="A144" s="54"/>
      <c r="B144" s="54"/>
      <c r="C144" s="54" t="s">
        <v>294</v>
      </c>
      <c r="D144" s="54" t="s">
        <v>295</v>
      </c>
      <c r="E144" s="55" t="s">
        <v>282</v>
      </c>
      <c r="F144" s="56">
        <v>97.2</v>
      </c>
      <c r="G144" s="56">
        <f>ROUND((0.15+1)*1.25*1.15,7)</f>
        <v>1.653125</v>
      </c>
      <c r="H144" s="56">
        <f>SmtRes!CX20</f>
        <v>4.6437603999999997</v>
      </c>
      <c r="I144" s="58"/>
      <c r="J144" s="57"/>
      <c r="K144" s="58">
        <f>SmtRes!CZ20</f>
        <v>649.24</v>
      </c>
      <c r="L144" s="57"/>
      <c r="M144" s="58">
        <f>SmtRes!DI20</f>
        <v>3014.92</v>
      </c>
    </row>
    <row r="145" spans="1:83" ht="15" x14ac:dyDescent="0.2">
      <c r="A145" s="53"/>
      <c r="B145" s="53"/>
      <c r="C145" s="56">
        <v>2</v>
      </c>
      <c r="D145" s="53" t="s">
        <v>498</v>
      </c>
      <c r="E145" s="55"/>
      <c r="F145" s="63"/>
      <c r="G145" s="56"/>
      <c r="H145" s="56"/>
      <c r="I145" s="56"/>
      <c r="J145" s="56"/>
      <c r="K145" s="56"/>
      <c r="L145" s="56"/>
      <c r="M145" s="64">
        <f>SUM(M146:M150)-SUMIF(CE146:CE150, 1, M146:M150)</f>
        <v>12.75</v>
      </c>
    </row>
    <row r="146" spans="1:83" ht="15" x14ac:dyDescent="0.2">
      <c r="A146" s="53"/>
      <c r="B146" s="53"/>
      <c r="C146" s="56"/>
      <c r="D146" s="53" t="s">
        <v>499</v>
      </c>
      <c r="E146" s="55" t="s">
        <v>282</v>
      </c>
      <c r="F146" s="63"/>
      <c r="G146" s="56"/>
      <c r="H146" s="56">
        <f>Source!V38</f>
        <v>1.4021E-2</v>
      </c>
      <c r="I146" s="56"/>
      <c r="J146" s="56"/>
      <c r="K146" s="56"/>
      <c r="L146" s="56"/>
      <c r="M146" s="64">
        <f>SUMIF(CE147:CE150, 1, M147:M150)</f>
        <v>12.86</v>
      </c>
      <c r="CE146">
        <v>1</v>
      </c>
    </row>
    <row r="147" spans="1:83" ht="28.5" x14ac:dyDescent="0.2">
      <c r="A147" s="54"/>
      <c r="B147" s="54"/>
      <c r="C147" s="54" t="s">
        <v>325</v>
      </c>
      <c r="D147" s="54" t="s">
        <v>327</v>
      </c>
      <c r="E147" s="55" t="s">
        <v>286</v>
      </c>
      <c r="F147" s="56">
        <v>0.2</v>
      </c>
      <c r="G147" s="56">
        <f>ROUND((0.15+1)*1.25*1.25,7)</f>
        <v>1.796875</v>
      </c>
      <c r="H147" s="56">
        <f>SmtRes!CX22</f>
        <v>1.03859E-2</v>
      </c>
      <c r="I147" s="58"/>
      <c r="J147" s="57"/>
      <c r="K147" s="58">
        <f>SmtRes!CZ22</f>
        <v>1036.96</v>
      </c>
      <c r="L147" s="57"/>
      <c r="M147" s="58">
        <f>SmtRes!DG22</f>
        <v>10.77</v>
      </c>
    </row>
    <row r="148" spans="1:83" ht="28.5" x14ac:dyDescent="0.2">
      <c r="A148" s="54"/>
      <c r="B148" s="54"/>
      <c r="C148" s="54" t="s">
        <v>328</v>
      </c>
      <c r="D148" s="54" t="s">
        <v>528</v>
      </c>
      <c r="E148" s="55" t="s">
        <v>282</v>
      </c>
      <c r="F148" s="56">
        <f>SmtRes!DO22*SmtRes!AT22</f>
        <v>0.2</v>
      </c>
      <c r="G148" s="56">
        <f>ROUND((0.15+1)*1.25*1.25,7)</f>
        <v>1.796875</v>
      </c>
      <c r="H148" s="56">
        <f>ROUND(F148*G148*H137, 7)</f>
        <v>1.03859E-2</v>
      </c>
      <c r="I148" s="58"/>
      <c r="J148" s="57"/>
      <c r="K148" s="58">
        <f>ROUND(SmtRes!AG22/SmtRes!DO22, 2)</f>
        <v>982.04</v>
      </c>
      <c r="L148" s="57"/>
      <c r="M148" s="58">
        <f>SmtRes!DH22</f>
        <v>10.199999999999999</v>
      </c>
      <c r="CE148">
        <v>1</v>
      </c>
    </row>
    <row r="149" spans="1:83" ht="28.5" x14ac:dyDescent="0.2">
      <c r="A149" s="54"/>
      <c r="B149" s="54"/>
      <c r="C149" s="54" t="s">
        <v>329</v>
      </c>
      <c r="D149" s="54" t="s">
        <v>331</v>
      </c>
      <c r="E149" s="55" t="s">
        <v>286</v>
      </c>
      <c r="F149" s="56">
        <v>7.0000000000000007E-2</v>
      </c>
      <c r="G149" s="56">
        <f>ROUND((0.15+1)*1.25*1.25,7)</f>
        <v>1.796875</v>
      </c>
      <c r="H149" s="56">
        <f>SmtRes!CX23</f>
        <v>3.6351E-3</v>
      </c>
      <c r="I149" s="58"/>
      <c r="J149" s="57"/>
      <c r="K149" s="58">
        <f>SmtRes!CZ23</f>
        <v>544.91999999999996</v>
      </c>
      <c r="L149" s="57"/>
      <c r="M149" s="58">
        <f>SmtRes!DG23</f>
        <v>1.98</v>
      </c>
    </row>
    <row r="150" spans="1:83" ht="28.5" x14ac:dyDescent="0.2">
      <c r="A150" s="54"/>
      <c r="B150" s="54"/>
      <c r="C150" s="54" t="s">
        <v>301</v>
      </c>
      <c r="D150" s="54" t="s">
        <v>513</v>
      </c>
      <c r="E150" s="55" t="s">
        <v>282</v>
      </c>
      <c r="F150" s="56">
        <f>SmtRes!DO23*SmtRes!AT23</f>
        <v>7.0000000000000007E-2</v>
      </c>
      <c r="G150" s="56">
        <f>ROUND((0.15+1)*1.25*1.25,7)</f>
        <v>1.796875</v>
      </c>
      <c r="H150" s="56">
        <f>ROUND(F150*G150*H137, 7)</f>
        <v>3.6351E-3</v>
      </c>
      <c r="I150" s="58"/>
      <c r="J150" s="57"/>
      <c r="K150" s="58">
        <f>ROUND(SmtRes!AG23/SmtRes!DO23, 2)</f>
        <v>731.08</v>
      </c>
      <c r="L150" s="57"/>
      <c r="M150" s="58">
        <f>SmtRes!DH23</f>
        <v>2.66</v>
      </c>
      <c r="CE150">
        <v>1</v>
      </c>
    </row>
    <row r="151" spans="1:83" ht="15" x14ac:dyDescent="0.2">
      <c r="A151" s="53"/>
      <c r="B151" s="53"/>
      <c r="C151" s="56">
        <v>4</v>
      </c>
      <c r="D151" s="53" t="s">
        <v>519</v>
      </c>
      <c r="E151" s="55"/>
      <c r="F151" s="63"/>
      <c r="G151" s="56"/>
      <c r="H151" s="56"/>
      <c r="I151" s="56"/>
      <c r="J151" s="56"/>
      <c r="K151" s="56"/>
      <c r="L151" s="56"/>
      <c r="M151" s="64">
        <f>SUM(M152:M154)-SUMIF(CE152:CE154, 1, M152:M154)</f>
        <v>1308.74</v>
      </c>
    </row>
    <row r="152" spans="1:83" ht="28.5" x14ac:dyDescent="0.2">
      <c r="A152" s="54"/>
      <c r="B152" s="54"/>
      <c r="C152" s="54" t="s">
        <v>332</v>
      </c>
      <c r="D152" s="54" t="s">
        <v>334</v>
      </c>
      <c r="E152" s="55" t="s">
        <v>324</v>
      </c>
      <c r="F152" s="56">
        <v>4</v>
      </c>
      <c r="G152" s="56"/>
      <c r="H152" s="56">
        <f>SmtRes!CX24</f>
        <v>0.11559999999999999</v>
      </c>
      <c r="I152" s="58">
        <f>SmtRes!CZ24</f>
        <v>72.97</v>
      </c>
      <c r="J152" s="57">
        <f>SmtRes!AI24</f>
        <v>1.31</v>
      </c>
      <c r="K152" s="58">
        <f>ROUND(I152*J152, 2)</f>
        <v>95.59</v>
      </c>
      <c r="L152" s="57"/>
      <c r="M152" s="58">
        <f>SmtRes!DF24</f>
        <v>11.05</v>
      </c>
    </row>
    <row r="153" spans="1:83" ht="28.5" x14ac:dyDescent="0.2">
      <c r="A153" s="54"/>
      <c r="B153" s="54"/>
      <c r="C153" s="54" t="s">
        <v>335</v>
      </c>
      <c r="D153" s="54" t="s">
        <v>337</v>
      </c>
      <c r="E153" s="55" t="s">
        <v>33</v>
      </c>
      <c r="F153" s="56">
        <v>1.2E-2</v>
      </c>
      <c r="G153" s="56"/>
      <c r="H153" s="56">
        <f>SmtRes!CX25</f>
        <v>3.4680000000000003E-4</v>
      </c>
      <c r="I153" s="58">
        <f>SmtRes!CZ25</f>
        <v>149930.17000000001</v>
      </c>
      <c r="J153" s="57">
        <f>SmtRes!AI25</f>
        <v>0.84</v>
      </c>
      <c r="K153" s="58">
        <f>ROUND(I153*J153, 2)</f>
        <v>125941.34</v>
      </c>
      <c r="L153" s="57"/>
      <c r="M153" s="58">
        <f>SmtRes!DF25</f>
        <v>43.68</v>
      </c>
    </row>
    <row r="154" spans="1:83" ht="28.5" x14ac:dyDescent="0.2">
      <c r="A154" s="54"/>
      <c r="B154" s="54"/>
      <c r="C154" s="54" t="s">
        <v>338</v>
      </c>
      <c r="D154" s="65" t="s">
        <v>340</v>
      </c>
      <c r="E154" s="66" t="s">
        <v>33</v>
      </c>
      <c r="F154" s="67">
        <v>0.56999999999999995</v>
      </c>
      <c r="G154" s="67"/>
      <c r="H154" s="67">
        <f>SmtRes!CX26</f>
        <v>1.6473000000000002E-2</v>
      </c>
      <c r="I154" s="68"/>
      <c r="J154" s="69"/>
      <c r="K154" s="68">
        <f>SmtRes!CZ26</f>
        <v>76125.37</v>
      </c>
      <c r="L154" s="69"/>
      <c r="M154" s="68">
        <f>SmtRes!DF26</f>
        <v>1254.01</v>
      </c>
    </row>
    <row r="155" spans="1:83" ht="15" x14ac:dyDescent="0.2">
      <c r="A155" s="54"/>
      <c r="B155" s="54"/>
      <c r="C155" s="54"/>
      <c r="D155" s="72" t="s">
        <v>500</v>
      </c>
      <c r="E155" s="55"/>
      <c r="F155" s="56"/>
      <c r="G155" s="56"/>
      <c r="H155" s="56"/>
      <c r="I155" s="58"/>
      <c r="J155" s="57"/>
      <c r="K155" s="58"/>
      <c r="L155" s="57"/>
      <c r="M155" s="58">
        <f>M143+M145+M146+M151</f>
        <v>4349.2700000000004</v>
      </c>
    </row>
    <row r="156" spans="1:83" ht="14.25" x14ac:dyDescent="0.2">
      <c r="A156" s="54"/>
      <c r="B156" s="54"/>
      <c r="C156" s="54"/>
      <c r="D156" s="54" t="s">
        <v>501</v>
      </c>
      <c r="E156" s="55"/>
      <c r="F156" s="56"/>
      <c r="G156" s="56"/>
      <c r="H156" s="56"/>
      <c r="I156" s="58"/>
      <c r="J156" s="57"/>
      <c r="K156" s="58"/>
      <c r="L156" s="57"/>
      <c r="M156" s="58">
        <f>SUM(AR137:AR159)+SUM(AS137:AS159)+SUM(AT137:AT159)+SUM(AU137:AU159)+SUM(AV137:AV159)</f>
        <v>3027.78</v>
      </c>
    </row>
    <row r="157" spans="1:83" ht="14.25" x14ac:dyDescent="0.2">
      <c r="A157" s="54"/>
      <c r="B157" s="54"/>
      <c r="C157" s="54" t="s">
        <v>98</v>
      </c>
      <c r="D157" s="54" t="s">
        <v>529</v>
      </c>
      <c r="E157" s="55" t="s">
        <v>437</v>
      </c>
      <c r="F157" s="56">
        <f>Source!BZ38</f>
        <v>109</v>
      </c>
      <c r="G157" s="56"/>
      <c r="H157" s="56">
        <f>Source!AT38</f>
        <v>109</v>
      </c>
      <c r="I157" s="58"/>
      <c r="J157" s="57"/>
      <c r="K157" s="58"/>
      <c r="L157" s="57"/>
      <c r="M157" s="58">
        <f>SUM(AZ137:AZ159)</f>
        <v>3300.28</v>
      </c>
    </row>
    <row r="158" spans="1:83" ht="14.25" x14ac:dyDescent="0.2">
      <c r="A158" s="65"/>
      <c r="B158" s="65"/>
      <c r="C158" s="65" t="s">
        <v>99</v>
      </c>
      <c r="D158" s="65" t="s">
        <v>530</v>
      </c>
      <c r="E158" s="66" t="s">
        <v>437</v>
      </c>
      <c r="F158" s="67">
        <f>Source!CA38</f>
        <v>57</v>
      </c>
      <c r="G158" s="67"/>
      <c r="H158" s="67">
        <f>Source!AU38</f>
        <v>57</v>
      </c>
      <c r="I158" s="68"/>
      <c r="J158" s="69"/>
      <c r="K158" s="68"/>
      <c r="L158" s="69"/>
      <c r="M158" s="68">
        <f>SUM(BA137:BA159)</f>
        <v>1725.83</v>
      </c>
    </row>
    <row r="159" spans="1:83" ht="15" x14ac:dyDescent="0.2">
      <c r="D159" s="134" t="s">
        <v>504</v>
      </c>
      <c r="E159" s="134"/>
      <c r="F159" s="134"/>
      <c r="G159" s="134"/>
      <c r="H159" s="134"/>
      <c r="I159" s="134"/>
      <c r="J159" s="135">
        <f>IF(F137&lt;&gt;0,L159/F137, 0)</f>
        <v>324407.61245674745</v>
      </c>
      <c r="K159" s="135"/>
      <c r="L159" s="135">
        <f>M143+M145+M151+M157+M158+M146</f>
        <v>9375.380000000001</v>
      </c>
      <c r="M159" s="135"/>
      <c r="AD159">
        <f>ROUND((Source!AT38/100)*((ROUND(SUMIF(SmtRes!AQ20:'SmtRes'!AQ26,"=1",SmtRes!AD20:'SmtRes'!AD26)*Source!I38, 2)+ROUND(SUMIF(SmtRes!AQ20:'SmtRes'!AQ26,"=1",SmtRes!AC20:'SmtRes'!AC26)*Source!I38, 2))), 2)</f>
        <v>74.41</v>
      </c>
      <c r="AE159">
        <f>ROUND((Source!AU38/100)*((ROUND(SUMIF(SmtRes!AQ20:'SmtRes'!AQ26,"=1",SmtRes!AD20:'SmtRes'!AD26)*Source!I38, 2)+ROUND(SUMIF(SmtRes!AQ20:'SmtRes'!AQ26,"=1",SmtRes!AC20:'SmtRes'!AC26)*Source!I38, 2))), 2)</f>
        <v>38.909999999999997</v>
      </c>
      <c r="AN159" s="70">
        <f>M143+M145+M151+M157+M158+M146</f>
        <v>9375.380000000001</v>
      </c>
      <c r="AO159" s="70">
        <f>M145</f>
        <v>12.75</v>
      </c>
      <c r="AQ159" t="s">
        <v>505</v>
      </c>
      <c r="AR159" s="70">
        <f>M143</f>
        <v>3014.92</v>
      </c>
      <c r="AT159" s="70">
        <f>M146</f>
        <v>12.86</v>
      </c>
      <c r="AV159" t="s">
        <v>505</v>
      </c>
      <c r="AW159" s="70">
        <f>M151</f>
        <v>1308.74</v>
      </c>
      <c r="AZ159">
        <f>Source!X38</f>
        <v>3300.28</v>
      </c>
      <c r="BA159">
        <f>Source!Y38</f>
        <v>1725.83</v>
      </c>
      <c r="CD159">
        <v>1</v>
      </c>
    </row>
    <row r="160" spans="1:83" ht="28.5" x14ac:dyDescent="0.2">
      <c r="A160" s="52" t="s">
        <v>100</v>
      </c>
      <c r="B160" s="52" t="s">
        <v>100</v>
      </c>
      <c r="C160" s="54" t="s">
        <v>531</v>
      </c>
      <c r="D160" s="54" t="str">
        <f>Source!G39</f>
        <v>Устройство защитной декоративной сетки на время ремонта фасада</v>
      </c>
      <c r="E160" s="55" t="str">
        <f>Source!H39</f>
        <v>100 м2</v>
      </c>
      <c r="F160" s="56">
        <f>Source!K39</f>
        <v>1.2492000000000001</v>
      </c>
      <c r="G160" s="56"/>
      <c r="H160" s="56">
        <f>Source!I39</f>
        <v>1.2492000000000001</v>
      </c>
      <c r="I160" s="58"/>
      <c r="J160" s="57"/>
      <c r="K160" s="58"/>
      <c r="L160" s="57"/>
      <c r="M160" s="58"/>
    </row>
    <row r="161" spans="1:101" ht="25.5" x14ac:dyDescent="0.2">
      <c r="C161" s="59" t="s">
        <v>346</v>
      </c>
      <c r="D161" s="132" t="s">
        <v>494</v>
      </c>
      <c r="E161" s="132"/>
      <c r="F161" s="132"/>
      <c r="G161" s="132"/>
      <c r="H161" s="132"/>
      <c r="I161" s="132"/>
      <c r="J161" s="132"/>
      <c r="K161" s="132"/>
      <c r="L161" s="132"/>
      <c r="M161" s="132"/>
    </row>
    <row r="162" spans="1:101" ht="38.25" x14ac:dyDescent="0.2">
      <c r="C162" s="59" t="s">
        <v>350</v>
      </c>
      <c r="D162" s="132" t="s">
        <v>495</v>
      </c>
      <c r="E162" s="132"/>
      <c r="F162" s="132"/>
      <c r="G162" s="132"/>
      <c r="H162" s="132"/>
      <c r="I162" s="132"/>
      <c r="J162" s="132"/>
      <c r="K162" s="132"/>
      <c r="L162" s="132"/>
      <c r="M162" s="132"/>
      <c r="CW162" s="60" t="s">
        <v>495</v>
      </c>
    </row>
    <row r="163" spans="1:101" ht="51" x14ac:dyDescent="0.2">
      <c r="C163" s="59" t="s">
        <v>353</v>
      </c>
      <c r="D163" s="132" t="s">
        <v>523</v>
      </c>
      <c r="E163" s="132"/>
      <c r="F163" s="132"/>
      <c r="G163" s="132"/>
      <c r="H163" s="132"/>
      <c r="I163" s="132"/>
      <c r="J163" s="132"/>
      <c r="K163" s="132"/>
      <c r="L163" s="132"/>
      <c r="M163" s="132"/>
      <c r="CW163" s="60" t="s">
        <v>523</v>
      </c>
    </row>
    <row r="164" spans="1:101" ht="51" x14ac:dyDescent="0.2">
      <c r="D164" s="133" t="s">
        <v>524</v>
      </c>
      <c r="E164" s="133"/>
      <c r="F164" s="133"/>
      <c r="G164" s="133"/>
      <c r="CW164" s="61" t="s">
        <v>524</v>
      </c>
    </row>
    <row r="165" spans="1:101" x14ac:dyDescent="0.2">
      <c r="D165" s="62" t="str">
        <f>"Объем: "&amp;Source!I39&amp;"=124,92/"&amp;"100"</f>
        <v>Объем: 1,2492=124,92/100</v>
      </c>
    </row>
    <row r="166" spans="1:101" ht="15" x14ac:dyDescent="0.2">
      <c r="A166" s="53"/>
      <c r="B166" s="53"/>
      <c r="C166" s="56">
        <v>1</v>
      </c>
      <c r="D166" s="53" t="s">
        <v>497</v>
      </c>
      <c r="E166" s="55" t="s">
        <v>282</v>
      </c>
      <c r="F166" s="63"/>
      <c r="G166" s="56"/>
      <c r="H166" s="56">
        <f>Source!U39</f>
        <v>2.6846089000000002</v>
      </c>
      <c r="I166" s="56"/>
      <c r="J166" s="56"/>
      <c r="K166" s="56"/>
      <c r="L166" s="56"/>
      <c r="M166" s="64">
        <f>SUM(M167:M167)-SUMIF(CE167:CE167, 1, M167:M167)</f>
        <v>1742.96</v>
      </c>
    </row>
    <row r="167" spans="1:101" ht="14.25" x14ac:dyDescent="0.2">
      <c r="A167" s="54"/>
      <c r="B167" s="54"/>
      <c r="C167" s="54" t="s">
        <v>294</v>
      </c>
      <c r="D167" s="54" t="s">
        <v>295</v>
      </c>
      <c r="E167" s="55" t="s">
        <v>282</v>
      </c>
      <c r="F167" s="56">
        <v>1.3</v>
      </c>
      <c r="G167" s="56">
        <f>ROUND((0.15+1)*1.25*1.15,7)</f>
        <v>1.653125</v>
      </c>
      <c r="H167" s="56">
        <f>SmtRes!CX27</f>
        <v>2.6846089000000002</v>
      </c>
      <c r="I167" s="58"/>
      <c r="J167" s="57"/>
      <c r="K167" s="58">
        <f>SmtRes!CZ27</f>
        <v>649.24</v>
      </c>
      <c r="L167" s="57"/>
      <c r="M167" s="58">
        <f>SmtRes!DI27</f>
        <v>1742.96</v>
      </c>
    </row>
    <row r="168" spans="1:101" ht="28.5" x14ac:dyDescent="0.2">
      <c r="A168" s="54"/>
      <c r="B168" s="54"/>
      <c r="C168" s="54" t="str">
        <f>EtalonRes!I28</f>
        <v>08.1.02.17</v>
      </c>
      <c r="D168" s="65" t="str">
        <f>EtalonRes!K28</f>
        <v>Сетка фасадная защитно-декоративная</v>
      </c>
      <c r="E168" s="66" t="str">
        <f>EtalonRes!O28</f>
        <v>м2</v>
      </c>
      <c r="F168" s="67">
        <f>EtalonRes!X28</f>
        <v>0</v>
      </c>
      <c r="G168" s="67"/>
      <c r="H168" s="67">
        <f>ROUND(EtalonRes!AG28*Source!I39, 7)</f>
        <v>0</v>
      </c>
      <c r="I168" s="68"/>
      <c r="J168" s="69"/>
      <c r="K168" s="68"/>
      <c r="L168" s="69"/>
      <c r="M168" s="68"/>
    </row>
    <row r="169" spans="1:101" ht="15" x14ac:dyDescent="0.2">
      <c r="A169" s="54"/>
      <c r="B169" s="54"/>
      <c r="C169" s="54"/>
      <c r="D169" s="72" t="s">
        <v>500</v>
      </c>
      <c r="E169" s="55"/>
      <c r="F169" s="56"/>
      <c r="G169" s="56"/>
      <c r="H169" s="56"/>
      <c r="I169" s="58"/>
      <c r="J169" s="57"/>
      <c r="K169" s="58"/>
      <c r="L169" s="57"/>
      <c r="M169" s="58">
        <f>M166</f>
        <v>1742.96</v>
      </c>
    </row>
    <row r="170" spans="1:101" ht="14.25" x14ac:dyDescent="0.2">
      <c r="A170" s="54"/>
      <c r="B170" s="54"/>
      <c r="C170" s="54"/>
      <c r="D170" s="54" t="s">
        <v>501</v>
      </c>
      <c r="E170" s="55"/>
      <c r="F170" s="56"/>
      <c r="G170" s="56"/>
      <c r="H170" s="56"/>
      <c r="I170" s="58"/>
      <c r="J170" s="57"/>
      <c r="K170" s="58"/>
      <c r="L170" s="57"/>
      <c r="M170" s="58">
        <f>SUM(AR160:AR173)+SUM(AS160:AS173)+SUM(AT160:AT173)+SUM(AU160:AU173)+SUM(AV160:AV173)</f>
        <v>1742.96</v>
      </c>
    </row>
    <row r="171" spans="1:101" ht="14.25" x14ac:dyDescent="0.2">
      <c r="A171" s="54"/>
      <c r="B171" s="54"/>
      <c r="C171" s="54" t="s">
        <v>106</v>
      </c>
      <c r="D171" s="54" t="s">
        <v>532</v>
      </c>
      <c r="E171" s="55" t="s">
        <v>437</v>
      </c>
      <c r="F171" s="56">
        <f>Source!BZ39</f>
        <v>110</v>
      </c>
      <c r="G171" s="56"/>
      <c r="H171" s="56">
        <f>Source!AT39</f>
        <v>110</v>
      </c>
      <c r="I171" s="58"/>
      <c r="J171" s="57"/>
      <c r="K171" s="58"/>
      <c r="L171" s="57"/>
      <c r="M171" s="58">
        <f>SUM(AZ160:AZ173)</f>
        <v>1917.26</v>
      </c>
    </row>
    <row r="172" spans="1:101" ht="14.25" x14ac:dyDescent="0.2">
      <c r="A172" s="65"/>
      <c r="B172" s="65"/>
      <c r="C172" s="65" t="s">
        <v>107</v>
      </c>
      <c r="D172" s="65" t="s">
        <v>533</v>
      </c>
      <c r="E172" s="66" t="s">
        <v>437</v>
      </c>
      <c r="F172" s="67">
        <f>Source!CA39</f>
        <v>69</v>
      </c>
      <c r="G172" s="67"/>
      <c r="H172" s="67">
        <f>Source!AU39</f>
        <v>69</v>
      </c>
      <c r="I172" s="68"/>
      <c r="J172" s="69"/>
      <c r="K172" s="68"/>
      <c r="L172" s="69"/>
      <c r="M172" s="68">
        <f>SUM(BA160:BA173)</f>
        <v>1202.6400000000001</v>
      </c>
    </row>
    <row r="173" spans="1:101" ht="15" x14ac:dyDescent="0.2">
      <c r="D173" s="134" t="s">
        <v>504</v>
      </c>
      <c r="E173" s="134"/>
      <c r="F173" s="134"/>
      <c r="G173" s="134"/>
      <c r="H173" s="134"/>
      <c r="I173" s="134"/>
      <c r="J173" s="135">
        <f>IF(F160&lt;&gt;0,L173/F160, 0)</f>
        <v>3892.7793788024337</v>
      </c>
      <c r="K173" s="135"/>
      <c r="L173" s="135">
        <f>M166+M171+M172</f>
        <v>4862.8600000000006</v>
      </c>
      <c r="M173" s="135"/>
      <c r="AD173">
        <f>ROUND((Source!AT39/100)*((ROUND(SUMIF(SmtRes!AQ27:'SmtRes'!AQ28,"=1",SmtRes!AD27:'SmtRes'!AD28)*Source!I39, 2)+ROUND(SUMIF(SmtRes!AQ27:'SmtRes'!AQ28,"=1",SmtRes!AC27:'SmtRes'!AC28)*Source!I39, 2))), 2)</f>
        <v>892.13</v>
      </c>
      <c r="AE173">
        <f>ROUND((Source!AU39/100)*((ROUND(SUMIF(SmtRes!AQ27:'SmtRes'!AQ28,"=1",SmtRes!AD27:'SmtRes'!AD28)*Source!I39, 2)+ROUND(SUMIF(SmtRes!AQ27:'SmtRes'!AQ28,"=1",SmtRes!AC27:'SmtRes'!AC28)*Source!I39, 2))), 2)</f>
        <v>559.61</v>
      </c>
      <c r="AN173" s="70">
        <f>M166+M171+M172</f>
        <v>4862.8600000000006</v>
      </c>
      <c r="AO173">
        <f>0</f>
        <v>0</v>
      </c>
      <c r="AQ173" t="s">
        <v>505</v>
      </c>
      <c r="AR173" s="70">
        <f>M166</f>
        <v>1742.96</v>
      </c>
      <c r="AT173">
        <f>0</f>
        <v>0</v>
      </c>
      <c r="AV173" t="s">
        <v>505</v>
      </c>
      <c r="AW173">
        <f>0</f>
        <v>0</v>
      </c>
      <c r="AZ173">
        <f>Source!X39</f>
        <v>1917.26</v>
      </c>
      <c r="BA173">
        <f>Source!Y39</f>
        <v>1202.6400000000001</v>
      </c>
      <c r="CD173">
        <v>1</v>
      </c>
    </row>
    <row r="174" spans="1:101" ht="42.75" x14ac:dyDescent="0.2">
      <c r="A174" s="74" t="s">
        <v>112</v>
      </c>
      <c r="B174" s="74" t="s">
        <v>112</v>
      </c>
      <c r="C174" s="65" t="str">
        <f>Source!F41</f>
        <v>ТЦ_01.8.01.06_77_9701044387_08.06.2026_01_1.3</v>
      </c>
      <c r="D174" s="65" t="str">
        <f>Source!G41</f>
        <v>Сетка фасадная защитная 80 гр/м2</v>
      </c>
      <c r="E174" s="66" t="str">
        <f>Source!H41</f>
        <v>м2</v>
      </c>
      <c r="F174" s="67">
        <f>Source!K41</f>
        <v>131.66</v>
      </c>
      <c r="G174" s="67"/>
      <c r="H174" s="67">
        <f>Source!I41</f>
        <v>131.66</v>
      </c>
      <c r="I174" s="68"/>
      <c r="J174" s="69"/>
      <c r="K174" s="68">
        <f>Source!AL41</f>
        <v>37.630000000000003</v>
      </c>
      <c r="L174" s="69"/>
      <c r="M174" s="68">
        <f>Source!HG41</f>
        <v>4954.37</v>
      </c>
    </row>
    <row r="175" spans="1:101" ht="15" x14ac:dyDescent="0.2">
      <c r="D175" s="134" t="s">
        <v>504</v>
      </c>
      <c r="E175" s="134"/>
      <c r="F175" s="134"/>
      <c r="G175" s="134"/>
      <c r="H175" s="134"/>
      <c r="I175" s="134"/>
      <c r="J175" s="135">
        <f>IF(F174&lt;&gt;0,L175/F174, 0)</f>
        <v>37.630031900349387</v>
      </c>
      <c r="K175" s="135"/>
      <c r="L175" s="135">
        <f>M174</f>
        <v>4954.37</v>
      </c>
      <c r="M175" s="135"/>
      <c r="AD175">
        <f>ROUND((Source!AT41/100)*((ROUND(ROUND(Source!AO41,2)*Source!I41, 2)+ROUND(ROUND(Source!AN41,2)*Source!I41, 2))), 2)</f>
        <v>0</v>
      </c>
      <c r="AE175">
        <f>ROUND((Source!AU41/100)*((ROUND(ROUND(Source!AO41,2)*Source!I41, 2)+ROUND(ROUND(Source!AN41,2)*Source!I41, 2))), 2)</f>
        <v>0</v>
      </c>
      <c r="AN175" s="70">
        <f>M174</f>
        <v>4954.37</v>
      </c>
      <c r="AO175">
        <f>0</f>
        <v>0</v>
      </c>
      <c r="AQ175" t="s">
        <v>505</v>
      </c>
      <c r="AR175">
        <f>0</f>
        <v>0</v>
      </c>
      <c r="AT175">
        <f>0</f>
        <v>0</v>
      </c>
      <c r="AV175" t="s">
        <v>505</v>
      </c>
      <c r="AW175" s="70">
        <f>M174</f>
        <v>4954.37</v>
      </c>
      <c r="AX175" s="70">
        <f>M174</f>
        <v>4954.37</v>
      </c>
      <c r="AZ175">
        <f>Source!X41</f>
        <v>0</v>
      </c>
      <c r="BA175">
        <f>Source!Y41</f>
        <v>0</v>
      </c>
      <c r="CD175">
        <v>1</v>
      </c>
    </row>
    <row r="176" spans="1:101" ht="57" x14ac:dyDescent="0.2">
      <c r="A176" s="52" t="s">
        <v>115</v>
      </c>
      <c r="B176" s="52" t="s">
        <v>115</v>
      </c>
      <c r="C176" s="54" t="s">
        <v>534</v>
      </c>
      <c r="D176" s="54" t="str">
        <f>Source!G42</f>
        <v>Сверление горизонтальных отверстий в бетонных конструкциях стен перфоратором глубиной 200 мм диаметром: до 20 мм</v>
      </c>
      <c r="E176" s="55" t="str">
        <f>Source!H42</f>
        <v>100 отверстий</v>
      </c>
      <c r="F176" s="56">
        <f>Source!K42</f>
        <v>1.06</v>
      </c>
      <c r="G176" s="56"/>
      <c r="H176" s="56">
        <f>Source!I42</f>
        <v>1.06</v>
      </c>
      <c r="I176" s="58"/>
      <c r="J176" s="57"/>
      <c r="K176" s="58"/>
      <c r="L176" s="57"/>
      <c r="M176" s="58"/>
    </row>
    <row r="177" spans="1:101" ht="25.5" x14ac:dyDescent="0.2">
      <c r="C177" s="59" t="s">
        <v>346</v>
      </c>
      <c r="D177" s="132" t="s">
        <v>494</v>
      </c>
      <c r="E177" s="132"/>
      <c r="F177" s="132"/>
      <c r="G177" s="132"/>
      <c r="H177" s="132"/>
      <c r="I177" s="132"/>
      <c r="J177" s="132"/>
      <c r="K177" s="132"/>
      <c r="L177" s="132"/>
      <c r="M177" s="132"/>
    </row>
    <row r="178" spans="1:101" ht="38.25" x14ac:dyDescent="0.2">
      <c r="C178" s="59" t="s">
        <v>350</v>
      </c>
      <c r="D178" s="132" t="s">
        <v>495</v>
      </c>
      <c r="E178" s="132"/>
      <c r="F178" s="132"/>
      <c r="G178" s="132"/>
      <c r="H178" s="132"/>
      <c r="I178" s="132"/>
      <c r="J178" s="132"/>
      <c r="K178" s="132"/>
      <c r="L178" s="132"/>
      <c r="M178" s="132"/>
      <c r="CW178" s="60" t="s">
        <v>495</v>
      </c>
    </row>
    <row r="179" spans="1:101" ht="51" x14ac:dyDescent="0.2">
      <c r="D179" s="133" t="s">
        <v>496</v>
      </c>
      <c r="E179" s="133"/>
      <c r="F179" s="133"/>
      <c r="G179" s="133"/>
      <c r="CW179" s="61" t="s">
        <v>496</v>
      </c>
    </row>
    <row r="180" spans="1:101" x14ac:dyDescent="0.2">
      <c r="D180" s="62" t="str">
        <f>"Объем: "&amp;Source!I42&amp;"=106/"&amp;"100"</f>
        <v>Объем: 1,06=106/100</v>
      </c>
    </row>
    <row r="181" spans="1:101" ht="15" x14ac:dyDescent="0.2">
      <c r="A181" s="53"/>
      <c r="B181" s="53"/>
      <c r="C181" s="56">
        <v>1</v>
      </c>
      <c r="D181" s="53" t="s">
        <v>497</v>
      </c>
      <c r="E181" s="55" t="s">
        <v>282</v>
      </c>
      <c r="F181" s="63"/>
      <c r="G181" s="56"/>
      <c r="H181" s="56">
        <f>Source!U42</f>
        <v>8.4415750000000003</v>
      </c>
      <c r="I181" s="56"/>
      <c r="J181" s="56"/>
      <c r="K181" s="56"/>
      <c r="L181" s="56"/>
      <c r="M181" s="64">
        <f>SUM(M182:M182)-SUMIF(CE182:CE182, 1, M182:M182)</f>
        <v>5480.61</v>
      </c>
    </row>
    <row r="182" spans="1:101" ht="14.25" x14ac:dyDescent="0.2">
      <c r="A182" s="54"/>
      <c r="B182" s="54"/>
      <c r="C182" s="54" t="s">
        <v>294</v>
      </c>
      <c r="D182" s="54" t="s">
        <v>295</v>
      </c>
      <c r="E182" s="55" t="s">
        <v>282</v>
      </c>
      <c r="F182" s="56">
        <v>5.54</v>
      </c>
      <c r="G182" s="56">
        <f>ROUND((0.15+1)*1.25,7)</f>
        <v>1.4375</v>
      </c>
      <c r="H182" s="56">
        <f>SmtRes!CX29</f>
        <v>8.4415750000000003</v>
      </c>
      <c r="I182" s="58"/>
      <c r="J182" s="57"/>
      <c r="K182" s="58">
        <f>SmtRes!CZ29</f>
        <v>649.24</v>
      </c>
      <c r="L182" s="57"/>
      <c r="M182" s="58">
        <f>SmtRes!DI29</f>
        <v>5480.61</v>
      </c>
    </row>
    <row r="183" spans="1:101" ht="15" x14ac:dyDescent="0.2">
      <c r="A183" s="53"/>
      <c r="B183" s="53"/>
      <c r="C183" s="56">
        <v>4</v>
      </c>
      <c r="D183" s="53" t="s">
        <v>519</v>
      </c>
      <c r="E183" s="55"/>
      <c r="F183" s="63"/>
      <c r="G183" s="56"/>
      <c r="H183" s="56"/>
      <c r="I183" s="56"/>
      <c r="J183" s="56"/>
      <c r="K183" s="56"/>
      <c r="L183" s="56"/>
      <c r="M183" s="64">
        <f>SUM(M184:M184)-SUMIF(CE184:CE184, 1, M184:M184)</f>
        <v>43.35</v>
      </c>
    </row>
    <row r="184" spans="1:101" ht="14.25" x14ac:dyDescent="0.2">
      <c r="A184" s="54"/>
      <c r="B184" s="54"/>
      <c r="C184" s="54" t="s">
        <v>341</v>
      </c>
      <c r="D184" s="54" t="s">
        <v>343</v>
      </c>
      <c r="E184" s="55" t="s">
        <v>344</v>
      </c>
      <c r="F184" s="56">
        <v>5.91</v>
      </c>
      <c r="G184" s="56"/>
      <c r="H184" s="56">
        <f>SmtRes!CX30</f>
        <v>6.2645999999999997</v>
      </c>
      <c r="I184" s="58"/>
      <c r="J184" s="57"/>
      <c r="K184" s="58">
        <f>SmtRes!CZ30</f>
        <v>6.92</v>
      </c>
      <c r="L184" s="57"/>
      <c r="M184" s="58">
        <f>SmtRes!DF30</f>
        <v>43.35</v>
      </c>
    </row>
    <row r="185" spans="1:101" ht="14.25" x14ac:dyDescent="0.2">
      <c r="A185" s="54"/>
      <c r="B185" s="54"/>
      <c r="C185" s="54" t="str">
        <f>EtalonRes!I31</f>
        <v>01.7.17.09</v>
      </c>
      <c r="D185" s="65" t="str">
        <f>EtalonRes!K31</f>
        <v>Сверла, буры</v>
      </c>
      <c r="E185" s="66" t="str">
        <f>EtalonRes!O31</f>
        <v>ШТ</v>
      </c>
      <c r="F185" s="67">
        <f>EtalonRes!X31</f>
        <v>0</v>
      </c>
      <c r="G185" s="67"/>
      <c r="H185" s="67">
        <f>ROUND(EtalonRes!AG31*Source!I42, 7)</f>
        <v>0</v>
      </c>
      <c r="I185" s="68"/>
      <c r="J185" s="69"/>
      <c r="K185" s="68"/>
      <c r="L185" s="69"/>
      <c r="M185" s="68"/>
    </row>
    <row r="186" spans="1:101" ht="15" x14ac:dyDescent="0.2">
      <c r="A186" s="54"/>
      <c r="B186" s="54"/>
      <c r="C186" s="54"/>
      <c r="D186" s="72" t="s">
        <v>500</v>
      </c>
      <c r="E186" s="55"/>
      <c r="F186" s="56"/>
      <c r="G186" s="56"/>
      <c r="H186" s="56"/>
      <c r="I186" s="58"/>
      <c r="J186" s="57"/>
      <c r="K186" s="58"/>
      <c r="L186" s="57"/>
      <c r="M186" s="58">
        <f>M181+M183</f>
        <v>5523.96</v>
      </c>
    </row>
    <row r="187" spans="1:101" ht="14.25" x14ac:dyDescent="0.2">
      <c r="A187" s="54"/>
      <c r="B187" s="54"/>
      <c r="C187" s="54"/>
      <c r="D187" s="54" t="s">
        <v>501</v>
      </c>
      <c r="E187" s="55"/>
      <c r="F187" s="56"/>
      <c r="G187" s="56"/>
      <c r="H187" s="56"/>
      <c r="I187" s="58"/>
      <c r="J187" s="57"/>
      <c r="K187" s="58"/>
      <c r="L187" s="57"/>
      <c r="M187" s="58">
        <f>SUM(AR176:AR190)+SUM(AS176:AS190)+SUM(AT176:AT190)+SUM(AU176:AU190)+SUM(AV176:AV190)</f>
        <v>5480.61</v>
      </c>
    </row>
    <row r="188" spans="1:101" ht="71.25" x14ac:dyDescent="0.2">
      <c r="A188" s="54"/>
      <c r="B188" s="54"/>
      <c r="C188" s="54" t="s">
        <v>123</v>
      </c>
      <c r="D188" s="54" t="s">
        <v>535</v>
      </c>
      <c r="E188" s="55" t="s">
        <v>437</v>
      </c>
      <c r="F188" s="56">
        <f>Source!BZ42</f>
        <v>103</v>
      </c>
      <c r="G188" s="56"/>
      <c r="H188" s="56">
        <f>Source!AT42</f>
        <v>103</v>
      </c>
      <c r="I188" s="58"/>
      <c r="J188" s="57"/>
      <c r="K188" s="58"/>
      <c r="L188" s="57"/>
      <c r="M188" s="58">
        <f>SUM(AZ176:AZ190)</f>
        <v>5645.03</v>
      </c>
    </row>
    <row r="189" spans="1:101" ht="71.25" x14ac:dyDescent="0.2">
      <c r="A189" s="65"/>
      <c r="B189" s="65"/>
      <c r="C189" s="65" t="s">
        <v>124</v>
      </c>
      <c r="D189" s="65" t="s">
        <v>536</v>
      </c>
      <c r="E189" s="66" t="s">
        <v>437</v>
      </c>
      <c r="F189" s="67">
        <f>Source!CA42</f>
        <v>59</v>
      </c>
      <c r="G189" s="67"/>
      <c r="H189" s="67">
        <f>Source!AU42</f>
        <v>59</v>
      </c>
      <c r="I189" s="68"/>
      <c r="J189" s="69"/>
      <c r="K189" s="68"/>
      <c r="L189" s="69"/>
      <c r="M189" s="68">
        <f>SUM(BA176:BA190)</f>
        <v>3233.56</v>
      </c>
    </row>
    <row r="190" spans="1:101" ht="15" x14ac:dyDescent="0.2">
      <c r="D190" s="134" t="s">
        <v>504</v>
      </c>
      <c r="E190" s="134"/>
      <c r="F190" s="134"/>
      <c r="G190" s="134"/>
      <c r="H190" s="134"/>
      <c r="I190" s="134"/>
      <c r="J190" s="135">
        <f>IF(F176&lt;&gt;0,L190/F176, 0)</f>
        <v>13587.311320754716</v>
      </c>
      <c r="K190" s="135"/>
      <c r="L190" s="135">
        <f>M181+M183+M188+M189</f>
        <v>14402.55</v>
      </c>
      <c r="M190" s="135"/>
      <c r="AD190">
        <f>ROUND((Source!AT42/100)*((ROUND(SUMIF(SmtRes!AQ29:'SmtRes'!AQ31,"=1",SmtRes!AD29:'SmtRes'!AD31)*Source!I42, 2)+ROUND(SUMIF(SmtRes!AQ29:'SmtRes'!AQ31,"=1",SmtRes!AC29:'SmtRes'!AC31)*Source!I42, 2))), 2)</f>
        <v>708.84</v>
      </c>
      <c r="AE190">
        <f>ROUND((Source!AU42/100)*((ROUND(SUMIF(SmtRes!AQ29:'SmtRes'!AQ31,"=1",SmtRes!AD29:'SmtRes'!AD31)*Source!I42, 2)+ROUND(SUMIF(SmtRes!AQ29:'SmtRes'!AQ31,"=1",SmtRes!AC29:'SmtRes'!AC31)*Source!I42, 2))), 2)</f>
        <v>406.03</v>
      </c>
      <c r="AN190" s="70">
        <f>M181+M183+M188+M189</f>
        <v>14402.55</v>
      </c>
      <c r="AO190">
        <f>0</f>
        <v>0</v>
      </c>
      <c r="AQ190" t="s">
        <v>505</v>
      </c>
      <c r="AR190" s="70">
        <f>M181</f>
        <v>5480.61</v>
      </c>
      <c r="AT190">
        <f>0</f>
        <v>0</v>
      </c>
      <c r="AV190" t="s">
        <v>505</v>
      </c>
      <c r="AW190" s="70">
        <f>M183</f>
        <v>43.35</v>
      </c>
      <c r="AZ190">
        <f>Source!X42</f>
        <v>5645.03</v>
      </c>
      <c r="BA190">
        <f>Source!Y42</f>
        <v>3233.56</v>
      </c>
      <c r="CD190">
        <v>1</v>
      </c>
    </row>
    <row r="191" spans="1:101" ht="42.75" x14ac:dyDescent="0.2">
      <c r="A191" s="52" t="s">
        <v>128</v>
      </c>
      <c r="B191" s="52" t="s">
        <v>128</v>
      </c>
      <c r="C191" s="54" t="str">
        <f>Source!F44</f>
        <v>01.7.15.07-0083</v>
      </c>
      <c r="D191" s="54" t="str">
        <f>Source!G44</f>
        <v>Дюбель-гвозди полипропиленовые анкерные с бортом, диаметр 8 мм, длина 100 мм</v>
      </c>
      <c r="E191" s="55" t="str">
        <f>Source!H44</f>
        <v>100 ШТ</v>
      </c>
      <c r="F191" s="56">
        <f>Source!K44</f>
        <v>1.06</v>
      </c>
      <c r="G191" s="56"/>
      <c r="H191" s="56">
        <f>Source!I44</f>
        <v>1.06</v>
      </c>
      <c r="I191" s="58">
        <f>Source!AL44</f>
        <v>248.75</v>
      </c>
      <c r="J191" s="57">
        <f>IF(Source!BC44&lt;&gt; 0, Source!BC44, 1)</f>
        <v>1.31</v>
      </c>
      <c r="K191" s="58">
        <f>ROUND(I191*J191, 2)</f>
        <v>325.86</v>
      </c>
      <c r="L191" s="57"/>
      <c r="M191" s="58">
        <f>Source!P44</f>
        <v>345.41</v>
      </c>
    </row>
    <row r="192" spans="1:101" x14ac:dyDescent="0.2">
      <c r="A192" s="75"/>
      <c r="B192" s="75"/>
      <c r="C192" s="75"/>
      <c r="D192" s="76" t="str">
        <f>"Объем: "&amp;Source!I44&amp;"=106/"&amp;"100"</f>
        <v>Объем: 1,06=106/100</v>
      </c>
      <c r="E192" s="75"/>
      <c r="F192" s="75"/>
      <c r="G192" s="75"/>
      <c r="H192" s="75"/>
      <c r="I192" s="75"/>
      <c r="J192" s="75"/>
      <c r="K192" s="75"/>
      <c r="L192" s="75"/>
      <c r="M192" s="75"/>
    </row>
    <row r="193" spans="1:101" ht="15" x14ac:dyDescent="0.2">
      <c r="D193" s="134" t="s">
        <v>504</v>
      </c>
      <c r="E193" s="134"/>
      <c r="F193" s="134"/>
      <c r="G193" s="134"/>
      <c r="H193" s="134"/>
      <c r="I193" s="134"/>
      <c r="J193" s="135">
        <f>IF(F191&lt;&gt;0,L193/F191, 0)</f>
        <v>325.85849056603774</v>
      </c>
      <c r="K193" s="135"/>
      <c r="L193" s="135">
        <f>M191</f>
        <v>345.41</v>
      </c>
      <c r="M193" s="135"/>
      <c r="AD193">
        <f>ROUND((Source!AT44/100)*((ROUND(ROUND(Source!AO44,2)*Source!I44, 2)+ROUND(ROUND(Source!AN44,2)*Source!I44, 2))), 2)</f>
        <v>0</v>
      </c>
      <c r="AE193">
        <f>ROUND((Source!AU44/100)*((ROUND(ROUND(Source!AO44,2)*Source!I44, 2)+ROUND(ROUND(Source!AN44,2)*Source!I44, 2))), 2)</f>
        <v>0</v>
      </c>
      <c r="AN193" s="70">
        <f>M191</f>
        <v>345.41</v>
      </c>
      <c r="AO193">
        <f>0</f>
        <v>0</v>
      </c>
      <c r="AQ193" t="s">
        <v>505</v>
      </c>
      <c r="AR193">
        <f>0</f>
        <v>0</v>
      </c>
      <c r="AT193">
        <f>0</f>
        <v>0</v>
      </c>
      <c r="AV193" t="s">
        <v>505</v>
      </c>
      <c r="AW193" s="70">
        <f>M191</f>
        <v>345.41</v>
      </c>
      <c r="AZ193">
        <f>Source!X44</f>
        <v>0</v>
      </c>
      <c r="BA193">
        <f>Source!Y44</f>
        <v>0</v>
      </c>
      <c r="CD193">
        <v>1</v>
      </c>
    </row>
    <row r="194" spans="1:101" ht="42.75" x14ac:dyDescent="0.2">
      <c r="A194" s="52" t="s">
        <v>136</v>
      </c>
      <c r="B194" s="52" t="s">
        <v>136</v>
      </c>
      <c r="C194" s="54" t="str">
        <f>Source!F45</f>
        <v>ТЦ_91.06.06_77_7715941979_08.06.2026_01_3.2</v>
      </c>
      <c r="D194" s="54" t="str">
        <f>Source!G45</f>
        <v>Автогидроподъемники, высота подъема 16 м</v>
      </c>
      <c r="E194" s="55" t="str">
        <f>Source!H45</f>
        <v>маш/час</v>
      </c>
      <c r="F194" s="56">
        <f>Source!K45</f>
        <v>80</v>
      </c>
      <c r="G194" s="56"/>
      <c r="H194" s="56">
        <f>Source!I45</f>
        <v>80</v>
      </c>
      <c r="I194" s="58"/>
      <c r="J194" s="57"/>
      <c r="K194" s="58">
        <f>Source!AM45</f>
        <v>983.5</v>
      </c>
      <c r="L194" s="57">
        <f>ROUND((0.15+1)*1.25,7)</f>
        <v>1.4375</v>
      </c>
      <c r="M194" s="58">
        <f>Source!Q45</f>
        <v>113102.5</v>
      </c>
    </row>
    <row r="195" spans="1:101" ht="25.5" x14ac:dyDescent="0.2">
      <c r="C195" s="59" t="s">
        <v>346</v>
      </c>
      <c r="D195" s="132" t="s">
        <v>494</v>
      </c>
      <c r="E195" s="132"/>
      <c r="F195" s="132"/>
      <c r="G195" s="132"/>
      <c r="H195" s="132"/>
      <c r="I195" s="132"/>
      <c r="J195" s="132"/>
      <c r="K195" s="132"/>
      <c r="L195" s="132"/>
      <c r="M195" s="132"/>
    </row>
    <row r="196" spans="1:101" ht="38.25" x14ac:dyDescent="0.2">
      <c r="C196" s="59" t="s">
        <v>350</v>
      </c>
      <c r="D196" s="132" t="s">
        <v>495</v>
      </c>
      <c r="E196" s="132"/>
      <c r="F196" s="132"/>
      <c r="G196" s="132"/>
      <c r="H196" s="132"/>
      <c r="I196" s="132"/>
      <c r="J196" s="132"/>
      <c r="K196" s="132"/>
      <c r="L196" s="132"/>
      <c r="M196" s="132"/>
      <c r="CW196" s="60" t="s">
        <v>495</v>
      </c>
    </row>
    <row r="197" spans="1:101" ht="51" x14ac:dyDescent="0.2">
      <c r="A197" s="75"/>
      <c r="B197" s="75"/>
      <c r="C197" s="75"/>
      <c r="D197" s="192" t="s">
        <v>496</v>
      </c>
      <c r="E197" s="192"/>
      <c r="F197" s="192"/>
      <c r="G197" s="192"/>
      <c r="H197" s="75"/>
      <c r="I197" s="75"/>
      <c r="J197" s="75"/>
      <c r="K197" s="75"/>
      <c r="L197" s="75"/>
      <c r="M197" s="75"/>
      <c r="CW197" s="61" t="s">
        <v>496</v>
      </c>
    </row>
    <row r="198" spans="1:101" ht="15" x14ac:dyDescent="0.2">
      <c r="D198" s="134" t="s">
        <v>504</v>
      </c>
      <c r="E198" s="134"/>
      <c r="F198" s="134"/>
      <c r="G198" s="134"/>
      <c r="H198" s="134"/>
      <c r="I198" s="134"/>
      <c r="J198" s="135">
        <f>IF(F194&lt;&gt;0,L198/F194, 0)</f>
        <v>1413.78125</v>
      </c>
      <c r="K198" s="135"/>
      <c r="L198" s="135">
        <f>M194</f>
        <v>113102.5</v>
      </c>
      <c r="M198" s="135"/>
      <c r="AD198">
        <f>ROUND((Source!AT45/100)*((ROUND((ROUND(Source!AO45,2)*ROUND(((0.15+1)*1.25),7))*Source!I45, 2)+ROUND((ROUND(Source!AN45,2)*ROUND(((0.15+1)*1.25),7))*Source!I45, 2))), 2)</f>
        <v>0</v>
      </c>
      <c r="AE198">
        <f>ROUND((Source!AU45/100)*((ROUND((ROUND(Source!AO45,2)*ROUND(((0.15+1)*1.25),7))*Source!I45, 2)+ROUND((ROUND(Source!AN45,2)*ROUND(((0.15+1)*1.25),7))*Source!I45, 2))), 2)</f>
        <v>0</v>
      </c>
      <c r="AN198" s="70">
        <f>M194</f>
        <v>113102.5</v>
      </c>
      <c r="AO198" s="70">
        <f>M194</f>
        <v>113102.5</v>
      </c>
      <c r="AQ198" t="s">
        <v>505</v>
      </c>
      <c r="AR198">
        <f>0</f>
        <v>0</v>
      </c>
      <c r="AT198">
        <f>0</f>
        <v>0</v>
      </c>
      <c r="AV198" t="s">
        <v>505</v>
      </c>
      <c r="AW198">
        <f>0</f>
        <v>0</v>
      </c>
      <c r="AZ198">
        <f>Source!X45</f>
        <v>0</v>
      </c>
      <c r="BA198">
        <f>Source!Y45</f>
        <v>0</v>
      </c>
      <c r="CD198">
        <v>1</v>
      </c>
    </row>
    <row r="200" spans="1:101" ht="15" x14ac:dyDescent="0.2">
      <c r="A200" s="78"/>
      <c r="B200" s="78"/>
      <c r="C200" s="79"/>
      <c r="D200" s="129" t="s">
        <v>539</v>
      </c>
      <c r="E200" s="129"/>
      <c r="F200" s="129"/>
      <c r="G200" s="129"/>
      <c r="H200" s="129"/>
      <c r="I200" s="129"/>
      <c r="J200" s="64"/>
      <c r="K200" s="78"/>
      <c r="L200" s="80"/>
      <c r="M200" s="64">
        <f>M202+M203+M209+M213</f>
        <v>147171.34</v>
      </c>
    </row>
    <row r="201" spans="1:101" ht="14.25" x14ac:dyDescent="0.2">
      <c r="A201" s="73"/>
      <c r="B201" s="73"/>
      <c r="C201" s="77"/>
      <c r="D201" s="130" t="s">
        <v>540</v>
      </c>
      <c r="E201" s="124"/>
      <c r="F201" s="124"/>
      <c r="G201" s="124"/>
      <c r="H201" s="124"/>
      <c r="I201" s="124"/>
      <c r="J201" s="58"/>
      <c r="K201" s="73"/>
      <c r="L201" s="56"/>
      <c r="M201" s="58"/>
    </row>
    <row r="202" spans="1:101" ht="14.25" x14ac:dyDescent="0.2">
      <c r="A202" s="73"/>
      <c r="B202" s="73"/>
      <c r="C202" s="77"/>
      <c r="D202" s="124" t="s">
        <v>541</v>
      </c>
      <c r="E202" s="124"/>
      <c r="F202" s="124"/>
      <c r="G202" s="124"/>
      <c r="H202" s="124"/>
      <c r="I202" s="124"/>
      <c r="J202" s="58"/>
      <c r="K202" s="73"/>
      <c r="L202" s="56"/>
      <c r="M202" s="58">
        <f>SUM(AR41:AR198)</f>
        <v>17602.239999999998</v>
      </c>
    </row>
    <row r="203" spans="1:101" ht="14.25" hidden="1" x14ac:dyDescent="0.2">
      <c r="A203" s="73"/>
      <c r="B203" s="73"/>
      <c r="C203" s="77"/>
      <c r="D203" s="124" t="s">
        <v>542</v>
      </c>
      <c r="E203" s="124"/>
      <c r="F203" s="124"/>
      <c r="G203" s="124"/>
      <c r="H203" s="124"/>
      <c r="I203" s="124"/>
      <c r="J203" s="58"/>
      <c r="K203" s="73"/>
      <c r="L203" s="56"/>
      <c r="M203" s="58">
        <f>M205+M208+M207</f>
        <v>113380.3</v>
      </c>
    </row>
    <row r="204" spans="1:101" ht="14.25" hidden="1" x14ac:dyDescent="0.2">
      <c r="A204" s="73"/>
      <c r="B204" s="73"/>
      <c r="C204" s="77"/>
      <c r="D204" s="130" t="s">
        <v>543</v>
      </c>
      <c r="E204" s="124"/>
      <c r="F204" s="124"/>
      <c r="G204" s="124"/>
      <c r="H204" s="124"/>
      <c r="I204" s="124"/>
      <c r="J204" s="58"/>
      <c r="K204" s="73"/>
      <c r="L204" s="56"/>
      <c r="M204" s="58"/>
    </row>
    <row r="205" spans="1:101" ht="14.25" x14ac:dyDescent="0.2">
      <c r="A205" s="73"/>
      <c r="B205" s="73"/>
      <c r="C205" s="77"/>
      <c r="D205" s="124" t="s">
        <v>542</v>
      </c>
      <c r="E205" s="124"/>
      <c r="F205" s="124"/>
      <c r="G205" s="124"/>
      <c r="H205" s="124"/>
      <c r="I205" s="124"/>
      <c r="J205" s="58"/>
      <c r="K205" s="73"/>
      <c r="L205" s="56"/>
      <c r="M205" s="58">
        <f>SUM(AO41:AO198)</f>
        <v>113263.77</v>
      </c>
    </row>
    <row r="206" spans="1:101" ht="14.25" hidden="1" x14ac:dyDescent="0.2">
      <c r="A206" s="73"/>
      <c r="B206" s="73"/>
      <c r="C206" s="77"/>
      <c r="D206" s="130" t="s">
        <v>544</v>
      </c>
      <c r="E206" s="124"/>
      <c r="F206" s="124"/>
      <c r="G206" s="124"/>
      <c r="H206" s="124"/>
      <c r="I206" s="124"/>
      <c r="J206" s="58"/>
      <c r="K206" s="73"/>
      <c r="L206" s="56"/>
      <c r="M206" s="58"/>
    </row>
    <row r="207" spans="1:101" ht="14.25" x14ac:dyDescent="0.2">
      <c r="A207" s="73"/>
      <c r="B207" s="73"/>
      <c r="C207" s="77"/>
      <c r="D207" s="124" t="s">
        <v>564</v>
      </c>
      <c r="E207" s="124"/>
      <c r="F207" s="124"/>
      <c r="G207" s="124"/>
      <c r="H207" s="124"/>
      <c r="I207" s="124"/>
      <c r="J207" s="58"/>
      <c r="K207" s="73"/>
      <c r="L207" s="56"/>
      <c r="M207" s="58">
        <f>SUM(AT41:AT198)</f>
        <v>116.52999999999999</v>
      </c>
    </row>
    <row r="208" spans="1:101" ht="14.25" hidden="1" x14ac:dyDescent="0.2">
      <c r="A208" s="73"/>
      <c r="B208" s="73"/>
      <c r="C208" s="77"/>
      <c r="D208" s="124" t="s">
        <v>545</v>
      </c>
      <c r="E208" s="124"/>
      <c r="F208" s="124"/>
      <c r="G208" s="124"/>
      <c r="H208" s="124"/>
      <c r="I208" s="124"/>
      <c r="J208" s="58"/>
      <c r="K208" s="73"/>
      <c r="L208" s="56"/>
      <c r="M208" s="58">
        <f>SUM(AV41:AV198)</f>
        <v>0</v>
      </c>
    </row>
    <row r="209" spans="1:13" ht="14.25" x14ac:dyDescent="0.2">
      <c r="A209" s="73"/>
      <c r="B209" s="73"/>
      <c r="C209" s="77"/>
      <c r="D209" s="124" t="s">
        <v>546</v>
      </c>
      <c r="E209" s="124"/>
      <c r="F209" s="124"/>
      <c r="G209" s="124"/>
      <c r="H209" s="124"/>
      <c r="I209" s="124"/>
      <c r="J209" s="58"/>
      <c r="K209" s="73"/>
      <c r="L209" s="56"/>
      <c r="M209" s="58">
        <f>M211+M212</f>
        <v>16188.800000000001</v>
      </c>
    </row>
    <row r="210" spans="1:13" ht="14.25" x14ac:dyDescent="0.2">
      <c r="A210" s="73"/>
      <c r="B210" s="73"/>
      <c r="C210" s="77"/>
      <c r="D210" s="130" t="s">
        <v>543</v>
      </c>
      <c r="E210" s="124"/>
      <c r="F210" s="124"/>
      <c r="G210" s="124"/>
      <c r="H210" s="124"/>
      <c r="I210" s="124"/>
      <c r="J210" s="58"/>
      <c r="K210" s="73"/>
      <c r="L210" s="56"/>
      <c r="M210" s="58"/>
    </row>
    <row r="211" spans="1:13" ht="14.25" x14ac:dyDescent="0.2">
      <c r="A211" s="73"/>
      <c r="B211" s="73"/>
      <c r="C211" s="77"/>
      <c r="D211" s="124" t="s">
        <v>547</v>
      </c>
      <c r="E211" s="124"/>
      <c r="F211" s="124"/>
      <c r="G211" s="124"/>
      <c r="H211" s="124"/>
      <c r="I211" s="124"/>
      <c r="J211" s="58"/>
      <c r="K211" s="73"/>
      <c r="L211" s="56"/>
      <c r="M211" s="58">
        <f>SUM(AW41:AW198)-SUM(BK41:BK198)</f>
        <v>16188.800000000001</v>
      </c>
    </row>
    <row r="212" spans="1:13" ht="14.25" hidden="1" x14ac:dyDescent="0.2">
      <c r="A212" s="73"/>
      <c r="B212" s="73"/>
      <c r="C212" s="77"/>
      <c r="D212" s="124" t="s">
        <v>548</v>
      </c>
      <c r="E212" s="124"/>
      <c r="F212" s="124"/>
      <c r="G212" s="124"/>
      <c r="H212" s="124"/>
      <c r="I212" s="124"/>
      <c r="J212" s="58"/>
      <c r="K212" s="73"/>
      <c r="L212" s="56"/>
      <c r="M212" s="58">
        <f>SUM(BC41:BC198)</f>
        <v>0</v>
      </c>
    </row>
    <row r="213" spans="1:13" ht="14.25" hidden="1" x14ac:dyDescent="0.2">
      <c r="A213" s="73"/>
      <c r="B213" s="73"/>
      <c r="C213" s="77"/>
      <c r="D213" s="124" t="s">
        <v>549</v>
      </c>
      <c r="E213" s="124"/>
      <c r="F213" s="124"/>
      <c r="G213" s="124"/>
      <c r="H213" s="124"/>
      <c r="I213" s="124"/>
      <c r="J213" s="58"/>
      <c r="K213" s="73"/>
      <c r="L213" s="56"/>
      <c r="M213" s="58">
        <f>SUM(BB41:BB198)</f>
        <v>0</v>
      </c>
    </row>
    <row r="214" spans="1:13" ht="14.25" x14ac:dyDescent="0.2">
      <c r="A214" s="73"/>
      <c r="B214" s="73"/>
      <c r="C214" s="77"/>
      <c r="D214" s="124" t="s">
        <v>550</v>
      </c>
      <c r="E214" s="124"/>
      <c r="F214" s="124"/>
      <c r="G214" s="124"/>
      <c r="H214" s="124"/>
      <c r="I214" s="124"/>
      <c r="J214" s="58"/>
      <c r="K214" s="73"/>
      <c r="L214" s="56"/>
      <c r="M214" s="58">
        <f>SUM(AR41:AR198)+SUM(AT41:AT198)+SUM(AV41:AV198)</f>
        <v>17718.769999999997</v>
      </c>
    </row>
    <row r="215" spans="1:13" ht="14.25" x14ac:dyDescent="0.2">
      <c r="A215" s="73"/>
      <c r="B215" s="73"/>
      <c r="C215" s="77"/>
      <c r="D215" s="124" t="s">
        <v>551</v>
      </c>
      <c r="E215" s="124"/>
      <c r="F215" s="124"/>
      <c r="G215" s="124"/>
      <c r="H215" s="124"/>
      <c r="I215" s="124"/>
      <c r="J215" s="58"/>
      <c r="K215" s="73"/>
      <c r="L215" s="56"/>
      <c r="M215" s="58">
        <f>SUM(AZ41:AZ198)</f>
        <v>17955.64</v>
      </c>
    </row>
    <row r="216" spans="1:13" ht="14.25" x14ac:dyDescent="0.2">
      <c r="A216" s="73"/>
      <c r="B216" s="73"/>
      <c r="C216" s="77"/>
      <c r="D216" s="124" t="s">
        <v>552</v>
      </c>
      <c r="E216" s="124"/>
      <c r="F216" s="124"/>
      <c r="G216" s="124"/>
      <c r="H216" s="124"/>
      <c r="I216" s="124"/>
      <c r="J216" s="58"/>
      <c r="K216" s="73"/>
      <c r="L216" s="56"/>
      <c r="M216" s="58">
        <f>SUM(BA41:BA198)</f>
        <v>9923.19</v>
      </c>
    </row>
    <row r="217" spans="1:13" ht="14.25" hidden="1" x14ac:dyDescent="0.2">
      <c r="A217" s="73"/>
      <c r="B217" s="73"/>
      <c r="C217" s="77"/>
      <c r="D217" s="124" t="s">
        <v>553</v>
      </c>
      <c r="E217" s="124"/>
      <c r="F217" s="124"/>
      <c r="G217" s="124"/>
      <c r="H217" s="124"/>
      <c r="I217" s="124"/>
      <c r="J217" s="58"/>
      <c r="K217" s="73"/>
      <c r="L217" s="56"/>
      <c r="M217" s="58">
        <f>M219+M220</f>
        <v>0</v>
      </c>
    </row>
    <row r="218" spans="1:13" ht="14.25" hidden="1" x14ac:dyDescent="0.2">
      <c r="A218" s="73"/>
      <c r="B218" s="73"/>
      <c r="C218" s="77"/>
      <c r="D218" s="130" t="s">
        <v>540</v>
      </c>
      <c r="E218" s="124"/>
      <c r="F218" s="124"/>
      <c r="G218" s="124"/>
      <c r="H218" s="124"/>
      <c r="I218" s="124"/>
      <c r="J218" s="58"/>
      <c r="K218" s="73"/>
      <c r="L218" s="56"/>
      <c r="M218" s="58"/>
    </row>
    <row r="219" spans="1:13" ht="14.25" hidden="1" x14ac:dyDescent="0.2">
      <c r="A219" s="73"/>
      <c r="B219" s="73"/>
      <c r="C219" s="77"/>
      <c r="D219" s="124" t="s">
        <v>554</v>
      </c>
      <c r="E219" s="124"/>
      <c r="F219" s="124"/>
      <c r="G219" s="124"/>
      <c r="H219" s="124"/>
      <c r="I219" s="124"/>
      <c r="J219" s="58"/>
      <c r="K219" s="73"/>
      <c r="L219" s="56"/>
      <c r="M219" s="58">
        <f>SUM(BK41:BK198)</f>
        <v>0</v>
      </c>
    </row>
    <row r="220" spans="1:13" ht="14.25" hidden="1" x14ac:dyDescent="0.2">
      <c r="A220" s="73"/>
      <c r="B220" s="73"/>
      <c r="C220" s="77"/>
      <c r="D220" s="124" t="s">
        <v>555</v>
      </c>
      <c r="E220" s="124"/>
      <c r="F220" s="124"/>
      <c r="G220" s="124"/>
      <c r="H220" s="124"/>
      <c r="I220" s="124"/>
      <c r="J220" s="58"/>
      <c r="K220" s="73"/>
      <c r="L220" s="56"/>
      <c r="M220" s="58">
        <f>SUM(BD41:BD198)</f>
        <v>0</v>
      </c>
    </row>
    <row r="221" spans="1:13" ht="14.25" hidden="1" x14ac:dyDescent="0.2">
      <c r="A221" s="73"/>
      <c r="B221" s="73"/>
      <c r="C221" s="77"/>
      <c r="D221" s="124" t="s">
        <v>556</v>
      </c>
      <c r="E221" s="124"/>
      <c r="F221" s="124"/>
      <c r="G221" s="124"/>
      <c r="H221" s="124"/>
      <c r="I221" s="124"/>
      <c r="J221" s="58"/>
      <c r="K221" s="73"/>
      <c r="L221" s="56"/>
      <c r="M221" s="58"/>
    </row>
    <row r="222" spans="1:13" ht="14.25" hidden="1" x14ac:dyDescent="0.2">
      <c r="A222" s="73"/>
      <c r="B222" s="73"/>
      <c r="C222" s="77"/>
      <c r="D222" s="124" t="s">
        <v>556</v>
      </c>
      <c r="E222" s="124"/>
      <c r="F222" s="124"/>
      <c r="G222" s="124"/>
      <c r="H222" s="124"/>
      <c r="I222" s="124"/>
      <c r="J222" s="58"/>
      <c r="K222" s="73"/>
      <c r="L222" s="56"/>
      <c r="M222" s="58">
        <f>SUM(BQ41:BQ198)</f>
        <v>0</v>
      </c>
    </row>
    <row r="223" spans="1:13" ht="14.25" hidden="1" x14ac:dyDescent="0.2">
      <c r="A223" s="73"/>
      <c r="B223" s="73"/>
      <c r="C223" s="77"/>
      <c r="D223" s="124" t="s">
        <v>557</v>
      </c>
      <c r="E223" s="124"/>
      <c r="F223" s="124"/>
      <c r="G223" s="124"/>
      <c r="H223" s="124"/>
      <c r="I223" s="124"/>
      <c r="J223" s="58"/>
      <c r="K223" s="73"/>
      <c r="L223" s="56"/>
      <c r="M223" s="58">
        <f>SUM(BO41:BO198)</f>
        <v>0</v>
      </c>
    </row>
    <row r="224" spans="1:13" ht="15" x14ac:dyDescent="0.2">
      <c r="A224" s="78"/>
      <c r="B224" s="78"/>
      <c r="C224" s="79"/>
      <c r="D224" s="129" t="s">
        <v>558</v>
      </c>
      <c r="E224" s="129"/>
      <c r="F224" s="129"/>
      <c r="G224" s="129"/>
      <c r="H224" s="129"/>
      <c r="I224" s="129"/>
      <c r="J224" s="64"/>
      <c r="K224" s="78"/>
      <c r="L224" s="80"/>
      <c r="M224" s="64">
        <f>M200+M215+M216+M217+M222+M223</f>
        <v>175050.16999999998</v>
      </c>
    </row>
    <row r="225" spans="1:13" ht="14.25" x14ac:dyDescent="0.2">
      <c r="A225" s="73"/>
      <c r="B225" s="73"/>
      <c r="C225" s="77"/>
      <c r="D225" s="130" t="s">
        <v>559</v>
      </c>
      <c r="E225" s="124"/>
      <c r="F225" s="124"/>
      <c r="G225" s="124"/>
      <c r="H225" s="124"/>
      <c r="I225" s="124"/>
      <c r="J225" s="58"/>
      <c r="K225" s="73"/>
      <c r="L225" s="56"/>
      <c r="M225" s="58"/>
    </row>
    <row r="226" spans="1:13" ht="14.25" x14ac:dyDescent="0.2">
      <c r="A226" s="73"/>
      <c r="B226" s="73"/>
      <c r="C226" s="77"/>
      <c r="D226" s="124" t="s">
        <v>560</v>
      </c>
      <c r="E226" s="124"/>
      <c r="F226" s="124"/>
      <c r="G226" s="124"/>
      <c r="H226" s="124"/>
      <c r="I226" s="124"/>
      <c r="J226" s="58"/>
      <c r="K226" s="73"/>
      <c r="L226" s="56"/>
      <c r="M226" s="58">
        <f>SUM(AX41:AX198)</f>
        <v>14476.16</v>
      </c>
    </row>
    <row r="227" spans="1:13" ht="14.25" hidden="1" x14ac:dyDescent="0.2">
      <c r="A227" s="73"/>
      <c r="B227" s="73"/>
      <c r="C227" s="77"/>
      <c r="D227" s="124" t="s">
        <v>561</v>
      </c>
      <c r="E227" s="124"/>
      <c r="F227" s="124"/>
      <c r="G227" s="124"/>
      <c r="H227" s="124"/>
      <c r="I227" s="124"/>
      <c r="J227" s="58"/>
      <c r="K227" s="73"/>
      <c r="L227" s="56"/>
      <c r="M227" s="58">
        <f>SUM(AY41:AY198)</f>
        <v>0</v>
      </c>
    </row>
    <row r="228" spans="1:13" ht="14.25" x14ac:dyDescent="0.2">
      <c r="A228" s="73"/>
      <c r="B228" s="73"/>
      <c r="C228" s="77"/>
      <c r="D228" s="124" t="s">
        <v>562</v>
      </c>
      <c r="E228" s="124"/>
      <c r="F228" s="124"/>
      <c r="G228" s="125"/>
      <c r="H228" s="63">
        <f>Source!F69</f>
        <v>27.805955000000001</v>
      </c>
      <c r="I228" s="73"/>
      <c r="J228" s="73"/>
      <c r="K228" s="73"/>
      <c r="L228" s="73"/>
      <c r="M228" s="73"/>
    </row>
    <row r="229" spans="1:13" ht="14.25" x14ac:dyDescent="0.2">
      <c r="A229" s="73"/>
      <c r="B229" s="73"/>
      <c r="C229" s="77"/>
      <c r="D229" s="124" t="s">
        <v>563</v>
      </c>
      <c r="E229" s="124"/>
      <c r="F229" s="124"/>
      <c r="G229" s="125"/>
      <c r="H229" s="63">
        <f>Source!F70</f>
        <v>0.16423979999999999</v>
      </c>
      <c r="I229" s="73"/>
      <c r="J229" s="73"/>
      <c r="K229" s="73"/>
      <c r="L229" s="73"/>
      <c r="M229" s="73"/>
    </row>
    <row r="232" spans="1:13" ht="15" x14ac:dyDescent="0.2">
      <c r="A232" s="81"/>
      <c r="B232" s="81"/>
      <c r="C232" s="82"/>
      <c r="D232" s="131" t="s">
        <v>623</v>
      </c>
      <c r="E232" s="131"/>
      <c r="F232" s="131"/>
      <c r="G232" s="131"/>
      <c r="H232" s="131"/>
      <c r="I232" s="131"/>
      <c r="J232" s="83"/>
      <c r="K232" s="81"/>
      <c r="L232" s="84"/>
      <c r="M232" s="83"/>
    </row>
    <row r="234" spans="1:13" ht="15" x14ac:dyDescent="0.2">
      <c r="A234" s="78"/>
      <c r="B234" s="78"/>
      <c r="C234" s="79"/>
      <c r="D234" s="129" t="s">
        <v>566</v>
      </c>
      <c r="E234" s="129"/>
      <c r="F234" s="129"/>
      <c r="G234" s="129"/>
      <c r="H234" s="129"/>
      <c r="I234" s="129"/>
      <c r="J234" s="64"/>
      <c r="K234" s="78"/>
      <c r="L234" s="80"/>
      <c r="M234" s="64">
        <f>M236+M251+M252</f>
        <v>175050.16999999998</v>
      </c>
    </row>
    <row r="235" spans="1:13" ht="14.25" x14ac:dyDescent="0.2">
      <c r="A235" s="73"/>
      <c r="B235" s="73"/>
      <c r="C235" s="77"/>
      <c r="D235" s="130" t="s">
        <v>540</v>
      </c>
      <c r="E235" s="124"/>
      <c r="F235" s="124"/>
      <c r="G235" s="124"/>
      <c r="H235" s="124"/>
      <c r="I235" s="124"/>
      <c r="J235" s="58"/>
      <c r="K235" s="73"/>
      <c r="L235" s="56"/>
      <c r="M235" s="58"/>
    </row>
    <row r="236" spans="1:13" ht="14.25" x14ac:dyDescent="0.2">
      <c r="A236" s="73"/>
      <c r="B236" s="73"/>
      <c r="C236" s="77"/>
      <c r="D236" s="124" t="s">
        <v>567</v>
      </c>
      <c r="E236" s="124"/>
      <c r="F236" s="124"/>
      <c r="G236" s="124"/>
      <c r="H236" s="124"/>
      <c r="I236" s="124"/>
      <c r="J236" s="58"/>
      <c r="K236" s="73"/>
      <c r="L236" s="56"/>
      <c r="M236" s="58">
        <f>M238+M239+M245+M249</f>
        <v>147171.34</v>
      </c>
    </row>
    <row r="237" spans="1:13" ht="14.25" x14ac:dyDescent="0.2">
      <c r="A237" s="73"/>
      <c r="B237" s="73"/>
      <c r="C237" s="77"/>
      <c r="D237" s="130" t="s">
        <v>540</v>
      </c>
      <c r="E237" s="124"/>
      <c r="F237" s="124"/>
      <c r="G237" s="124"/>
      <c r="H237" s="124"/>
      <c r="I237" s="124"/>
      <c r="J237" s="58"/>
      <c r="K237" s="73"/>
      <c r="L237" s="56"/>
      <c r="M237" s="58"/>
    </row>
    <row r="238" spans="1:13" ht="14.25" x14ac:dyDescent="0.2">
      <c r="A238" s="73"/>
      <c r="B238" s="73"/>
      <c r="C238" s="77"/>
      <c r="D238" s="124" t="s">
        <v>568</v>
      </c>
      <c r="E238" s="124"/>
      <c r="F238" s="124"/>
      <c r="G238" s="124"/>
      <c r="H238" s="124"/>
      <c r="I238" s="124"/>
      <c r="J238" s="58"/>
      <c r="K238" s="73"/>
      <c r="L238" s="56"/>
      <c r="M238" s="58">
        <f>SUMIF(CD39:CD230, 1, AR39:AR230)</f>
        <v>17602.239999999998</v>
      </c>
    </row>
    <row r="239" spans="1:13" ht="14.25" hidden="1" x14ac:dyDescent="0.2">
      <c r="A239" s="73"/>
      <c r="B239" s="73"/>
      <c r="C239" s="77"/>
      <c r="D239" s="124" t="s">
        <v>542</v>
      </c>
      <c r="E239" s="124"/>
      <c r="F239" s="124"/>
      <c r="G239" s="124"/>
      <c r="H239" s="124"/>
      <c r="I239" s="124"/>
      <c r="J239" s="58"/>
      <c r="K239" s="73"/>
      <c r="L239" s="56"/>
      <c r="M239" s="58">
        <f>M241+M244+M243</f>
        <v>113380.3</v>
      </c>
    </row>
    <row r="240" spans="1:13" ht="14.25" hidden="1" x14ac:dyDescent="0.2">
      <c r="A240" s="73"/>
      <c r="B240" s="73"/>
      <c r="C240" s="77"/>
      <c r="D240" s="130" t="s">
        <v>543</v>
      </c>
      <c r="E240" s="124"/>
      <c r="F240" s="124"/>
      <c r="G240" s="124"/>
      <c r="H240" s="124"/>
      <c r="I240" s="124"/>
      <c r="J240" s="58"/>
      <c r="K240" s="73"/>
      <c r="L240" s="56"/>
      <c r="M240" s="58"/>
    </row>
    <row r="241" spans="1:13" ht="14.25" x14ac:dyDescent="0.2">
      <c r="A241" s="73"/>
      <c r="B241" s="73"/>
      <c r="C241" s="77"/>
      <c r="D241" s="124" t="s">
        <v>542</v>
      </c>
      <c r="E241" s="124"/>
      <c r="F241" s="124"/>
      <c r="G241" s="124"/>
      <c r="H241" s="124"/>
      <c r="I241" s="124"/>
      <c r="J241" s="58"/>
      <c r="K241" s="73"/>
      <c r="L241" s="56"/>
      <c r="M241" s="58">
        <f>SUMIF(CD39:CD230, 1, AO39:AO230)</f>
        <v>113263.77</v>
      </c>
    </row>
    <row r="242" spans="1:13" ht="14.25" hidden="1" x14ac:dyDescent="0.2">
      <c r="A242" s="73"/>
      <c r="B242" s="73"/>
      <c r="C242" s="77"/>
      <c r="D242" s="130" t="s">
        <v>544</v>
      </c>
      <c r="E242" s="124"/>
      <c r="F242" s="124"/>
      <c r="G242" s="124"/>
      <c r="H242" s="124"/>
      <c r="I242" s="124"/>
      <c r="J242" s="58"/>
      <c r="K242" s="73"/>
      <c r="L242" s="56"/>
      <c r="M242" s="58"/>
    </row>
    <row r="243" spans="1:13" ht="14.25" x14ac:dyDescent="0.2">
      <c r="A243" s="73"/>
      <c r="B243" s="73"/>
      <c r="C243" s="77"/>
      <c r="D243" s="124" t="s">
        <v>564</v>
      </c>
      <c r="E243" s="124"/>
      <c r="F243" s="124"/>
      <c r="G243" s="124"/>
      <c r="H243" s="124"/>
      <c r="I243" s="124"/>
      <c r="J243" s="58"/>
      <c r="K243" s="73"/>
      <c r="L243" s="56"/>
      <c r="M243" s="58">
        <f>SUMIF(CD39:CD230, 1, AT39:AT230)</f>
        <v>116.52999999999999</v>
      </c>
    </row>
    <row r="244" spans="1:13" ht="14.25" hidden="1" x14ac:dyDescent="0.2">
      <c r="A244" s="73"/>
      <c r="B244" s="73"/>
      <c r="C244" s="77"/>
      <c r="D244" s="124" t="s">
        <v>545</v>
      </c>
      <c r="E244" s="124"/>
      <c r="F244" s="124"/>
      <c r="G244" s="124"/>
      <c r="H244" s="124"/>
      <c r="I244" s="124"/>
      <c r="J244" s="58"/>
      <c r="K244" s="73"/>
      <c r="L244" s="56"/>
      <c r="M244" s="58">
        <f>SUMIF(CD39:CD230, 1, AV39:AV230)</f>
        <v>0</v>
      </c>
    </row>
    <row r="245" spans="1:13" ht="14.25" x14ac:dyDescent="0.2">
      <c r="A245" s="73"/>
      <c r="B245" s="73"/>
      <c r="C245" s="77"/>
      <c r="D245" s="124" t="s">
        <v>546</v>
      </c>
      <c r="E245" s="124"/>
      <c r="F245" s="124"/>
      <c r="G245" s="124"/>
      <c r="H245" s="124"/>
      <c r="I245" s="124"/>
      <c r="J245" s="58"/>
      <c r="K245" s="73"/>
      <c r="L245" s="56"/>
      <c r="M245" s="58">
        <f>M247+M248</f>
        <v>16188.800000000001</v>
      </c>
    </row>
    <row r="246" spans="1:13" ht="14.25" x14ac:dyDescent="0.2">
      <c r="A246" s="73"/>
      <c r="B246" s="73"/>
      <c r="C246" s="77"/>
      <c r="D246" s="130" t="s">
        <v>543</v>
      </c>
      <c r="E246" s="124"/>
      <c r="F246" s="124"/>
      <c r="G246" s="124"/>
      <c r="H246" s="124"/>
      <c r="I246" s="124"/>
      <c r="J246" s="58"/>
      <c r="K246" s="73"/>
      <c r="L246" s="56"/>
      <c r="M246" s="58"/>
    </row>
    <row r="247" spans="1:13" ht="14.25" x14ac:dyDescent="0.2">
      <c r="A247" s="73"/>
      <c r="B247" s="73"/>
      <c r="C247" s="77"/>
      <c r="D247" s="124" t="s">
        <v>547</v>
      </c>
      <c r="E247" s="124"/>
      <c r="F247" s="124"/>
      <c r="G247" s="124"/>
      <c r="H247" s="124"/>
      <c r="I247" s="124"/>
      <c r="J247" s="58"/>
      <c r="K247" s="73"/>
      <c r="L247" s="56"/>
      <c r="M247" s="58">
        <f>SUMIF(CD39:CD230, 1, AW39:AW230)-SUMIF(CD39:CD230, 1, BK39:BK230)</f>
        <v>16188.800000000001</v>
      </c>
    </row>
    <row r="248" spans="1:13" ht="14.25" hidden="1" x14ac:dyDescent="0.2">
      <c r="A248" s="73"/>
      <c r="B248" s="73"/>
      <c r="C248" s="77"/>
      <c r="D248" s="124" t="s">
        <v>548</v>
      </c>
      <c r="E248" s="124"/>
      <c r="F248" s="124"/>
      <c r="G248" s="124"/>
      <c r="H248" s="124"/>
      <c r="I248" s="124"/>
      <c r="J248" s="58"/>
      <c r="K248" s="73"/>
      <c r="L248" s="56"/>
      <c r="M248" s="58">
        <f>SUMIF(CD39:CD230, 1, BC39:BC230)</f>
        <v>0</v>
      </c>
    </row>
    <row r="249" spans="1:13" ht="14.25" hidden="1" x14ac:dyDescent="0.2">
      <c r="A249" s="73"/>
      <c r="B249" s="73"/>
      <c r="C249" s="77"/>
      <c r="D249" s="124" t="s">
        <v>549</v>
      </c>
      <c r="E249" s="124"/>
      <c r="F249" s="124"/>
      <c r="G249" s="124"/>
      <c r="H249" s="124"/>
      <c r="I249" s="124"/>
      <c r="J249" s="58"/>
      <c r="K249" s="73"/>
      <c r="L249" s="56"/>
      <c r="M249" s="58">
        <f>SUMIF(CD39:CD230, 1, BB39:BB230)</f>
        <v>0</v>
      </c>
    </row>
    <row r="250" spans="1:13" ht="14.25" x14ac:dyDescent="0.2">
      <c r="A250" s="73"/>
      <c r="B250" s="73"/>
      <c r="C250" s="77"/>
      <c r="D250" s="124" t="s">
        <v>569</v>
      </c>
      <c r="E250" s="124"/>
      <c r="F250" s="124"/>
      <c r="G250" s="124"/>
      <c r="H250" s="124"/>
      <c r="I250" s="124"/>
      <c r="J250" s="58"/>
      <c r="K250" s="73"/>
      <c r="L250" s="56"/>
      <c r="M250" s="58">
        <f>SUMIF(CD39:CD230, 1, AR39:AR230)+SUMIF(CD39:CD230, 1, AT39:AT230)+SUMIF(CD39:CD230, 1, AV39:AV230)</f>
        <v>17718.769999999997</v>
      </c>
    </row>
    <row r="251" spans="1:13" ht="14.25" x14ac:dyDescent="0.2">
      <c r="A251" s="73"/>
      <c r="B251" s="73"/>
      <c r="C251" s="77"/>
      <c r="D251" s="124" t="s">
        <v>570</v>
      </c>
      <c r="E251" s="124"/>
      <c r="F251" s="124"/>
      <c r="G251" s="124"/>
      <c r="H251" s="124"/>
      <c r="I251" s="124"/>
      <c r="J251" s="58"/>
      <c r="K251" s="73"/>
      <c r="L251" s="56"/>
      <c r="M251" s="58">
        <f>SUMIF(CD39:CD230, 1, AZ39:AZ230)</f>
        <v>17955.64</v>
      </c>
    </row>
    <row r="252" spans="1:13" ht="14.25" x14ac:dyDescent="0.2">
      <c r="A252" s="73"/>
      <c r="B252" s="73"/>
      <c r="C252" s="77"/>
      <c r="D252" s="124" t="s">
        <v>571</v>
      </c>
      <c r="E252" s="124"/>
      <c r="F252" s="124"/>
      <c r="G252" s="124"/>
      <c r="H252" s="124"/>
      <c r="I252" s="124"/>
      <c r="J252" s="58"/>
      <c r="K252" s="73"/>
      <c r="L252" s="56"/>
      <c r="M252" s="58">
        <f>SUMIF(CD39:CD230, 1, BA39:BA230)</f>
        <v>9923.19</v>
      </c>
    </row>
    <row r="253" spans="1:13" hidden="1" x14ac:dyDescent="0.2"/>
    <row r="254" spans="1:13" ht="15" hidden="1" x14ac:dyDescent="0.2">
      <c r="A254" s="78"/>
      <c r="B254" s="78"/>
      <c r="C254" s="79"/>
      <c r="D254" s="129" t="s">
        <v>572</v>
      </c>
      <c r="E254" s="129"/>
      <c r="F254" s="129"/>
      <c r="G254" s="129"/>
      <c r="H254" s="129"/>
      <c r="I254" s="129"/>
      <c r="J254" s="64"/>
      <c r="K254" s="78"/>
      <c r="L254" s="80"/>
      <c r="M254" s="64">
        <f>M256+M271+M272</f>
        <v>0</v>
      </c>
    </row>
    <row r="255" spans="1:13" ht="14.25" hidden="1" x14ac:dyDescent="0.2">
      <c r="A255" s="73"/>
      <c r="B255" s="73"/>
      <c r="C255" s="77"/>
      <c r="D255" s="130" t="s">
        <v>540</v>
      </c>
      <c r="E255" s="124"/>
      <c r="F255" s="124"/>
      <c r="G255" s="124"/>
      <c r="H255" s="124"/>
      <c r="I255" s="124"/>
      <c r="J255" s="58"/>
      <c r="K255" s="73"/>
      <c r="L255" s="56"/>
      <c r="M255" s="58"/>
    </row>
    <row r="256" spans="1:13" ht="14.25" hidden="1" x14ac:dyDescent="0.2">
      <c r="A256" s="73"/>
      <c r="B256" s="73"/>
      <c r="C256" s="77"/>
      <c r="D256" s="124" t="s">
        <v>567</v>
      </c>
      <c r="E256" s="124"/>
      <c r="F256" s="124"/>
      <c r="G256" s="124"/>
      <c r="H256" s="124"/>
      <c r="I256" s="124"/>
      <c r="J256" s="58"/>
      <c r="K256" s="73"/>
      <c r="L256" s="56"/>
      <c r="M256" s="58">
        <f>M258+M259+M265+M269</f>
        <v>0</v>
      </c>
    </row>
    <row r="257" spans="1:13" ht="14.25" hidden="1" x14ac:dyDescent="0.2">
      <c r="A257" s="73"/>
      <c r="B257" s="73"/>
      <c r="C257" s="77"/>
      <c r="D257" s="130" t="s">
        <v>540</v>
      </c>
      <c r="E257" s="124"/>
      <c r="F257" s="124"/>
      <c r="G257" s="124"/>
      <c r="H257" s="124"/>
      <c r="I257" s="124"/>
      <c r="J257" s="58"/>
      <c r="K257" s="73"/>
      <c r="L257" s="56"/>
      <c r="M257" s="58"/>
    </row>
    <row r="258" spans="1:13" ht="14.25" hidden="1" x14ac:dyDescent="0.2">
      <c r="A258" s="73"/>
      <c r="B258" s="73"/>
      <c r="C258" s="77"/>
      <c r="D258" s="124" t="s">
        <v>568</v>
      </c>
      <c r="E258" s="124"/>
      <c r="F258" s="124"/>
      <c r="G258" s="124"/>
      <c r="H258" s="124"/>
      <c r="I258" s="124"/>
      <c r="J258" s="58"/>
      <c r="K258" s="73"/>
      <c r="L258" s="56"/>
      <c r="M258" s="58">
        <f>SUMIF(CD39:CD252, 2, AR39:AR252)</f>
        <v>0</v>
      </c>
    </row>
    <row r="259" spans="1:13" ht="14.25" hidden="1" x14ac:dyDescent="0.2">
      <c r="A259" s="73"/>
      <c r="B259" s="73"/>
      <c r="C259" s="77"/>
      <c r="D259" s="124" t="s">
        <v>542</v>
      </c>
      <c r="E259" s="124"/>
      <c r="F259" s="124"/>
      <c r="G259" s="124"/>
      <c r="H259" s="124"/>
      <c r="I259" s="124"/>
      <c r="J259" s="58"/>
      <c r="K259" s="73"/>
      <c r="L259" s="56"/>
      <c r="M259" s="58">
        <f>M261+M264+M263</f>
        <v>0</v>
      </c>
    </row>
    <row r="260" spans="1:13" ht="14.25" hidden="1" x14ac:dyDescent="0.2">
      <c r="A260" s="73"/>
      <c r="B260" s="73"/>
      <c r="C260" s="77"/>
      <c r="D260" s="130" t="s">
        <v>543</v>
      </c>
      <c r="E260" s="124"/>
      <c r="F260" s="124"/>
      <c r="G260" s="124"/>
      <c r="H260" s="124"/>
      <c r="I260" s="124"/>
      <c r="J260" s="58"/>
      <c r="K260" s="73"/>
      <c r="L260" s="56"/>
      <c r="M260" s="58"/>
    </row>
    <row r="261" spans="1:13" ht="14.25" hidden="1" x14ac:dyDescent="0.2">
      <c r="A261" s="73"/>
      <c r="B261" s="73"/>
      <c r="C261" s="77"/>
      <c r="D261" s="124" t="s">
        <v>542</v>
      </c>
      <c r="E261" s="124"/>
      <c r="F261" s="124"/>
      <c r="G261" s="124"/>
      <c r="H261" s="124"/>
      <c r="I261" s="124"/>
      <c r="J261" s="58"/>
      <c r="K261" s="73"/>
      <c r="L261" s="56"/>
      <c r="M261" s="58">
        <f>SUMIF(CD39:CD252, 2, AO39:AO252)</f>
        <v>0</v>
      </c>
    </row>
    <row r="262" spans="1:13" ht="14.25" hidden="1" x14ac:dyDescent="0.2">
      <c r="A262" s="73"/>
      <c r="B262" s="73"/>
      <c r="C262" s="77"/>
      <c r="D262" s="130" t="s">
        <v>544</v>
      </c>
      <c r="E262" s="124"/>
      <c r="F262" s="124"/>
      <c r="G262" s="124"/>
      <c r="H262" s="124"/>
      <c r="I262" s="124"/>
      <c r="J262" s="58"/>
      <c r="K262" s="73"/>
      <c r="L262" s="56"/>
      <c r="M262" s="58"/>
    </row>
    <row r="263" spans="1:13" ht="14.25" hidden="1" x14ac:dyDescent="0.2">
      <c r="A263" s="73"/>
      <c r="B263" s="73"/>
      <c r="C263" s="77"/>
      <c r="D263" s="124" t="s">
        <v>564</v>
      </c>
      <c r="E263" s="124"/>
      <c r="F263" s="124"/>
      <c r="G263" s="124"/>
      <c r="H263" s="124"/>
      <c r="I263" s="124"/>
      <c r="J263" s="58"/>
      <c r="K263" s="73"/>
      <c r="L263" s="56"/>
      <c r="M263" s="58">
        <f>SUMIF(CD39:CD252, 2, AT39:AT252)</f>
        <v>0</v>
      </c>
    </row>
    <row r="264" spans="1:13" ht="14.25" hidden="1" x14ac:dyDescent="0.2">
      <c r="A264" s="73"/>
      <c r="B264" s="73"/>
      <c r="C264" s="77"/>
      <c r="D264" s="124" t="s">
        <v>545</v>
      </c>
      <c r="E264" s="124"/>
      <c r="F264" s="124"/>
      <c r="G264" s="124"/>
      <c r="H264" s="124"/>
      <c r="I264" s="124"/>
      <c r="J264" s="58"/>
      <c r="K264" s="73"/>
      <c r="L264" s="56"/>
      <c r="M264" s="58">
        <f>SUMIF(CD39:CD252, 2, AV39:AV252)</f>
        <v>0</v>
      </c>
    </row>
    <row r="265" spans="1:13" ht="14.25" hidden="1" x14ac:dyDescent="0.2">
      <c r="A265" s="73"/>
      <c r="B265" s="73"/>
      <c r="C265" s="77"/>
      <c r="D265" s="124" t="s">
        <v>546</v>
      </c>
      <c r="E265" s="124"/>
      <c r="F265" s="124"/>
      <c r="G265" s="124"/>
      <c r="H265" s="124"/>
      <c r="I265" s="124"/>
      <c r="J265" s="58"/>
      <c r="K265" s="73"/>
      <c r="L265" s="56"/>
      <c r="M265" s="58">
        <f>M267+M268</f>
        <v>0</v>
      </c>
    </row>
    <row r="266" spans="1:13" ht="14.25" hidden="1" x14ac:dyDescent="0.2">
      <c r="A266" s="73"/>
      <c r="B266" s="73"/>
      <c r="C266" s="77"/>
      <c r="D266" s="130" t="s">
        <v>543</v>
      </c>
      <c r="E266" s="124"/>
      <c r="F266" s="124"/>
      <c r="G266" s="124"/>
      <c r="H266" s="124"/>
      <c r="I266" s="124"/>
      <c r="J266" s="58"/>
      <c r="K266" s="73"/>
      <c r="L266" s="56"/>
      <c r="M266" s="58"/>
    </row>
    <row r="267" spans="1:13" ht="14.25" hidden="1" x14ac:dyDescent="0.2">
      <c r="A267" s="73"/>
      <c r="B267" s="73"/>
      <c r="C267" s="77"/>
      <c r="D267" s="124" t="s">
        <v>547</v>
      </c>
      <c r="E267" s="124"/>
      <c r="F267" s="124"/>
      <c r="G267" s="124"/>
      <c r="H267" s="124"/>
      <c r="I267" s="124"/>
      <c r="J267" s="58"/>
      <c r="K267" s="73"/>
      <c r="L267" s="56"/>
      <c r="M267" s="58">
        <f>SUMIF(CD39:CD252, 2, AW39:AW252)-SUMIF(CD39:CD252, 2, BK39:BK252)</f>
        <v>0</v>
      </c>
    </row>
    <row r="268" spans="1:13" ht="14.25" hidden="1" x14ac:dyDescent="0.2">
      <c r="A268" s="73"/>
      <c r="B268" s="73"/>
      <c r="C268" s="77"/>
      <c r="D268" s="124" t="s">
        <v>548</v>
      </c>
      <c r="E268" s="124"/>
      <c r="F268" s="124"/>
      <c r="G268" s="124"/>
      <c r="H268" s="124"/>
      <c r="I268" s="124"/>
      <c r="J268" s="58"/>
      <c r="K268" s="73"/>
      <c r="L268" s="56"/>
      <c r="M268" s="58">
        <f>SUMIF(CD39:CD252, 2, BC39:BC252)</f>
        <v>0</v>
      </c>
    </row>
    <row r="269" spans="1:13" ht="14.25" hidden="1" x14ac:dyDescent="0.2">
      <c r="A269" s="73"/>
      <c r="B269" s="73"/>
      <c r="C269" s="77"/>
      <c r="D269" s="124" t="s">
        <v>549</v>
      </c>
      <c r="E269" s="124"/>
      <c r="F269" s="124"/>
      <c r="G269" s="124"/>
      <c r="H269" s="124"/>
      <c r="I269" s="124"/>
      <c r="J269" s="58"/>
      <c r="K269" s="73"/>
      <c r="L269" s="56"/>
      <c r="M269" s="58">
        <f>SUMIF(CD39:CD252, 2, BB39:BB252)</f>
        <v>0</v>
      </c>
    </row>
    <row r="270" spans="1:13" ht="14.25" hidden="1" x14ac:dyDescent="0.2">
      <c r="A270" s="73"/>
      <c r="B270" s="73"/>
      <c r="C270" s="77"/>
      <c r="D270" s="124" t="s">
        <v>569</v>
      </c>
      <c r="E270" s="124"/>
      <c r="F270" s="124"/>
      <c r="G270" s="124"/>
      <c r="H270" s="124"/>
      <c r="I270" s="124"/>
      <c r="J270" s="58"/>
      <c r="K270" s="73"/>
      <c r="L270" s="56"/>
      <c r="M270" s="58">
        <f>SUMIF(CD39:CD252, 2, AR39:AR252)+SUMIF(CD39:CD252, 2, AT39:AT252)+SUMIF(CD39:CD252, 2, AV39:AV252)</f>
        <v>0</v>
      </c>
    </row>
    <row r="271" spans="1:13" ht="14.25" hidden="1" x14ac:dyDescent="0.2">
      <c r="A271" s="73"/>
      <c r="B271" s="73"/>
      <c r="C271" s="77"/>
      <c r="D271" s="124" t="s">
        <v>570</v>
      </c>
      <c r="E271" s="124"/>
      <c r="F271" s="124"/>
      <c r="G271" s="124"/>
      <c r="H271" s="124"/>
      <c r="I271" s="124"/>
      <c r="J271" s="58"/>
      <c r="K271" s="73"/>
      <c r="L271" s="56"/>
      <c r="M271" s="58">
        <f>SUMIF(CD39:CD252, 2, AZ39:AZ252)</f>
        <v>0</v>
      </c>
    </row>
    <row r="272" spans="1:13" ht="14.25" hidden="1" x14ac:dyDescent="0.2">
      <c r="A272" s="73"/>
      <c r="B272" s="73"/>
      <c r="C272" s="77"/>
      <c r="D272" s="124" t="s">
        <v>571</v>
      </c>
      <c r="E272" s="124"/>
      <c r="F272" s="124"/>
      <c r="G272" s="124"/>
      <c r="H272" s="124"/>
      <c r="I272" s="124"/>
      <c r="J272" s="58"/>
      <c r="K272" s="73"/>
      <c r="L272" s="56"/>
      <c r="M272" s="58">
        <f>SUMIF(CD39:CD252, 2, BA39:BA252)</f>
        <v>0</v>
      </c>
    </row>
    <row r="273" spans="1:13" hidden="1" x14ac:dyDescent="0.2"/>
    <row r="274" spans="1:13" ht="15" hidden="1" x14ac:dyDescent="0.2">
      <c r="A274" s="78"/>
      <c r="B274" s="78"/>
      <c r="C274" s="79"/>
      <c r="D274" s="129" t="s">
        <v>573</v>
      </c>
      <c r="E274" s="129"/>
      <c r="F274" s="129"/>
      <c r="G274" s="129"/>
      <c r="H274" s="129"/>
      <c r="I274" s="129"/>
      <c r="J274" s="64"/>
      <c r="K274" s="78"/>
      <c r="L274" s="80"/>
      <c r="M274" s="64">
        <f>M276+M277</f>
        <v>0</v>
      </c>
    </row>
    <row r="275" spans="1:13" ht="14.25" hidden="1" x14ac:dyDescent="0.2">
      <c r="A275" s="73"/>
      <c r="B275" s="73"/>
      <c r="C275" s="77"/>
      <c r="D275" s="130" t="s">
        <v>540</v>
      </c>
      <c r="E275" s="124"/>
      <c r="F275" s="124"/>
      <c r="G275" s="124"/>
      <c r="H275" s="124"/>
      <c r="I275" s="124"/>
      <c r="J275" s="58"/>
      <c r="K275" s="73"/>
      <c r="L275" s="56"/>
      <c r="M275" s="58"/>
    </row>
    <row r="276" spans="1:13" ht="14.25" hidden="1" x14ac:dyDescent="0.2">
      <c r="A276" s="73"/>
      <c r="B276" s="73"/>
      <c r="C276" s="77"/>
      <c r="D276" s="124" t="s">
        <v>554</v>
      </c>
      <c r="E276" s="124"/>
      <c r="F276" s="124"/>
      <c r="G276" s="124"/>
      <c r="H276" s="124"/>
      <c r="I276" s="124"/>
      <c r="J276" s="58"/>
      <c r="K276" s="73"/>
      <c r="L276" s="56"/>
      <c r="M276" s="58">
        <f>SUMIF(CD39:CD272, 3, BK39:BK272)</f>
        <v>0</v>
      </c>
    </row>
    <row r="277" spans="1:13" ht="14.25" hidden="1" x14ac:dyDescent="0.2">
      <c r="A277" s="73"/>
      <c r="B277" s="73"/>
      <c r="C277" s="77"/>
      <c r="D277" s="124" t="s">
        <v>555</v>
      </c>
      <c r="E277" s="124"/>
      <c r="F277" s="124"/>
      <c r="G277" s="124"/>
      <c r="H277" s="124"/>
      <c r="I277" s="124"/>
      <c r="J277" s="58"/>
      <c r="K277" s="73"/>
      <c r="L277" s="56"/>
      <c r="M277" s="58">
        <f>SUMIF(CD39:CD272, 3, BD39:BD272)</f>
        <v>0</v>
      </c>
    </row>
    <row r="278" spans="1:13" hidden="1" x14ac:dyDescent="0.2"/>
    <row r="279" spans="1:13" ht="15" hidden="1" x14ac:dyDescent="0.2">
      <c r="A279" s="78"/>
      <c r="B279" s="78"/>
      <c r="C279" s="79"/>
      <c r="D279" s="129" t="s">
        <v>574</v>
      </c>
      <c r="E279" s="129"/>
      <c r="F279" s="129"/>
      <c r="G279" s="129"/>
      <c r="H279" s="129"/>
      <c r="I279" s="129"/>
      <c r="J279" s="64"/>
      <c r="K279" s="78"/>
      <c r="L279" s="80"/>
      <c r="M279" s="64">
        <f>M287+M302+M303+M281+M282+M283+M284</f>
        <v>0</v>
      </c>
    </row>
    <row r="280" spans="1:13" ht="14.25" hidden="1" x14ac:dyDescent="0.2">
      <c r="A280" s="73"/>
      <c r="B280" s="73"/>
      <c r="C280" s="77"/>
      <c r="D280" s="130" t="s">
        <v>540</v>
      </c>
      <c r="E280" s="124"/>
      <c r="F280" s="124"/>
      <c r="G280" s="124"/>
      <c r="H280" s="124"/>
      <c r="I280" s="124"/>
      <c r="J280" s="58"/>
      <c r="K280" s="73"/>
      <c r="L280" s="56"/>
      <c r="M280" s="58"/>
    </row>
    <row r="281" spans="1:13" ht="14.25" hidden="1" x14ac:dyDescent="0.2">
      <c r="A281" s="73"/>
      <c r="B281" s="73"/>
      <c r="C281" s="77"/>
      <c r="D281" s="124" t="s">
        <v>575</v>
      </c>
      <c r="E281" s="124"/>
      <c r="F281" s="124"/>
      <c r="G281" s="124"/>
      <c r="H281" s="124"/>
      <c r="I281" s="124"/>
      <c r="J281" s="58"/>
      <c r="K281" s="73"/>
      <c r="L281" s="56"/>
      <c r="M281" s="58"/>
    </row>
    <row r="282" spans="1:13" ht="14.25" hidden="1" x14ac:dyDescent="0.2">
      <c r="A282" s="73"/>
      <c r="B282" s="73"/>
      <c r="C282" s="77"/>
      <c r="D282" s="124" t="s">
        <v>575</v>
      </c>
      <c r="E282" s="124"/>
      <c r="F282" s="124"/>
      <c r="G282" s="124"/>
      <c r="H282" s="124"/>
      <c r="I282" s="124"/>
      <c r="J282" s="58"/>
      <c r="K282" s="73"/>
      <c r="L282" s="56"/>
      <c r="M282" s="58">
        <f>SUM(BQ39:BQ277)</f>
        <v>0</v>
      </c>
    </row>
    <row r="283" spans="1:13" ht="14.25" hidden="1" x14ac:dyDescent="0.2">
      <c r="A283" s="73"/>
      <c r="B283" s="73"/>
      <c r="C283" s="77"/>
      <c r="D283" s="124" t="s">
        <v>576</v>
      </c>
      <c r="E283" s="124"/>
      <c r="F283" s="124"/>
      <c r="G283" s="124"/>
      <c r="H283" s="124"/>
      <c r="I283" s="124"/>
      <c r="J283" s="58"/>
      <c r="K283" s="73"/>
      <c r="L283" s="56"/>
      <c r="M283" s="58">
        <f>SUMIF(CD39:CD277, 4, BB39:BB277)+SUMIF(CD39:CD277, 4, BC39:BC277)+SUMIF(CD39:CD277, 4, BD39:BD277)</f>
        <v>0</v>
      </c>
    </row>
    <row r="284" spans="1:13" ht="14.25" hidden="1" x14ac:dyDescent="0.2">
      <c r="A284" s="73"/>
      <c r="B284" s="73"/>
      <c r="C284" s="77"/>
      <c r="D284" s="124" t="s">
        <v>577</v>
      </c>
      <c r="E284" s="124"/>
      <c r="F284" s="124"/>
      <c r="G284" s="124"/>
      <c r="H284" s="124"/>
      <c r="I284" s="124"/>
      <c r="J284" s="58"/>
      <c r="K284" s="73"/>
      <c r="L284" s="56"/>
      <c r="M284" s="58">
        <f>SUM(BO39:BO277)</f>
        <v>0</v>
      </c>
    </row>
    <row r="285" spans="1:13" ht="14.25" hidden="1" x14ac:dyDescent="0.2">
      <c r="A285" s="73"/>
      <c r="B285" s="73"/>
      <c r="C285" s="77"/>
      <c r="D285" s="124" t="s">
        <v>578</v>
      </c>
      <c r="E285" s="124"/>
      <c r="F285" s="124"/>
      <c r="G285" s="124"/>
      <c r="H285" s="124"/>
      <c r="I285" s="124"/>
      <c r="J285" s="58"/>
      <c r="K285" s="73"/>
      <c r="L285" s="56"/>
      <c r="M285" s="58">
        <f>M287+M302+M303</f>
        <v>0</v>
      </c>
    </row>
    <row r="286" spans="1:13" ht="14.25" hidden="1" x14ac:dyDescent="0.2">
      <c r="A286" s="73"/>
      <c r="B286" s="73"/>
      <c r="C286" s="77"/>
      <c r="D286" s="130" t="s">
        <v>540</v>
      </c>
      <c r="E286" s="124"/>
      <c r="F286" s="124"/>
      <c r="G286" s="124"/>
      <c r="H286" s="124"/>
      <c r="I286" s="124"/>
      <c r="J286" s="58"/>
      <c r="K286" s="73"/>
      <c r="L286" s="56"/>
      <c r="M286" s="58"/>
    </row>
    <row r="287" spans="1:13" ht="14.25" hidden="1" x14ac:dyDescent="0.2">
      <c r="A287" s="73"/>
      <c r="B287" s="73"/>
      <c r="C287" s="77"/>
      <c r="D287" s="124" t="s">
        <v>567</v>
      </c>
      <c r="E287" s="124"/>
      <c r="F287" s="124"/>
      <c r="G287" s="124"/>
      <c r="H287" s="124"/>
      <c r="I287" s="124"/>
      <c r="J287" s="58"/>
      <c r="K287" s="73"/>
      <c r="L287" s="56"/>
      <c r="M287" s="58">
        <f>M289+M290+M296+M300</f>
        <v>0</v>
      </c>
    </row>
    <row r="288" spans="1:13" ht="14.25" hidden="1" x14ac:dyDescent="0.2">
      <c r="A288" s="73"/>
      <c r="B288" s="73"/>
      <c r="C288" s="77"/>
      <c r="D288" s="130" t="s">
        <v>540</v>
      </c>
      <c r="E288" s="124"/>
      <c r="F288" s="124"/>
      <c r="G288" s="124"/>
      <c r="H288" s="124"/>
      <c r="I288" s="124"/>
      <c r="J288" s="58"/>
      <c r="K288" s="73"/>
      <c r="L288" s="56"/>
      <c r="M288" s="58"/>
    </row>
    <row r="289" spans="1:13" ht="14.25" hidden="1" x14ac:dyDescent="0.2">
      <c r="A289" s="73"/>
      <c r="B289" s="73"/>
      <c r="C289" s="77"/>
      <c r="D289" s="124" t="s">
        <v>568</v>
      </c>
      <c r="E289" s="124"/>
      <c r="F289" s="124"/>
      <c r="G289" s="124"/>
      <c r="H289" s="124"/>
      <c r="I289" s="124"/>
      <c r="J289" s="58"/>
      <c r="K289" s="73"/>
      <c r="L289" s="56"/>
      <c r="M289" s="58">
        <f>SUMIF(CD39:CD277, 4, AR39:AR277)</f>
        <v>0</v>
      </c>
    </row>
    <row r="290" spans="1:13" ht="14.25" hidden="1" x14ac:dyDescent="0.2">
      <c r="A290" s="73"/>
      <c r="B290" s="73"/>
      <c r="C290" s="77"/>
      <c r="D290" s="124" t="s">
        <v>542</v>
      </c>
      <c r="E290" s="124"/>
      <c r="F290" s="124"/>
      <c r="G290" s="124"/>
      <c r="H290" s="124"/>
      <c r="I290" s="124"/>
      <c r="J290" s="58"/>
      <c r="K290" s="73"/>
      <c r="L290" s="56"/>
      <c r="M290" s="58">
        <f>M292+M295+M294</f>
        <v>0</v>
      </c>
    </row>
    <row r="291" spans="1:13" ht="14.25" hidden="1" x14ac:dyDescent="0.2">
      <c r="A291" s="73"/>
      <c r="B291" s="73"/>
      <c r="C291" s="77"/>
      <c r="D291" s="130" t="s">
        <v>543</v>
      </c>
      <c r="E291" s="124"/>
      <c r="F291" s="124"/>
      <c r="G291" s="124"/>
      <c r="H291" s="124"/>
      <c r="I291" s="124"/>
      <c r="J291" s="58"/>
      <c r="K291" s="73"/>
      <c r="L291" s="56"/>
      <c r="M291" s="58"/>
    </row>
    <row r="292" spans="1:13" ht="14.25" hidden="1" x14ac:dyDescent="0.2">
      <c r="A292" s="73"/>
      <c r="B292" s="73"/>
      <c r="C292" s="77"/>
      <c r="D292" s="124" t="s">
        <v>542</v>
      </c>
      <c r="E292" s="124"/>
      <c r="F292" s="124"/>
      <c r="G292" s="124"/>
      <c r="H292" s="124"/>
      <c r="I292" s="124"/>
      <c r="J292" s="58"/>
      <c r="K292" s="73"/>
      <c r="L292" s="56"/>
      <c r="M292" s="58">
        <f>SUMIF(CD39:CD277, 4, AO39:AO277)</f>
        <v>0</v>
      </c>
    </row>
    <row r="293" spans="1:13" ht="14.25" hidden="1" x14ac:dyDescent="0.2">
      <c r="A293" s="73"/>
      <c r="B293" s="73"/>
      <c r="C293" s="77"/>
      <c r="D293" s="130" t="s">
        <v>544</v>
      </c>
      <c r="E293" s="124"/>
      <c r="F293" s="124"/>
      <c r="G293" s="124"/>
      <c r="H293" s="124"/>
      <c r="I293" s="124"/>
      <c r="J293" s="58"/>
      <c r="K293" s="73"/>
      <c r="L293" s="56"/>
      <c r="M293" s="58"/>
    </row>
    <row r="294" spans="1:13" ht="14.25" hidden="1" x14ac:dyDescent="0.2">
      <c r="A294" s="73"/>
      <c r="B294" s="73"/>
      <c r="C294" s="77"/>
      <c r="D294" s="124" t="s">
        <v>564</v>
      </c>
      <c r="E294" s="124"/>
      <c r="F294" s="124"/>
      <c r="G294" s="124"/>
      <c r="H294" s="124"/>
      <c r="I294" s="124"/>
      <c r="J294" s="58"/>
      <c r="K294" s="73"/>
      <c r="L294" s="56"/>
      <c r="M294" s="58">
        <f>SUMIF(CD39:CD277, 4, AT39:AT277)</f>
        <v>0</v>
      </c>
    </row>
    <row r="295" spans="1:13" ht="14.25" hidden="1" x14ac:dyDescent="0.2">
      <c r="A295" s="73"/>
      <c r="B295" s="73"/>
      <c r="C295" s="77"/>
      <c r="D295" s="124" t="s">
        <v>545</v>
      </c>
      <c r="E295" s="124"/>
      <c r="F295" s="124"/>
      <c r="G295" s="124"/>
      <c r="H295" s="124"/>
      <c r="I295" s="124"/>
      <c r="J295" s="58"/>
      <c r="K295" s="73"/>
      <c r="L295" s="56"/>
      <c r="M295" s="58">
        <f>SUMIF(CD39:CD277, 4, AV39:AV277)</f>
        <v>0</v>
      </c>
    </row>
    <row r="296" spans="1:13" ht="14.25" hidden="1" x14ac:dyDescent="0.2">
      <c r="A296" s="73"/>
      <c r="B296" s="73"/>
      <c r="C296" s="77"/>
      <c r="D296" s="124" t="s">
        <v>546</v>
      </c>
      <c r="E296" s="124"/>
      <c r="F296" s="124"/>
      <c r="G296" s="124"/>
      <c r="H296" s="124"/>
      <c r="I296" s="124"/>
      <c r="J296" s="58"/>
      <c r="K296" s="73"/>
      <c r="L296" s="56"/>
      <c r="M296" s="58">
        <f>M298+M299</f>
        <v>0</v>
      </c>
    </row>
    <row r="297" spans="1:13" ht="14.25" hidden="1" x14ac:dyDescent="0.2">
      <c r="A297" s="73"/>
      <c r="B297" s="73"/>
      <c r="C297" s="77"/>
      <c r="D297" s="130" t="s">
        <v>543</v>
      </c>
      <c r="E297" s="124"/>
      <c r="F297" s="124"/>
      <c r="G297" s="124"/>
      <c r="H297" s="124"/>
      <c r="I297" s="124"/>
      <c r="J297" s="58"/>
      <c r="K297" s="73"/>
      <c r="L297" s="56"/>
      <c r="M297" s="58"/>
    </row>
    <row r="298" spans="1:13" ht="14.25" hidden="1" x14ac:dyDescent="0.2">
      <c r="A298" s="73"/>
      <c r="B298" s="73"/>
      <c r="C298" s="77"/>
      <c r="D298" s="124" t="s">
        <v>547</v>
      </c>
      <c r="E298" s="124"/>
      <c r="F298" s="124"/>
      <c r="G298" s="124"/>
      <c r="H298" s="124"/>
      <c r="I298" s="124"/>
      <c r="J298" s="58"/>
      <c r="K298" s="73"/>
      <c r="L298" s="56"/>
      <c r="M298" s="58">
        <f>SUMIF(CD39:CD277, 4, AW39:AW277)-SUMIF(CD39:CD277, 4, BK39:BK277)</f>
        <v>0</v>
      </c>
    </row>
    <row r="299" spans="1:13" ht="14.25" hidden="1" x14ac:dyDescent="0.2">
      <c r="A299" s="73"/>
      <c r="B299" s="73"/>
      <c r="C299" s="77"/>
      <c r="D299" s="124" t="s">
        <v>548</v>
      </c>
      <c r="E299" s="124"/>
      <c r="F299" s="124"/>
      <c r="G299" s="124"/>
      <c r="H299" s="124"/>
      <c r="I299" s="124"/>
      <c r="J299" s="58"/>
      <c r="K299" s="73"/>
      <c r="L299" s="56"/>
      <c r="M299" s="58">
        <f>SUMIF(CD39:CD277, 4, BC39:BC277)</f>
        <v>0</v>
      </c>
    </row>
    <row r="300" spans="1:13" ht="14.25" hidden="1" x14ac:dyDescent="0.2">
      <c r="A300" s="73"/>
      <c r="B300" s="73"/>
      <c r="C300" s="77"/>
      <c r="D300" s="124" t="s">
        <v>549</v>
      </c>
      <c r="E300" s="124"/>
      <c r="F300" s="124"/>
      <c r="G300" s="124"/>
      <c r="H300" s="124"/>
      <c r="I300" s="124"/>
      <c r="J300" s="58"/>
      <c r="K300" s="73"/>
      <c r="L300" s="56"/>
      <c r="M300" s="58">
        <f>SUMIF(CD39:CD277, 4, BB39:BB277)</f>
        <v>0</v>
      </c>
    </row>
    <row r="301" spans="1:13" ht="14.25" hidden="1" x14ac:dyDescent="0.2">
      <c r="A301" s="73"/>
      <c r="B301" s="73"/>
      <c r="C301" s="77"/>
      <c r="D301" s="124" t="s">
        <v>569</v>
      </c>
      <c r="E301" s="124"/>
      <c r="F301" s="124"/>
      <c r="G301" s="124"/>
      <c r="H301" s="124"/>
      <c r="I301" s="124"/>
      <c r="J301" s="58"/>
      <c r="K301" s="73"/>
      <c r="L301" s="56"/>
      <c r="M301" s="58">
        <f>SUMIF(CD39:CD277, 4, AR39:AR277)+SUMIF(CD39:CD277, 4, AT39:AT277)+SUMIF(CD39:CD277, 4, AV39:AV277)</f>
        <v>0</v>
      </c>
    </row>
    <row r="302" spans="1:13" ht="14.25" hidden="1" x14ac:dyDescent="0.2">
      <c r="A302" s="73"/>
      <c r="B302" s="73"/>
      <c r="C302" s="77"/>
      <c r="D302" s="124" t="s">
        <v>570</v>
      </c>
      <c r="E302" s="124"/>
      <c r="F302" s="124"/>
      <c r="G302" s="124"/>
      <c r="H302" s="124"/>
      <c r="I302" s="124"/>
      <c r="J302" s="58"/>
      <c r="K302" s="73"/>
      <c r="L302" s="56"/>
      <c r="M302" s="58">
        <f>SUMIF(CD39:CD277, 4, AZ39:AZ277)</f>
        <v>0</v>
      </c>
    </row>
    <row r="303" spans="1:13" ht="14.25" hidden="1" x14ac:dyDescent="0.2">
      <c r="A303" s="73"/>
      <c r="B303" s="73"/>
      <c r="C303" s="77"/>
      <c r="D303" s="124" t="s">
        <v>571</v>
      </c>
      <c r="E303" s="124"/>
      <c r="F303" s="124"/>
      <c r="G303" s="124"/>
      <c r="H303" s="124"/>
      <c r="I303" s="124"/>
      <c r="J303" s="58"/>
      <c r="K303" s="73"/>
      <c r="L303" s="56"/>
      <c r="M303" s="58">
        <f>SUMIF(CD39:CD277, 4, BA39:BA277)</f>
        <v>0</v>
      </c>
    </row>
    <row r="305" spans="1:13" ht="15" x14ac:dyDescent="0.2">
      <c r="A305" s="78"/>
      <c r="B305" s="78"/>
      <c r="C305" s="79"/>
      <c r="D305" s="129" t="s">
        <v>624</v>
      </c>
      <c r="E305" s="129"/>
      <c r="F305" s="129"/>
      <c r="G305" s="129"/>
      <c r="H305" s="129"/>
      <c r="I305" s="129"/>
      <c r="J305" s="64"/>
      <c r="K305" s="78"/>
      <c r="L305" s="80"/>
      <c r="M305" s="64">
        <f>M234+M254+M274+M279</f>
        <v>175050.16999999998</v>
      </c>
    </row>
    <row r="306" spans="1:13" ht="14.25" x14ac:dyDescent="0.2">
      <c r="A306" s="73"/>
      <c r="B306" s="73"/>
      <c r="C306" s="77"/>
      <c r="D306" s="130" t="s">
        <v>540</v>
      </c>
      <c r="E306" s="124"/>
      <c r="F306" s="124"/>
      <c r="G306" s="124"/>
      <c r="H306" s="124"/>
      <c r="I306" s="124"/>
      <c r="J306" s="58"/>
      <c r="K306" s="73"/>
      <c r="L306" s="56"/>
      <c r="M306" s="58"/>
    </row>
    <row r="307" spans="1:13" ht="14.25" x14ac:dyDescent="0.2">
      <c r="A307" s="73"/>
      <c r="B307" s="73"/>
      <c r="C307" s="77"/>
      <c r="D307" s="124" t="s">
        <v>567</v>
      </c>
      <c r="E307" s="124"/>
      <c r="F307" s="124"/>
      <c r="G307" s="124"/>
      <c r="H307" s="124"/>
      <c r="I307" s="124"/>
      <c r="J307" s="58"/>
      <c r="K307" s="73"/>
      <c r="L307" s="56"/>
      <c r="M307" s="58">
        <f>M309+M310+M316+M320</f>
        <v>147171.34</v>
      </c>
    </row>
    <row r="308" spans="1:13" ht="14.25" x14ac:dyDescent="0.2">
      <c r="A308" s="73"/>
      <c r="B308" s="73"/>
      <c r="C308" s="77"/>
      <c r="D308" s="130" t="s">
        <v>540</v>
      </c>
      <c r="E308" s="124"/>
      <c r="F308" s="124"/>
      <c r="G308" s="124"/>
      <c r="H308" s="124"/>
      <c r="I308" s="124"/>
      <c r="J308" s="58"/>
      <c r="K308" s="73"/>
      <c r="L308" s="56"/>
      <c r="M308" s="58"/>
    </row>
    <row r="309" spans="1:13" ht="14.25" x14ac:dyDescent="0.2">
      <c r="A309" s="73"/>
      <c r="B309" s="73"/>
      <c r="C309" s="77"/>
      <c r="D309" s="124" t="s">
        <v>568</v>
      </c>
      <c r="E309" s="124"/>
      <c r="F309" s="124"/>
      <c r="G309" s="124"/>
      <c r="H309" s="124"/>
      <c r="I309" s="124"/>
      <c r="J309" s="58"/>
      <c r="K309" s="73"/>
      <c r="L309" s="56"/>
      <c r="M309" s="58">
        <f>SUM(AR39:AR303)</f>
        <v>17602.239999999998</v>
      </c>
    </row>
    <row r="310" spans="1:13" ht="14.25" hidden="1" x14ac:dyDescent="0.2">
      <c r="A310" s="73"/>
      <c r="B310" s="73"/>
      <c r="C310" s="77"/>
      <c r="D310" s="124" t="s">
        <v>542</v>
      </c>
      <c r="E310" s="124"/>
      <c r="F310" s="124"/>
      <c r="G310" s="124"/>
      <c r="H310" s="124"/>
      <c r="I310" s="124"/>
      <c r="J310" s="58"/>
      <c r="K310" s="73"/>
      <c r="L310" s="56"/>
      <c r="M310" s="58">
        <f>M312+M315+M314</f>
        <v>113380.3</v>
      </c>
    </row>
    <row r="311" spans="1:13" ht="14.25" hidden="1" x14ac:dyDescent="0.2">
      <c r="A311" s="73"/>
      <c r="B311" s="73"/>
      <c r="C311" s="77"/>
      <c r="D311" s="130" t="s">
        <v>543</v>
      </c>
      <c r="E311" s="124"/>
      <c r="F311" s="124"/>
      <c r="G311" s="124"/>
      <c r="H311" s="124"/>
      <c r="I311" s="124"/>
      <c r="J311" s="58"/>
      <c r="K311" s="73"/>
      <c r="L311" s="56"/>
      <c r="M311" s="58"/>
    </row>
    <row r="312" spans="1:13" ht="14.25" x14ac:dyDescent="0.2">
      <c r="A312" s="73"/>
      <c r="B312" s="73"/>
      <c r="C312" s="77"/>
      <c r="D312" s="124" t="s">
        <v>542</v>
      </c>
      <c r="E312" s="124"/>
      <c r="F312" s="124"/>
      <c r="G312" s="124"/>
      <c r="H312" s="124"/>
      <c r="I312" s="124"/>
      <c r="J312" s="58"/>
      <c r="K312" s="73"/>
      <c r="L312" s="56"/>
      <c r="M312" s="58">
        <f>SUM(AO39:AO303)</f>
        <v>113263.77</v>
      </c>
    </row>
    <row r="313" spans="1:13" ht="14.25" hidden="1" x14ac:dyDescent="0.2">
      <c r="A313" s="73"/>
      <c r="B313" s="73"/>
      <c r="C313" s="77"/>
      <c r="D313" s="130" t="s">
        <v>544</v>
      </c>
      <c r="E313" s="124"/>
      <c r="F313" s="124"/>
      <c r="G313" s="124"/>
      <c r="H313" s="124"/>
      <c r="I313" s="124"/>
      <c r="J313" s="58"/>
      <c r="K313" s="73"/>
      <c r="L313" s="56"/>
      <c r="M313" s="58"/>
    </row>
    <row r="314" spans="1:13" ht="14.25" x14ac:dyDescent="0.2">
      <c r="A314" s="73"/>
      <c r="B314" s="73"/>
      <c r="C314" s="77"/>
      <c r="D314" s="124" t="s">
        <v>564</v>
      </c>
      <c r="E314" s="124"/>
      <c r="F314" s="124"/>
      <c r="G314" s="124"/>
      <c r="H314" s="124"/>
      <c r="I314" s="124"/>
      <c r="J314" s="58"/>
      <c r="K314" s="73"/>
      <c r="L314" s="56"/>
      <c r="M314" s="58">
        <f>SUM(AT39:AT303)</f>
        <v>116.52999999999999</v>
      </c>
    </row>
    <row r="315" spans="1:13" ht="14.25" hidden="1" x14ac:dyDescent="0.2">
      <c r="A315" s="73"/>
      <c r="B315" s="73"/>
      <c r="C315" s="77"/>
      <c r="D315" s="124" t="s">
        <v>545</v>
      </c>
      <c r="E315" s="124"/>
      <c r="F315" s="124"/>
      <c r="G315" s="124"/>
      <c r="H315" s="124"/>
      <c r="I315" s="124"/>
      <c r="J315" s="58"/>
      <c r="K315" s="73"/>
      <c r="L315" s="56"/>
      <c r="M315" s="58">
        <f>SUM(AV39:AV303)</f>
        <v>0</v>
      </c>
    </row>
    <row r="316" spans="1:13" ht="14.25" x14ac:dyDescent="0.2">
      <c r="A316" s="73"/>
      <c r="B316" s="73"/>
      <c r="C316" s="77"/>
      <c r="D316" s="124" t="s">
        <v>546</v>
      </c>
      <c r="E316" s="124"/>
      <c r="F316" s="124"/>
      <c r="G316" s="124"/>
      <c r="H316" s="124"/>
      <c r="I316" s="124"/>
      <c r="J316" s="58"/>
      <c r="K316" s="73"/>
      <c r="L316" s="56"/>
      <c r="M316" s="58">
        <f>M318+M319</f>
        <v>16188.800000000001</v>
      </c>
    </row>
    <row r="317" spans="1:13" ht="14.25" x14ac:dyDescent="0.2">
      <c r="A317" s="73"/>
      <c r="B317" s="73"/>
      <c r="C317" s="77"/>
      <c r="D317" s="130" t="s">
        <v>543</v>
      </c>
      <c r="E317" s="124"/>
      <c r="F317" s="124"/>
      <c r="G317" s="124"/>
      <c r="H317" s="124"/>
      <c r="I317" s="124"/>
      <c r="J317" s="58"/>
      <c r="K317" s="73"/>
      <c r="L317" s="56"/>
      <c r="M317" s="58"/>
    </row>
    <row r="318" spans="1:13" ht="14.25" x14ac:dyDescent="0.2">
      <c r="A318" s="73"/>
      <c r="B318" s="73"/>
      <c r="C318" s="77"/>
      <c r="D318" s="124" t="s">
        <v>547</v>
      </c>
      <c r="E318" s="124"/>
      <c r="F318" s="124"/>
      <c r="G318" s="124"/>
      <c r="H318" s="124"/>
      <c r="I318" s="124"/>
      <c r="J318" s="58"/>
      <c r="K318" s="73"/>
      <c r="L318" s="56"/>
      <c r="M318" s="58">
        <f>SUM(AW39:AW303)-SUM(BK39:BK303)</f>
        <v>16188.800000000001</v>
      </c>
    </row>
    <row r="319" spans="1:13" ht="14.25" hidden="1" x14ac:dyDescent="0.2">
      <c r="A319" s="73"/>
      <c r="B319" s="73"/>
      <c r="C319" s="77"/>
      <c r="D319" s="124" t="s">
        <v>548</v>
      </c>
      <c r="E319" s="124"/>
      <c r="F319" s="124"/>
      <c r="G319" s="124"/>
      <c r="H319" s="124"/>
      <c r="I319" s="124"/>
      <c r="J319" s="58"/>
      <c r="K319" s="73"/>
      <c r="L319" s="56"/>
      <c r="M319" s="58">
        <f>SUM(BC39:BC303)</f>
        <v>0</v>
      </c>
    </row>
    <row r="320" spans="1:13" ht="14.25" hidden="1" x14ac:dyDescent="0.2">
      <c r="A320" s="73"/>
      <c r="B320" s="73"/>
      <c r="C320" s="77"/>
      <c r="D320" s="124" t="s">
        <v>549</v>
      </c>
      <c r="E320" s="124"/>
      <c r="F320" s="124"/>
      <c r="G320" s="124"/>
      <c r="H320" s="124"/>
      <c r="I320" s="124"/>
      <c r="J320" s="58"/>
      <c r="K320" s="73"/>
      <c r="L320" s="56"/>
      <c r="M320" s="58">
        <f>SUM(BB39:BB303)</f>
        <v>0</v>
      </c>
    </row>
    <row r="321" spans="1:13" ht="14.25" x14ac:dyDescent="0.2">
      <c r="A321" s="73"/>
      <c r="B321" s="73"/>
      <c r="C321" s="77"/>
      <c r="D321" s="124" t="s">
        <v>550</v>
      </c>
      <c r="E321" s="124"/>
      <c r="F321" s="124"/>
      <c r="G321" s="124"/>
      <c r="H321" s="124"/>
      <c r="I321" s="124"/>
      <c r="J321" s="58"/>
      <c r="K321" s="73"/>
      <c r="L321" s="56"/>
      <c r="M321" s="58">
        <f>SUM(AR39:AR303)+SUM(AT39:AT303)+SUM(AV39:AV303)</f>
        <v>17718.769999999997</v>
      </c>
    </row>
    <row r="322" spans="1:13" ht="14.25" x14ac:dyDescent="0.2">
      <c r="A322" s="73"/>
      <c r="B322" s="73"/>
      <c r="C322" s="77"/>
      <c r="D322" s="124" t="s">
        <v>551</v>
      </c>
      <c r="E322" s="124"/>
      <c r="F322" s="124"/>
      <c r="G322" s="124"/>
      <c r="H322" s="124"/>
      <c r="I322" s="124"/>
      <c r="J322" s="58"/>
      <c r="K322" s="73"/>
      <c r="L322" s="56"/>
      <c r="M322" s="58">
        <f>SUM(AZ39:AZ303)</f>
        <v>17955.64</v>
      </c>
    </row>
    <row r="323" spans="1:13" ht="14.25" x14ac:dyDescent="0.2">
      <c r="A323" s="73"/>
      <c r="B323" s="73"/>
      <c r="C323" s="77"/>
      <c r="D323" s="124" t="s">
        <v>552</v>
      </c>
      <c r="E323" s="124"/>
      <c r="F323" s="124"/>
      <c r="G323" s="124"/>
      <c r="H323" s="124"/>
      <c r="I323" s="124"/>
      <c r="J323" s="58"/>
      <c r="K323" s="73"/>
      <c r="L323" s="56"/>
      <c r="M323" s="58">
        <f>SUM(BA39:BA303)</f>
        <v>9923.19</v>
      </c>
    </row>
    <row r="324" spans="1:13" ht="14.25" hidden="1" x14ac:dyDescent="0.2">
      <c r="A324" s="73"/>
      <c r="B324" s="73"/>
      <c r="C324" s="77"/>
      <c r="D324" s="124" t="s">
        <v>580</v>
      </c>
      <c r="E324" s="124"/>
      <c r="F324" s="124"/>
      <c r="G324" s="124"/>
      <c r="H324" s="124"/>
      <c r="I324" s="124"/>
      <c r="J324" s="58"/>
      <c r="K324" s="73"/>
      <c r="L324" s="56"/>
      <c r="M324" s="58">
        <f>M326+M327</f>
        <v>0</v>
      </c>
    </row>
    <row r="325" spans="1:13" ht="14.25" hidden="1" x14ac:dyDescent="0.2">
      <c r="A325" s="73"/>
      <c r="B325" s="73"/>
      <c r="C325" s="77"/>
      <c r="D325" s="130" t="s">
        <v>540</v>
      </c>
      <c r="E325" s="124"/>
      <c r="F325" s="124"/>
      <c r="G325" s="124"/>
      <c r="H325" s="124"/>
      <c r="I325" s="124"/>
      <c r="J325" s="58"/>
      <c r="K325" s="73"/>
      <c r="L325" s="56"/>
      <c r="M325" s="58"/>
    </row>
    <row r="326" spans="1:13" ht="14.25" hidden="1" x14ac:dyDescent="0.2">
      <c r="A326" s="73"/>
      <c r="B326" s="73"/>
      <c r="C326" s="77"/>
      <c r="D326" s="124" t="s">
        <v>554</v>
      </c>
      <c r="E326" s="124"/>
      <c r="F326" s="124"/>
      <c r="G326" s="124"/>
      <c r="H326" s="124"/>
      <c r="I326" s="124"/>
      <c r="J326" s="58"/>
      <c r="K326" s="73"/>
      <c r="L326" s="56"/>
      <c r="M326" s="58">
        <f>SUM(BK39:BK303)</f>
        <v>0</v>
      </c>
    </row>
    <row r="327" spans="1:13" ht="14.25" hidden="1" x14ac:dyDescent="0.2">
      <c r="A327" s="73"/>
      <c r="B327" s="73"/>
      <c r="C327" s="77"/>
      <c r="D327" s="124" t="s">
        <v>555</v>
      </c>
      <c r="E327" s="124"/>
      <c r="F327" s="124"/>
      <c r="G327" s="124"/>
      <c r="H327" s="124"/>
      <c r="I327" s="124"/>
      <c r="J327" s="58"/>
      <c r="K327" s="73"/>
      <c r="L327" s="56"/>
      <c r="M327" s="58">
        <f>SUM(BD39:BD303)</f>
        <v>0</v>
      </c>
    </row>
    <row r="328" spans="1:13" ht="14.25" hidden="1" x14ac:dyDescent="0.2">
      <c r="A328" s="73"/>
      <c r="B328" s="73"/>
      <c r="C328" s="77"/>
      <c r="D328" s="124" t="s">
        <v>581</v>
      </c>
      <c r="E328" s="124"/>
      <c r="F328" s="124"/>
      <c r="G328" s="124"/>
      <c r="H328" s="124"/>
      <c r="I328" s="124"/>
      <c r="J328" s="58"/>
      <c r="K328" s="73"/>
      <c r="L328" s="56"/>
      <c r="M328" s="58">
        <f>M279</f>
        <v>0</v>
      </c>
    </row>
    <row r="329" spans="1:13" ht="14.25" x14ac:dyDescent="0.2">
      <c r="A329" s="73"/>
      <c r="B329" s="73"/>
      <c r="C329" s="77"/>
      <c r="D329" s="129" t="s">
        <v>559</v>
      </c>
      <c r="E329" s="124"/>
      <c r="F329" s="124"/>
      <c r="G329" s="124"/>
      <c r="H329" s="124"/>
      <c r="I329" s="124"/>
      <c r="J329" s="58"/>
      <c r="K329" s="73"/>
      <c r="L329" s="56"/>
      <c r="M329" s="58"/>
    </row>
    <row r="330" spans="1:13" ht="14.25" x14ac:dyDescent="0.2">
      <c r="A330" s="73"/>
      <c r="B330" s="73"/>
      <c r="C330" s="77"/>
      <c r="D330" s="124" t="s">
        <v>560</v>
      </c>
      <c r="E330" s="124"/>
      <c r="F330" s="124"/>
      <c r="G330" s="124"/>
      <c r="H330" s="124"/>
      <c r="I330" s="124"/>
      <c r="J330" s="58"/>
      <c r="K330" s="73"/>
      <c r="L330" s="56"/>
      <c r="M330" s="58">
        <f>SUM(AX39:AX303)</f>
        <v>14476.16</v>
      </c>
    </row>
    <row r="331" spans="1:13" ht="14.25" hidden="1" x14ac:dyDescent="0.2">
      <c r="A331" s="73"/>
      <c r="B331" s="73"/>
      <c r="C331" s="77"/>
      <c r="D331" s="124" t="s">
        <v>561</v>
      </c>
      <c r="E331" s="124"/>
      <c r="F331" s="124"/>
      <c r="G331" s="124"/>
      <c r="H331" s="124"/>
      <c r="I331" s="124"/>
      <c r="J331" s="58"/>
      <c r="K331" s="73"/>
      <c r="L331" s="56"/>
      <c r="M331" s="58">
        <f>SUM(AY39:AY303)</f>
        <v>0</v>
      </c>
    </row>
    <row r="332" spans="1:13" ht="14.25" x14ac:dyDescent="0.2">
      <c r="A332" s="73"/>
      <c r="B332" s="73"/>
      <c r="C332" s="77"/>
      <c r="D332" s="124" t="s">
        <v>562</v>
      </c>
      <c r="E332" s="124"/>
      <c r="F332" s="124"/>
      <c r="G332" s="125"/>
      <c r="H332" s="63">
        <f>Source!F99</f>
        <v>27.805955000000001</v>
      </c>
      <c r="I332" s="73"/>
      <c r="J332" s="73"/>
      <c r="K332" s="73"/>
      <c r="L332" s="73"/>
      <c r="M332" s="73"/>
    </row>
    <row r="333" spans="1:13" ht="14.25" x14ac:dyDescent="0.2">
      <c r="A333" s="73"/>
      <c r="B333" s="73"/>
      <c r="C333" s="77"/>
      <c r="D333" s="124" t="s">
        <v>563</v>
      </c>
      <c r="E333" s="124"/>
      <c r="F333" s="124"/>
      <c r="G333" s="125"/>
      <c r="H333" s="63">
        <f>Source!F100</f>
        <v>0.16423979999999999</v>
      </c>
      <c r="I333" s="73"/>
      <c r="J333" s="73"/>
      <c r="K333" s="73"/>
      <c r="L333" s="73"/>
      <c r="M333" s="73"/>
    </row>
    <row r="335" spans="1:13" ht="14.25" x14ac:dyDescent="0.2">
      <c r="D335" s="126" t="str">
        <f>Source!H106</f>
        <v>Итого</v>
      </c>
      <c r="E335" s="126"/>
      <c r="F335" s="126"/>
      <c r="G335" s="126"/>
      <c r="H335" s="126"/>
      <c r="I335" s="126"/>
      <c r="J335" s="126"/>
      <c r="K335" s="126"/>
      <c r="L335" s="126"/>
      <c r="M335" s="71">
        <f>IF(Source!Y106=0, "", Source!Y106)</f>
        <v>175050.17</v>
      </c>
    </row>
    <row r="336" spans="1:13" ht="14.25" x14ac:dyDescent="0.2">
      <c r="D336" s="127" t="s">
        <v>627</v>
      </c>
      <c r="E336" s="127"/>
      <c r="F336" s="127"/>
      <c r="G336" s="127"/>
      <c r="H336" s="127"/>
      <c r="I336" s="127"/>
      <c r="J336" s="127"/>
      <c r="K336" s="127"/>
      <c r="L336" s="127"/>
      <c r="M336" s="71">
        <f>(M241+M245)*0.22</f>
        <v>28479.565400000003</v>
      </c>
    </row>
    <row r="337" spans="1:13" ht="14.25" x14ac:dyDescent="0.2">
      <c r="D337" s="126" t="str">
        <f>Source!H108</f>
        <v>Всего</v>
      </c>
      <c r="E337" s="126"/>
      <c r="F337" s="126"/>
      <c r="G337" s="126"/>
      <c r="H337" s="126"/>
      <c r="I337" s="126"/>
      <c r="J337" s="126"/>
      <c r="K337" s="126"/>
      <c r="L337" s="126"/>
      <c r="M337" s="71">
        <f>M335+M336</f>
        <v>203529.73540000001</v>
      </c>
    </row>
    <row r="340" spans="1:13" ht="14.25" customHeight="1" x14ac:dyDescent="0.2">
      <c r="A340" s="119"/>
      <c r="B340" s="24"/>
      <c r="C340" s="16" t="s">
        <v>625</v>
      </c>
      <c r="D340" s="118" t="str">
        <f>IF(Source!AM12&lt;&gt;"", Source!AM12," ")</f>
        <v xml:space="preserve"> </v>
      </c>
      <c r="E340" s="120"/>
      <c r="F340" s="120"/>
      <c r="G340" s="120"/>
      <c r="H340" s="120"/>
      <c r="I340" s="117" t="str">
        <f>IF(Source!AL12&lt;&gt;"", Source!AL12," ")</f>
        <v xml:space="preserve"> </v>
      </c>
      <c r="J340" s="2"/>
      <c r="K340" s="2"/>
      <c r="L340" s="2"/>
      <c r="M340" s="2"/>
    </row>
    <row r="341" spans="1:13" ht="14.25" customHeight="1" x14ac:dyDescent="0.2">
      <c r="A341" s="38"/>
      <c r="B341" s="24"/>
      <c r="C341" s="103"/>
      <c r="D341" s="191" t="s">
        <v>444</v>
      </c>
      <c r="E341" s="191"/>
      <c r="F341" s="191"/>
      <c r="G341" s="191"/>
      <c r="H341" s="191"/>
      <c r="I341" s="26"/>
      <c r="J341" s="2"/>
      <c r="K341" s="2"/>
      <c r="L341" s="2"/>
      <c r="M341" s="2"/>
    </row>
    <row r="342" spans="1:13" ht="12.75" customHeight="1" x14ac:dyDescent="0.2">
      <c r="A342" s="38"/>
      <c r="B342" s="24"/>
      <c r="C342" s="121"/>
      <c r="D342" s="38"/>
      <c r="E342" s="38"/>
      <c r="F342" s="38"/>
      <c r="G342" s="38"/>
      <c r="H342" s="38"/>
      <c r="I342" s="38"/>
      <c r="J342" s="2"/>
      <c r="K342" s="2"/>
      <c r="L342" s="2"/>
      <c r="M342" s="2"/>
    </row>
    <row r="343" spans="1:13" ht="14.25" customHeight="1" x14ac:dyDescent="0.2">
      <c r="A343" s="38"/>
      <c r="B343" s="24"/>
      <c r="C343" s="16" t="s">
        <v>626</v>
      </c>
      <c r="D343" s="118" t="str">
        <f>IF(Source!AI12&lt;&gt;"", Source!AI12," ")</f>
        <v xml:space="preserve"> </v>
      </c>
      <c r="E343" s="120"/>
      <c r="F343" s="120"/>
      <c r="G343" s="120"/>
      <c r="H343" s="120"/>
      <c r="I343" s="122" t="str">
        <f>IF(Source!AH12&lt;&gt;"", Source!AH12," ")</f>
        <v xml:space="preserve"> </v>
      </c>
      <c r="J343" s="2"/>
      <c r="K343" s="2"/>
      <c r="L343" s="2"/>
      <c r="M343" s="2"/>
    </row>
    <row r="344" spans="1:13" ht="14.25" customHeight="1" x14ac:dyDescent="0.2">
      <c r="A344" s="38"/>
      <c r="B344" s="26"/>
      <c r="C344" s="26"/>
      <c r="D344" s="191" t="s">
        <v>444</v>
      </c>
      <c r="E344" s="191"/>
      <c r="F344" s="191"/>
      <c r="G344" s="191"/>
      <c r="H344" s="191"/>
      <c r="I344" s="26"/>
      <c r="J344" s="2"/>
      <c r="K344" s="2"/>
      <c r="L344" s="2"/>
      <c r="M344" s="2"/>
    </row>
  </sheetData>
  <mergeCells count="251">
    <mergeCell ref="A9:B9"/>
    <mergeCell ref="C9:I9"/>
    <mergeCell ref="C10:I10"/>
    <mergeCell ref="K10:M11"/>
    <mergeCell ref="A11:B11"/>
    <mergeCell ref="C11:I11"/>
    <mergeCell ref="J2:M2"/>
    <mergeCell ref="I3:M3"/>
    <mergeCell ref="J4:M4"/>
    <mergeCell ref="K6:M6"/>
    <mergeCell ref="K7:M7"/>
    <mergeCell ref="K8:M9"/>
    <mergeCell ref="A17:B17"/>
    <mergeCell ref="C17:I17"/>
    <mergeCell ref="C18:I18"/>
    <mergeCell ref="H19:J19"/>
    <mergeCell ref="K19:M19"/>
    <mergeCell ref="C12:I12"/>
    <mergeCell ref="K12:M13"/>
    <mergeCell ref="A13:B13"/>
    <mergeCell ref="C13:I13"/>
    <mergeCell ref="C14:I14"/>
    <mergeCell ref="K14:M15"/>
    <mergeCell ref="A15:B15"/>
    <mergeCell ref="C15:I15"/>
    <mergeCell ref="H20:I20"/>
    <mergeCell ref="K20:M20"/>
    <mergeCell ref="K21:M21"/>
    <mergeCell ref="K22:M22"/>
    <mergeCell ref="G24:G25"/>
    <mergeCell ref="H24:H25"/>
    <mergeCell ref="I24:J24"/>
    <mergeCell ref="C16:I16"/>
    <mergeCell ref="K16:M17"/>
    <mergeCell ref="A28:M28"/>
    <mergeCell ref="A29:M29"/>
    <mergeCell ref="A31:M31"/>
    <mergeCell ref="A32:B32"/>
    <mergeCell ref="C32:C36"/>
    <mergeCell ref="D32:D36"/>
    <mergeCell ref="E32:E36"/>
    <mergeCell ref="F32:H35"/>
    <mergeCell ref="I32:M35"/>
    <mergeCell ref="A33:A36"/>
    <mergeCell ref="D57:I57"/>
    <mergeCell ref="J57:K57"/>
    <mergeCell ref="L57:M57"/>
    <mergeCell ref="D59:M59"/>
    <mergeCell ref="D60:M60"/>
    <mergeCell ref="D61:G61"/>
    <mergeCell ref="B33:B36"/>
    <mergeCell ref="A39:M39"/>
    <mergeCell ref="A41:M41"/>
    <mergeCell ref="D43:M43"/>
    <mergeCell ref="D44:M44"/>
    <mergeCell ref="D45:G45"/>
    <mergeCell ref="D83:I83"/>
    <mergeCell ref="J83:K83"/>
    <mergeCell ref="L83:M83"/>
    <mergeCell ref="D85:M85"/>
    <mergeCell ref="D86:M86"/>
    <mergeCell ref="D87:G87"/>
    <mergeCell ref="D68:I68"/>
    <mergeCell ref="J68:K68"/>
    <mergeCell ref="L68:M68"/>
    <mergeCell ref="D70:M70"/>
    <mergeCell ref="D71:M71"/>
    <mergeCell ref="D72:G72"/>
    <mergeCell ref="D120:I120"/>
    <mergeCell ref="J120:K120"/>
    <mergeCell ref="L120:M120"/>
    <mergeCell ref="D122:M122"/>
    <mergeCell ref="D123:M123"/>
    <mergeCell ref="D124:M124"/>
    <mergeCell ref="D104:I104"/>
    <mergeCell ref="J104:K104"/>
    <mergeCell ref="L104:M104"/>
    <mergeCell ref="D106:M106"/>
    <mergeCell ref="D107:M107"/>
    <mergeCell ref="D108:G108"/>
    <mergeCell ref="D138:M138"/>
    <mergeCell ref="D139:M139"/>
    <mergeCell ref="D140:M140"/>
    <mergeCell ref="D141:G141"/>
    <mergeCell ref="D159:I159"/>
    <mergeCell ref="J159:K159"/>
    <mergeCell ref="L159:M159"/>
    <mergeCell ref="D125:G125"/>
    <mergeCell ref="D134:I134"/>
    <mergeCell ref="J134:K134"/>
    <mergeCell ref="L134:M134"/>
    <mergeCell ref="D136:I136"/>
    <mergeCell ref="J136:K136"/>
    <mergeCell ref="L136:M136"/>
    <mergeCell ref="D175:I175"/>
    <mergeCell ref="J175:K175"/>
    <mergeCell ref="L175:M175"/>
    <mergeCell ref="D177:M177"/>
    <mergeCell ref="D178:M178"/>
    <mergeCell ref="D179:G179"/>
    <mergeCell ref="D161:M161"/>
    <mergeCell ref="D162:M162"/>
    <mergeCell ref="D163:M163"/>
    <mergeCell ref="D164:G164"/>
    <mergeCell ref="D173:I173"/>
    <mergeCell ref="J173:K173"/>
    <mergeCell ref="L173:M173"/>
    <mergeCell ref="D195:M195"/>
    <mergeCell ref="D196:M196"/>
    <mergeCell ref="D197:G197"/>
    <mergeCell ref="D198:I198"/>
    <mergeCell ref="J198:K198"/>
    <mergeCell ref="L198:M198"/>
    <mergeCell ref="D190:I190"/>
    <mergeCell ref="J190:K190"/>
    <mergeCell ref="L190:M190"/>
    <mergeCell ref="D193:I193"/>
    <mergeCell ref="J193:K193"/>
    <mergeCell ref="L193:M193"/>
    <mergeCell ref="D206:I206"/>
    <mergeCell ref="D207:I207"/>
    <mergeCell ref="D208:I208"/>
    <mergeCell ref="D209:I209"/>
    <mergeCell ref="D210:I210"/>
    <mergeCell ref="D211:I211"/>
    <mergeCell ref="D200:I200"/>
    <mergeCell ref="D201:I201"/>
    <mergeCell ref="D202:I202"/>
    <mergeCell ref="D203:I203"/>
    <mergeCell ref="D204:I204"/>
    <mergeCell ref="D205:I205"/>
    <mergeCell ref="D218:I218"/>
    <mergeCell ref="D219:I219"/>
    <mergeCell ref="D220:I220"/>
    <mergeCell ref="D221:I221"/>
    <mergeCell ref="D222:I222"/>
    <mergeCell ref="D223:I223"/>
    <mergeCell ref="D212:I212"/>
    <mergeCell ref="D213:I213"/>
    <mergeCell ref="D214:I214"/>
    <mergeCell ref="D215:I215"/>
    <mergeCell ref="D216:I216"/>
    <mergeCell ref="D217:I217"/>
    <mergeCell ref="D232:I232"/>
    <mergeCell ref="D234:I234"/>
    <mergeCell ref="D235:I235"/>
    <mergeCell ref="D236:I236"/>
    <mergeCell ref="D237:I237"/>
    <mergeCell ref="D238:I238"/>
    <mergeCell ref="D224:I224"/>
    <mergeCell ref="D225:I225"/>
    <mergeCell ref="D226:I226"/>
    <mergeCell ref="D227:I227"/>
    <mergeCell ref="D228:G228"/>
    <mergeCell ref="D229:G229"/>
    <mergeCell ref="D245:I245"/>
    <mergeCell ref="D246:I246"/>
    <mergeCell ref="D247:I247"/>
    <mergeCell ref="D248:I248"/>
    <mergeCell ref="D249:I249"/>
    <mergeCell ref="D250:I250"/>
    <mergeCell ref="D239:I239"/>
    <mergeCell ref="D240:I240"/>
    <mergeCell ref="D241:I241"/>
    <mergeCell ref="D242:I242"/>
    <mergeCell ref="D243:I243"/>
    <mergeCell ref="D244:I244"/>
    <mergeCell ref="D258:I258"/>
    <mergeCell ref="D259:I259"/>
    <mergeCell ref="D260:I260"/>
    <mergeCell ref="D261:I261"/>
    <mergeCell ref="D262:I262"/>
    <mergeCell ref="D263:I263"/>
    <mergeCell ref="D251:I251"/>
    <mergeCell ref="D252:I252"/>
    <mergeCell ref="D254:I254"/>
    <mergeCell ref="D255:I255"/>
    <mergeCell ref="D256:I256"/>
    <mergeCell ref="D257:I257"/>
    <mergeCell ref="D270:I270"/>
    <mergeCell ref="D271:I271"/>
    <mergeCell ref="D272:I272"/>
    <mergeCell ref="D274:I274"/>
    <mergeCell ref="D275:I275"/>
    <mergeCell ref="D276:I276"/>
    <mergeCell ref="D264:I264"/>
    <mergeCell ref="D265:I265"/>
    <mergeCell ref="D266:I266"/>
    <mergeCell ref="D267:I267"/>
    <mergeCell ref="D268:I268"/>
    <mergeCell ref="D269:I269"/>
    <mergeCell ref="D284:I284"/>
    <mergeCell ref="D285:I285"/>
    <mergeCell ref="D286:I286"/>
    <mergeCell ref="D287:I287"/>
    <mergeCell ref="D288:I288"/>
    <mergeCell ref="D289:I289"/>
    <mergeCell ref="D277:I277"/>
    <mergeCell ref="D279:I279"/>
    <mergeCell ref="D280:I280"/>
    <mergeCell ref="D281:I281"/>
    <mergeCell ref="D282:I282"/>
    <mergeCell ref="D283:I283"/>
    <mergeCell ref="D296:I296"/>
    <mergeCell ref="D297:I297"/>
    <mergeCell ref="D298:I298"/>
    <mergeCell ref="D299:I299"/>
    <mergeCell ref="D300:I300"/>
    <mergeCell ref="D301:I301"/>
    <mergeCell ref="D290:I290"/>
    <mergeCell ref="D291:I291"/>
    <mergeCell ref="D292:I292"/>
    <mergeCell ref="D293:I293"/>
    <mergeCell ref="D294:I294"/>
    <mergeCell ref="D295:I295"/>
    <mergeCell ref="D309:I309"/>
    <mergeCell ref="D310:I310"/>
    <mergeCell ref="D311:I311"/>
    <mergeCell ref="D312:I312"/>
    <mergeCell ref="D313:I313"/>
    <mergeCell ref="D314:I314"/>
    <mergeCell ref="D302:I302"/>
    <mergeCell ref="D303:I303"/>
    <mergeCell ref="D305:I305"/>
    <mergeCell ref="D306:I306"/>
    <mergeCell ref="D307:I307"/>
    <mergeCell ref="D308:I308"/>
    <mergeCell ref="D321:I321"/>
    <mergeCell ref="D322:I322"/>
    <mergeCell ref="D323:I323"/>
    <mergeCell ref="D324:I324"/>
    <mergeCell ref="D325:I325"/>
    <mergeCell ref="D326:I326"/>
    <mergeCell ref="D315:I315"/>
    <mergeCell ref="D316:I316"/>
    <mergeCell ref="D317:I317"/>
    <mergeCell ref="D318:I318"/>
    <mergeCell ref="D319:I319"/>
    <mergeCell ref="D320:I320"/>
    <mergeCell ref="D333:G333"/>
    <mergeCell ref="D335:L335"/>
    <mergeCell ref="D336:L336"/>
    <mergeCell ref="D337:L337"/>
    <mergeCell ref="D341:H341"/>
    <mergeCell ref="D344:H344"/>
    <mergeCell ref="D327:I327"/>
    <mergeCell ref="D328:I328"/>
    <mergeCell ref="D329:I329"/>
    <mergeCell ref="D330:I330"/>
    <mergeCell ref="D331:I331"/>
    <mergeCell ref="D332:G332"/>
  </mergeCells>
  <pageMargins left="0.4" right="0.2" top="0.2" bottom="0.4" header="0.2" footer="0.2"/>
  <pageSetup paperSize="9" scale="47" fitToHeight="0" orientation="portrait" r:id="rId1"/>
  <headerFooter>
    <oddHeader>&amp;L&amp;8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004E-656D-4066-8BE6-2CEEFA18C311}">
  <sheetPr>
    <pageSetUpPr fitToPage="1"/>
  </sheetPr>
  <dimension ref="A1:AB39"/>
  <sheetViews>
    <sheetView zoomScale="70" zoomScaleNormal="70" workbookViewId="0">
      <selection activeCell="N21" sqref="N21"/>
    </sheetView>
  </sheetViews>
  <sheetFormatPr defaultRowHeight="12.75" x14ac:dyDescent="0.2"/>
  <cols>
    <col min="1" max="1" width="6.7109375" customWidth="1"/>
    <col min="2" max="2" width="25.7109375" customWidth="1"/>
    <col min="3" max="4" width="35.7109375" customWidth="1"/>
    <col min="5" max="9" width="15.7109375" customWidth="1"/>
    <col min="10" max="13" width="10.7109375" customWidth="1"/>
    <col min="14" max="14" width="25.7109375" customWidth="1"/>
    <col min="15" max="16" width="10.7109375" customWidth="1"/>
    <col min="17" max="19" width="15.7109375" customWidth="1"/>
    <col min="20" max="20" width="20.7109375" customWidth="1"/>
    <col min="21" max="23" width="15.7109375" customWidth="1"/>
    <col min="24" max="25" width="20.7109375" customWidth="1"/>
    <col min="26" max="28" width="15.7109375" customWidth="1"/>
  </cols>
  <sheetData>
    <row r="1" spans="1:28" ht="12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0.25" customHeight="1" x14ac:dyDescent="0.2">
      <c r="A2" s="161" t="s">
        <v>411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3"/>
      <c r="AB2" s="3"/>
    </row>
    <row r="3" spans="1:28" ht="12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A4" s="162" t="s">
        <v>441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4"/>
      <c r="AB4" s="4"/>
    </row>
    <row r="5" spans="1:28" ht="12.75" customHeight="1" x14ac:dyDescent="0.2">
      <c r="A5" s="163" t="s">
        <v>412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5"/>
      <c r="AB5" s="5"/>
    </row>
    <row r="6" spans="1:28" ht="12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5" customHeight="1" x14ac:dyDescent="0.2">
      <c r="A8" s="183" t="s">
        <v>413</v>
      </c>
      <c r="B8" s="183" t="s">
        <v>414</v>
      </c>
      <c r="C8" s="183" t="s">
        <v>415</v>
      </c>
      <c r="D8" s="183" t="s">
        <v>416</v>
      </c>
      <c r="E8" s="183" t="s">
        <v>417</v>
      </c>
      <c r="F8" s="183" t="s">
        <v>418</v>
      </c>
      <c r="G8" s="183" t="s">
        <v>419</v>
      </c>
      <c r="H8" s="183" t="s">
        <v>420</v>
      </c>
      <c r="I8" s="183" t="s">
        <v>421</v>
      </c>
      <c r="J8" s="167" t="s">
        <v>422</v>
      </c>
      <c r="K8" s="227"/>
      <c r="L8" s="167" t="s">
        <v>423</v>
      </c>
      <c r="M8" s="227"/>
      <c r="N8" s="173" t="s">
        <v>424</v>
      </c>
      <c r="O8" s="174"/>
      <c r="P8" s="230"/>
      <c r="Q8" s="233" t="s">
        <v>425</v>
      </c>
      <c r="R8" s="183" t="s">
        <v>426</v>
      </c>
      <c r="S8" s="183" t="s">
        <v>427</v>
      </c>
      <c r="T8" s="183" t="s">
        <v>428</v>
      </c>
      <c r="U8" s="183" t="s">
        <v>429</v>
      </c>
      <c r="V8" s="183" t="s">
        <v>430</v>
      </c>
      <c r="W8" s="183" t="s">
        <v>431</v>
      </c>
      <c r="X8" s="183" t="s">
        <v>432</v>
      </c>
      <c r="Y8" s="183" t="s">
        <v>433</v>
      </c>
      <c r="Z8" s="183" t="s">
        <v>434</v>
      </c>
      <c r="AA8" s="183" t="s">
        <v>435</v>
      </c>
      <c r="AB8" s="183" t="s">
        <v>436</v>
      </c>
    </row>
    <row r="9" spans="1:28" ht="15" customHeight="1" x14ac:dyDescent="0.2">
      <c r="A9" s="184"/>
      <c r="B9" s="184"/>
      <c r="C9" s="184"/>
      <c r="D9" s="184"/>
      <c r="E9" s="184"/>
      <c r="F9" s="184"/>
      <c r="G9" s="184"/>
      <c r="H9" s="184"/>
      <c r="I9" s="184"/>
      <c r="J9" s="169"/>
      <c r="K9" s="228"/>
      <c r="L9" s="169"/>
      <c r="M9" s="228"/>
      <c r="N9" s="169"/>
      <c r="O9" s="176"/>
      <c r="P9" s="231"/>
      <c r="Q9" s="23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</row>
    <row r="10" spans="1:28" ht="15" customHeight="1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69"/>
      <c r="K10" s="228"/>
      <c r="L10" s="169"/>
      <c r="M10" s="228"/>
      <c r="N10" s="169"/>
      <c r="O10" s="176"/>
      <c r="P10" s="231"/>
      <c r="Q10" s="23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</row>
    <row r="11" spans="1:28" ht="15" customHeight="1" x14ac:dyDescent="0.2">
      <c r="A11" s="184"/>
      <c r="B11" s="184"/>
      <c r="C11" s="184"/>
      <c r="D11" s="184"/>
      <c r="E11" s="184"/>
      <c r="F11" s="184"/>
      <c r="G11" s="184"/>
      <c r="H11" s="184"/>
      <c r="I11" s="184"/>
      <c r="J11" s="169"/>
      <c r="K11" s="228"/>
      <c r="L11" s="169"/>
      <c r="M11" s="228"/>
      <c r="N11" s="169"/>
      <c r="O11" s="176"/>
      <c r="P11" s="231"/>
      <c r="Q11" s="23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</row>
    <row r="12" spans="1:28" ht="15" customHeight="1" x14ac:dyDescent="0.2">
      <c r="A12" s="184"/>
      <c r="B12" s="184"/>
      <c r="C12" s="184"/>
      <c r="D12" s="184"/>
      <c r="E12" s="184"/>
      <c r="F12" s="184"/>
      <c r="G12" s="184"/>
      <c r="H12" s="184"/>
      <c r="I12" s="184"/>
      <c r="J12" s="169"/>
      <c r="K12" s="228"/>
      <c r="L12" s="169"/>
      <c r="M12" s="228"/>
      <c r="N12" s="169"/>
      <c r="O12" s="176"/>
      <c r="P12" s="231"/>
      <c r="Q12" s="23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</row>
    <row r="13" spans="1:28" ht="15" customHeight="1" x14ac:dyDescent="0.2">
      <c r="A13" s="184"/>
      <c r="B13" s="184"/>
      <c r="C13" s="184"/>
      <c r="D13" s="184"/>
      <c r="E13" s="184"/>
      <c r="F13" s="184"/>
      <c r="G13" s="184"/>
      <c r="H13" s="184"/>
      <c r="I13" s="184"/>
      <c r="J13" s="171"/>
      <c r="K13" s="229"/>
      <c r="L13" s="171"/>
      <c r="M13" s="229"/>
      <c r="N13" s="171"/>
      <c r="O13" s="178"/>
      <c r="P13" s="232"/>
      <c r="Q13" s="23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</row>
    <row r="14" spans="1:28" ht="15" customHeight="1" x14ac:dyDescent="0.2">
      <c r="A14" s="184"/>
      <c r="B14" s="184"/>
      <c r="C14" s="184"/>
      <c r="D14" s="184"/>
      <c r="E14" s="184"/>
      <c r="F14" s="184"/>
      <c r="G14" s="184"/>
      <c r="H14" s="184"/>
      <c r="I14" s="184"/>
      <c r="J14" s="183" t="s">
        <v>437</v>
      </c>
      <c r="K14" s="183" t="s">
        <v>438</v>
      </c>
      <c r="L14" s="183" t="s">
        <v>437</v>
      </c>
      <c r="M14" s="183" t="s">
        <v>439</v>
      </c>
      <c r="N14" s="183" t="s">
        <v>440</v>
      </c>
      <c r="O14" s="183" t="s">
        <v>437</v>
      </c>
      <c r="P14" s="236" t="s">
        <v>439</v>
      </c>
      <c r="Q14" s="23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</row>
    <row r="15" spans="1:28" ht="15" customHeight="1" x14ac:dyDescent="0.2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237"/>
      <c r="Q15" s="23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</row>
    <row r="16" spans="1:28" ht="15" customHeight="1" x14ac:dyDescent="0.2">
      <c r="A16" s="184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237"/>
      <c r="Q16" s="23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</row>
    <row r="17" spans="1:28" ht="15" customHeight="1" x14ac:dyDescent="0.2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237"/>
      <c r="Q17" s="23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</row>
    <row r="18" spans="1:28" ht="15" customHeight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238"/>
      <c r="Q18" s="23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</row>
    <row r="19" spans="1:28" ht="15" customHeight="1" x14ac:dyDescent="0.2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7">
        <v>11</v>
      </c>
      <c r="L19" s="7">
        <v>12</v>
      </c>
      <c r="M19" s="7">
        <v>13</v>
      </c>
      <c r="N19" s="7">
        <v>14</v>
      </c>
      <c r="O19" s="7">
        <v>15</v>
      </c>
      <c r="P19" s="7">
        <v>16</v>
      </c>
      <c r="Q19" s="7">
        <v>17</v>
      </c>
      <c r="R19" s="7">
        <v>18</v>
      </c>
      <c r="S19" s="7">
        <v>19</v>
      </c>
      <c r="T19" s="7">
        <v>20</v>
      </c>
      <c r="U19" s="7">
        <v>21</v>
      </c>
      <c r="V19" s="7">
        <v>22</v>
      </c>
      <c r="W19" s="7">
        <v>23</v>
      </c>
      <c r="X19" s="7">
        <v>24</v>
      </c>
      <c r="Y19" s="7">
        <v>25</v>
      </c>
      <c r="Z19" s="7">
        <v>26</v>
      </c>
      <c r="AA19" s="7">
        <v>27</v>
      </c>
      <c r="AB19" s="7">
        <v>28</v>
      </c>
    </row>
    <row r="20" spans="1:28" ht="16.5" x14ac:dyDescent="0.2">
      <c r="A20" s="186" t="str">
        <f>SrcKA!E14</f>
        <v>Конъюнктурный анализ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</row>
    <row r="21" spans="1:28" ht="199.5" x14ac:dyDescent="0.2">
      <c r="A21" s="8" t="s">
        <v>357</v>
      </c>
      <c r="B21" s="9" t="str">
        <f>SrcKA!D15</f>
        <v>ТЦ_01.8.01.06_77_7722753969 _08.06.2026_01_1.1</v>
      </c>
      <c r="C21" s="9" t="str">
        <f>IF((SrcKA!AI15&lt;&gt;""), SrcKA!AI15,"")</f>
        <v>Сетка фасадная защитная 80 гр/м2</v>
      </c>
      <c r="D21" s="9" t="str">
        <f>IF((SrcKA!E15&lt;&gt;""), SrcKA!E15,"")</f>
        <v>Сетка фасадная защитная 80 гр/м2</v>
      </c>
      <c r="E21" s="10" t="str">
        <f>IF((SrcKA!AH15&lt;&gt;""), SrcKA!AH15,"")</f>
        <v>м2</v>
      </c>
      <c r="F21" s="10" t="str">
        <f>IF((SrcKA!G15&lt;&gt;""), SrcKA!G15,"")</f>
        <v>м2</v>
      </c>
      <c r="G21" s="11">
        <f>IF((SrcKA!I15&lt;&gt;""), SrcKA!I15,"")</f>
        <v>56.44</v>
      </c>
      <c r="H21" s="11">
        <f>IF((SrcKA!H15&lt;&gt;""), SrcKA!H15,"")</f>
        <v>46.26</v>
      </c>
      <c r="I21" s="11">
        <f>IF((SrcKA!AC15&lt;&gt;""), SrcKA!AC15,"")</f>
        <v>46.26</v>
      </c>
      <c r="J21" s="11">
        <f>IF((SrcKA!AA15&lt;&gt;""), SrcKA!AA15,"")</f>
        <v>0</v>
      </c>
      <c r="K21" s="11">
        <f>IF((SrcKA!J15&lt;&gt;""), SrcKA!J15,"")</f>
        <v>0</v>
      </c>
      <c r="L21" s="11">
        <f>IF((SrcKA!U15&lt;&gt;""), SrcKA!U15,"")</f>
        <v>2</v>
      </c>
      <c r="M21" s="11">
        <f>IF((SrcKA!V15&lt;&gt;""), SrcKA!V15,"")</f>
        <v>0.93</v>
      </c>
      <c r="N21" s="9"/>
      <c r="O21" s="11"/>
      <c r="P21" s="11">
        <f>IF((SrcKA!AE15&lt;&gt;""), SrcKA!AE15,"")</f>
        <v>0</v>
      </c>
      <c r="Q21" s="11">
        <f>IF((SrcKA!K15&lt;&gt;""), SrcKA!K15,"")</f>
        <v>47.19</v>
      </c>
      <c r="R21" s="10">
        <v>2026</v>
      </c>
      <c r="S21" s="10" t="s">
        <v>442</v>
      </c>
      <c r="T21" s="9" t="str">
        <f>IF((SrcKA!O15&lt;&gt;""), SrcKA!O15,"")</f>
        <v>ООО «ВсеИнструменты.ру»</v>
      </c>
      <c r="U21" s="9" t="str">
        <f>IF((SrcKA!Z15&lt;&gt;""), SrcKA!Z15,"")</f>
        <v/>
      </c>
      <c r="V21" s="9" t="str">
        <f>IF((SrcKA!R15&lt;&gt;""), SrcKA!R15,"")</f>
        <v>997750001</v>
      </c>
      <c r="W21" s="9" t="str">
        <f>IF((SrcKA!Q15&lt;&gt;""), SrcKA!Q15,"")</f>
        <v>7722753969</v>
      </c>
      <c r="X21" s="9" t="str">
        <f>IF((SrcKA!S15&lt;&gt;""), SrcKA!S15,"")</f>
        <v>https://www.vseinstrumenti.ru/product/setka-fasadnaya-zaschitnaya-zelenaya-3x50-m-80-g-m2-strong-nt30080gr-2046205/#searchQuery=Сетка+фасадная+защитная+зеленая+(3x50+м;+80+г/м2)+Strong+NT30080GR&amp;searchType=autocomplete</v>
      </c>
      <c r="Y21" s="9" t="str">
        <f>IF((SrcKA!P15&lt;&gt;""), SrcKA!P15,"")</f>
        <v/>
      </c>
      <c r="Z21" s="10">
        <f>IF((SrcKA!N15&lt;&gt;""), SrcKA!N15,"")</f>
        <v>2</v>
      </c>
      <c r="AA21" s="10" t="str">
        <f>IF((SrcKA!Y15&lt;&gt;""), SrcKA!Y15,"")</f>
        <v/>
      </c>
      <c r="AB21" s="10" t="str">
        <f>IF((SrcKA!AV15&lt;&gt;""), SrcKA!AV15,"")</f>
        <v/>
      </c>
    </row>
    <row r="22" spans="1:28" ht="85.5" x14ac:dyDescent="0.2">
      <c r="A22" s="8" t="s">
        <v>365</v>
      </c>
      <c r="B22" s="9" t="str">
        <f>SrcKA!D16</f>
        <v>ТЦ_01.8.01.06_50_5036136124 _08.06.2026_01_1.2</v>
      </c>
      <c r="C22" s="9" t="str">
        <f>IF((SrcKA!AI16&lt;&gt;""), SrcKA!AI16,"")</f>
        <v>Сетка фасадная защитная 80 гр/м2</v>
      </c>
      <c r="D22" s="9" t="str">
        <f>IF((SrcKA!E16&lt;&gt;""), SrcKA!E16,"")</f>
        <v>Сетка фасадная защитная 80 гр/м2</v>
      </c>
      <c r="E22" s="10" t="str">
        <f>IF((SrcKA!AH16&lt;&gt;""), SrcKA!AH16,"")</f>
        <v>м2</v>
      </c>
      <c r="F22" s="10" t="str">
        <f>IF((SrcKA!G16&lt;&gt;""), SrcKA!G16,"")</f>
        <v>м2</v>
      </c>
      <c r="G22" s="11">
        <f>IF((SrcKA!I16&lt;&gt;""), SrcKA!I16,"")</f>
        <v>48</v>
      </c>
      <c r="H22" s="11">
        <f>IF((SrcKA!H16&lt;&gt;""), SrcKA!H16,"")</f>
        <v>39.340000000000003</v>
      </c>
      <c r="I22" s="11">
        <f>IF((SrcKA!AC16&lt;&gt;""), SrcKA!AC16,"")</f>
        <v>39.340000000000003</v>
      </c>
      <c r="J22" s="11">
        <f>IF((SrcKA!AA16&lt;&gt;""), SrcKA!AA16,"")</f>
        <v>0</v>
      </c>
      <c r="K22" s="11">
        <f>IF((SrcKA!J16&lt;&gt;""), SrcKA!J16,"")</f>
        <v>0</v>
      </c>
      <c r="L22" s="11">
        <f>IF((SrcKA!U16&lt;&gt;""), SrcKA!U16,"")</f>
        <v>2</v>
      </c>
      <c r="M22" s="11">
        <f>IF((SrcKA!V16&lt;&gt;""), SrcKA!V16,"")</f>
        <v>0.79</v>
      </c>
      <c r="N22" s="9"/>
      <c r="O22" s="11"/>
      <c r="P22" s="11">
        <f>IF((SrcKA!AE16&lt;&gt;""), SrcKA!AE16,"")</f>
        <v>0</v>
      </c>
      <c r="Q22" s="11">
        <f>IF((SrcKA!K16&lt;&gt;""), SrcKA!K16,"")</f>
        <v>40.130000000000003</v>
      </c>
      <c r="R22" s="10">
        <v>2026</v>
      </c>
      <c r="S22" s="10" t="s">
        <v>442</v>
      </c>
      <c r="T22" s="9" t="str">
        <f>IF((SrcKA!O16&lt;&gt;""), SrcKA!O16,"")</f>
        <v>ООО "Компания Версона"</v>
      </c>
      <c r="U22" s="9" t="str">
        <f>IF((SrcKA!Z16&lt;&gt;""), SrcKA!Z16,"")</f>
        <v/>
      </c>
      <c r="V22" s="9" t="str">
        <f>IF((SrcKA!R16&lt;&gt;""), SrcKA!R16,"")</f>
        <v>503601001</v>
      </c>
      <c r="W22" s="9" t="str">
        <f>IF((SrcKA!Q16&lt;&gt;""), SrcKA!Q16,"")</f>
        <v>5036136124</v>
      </c>
      <c r="X22" s="9" t="str">
        <f>IF((SrcKA!S16&lt;&gt;""), SrcKA!S16,"")</f>
        <v>https://zhukovskij.wersona.ru/products/fasadnaya-setka/72-85-gramm/setka-fasadnaya-80-gr/m2-ploshhad-150-m2</v>
      </c>
      <c r="Y22" s="9" t="str">
        <f>IF((SrcKA!P16&lt;&gt;""), SrcKA!P16,"")</f>
        <v/>
      </c>
      <c r="Z22" s="10">
        <f>IF((SrcKA!N16&lt;&gt;""), SrcKA!N16,"")</f>
        <v>2</v>
      </c>
      <c r="AA22" s="10" t="str">
        <f>IF((SrcKA!Y16&lt;&gt;""), SrcKA!Y16,"")</f>
        <v/>
      </c>
      <c r="AB22" s="10" t="str">
        <f>IF((SrcKA!AV16&lt;&gt;""), SrcKA!AV16,"")</f>
        <v/>
      </c>
    </row>
    <row r="23" spans="1:28" ht="150" x14ac:dyDescent="0.2">
      <c r="A23" s="12" t="s">
        <v>372</v>
      </c>
      <c r="B23" s="13" t="str">
        <f>SrcKA!D17</f>
        <v>ТЦ_01.8.01.06_77_9701044387_08.06.2026_01_1.3</v>
      </c>
      <c r="C23" s="13" t="str">
        <f>IF((SrcKA!AI17&lt;&gt;""), SrcKA!AI17,"")</f>
        <v>Сетка фасадная защитная 80 гр/м2</v>
      </c>
      <c r="D23" s="13" t="str">
        <f>IF((SrcKA!E17&lt;&gt;""), SrcKA!E17,"")</f>
        <v>Сетка фасадная защитная 80 гр/м2</v>
      </c>
      <c r="E23" s="14" t="str">
        <f>IF((SrcKA!AH17&lt;&gt;""), SrcKA!AH17,"")</f>
        <v>м2</v>
      </c>
      <c r="F23" s="14" t="str">
        <f>IF((SrcKA!G17&lt;&gt;""), SrcKA!G17,"")</f>
        <v>м2</v>
      </c>
      <c r="G23" s="15">
        <f>IF((SrcKA!I17&lt;&gt;""), SrcKA!I17,"")</f>
        <v>45</v>
      </c>
      <c r="H23" s="15">
        <f>IF((SrcKA!H17&lt;&gt;""), SrcKA!H17,"")</f>
        <v>36.89</v>
      </c>
      <c r="I23" s="15">
        <f>IF((SrcKA!AC17&lt;&gt;""), SrcKA!AC17,"")</f>
        <v>36.89</v>
      </c>
      <c r="J23" s="15">
        <f>IF((SrcKA!AA17&lt;&gt;""), SrcKA!AA17,"")</f>
        <v>0</v>
      </c>
      <c r="K23" s="15">
        <f>IF((SrcKA!J17&lt;&gt;""), SrcKA!J17,"")</f>
        <v>0</v>
      </c>
      <c r="L23" s="15">
        <f>IF((SrcKA!U17&lt;&gt;""), SrcKA!U17,"")</f>
        <v>2</v>
      </c>
      <c r="M23" s="15">
        <f>IF((SrcKA!V17&lt;&gt;""), SrcKA!V17,"")</f>
        <v>0.74</v>
      </c>
      <c r="N23" s="13"/>
      <c r="O23" s="15"/>
      <c r="P23" s="15">
        <f>IF((SrcKA!AE17&lt;&gt;""), SrcKA!AE17,"")</f>
        <v>0</v>
      </c>
      <c r="Q23" s="15">
        <f>IF((SrcKA!K17&lt;&gt;""), SrcKA!K17,"")</f>
        <v>37.630000000000003</v>
      </c>
      <c r="R23" s="14">
        <v>2026</v>
      </c>
      <c r="S23" s="14" t="s">
        <v>442</v>
      </c>
      <c r="T23" s="13" t="str">
        <f>IF((SrcKA!O17&lt;&gt;""), SrcKA!O17,"")</f>
        <v>ООО «ПРОГРЕСС»</v>
      </c>
      <c r="U23" s="13" t="str">
        <f>IF((SrcKA!Z17&lt;&gt;""), SrcKA!Z17,"")</f>
        <v/>
      </c>
      <c r="V23" s="13" t="str">
        <f>IF((SrcKA!R17&lt;&gt;""), SrcKA!R17,"")</f>
        <v/>
      </c>
      <c r="W23" s="13" t="str">
        <f>IF((SrcKA!Q17&lt;&gt;""), SrcKA!Q17,"")</f>
        <v>9701044387</v>
      </c>
      <c r="X23" s="13" t="str">
        <f>IF((SrcKA!S17&lt;&gt;""), SrcKA!S17,"")</f>
        <v>https://izomaxx.ru/zashhitnaja-fasadnaja-setka--zatenjajushhaja-/setka-fasadnaya-dlya-lesov/zashhitnaja-fasadnaja-setka-80-gr-m2--3h50m--150m2.html</v>
      </c>
      <c r="Y23" s="13" t="str">
        <f>IF((SrcKA!P17&lt;&gt;""), SrcKA!P17,"")</f>
        <v/>
      </c>
      <c r="Z23" s="14">
        <f>IF((SrcKA!N17&lt;&gt;""), SrcKA!N17,"")</f>
        <v>2</v>
      </c>
      <c r="AA23" s="14" t="str">
        <f>IF((SrcKA!Y17&lt;&gt;""), SrcKA!Y17,"")</f>
        <v/>
      </c>
      <c r="AB23" s="14" t="str">
        <f>IF((SrcKA!AV17&lt;&gt;""), SrcKA!AV17,"")</f>
        <v/>
      </c>
    </row>
    <row r="24" spans="1:28" ht="120" x14ac:dyDescent="0.2">
      <c r="A24" s="12" t="s">
        <v>376</v>
      </c>
      <c r="B24" s="13" t="str">
        <f>SrcKA!D18</f>
        <v>ТЦ_ 14.2.06.01_37_372002340471 _08.06.2026_01_2.1</v>
      </c>
      <c r="C24" s="13" t="str">
        <f>IF((SrcKA!AI18&lt;&gt;""), SrcKA!AI18,"")</f>
        <v>Камнеукрепитель "Петромикс SR-01**", (расход 2 л/м2) в 2 слоя</v>
      </c>
      <c r="D24" s="13" t="str">
        <f>IF((SrcKA!E18&lt;&gt;""), SrcKA!E18,"")</f>
        <v>Камнеукрепитель "Петромикс SR-01**", (расход 2 л/м2) в 2 слоя</v>
      </c>
      <c r="E24" s="14" t="str">
        <f>IF((SrcKA!AH18&lt;&gt;""), SrcKA!AH18,"")</f>
        <v>л</v>
      </c>
      <c r="F24" s="14" t="str">
        <f>IF((SrcKA!G18&lt;&gt;""), SrcKA!G18,"")</f>
        <v>л</v>
      </c>
      <c r="G24" s="15">
        <f>IF((SrcKA!I18&lt;&gt;""), SrcKA!I18,"")</f>
        <v>1779.5</v>
      </c>
      <c r="H24" s="15">
        <f>IF((SrcKA!H18&lt;&gt;""), SrcKA!H18,"")</f>
        <v>1458.61</v>
      </c>
      <c r="I24" s="15">
        <f>IF((SrcKA!AC18&lt;&gt;""), SrcKA!AC18,"")</f>
        <v>1458.61</v>
      </c>
      <c r="J24" s="15">
        <f>IF((SrcKA!AA18&lt;&gt;""), SrcKA!AA18,"")</f>
        <v>0</v>
      </c>
      <c r="K24" s="15">
        <f>IF((SrcKA!J18&lt;&gt;""), SrcKA!J18,"")</f>
        <v>0</v>
      </c>
      <c r="L24" s="15">
        <f>IF((SrcKA!U18&lt;&gt;""), SrcKA!U18,"")</f>
        <v>2</v>
      </c>
      <c r="M24" s="15">
        <f>IF((SrcKA!V18&lt;&gt;""), SrcKA!V18,"")</f>
        <v>29.17</v>
      </c>
      <c r="N24" s="13"/>
      <c r="O24" s="15"/>
      <c r="P24" s="15">
        <f>IF((SrcKA!AE18&lt;&gt;""), SrcKA!AE18,"")</f>
        <v>0</v>
      </c>
      <c r="Q24" s="15">
        <f>IF((SrcKA!K18&lt;&gt;""), SrcKA!K18,"")</f>
        <v>1487.78</v>
      </c>
      <c r="R24" s="14">
        <v>2026</v>
      </c>
      <c r="S24" s="14" t="s">
        <v>442</v>
      </c>
      <c r="T24" s="13" t="str">
        <f>IF((SrcKA!O18&lt;&gt;""), SrcKA!O18,"")</f>
        <v>ИП ДЖУМАБАЕВ РУСЛАН ДЖОЛДОШАЛИЕВИЧ</v>
      </c>
      <c r="U24" s="13" t="str">
        <f>IF((SrcKA!Z18&lt;&gt;""), SrcKA!Z18,"")</f>
        <v/>
      </c>
      <c r="V24" s="13" t="str">
        <f>IF((SrcKA!R18&lt;&gt;""), SrcKA!R18,"")</f>
        <v/>
      </c>
      <c r="W24" s="13" t="str">
        <f>IF((SrcKA!Q18&lt;&gt;""), SrcKA!Q18,"")</f>
        <v>372002340471</v>
      </c>
      <c r="X24" s="13" t="str">
        <f>IF((SrcKA!S18&lt;&gt;""), SrcKA!S18,"")</f>
        <v>https://petr-group.ru/catalog/p/antiseptiki-i-biozashita79/kamneukrepitel-petromiks-sr-01-10-l/?ysclid=mf54winp2f675567863</v>
      </c>
      <c r="Y24" s="13" t="str">
        <f>IF((SrcKA!P18&lt;&gt;""), SrcKA!P18,"")</f>
        <v/>
      </c>
      <c r="Z24" s="14">
        <f>IF((SrcKA!N18&lt;&gt;""), SrcKA!N18,"")</f>
        <v>2</v>
      </c>
      <c r="AA24" s="14" t="str">
        <f>IF((SrcKA!Y18&lt;&gt;""), SrcKA!Y18,"")</f>
        <v/>
      </c>
      <c r="AB24" s="14" t="str">
        <f>IF((SrcKA!AV18&lt;&gt;""), SrcKA!AV18,"")</f>
        <v/>
      </c>
    </row>
    <row r="25" spans="1:28" ht="85.5" x14ac:dyDescent="0.2">
      <c r="A25" s="8" t="s">
        <v>382</v>
      </c>
      <c r="B25" s="9" t="str">
        <f>SrcKA!D19</f>
        <v>ТЦ_ 14.2.06.01_77_9715207948 _08.06.2026_01_2.2</v>
      </c>
      <c r="C25" s="9" t="str">
        <f>IF((SrcKA!AI19&lt;&gt;""), SrcKA!AI19,"")</f>
        <v>Камнеукрепитель "Петромикс SR-01**", (расход 2 л/м2) в 2 слоя</v>
      </c>
      <c r="D25" s="9" t="str">
        <f>IF((SrcKA!E19&lt;&gt;""), SrcKA!E19,"")</f>
        <v>Камнеукрепитель "Петромикс SR-01**", (расход 2 л/м2) в 2 слоя</v>
      </c>
      <c r="E25" s="10" t="str">
        <f>IF((SrcKA!AH19&lt;&gt;""), SrcKA!AH19,"")</f>
        <v>л</v>
      </c>
      <c r="F25" s="10" t="str">
        <f>IF((SrcKA!G19&lt;&gt;""), SrcKA!G19,"")</f>
        <v>л</v>
      </c>
      <c r="G25" s="11">
        <f>IF((SrcKA!I19&lt;&gt;""), SrcKA!I19,"")</f>
        <v>1950</v>
      </c>
      <c r="H25" s="11">
        <f>IF((SrcKA!H19&lt;&gt;""), SrcKA!H19,"")</f>
        <v>1598.36</v>
      </c>
      <c r="I25" s="11">
        <f>IF((SrcKA!AC19&lt;&gt;""), SrcKA!AC19,"")</f>
        <v>1598.36</v>
      </c>
      <c r="J25" s="11">
        <f>IF((SrcKA!AA19&lt;&gt;""), SrcKA!AA19,"")</f>
        <v>0</v>
      </c>
      <c r="K25" s="11">
        <f>IF((SrcKA!J19&lt;&gt;""), SrcKA!J19,"")</f>
        <v>0</v>
      </c>
      <c r="L25" s="11">
        <f>IF((SrcKA!U19&lt;&gt;""), SrcKA!U19,"")</f>
        <v>2</v>
      </c>
      <c r="M25" s="11">
        <f>IF((SrcKA!V19&lt;&gt;""), SrcKA!V19,"")</f>
        <v>31.97</v>
      </c>
      <c r="N25" s="9"/>
      <c r="O25" s="11"/>
      <c r="P25" s="11">
        <f>IF((SrcKA!AE19&lt;&gt;""), SrcKA!AE19,"")</f>
        <v>0</v>
      </c>
      <c r="Q25" s="11">
        <f>IF((SrcKA!K19&lt;&gt;""), SrcKA!K19,"")</f>
        <v>1630.33</v>
      </c>
      <c r="R25" s="10">
        <v>2026</v>
      </c>
      <c r="S25" s="10" t="s">
        <v>442</v>
      </c>
      <c r="T25" s="9" t="str">
        <f>IF((SrcKA!O19&lt;&gt;""), SrcKA!O19,"")</f>
        <v>ООО "Бафус"</v>
      </c>
      <c r="U25" s="9" t="str">
        <f>IF((SrcKA!Z19&lt;&gt;""), SrcKA!Z19,"")</f>
        <v/>
      </c>
      <c r="V25" s="9" t="str">
        <f>IF((SrcKA!R19&lt;&gt;""), SrcKA!R19,"")</f>
        <v/>
      </c>
      <c r="W25" s="9" t="str">
        <f>IF((SrcKA!Q19&lt;&gt;""), SrcKA!Q19,"")</f>
        <v>9715207948</v>
      </c>
      <c r="X25" s="9" t="str">
        <f>IF((SrcKA!S19&lt;&gt;""), SrcKA!S19,"")</f>
        <v>https://www.bafus.ru/product/petromix-sr-01-kamneukrepitel-10-l/?ysclid=mf54vpl0ro929121554</v>
      </c>
      <c r="Y25" s="9" t="str">
        <f>IF((SrcKA!P19&lt;&gt;""), SrcKA!P19,"")</f>
        <v/>
      </c>
      <c r="Z25" s="10">
        <f>IF((SrcKA!N19&lt;&gt;""), SrcKA!N19,"")</f>
        <v>2</v>
      </c>
      <c r="AA25" s="10" t="str">
        <f>IF((SrcKA!Y19&lt;&gt;""), SrcKA!Y19,"")</f>
        <v/>
      </c>
      <c r="AB25" s="10" t="str">
        <f>IF((SrcKA!AV19&lt;&gt;""), SrcKA!AV19,"")</f>
        <v/>
      </c>
    </row>
    <row r="26" spans="1:28" ht="99.75" x14ac:dyDescent="0.2">
      <c r="A26" s="8" t="s">
        <v>387</v>
      </c>
      <c r="B26" s="9" t="str">
        <f>SrcKA!D20</f>
        <v>ТЦ_ 14.2.06.01_77_7720739503_08.06.2026_01_2.3</v>
      </c>
      <c r="C26" s="9" t="str">
        <f>IF((SrcKA!AI20&lt;&gt;""), SrcKA!AI20,"")</f>
        <v>Камнеукрепитель "Петромикс SR-01**", (расход 2 л/м2) в 2 слоя</v>
      </c>
      <c r="D26" s="9" t="str">
        <f>IF((SrcKA!E20&lt;&gt;""), SrcKA!E20,"")</f>
        <v>Камнеукрепитель "Петромикс SR-01**", (расход 2 л/м2) в 2 слоя</v>
      </c>
      <c r="E26" s="10" t="str">
        <f>IF((SrcKA!AH20&lt;&gt;""), SrcKA!AH20,"")</f>
        <v>л</v>
      </c>
      <c r="F26" s="10" t="str">
        <f>IF((SrcKA!G20&lt;&gt;""), SrcKA!G20,"")</f>
        <v>л</v>
      </c>
      <c r="G26" s="11">
        <f>IF((SrcKA!I20&lt;&gt;""), SrcKA!I20,"")</f>
        <v>1779.5</v>
      </c>
      <c r="H26" s="11">
        <f>IF((SrcKA!H20&lt;&gt;""), SrcKA!H20,"")</f>
        <v>1458.61</v>
      </c>
      <c r="I26" s="11">
        <f>IF((SrcKA!AC20&lt;&gt;""), SrcKA!AC20,"")</f>
        <v>1458.61</v>
      </c>
      <c r="J26" s="11">
        <f>IF((SrcKA!AA20&lt;&gt;""), SrcKA!AA20,"")</f>
        <v>0</v>
      </c>
      <c r="K26" s="11">
        <f>IF((SrcKA!J20&lt;&gt;""), SrcKA!J20,"")</f>
        <v>0</v>
      </c>
      <c r="L26" s="11">
        <f>IF((SrcKA!U20&lt;&gt;""), SrcKA!U20,"")</f>
        <v>2</v>
      </c>
      <c r="M26" s="11">
        <f>IF((SrcKA!V20&lt;&gt;""), SrcKA!V20,"")</f>
        <v>29.17</v>
      </c>
      <c r="N26" s="9"/>
      <c r="O26" s="11"/>
      <c r="P26" s="11">
        <f>IF((SrcKA!AE20&lt;&gt;""), SrcKA!AE20,"")</f>
        <v>0</v>
      </c>
      <c r="Q26" s="11">
        <f>IF((SrcKA!K20&lt;&gt;""), SrcKA!K20,"")</f>
        <v>1487.78</v>
      </c>
      <c r="R26" s="10">
        <v>2026</v>
      </c>
      <c r="S26" s="10" t="s">
        <v>442</v>
      </c>
      <c r="T26" s="9" t="str">
        <f>IF((SrcKA!O20&lt;&gt;""), SrcKA!O20,"")</f>
        <v>ООО ТПК САНСТЕКЛОТОРГ</v>
      </c>
      <c r="U26" s="9" t="str">
        <f>IF((SrcKA!Z20&lt;&gt;""), SrcKA!Z20,"")</f>
        <v/>
      </c>
      <c r="V26" s="9" t="str">
        <f>IF((SrcKA!R20&lt;&gt;""), SrcKA!R20,"")</f>
        <v/>
      </c>
      <c r="W26" s="9" t="str">
        <f>IF((SrcKA!Q20&lt;&gt;""), SrcKA!Q20,"")</f>
        <v>7720739503</v>
      </c>
      <c r="X26" s="9" t="str">
        <f>IF((SrcKA!S20&lt;&gt;""), SrcKA!S20,"")</f>
        <v>https://petrovich-stroy.ru/catalog/p/antiseptiki-i-biozashita76/kamneukrepitel_petromiks_sr-01_10_l_1227229/</v>
      </c>
      <c r="Y26" s="9" t="str">
        <f>IF((SrcKA!P20&lt;&gt;""), SrcKA!P20,"")</f>
        <v/>
      </c>
      <c r="Z26" s="10">
        <f>IF((SrcKA!N20&lt;&gt;""), SrcKA!N20,"")</f>
        <v>2</v>
      </c>
      <c r="AA26" s="10" t="str">
        <f>IF((SrcKA!Y20&lt;&gt;""), SrcKA!Y20,"")</f>
        <v/>
      </c>
      <c r="AB26" s="10" t="str">
        <f>IF((SrcKA!AV20&lt;&gt;""), SrcKA!AV20,"")</f>
        <v/>
      </c>
    </row>
    <row r="27" spans="1:28" ht="28.5" x14ac:dyDescent="0.2">
      <c r="A27" s="8" t="s">
        <v>392</v>
      </c>
      <c r="B27" s="9" t="str">
        <f>SrcKA!D21</f>
        <v>ТЦ_91.06.06_77_7728312255_08.06.2026_01_3.1</v>
      </c>
      <c r="C27" s="9" t="str">
        <f>IF((SrcKA!AI21&lt;&gt;""), SrcKA!AI21,"")</f>
        <v>Автогидроподъемники, высота подъема 16 м</v>
      </c>
      <c r="D27" s="9" t="str">
        <f>IF((SrcKA!E21&lt;&gt;""), SrcKA!E21,"")</f>
        <v>Автогидроподъемники, высота подъема 16 м</v>
      </c>
      <c r="E27" s="10" t="str">
        <f>IF((SrcKA!AH21&lt;&gt;""), SrcKA!AH21,"")</f>
        <v>маш/час</v>
      </c>
      <c r="F27" s="10" t="str">
        <f>IF((SrcKA!G21&lt;&gt;""), SrcKA!G21,"")</f>
        <v>маш/час</v>
      </c>
      <c r="G27" s="11">
        <f>IF((SrcKA!I21&lt;&gt;""), SrcKA!I21,"")</f>
        <v>1200</v>
      </c>
      <c r="H27" s="11">
        <f>IF((SrcKA!H21&lt;&gt;""), SrcKA!H21,"")</f>
        <v>983.61</v>
      </c>
      <c r="I27" s="11">
        <f>IF((SrcKA!AC21&lt;&gt;""), SrcKA!AC21,"")</f>
        <v>983.61</v>
      </c>
      <c r="J27" s="11">
        <f>IF((SrcKA!AA21&lt;&gt;""), SrcKA!AA21,"")</f>
        <v>0</v>
      </c>
      <c r="K27" s="11">
        <f>IF((SrcKA!J21&lt;&gt;""), SrcKA!J21,"")</f>
        <v>0</v>
      </c>
      <c r="L27" s="11">
        <f>IF((SrcKA!U21&lt;&gt;""), SrcKA!U21,"")</f>
        <v>0</v>
      </c>
      <c r="M27" s="11">
        <f>IF((SrcKA!V21&lt;&gt;""), SrcKA!V21,"")</f>
        <v>0</v>
      </c>
      <c r="N27" s="9"/>
      <c r="O27" s="11"/>
      <c r="P27" s="11">
        <f>IF((SrcKA!AE21&lt;&gt;""), SrcKA!AE21,"")</f>
        <v>0</v>
      </c>
      <c r="Q27" s="11">
        <f>IF((SrcKA!K21&lt;&gt;""), SrcKA!K21,"")</f>
        <v>983.61</v>
      </c>
      <c r="R27" s="10">
        <v>2026</v>
      </c>
      <c r="S27" s="10" t="s">
        <v>442</v>
      </c>
      <c r="T27" s="9" t="str">
        <f>IF((SrcKA!O21&lt;&gt;""), SrcKA!O21,"")</f>
        <v>ООО "Мосстройвектор"</v>
      </c>
      <c r="U27" s="9" t="str">
        <f>IF((SrcKA!Z21&lt;&gt;""), SrcKA!Z21,"")</f>
        <v/>
      </c>
      <c r="V27" s="9" t="str">
        <f>IF((SrcKA!R21&lt;&gt;""), SrcKA!R21,"")</f>
        <v>770401001</v>
      </c>
      <c r="W27" s="9" t="str">
        <f>IF((SrcKA!Q21&lt;&gt;""), SrcKA!Q21,"")</f>
        <v>7728312255</v>
      </c>
      <c r="X27" s="9" t="str">
        <f>IF((SrcKA!S21&lt;&gt;""), SrcKA!S21,"")</f>
        <v>КП б/н от 08.06.2026</v>
      </c>
      <c r="Y27" s="9" t="str">
        <f>IF((SrcKA!P21&lt;&gt;""), SrcKA!P21,"")</f>
        <v/>
      </c>
      <c r="Z27" s="10">
        <f>IF((SrcKA!N21&lt;&gt;""), SrcKA!N21,"")</f>
        <v>2</v>
      </c>
      <c r="AA27" s="10" t="str">
        <f>IF((SrcKA!Y21&lt;&gt;""), SrcKA!Y21,"")</f>
        <v/>
      </c>
      <c r="AB27" s="10" t="str">
        <f>IF((SrcKA!AV21&lt;&gt;""), SrcKA!AV21,"")</f>
        <v/>
      </c>
    </row>
    <row r="28" spans="1:28" ht="30" x14ac:dyDescent="0.2">
      <c r="A28" s="12" t="s">
        <v>399</v>
      </c>
      <c r="B28" s="13" t="str">
        <f>SrcKA!D22</f>
        <v>ТЦ_91.06.06_77_7715941979_08.06.2026_01_3.2</v>
      </c>
      <c r="C28" s="13" t="str">
        <f>IF((SrcKA!AI22&lt;&gt;""), SrcKA!AI22,"")</f>
        <v>Автогидроподъемники, высота подъема 16 м</v>
      </c>
      <c r="D28" s="13" t="str">
        <f>IF((SrcKA!E22&lt;&gt;""), SrcKA!E22,"")</f>
        <v>Автогидроподъемники, высота подъема 16 м</v>
      </c>
      <c r="E28" s="14" t="str">
        <f>IF((SrcKA!AH22&lt;&gt;""), SrcKA!AH22,"")</f>
        <v>маш/час</v>
      </c>
      <c r="F28" s="14" t="str">
        <f>IF((SrcKA!G22&lt;&gt;""), SrcKA!G22,"")</f>
        <v>маш/час</v>
      </c>
      <c r="G28" s="15">
        <f>IF((SrcKA!I22&lt;&gt;""), SrcKA!I22,"")</f>
        <v>1199.8699999999999</v>
      </c>
      <c r="H28" s="15">
        <f>IF((SrcKA!H22&lt;&gt;""), SrcKA!H22,"")</f>
        <v>983.5</v>
      </c>
      <c r="I28" s="15">
        <f>IF((SrcKA!AC22&lt;&gt;""), SrcKA!AC22,"")</f>
        <v>983.5</v>
      </c>
      <c r="J28" s="15">
        <f>IF((SrcKA!AA22&lt;&gt;""), SrcKA!AA22,"")</f>
        <v>0</v>
      </c>
      <c r="K28" s="15">
        <f>IF((SrcKA!J22&lt;&gt;""), SrcKA!J22,"")</f>
        <v>0</v>
      </c>
      <c r="L28" s="15">
        <f>IF((SrcKA!U22&lt;&gt;""), SrcKA!U22,"")</f>
        <v>0</v>
      </c>
      <c r="M28" s="15">
        <f>IF((SrcKA!V22&lt;&gt;""), SrcKA!V22,"")</f>
        <v>0</v>
      </c>
      <c r="N28" s="13"/>
      <c r="O28" s="15"/>
      <c r="P28" s="15">
        <f>IF((SrcKA!AE22&lt;&gt;""), SrcKA!AE22,"")</f>
        <v>0</v>
      </c>
      <c r="Q28" s="15">
        <f>IF((SrcKA!K22&lt;&gt;""), SrcKA!K22,"")</f>
        <v>983.5</v>
      </c>
      <c r="R28" s="14">
        <v>2026</v>
      </c>
      <c r="S28" s="14" t="s">
        <v>442</v>
      </c>
      <c r="T28" s="13" t="str">
        <f>IF((SrcKA!O22&lt;&gt;""), SrcKA!O22,"")</f>
        <v>ООО "АРТЕХСТРОЙ"</v>
      </c>
      <c r="U28" s="13" t="str">
        <f>IF((SrcKA!Z22&lt;&gt;""), SrcKA!Z22,"")</f>
        <v/>
      </c>
      <c r="V28" s="13" t="str">
        <f>IF((SrcKA!R22&lt;&gt;""), SrcKA!R22,"")</f>
        <v>771501001</v>
      </c>
      <c r="W28" s="13" t="str">
        <f>IF((SrcKA!Q22&lt;&gt;""), SrcKA!Q22,"")</f>
        <v>7715941979</v>
      </c>
      <c r="X28" s="13" t="str">
        <f>IF((SrcKA!S22&lt;&gt;""), SrcKA!S22,"")</f>
        <v>КП б/н от 08.06.2026</v>
      </c>
      <c r="Y28" s="13" t="str">
        <f>IF((SrcKA!P22&lt;&gt;""), SrcKA!P22,"")</f>
        <v/>
      </c>
      <c r="Z28" s="14">
        <f>IF((SrcKA!N22&lt;&gt;""), SrcKA!N22,"")</f>
        <v>2</v>
      </c>
      <c r="AA28" s="14" t="str">
        <f>IF((SrcKA!Y22&lt;&gt;""), SrcKA!Y22,"")</f>
        <v/>
      </c>
      <c r="AB28" s="14" t="str">
        <f>IF((SrcKA!AV22&lt;&gt;""), SrcKA!AV22,"")</f>
        <v/>
      </c>
    </row>
    <row r="29" spans="1:28" ht="28.5" x14ac:dyDescent="0.2">
      <c r="A29" s="8" t="s">
        <v>403</v>
      </c>
      <c r="B29" s="9" t="str">
        <f>SrcKA!D23</f>
        <v>ТЦ_91.06.06_77_9715224044 _08.06.2026_01_3.3</v>
      </c>
      <c r="C29" s="9" t="str">
        <f>IF((SrcKA!AI23&lt;&gt;""), SrcKA!AI23,"")</f>
        <v>Автогидроподъемники, высота подъема 16 м</v>
      </c>
      <c r="D29" s="9" t="str">
        <f>IF((SrcKA!E23&lt;&gt;""), SrcKA!E23,"")</f>
        <v>Автогидроподъемники, высота подъема 16 м</v>
      </c>
      <c r="E29" s="10" t="str">
        <f>IF((SrcKA!AH23&lt;&gt;""), SrcKA!AH23,"")</f>
        <v>маш/час</v>
      </c>
      <c r="F29" s="10" t="str">
        <f>IF((SrcKA!G23&lt;&gt;""), SrcKA!G23,"")</f>
        <v>маш/час</v>
      </c>
      <c r="G29" s="11">
        <f>IF((SrcKA!I23&lt;&gt;""), SrcKA!I23,"")</f>
        <v>1500</v>
      </c>
      <c r="H29" s="11">
        <f>IF((SrcKA!H23&lt;&gt;""), SrcKA!H23,"")</f>
        <v>1229.51</v>
      </c>
      <c r="I29" s="11">
        <f>IF((SrcKA!AC23&lt;&gt;""), SrcKA!AC23,"")</f>
        <v>1229.51</v>
      </c>
      <c r="J29" s="11">
        <f>IF((SrcKA!AA23&lt;&gt;""), SrcKA!AA23,"")</f>
        <v>0</v>
      </c>
      <c r="K29" s="11">
        <f>IF((SrcKA!J23&lt;&gt;""), SrcKA!J23,"")</f>
        <v>0</v>
      </c>
      <c r="L29" s="11">
        <f>IF((SrcKA!U23&lt;&gt;""), SrcKA!U23,"")</f>
        <v>0</v>
      </c>
      <c r="M29" s="11">
        <f>IF((SrcKA!V23&lt;&gt;""), SrcKA!V23,"")</f>
        <v>0</v>
      </c>
      <c r="N29" s="9"/>
      <c r="O29" s="11"/>
      <c r="P29" s="11">
        <f>IF((SrcKA!AE23&lt;&gt;""), SrcKA!AE23,"")</f>
        <v>0</v>
      </c>
      <c r="Q29" s="11">
        <f>IF((SrcKA!K23&lt;&gt;""), SrcKA!K23,"")</f>
        <v>1229.51</v>
      </c>
      <c r="R29" s="10">
        <v>2026</v>
      </c>
      <c r="S29" s="10" t="s">
        <v>442</v>
      </c>
      <c r="T29" s="9" t="str">
        <f>IF((SrcKA!O23&lt;&gt;""), SrcKA!O23,"")</f>
        <v>ООО «Лучшая СпецТехника»</v>
      </c>
      <c r="U29" s="9" t="str">
        <f>IF((SrcKA!Z23&lt;&gt;""), SrcKA!Z23,"")</f>
        <v/>
      </c>
      <c r="V29" s="9" t="str">
        <f>IF((SrcKA!R23&lt;&gt;""), SrcKA!R23,"")</f>
        <v>771501001</v>
      </c>
      <c r="W29" s="9" t="str">
        <f>IF((SrcKA!Q23&lt;&gt;""), SrcKA!Q23,"")</f>
        <v>9715224044</v>
      </c>
      <c r="X29" s="9" t="str">
        <f>IF((SrcKA!S23&lt;&gt;""), SrcKA!S23,"")</f>
        <v>КП б/н от 08.06.2026</v>
      </c>
      <c r="Y29" s="9" t="str">
        <f>IF((SrcKA!P23&lt;&gt;""), SrcKA!P23,"")</f>
        <v/>
      </c>
      <c r="Z29" s="10">
        <f>IF((SrcKA!N23&lt;&gt;""), SrcKA!N23,"")</f>
        <v>2</v>
      </c>
      <c r="AA29" s="10" t="str">
        <f>IF((SrcKA!Y23&lt;&gt;""), SrcKA!Y23,"")</f>
        <v/>
      </c>
      <c r="AB29" s="10" t="str">
        <f>IF((SrcKA!AV23&lt;&gt;""), SrcKA!AV23,"")</f>
        <v/>
      </c>
    </row>
    <row r="32" spans="1:28" ht="14.25" customHeight="1" x14ac:dyDescent="0.2">
      <c r="A32" s="2"/>
      <c r="B32" s="2"/>
      <c r="C32" s="2"/>
      <c r="D32" s="16" t="s">
        <v>443</v>
      </c>
      <c r="E32" s="18"/>
      <c r="F32" s="18"/>
      <c r="G32" s="18"/>
      <c r="H32" s="18"/>
      <c r="I32" s="18"/>
      <c r="J32" s="18"/>
      <c r="K32" s="18"/>
      <c r="L32" s="18"/>
      <c r="M32" s="18"/>
      <c r="N32" s="17"/>
      <c r="O32" s="17"/>
      <c r="P32" s="17"/>
      <c r="Q32" s="19"/>
      <c r="R32" s="19"/>
      <c r="S32" s="19"/>
      <c r="T32" s="19"/>
      <c r="U32" s="19"/>
      <c r="V32" s="2"/>
      <c r="W32" s="2"/>
      <c r="X32" s="2"/>
      <c r="Y32" s="2"/>
      <c r="Z32" s="2"/>
      <c r="AA32" s="2"/>
      <c r="AB32" s="2"/>
    </row>
    <row r="33" spans="1:28" ht="14.25" customHeight="1" x14ac:dyDescent="0.2">
      <c r="A33" s="2"/>
      <c r="B33" s="2"/>
      <c r="C33" s="17"/>
      <c r="D33" s="17"/>
      <c r="E33" s="128" t="s">
        <v>444</v>
      </c>
      <c r="F33" s="128"/>
      <c r="G33" s="128"/>
      <c r="H33" s="128"/>
      <c r="I33" s="128"/>
      <c r="J33" s="128"/>
      <c r="K33" s="128"/>
      <c r="L33" s="128"/>
      <c r="M33" s="128"/>
      <c r="N33" s="20"/>
      <c r="O33" s="20"/>
      <c r="P33" s="20"/>
      <c r="Q33" s="17"/>
      <c r="R33" s="17"/>
      <c r="S33" s="17"/>
      <c r="T33" s="17"/>
      <c r="U33" s="17"/>
      <c r="V33" s="2"/>
      <c r="W33" s="2"/>
      <c r="X33" s="2"/>
      <c r="Y33" s="2"/>
      <c r="Z33" s="2"/>
      <c r="AA33" s="2"/>
      <c r="AB33" s="2"/>
    </row>
    <row r="34" spans="1:28" ht="14.25" customHeight="1" x14ac:dyDescent="0.2">
      <c r="A34" s="2"/>
      <c r="B34" s="2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2"/>
      <c r="W34" s="2"/>
      <c r="X34" s="2"/>
      <c r="Y34" s="2"/>
      <c r="Z34" s="2"/>
      <c r="AA34" s="2"/>
      <c r="AB34" s="2"/>
    </row>
    <row r="35" spans="1:28" ht="14.25" customHeight="1" x14ac:dyDescent="0.2">
      <c r="A35" s="2"/>
      <c r="B35" s="2"/>
      <c r="C35" s="21"/>
      <c r="D35" s="16" t="s">
        <v>445</v>
      </c>
      <c r="E35" s="18"/>
      <c r="F35" s="18"/>
      <c r="G35" s="18"/>
      <c r="H35" s="18"/>
      <c r="I35" s="18"/>
      <c r="J35" s="18"/>
      <c r="K35" s="18"/>
      <c r="L35" s="18"/>
      <c r="M35" s="18"/>
      <c r="N35" s="17"/>
      <c r="O35" s="17"/>
      <c r="P35" s="17"/>
      <c r="Q35" s="19"/>
      <c r="R35" s="19"/>
      <c r="S35" s="19"/>
      <c r="T35" s="19"/>
      <c r="U35" s="19"/>
      <c r="V35" s="2"/>
      <c r="W35" s="2"/>
      <c r="X35" s="2"/>
      <c r="Y35" s="2"/>
      <c r="Z35" s="2"/>
      <c r="AA35" s="2"/>
      <c r="AB35" s="2"/>
    </row>
    <row r="36" spans="1:28" ht="14.25" customHeight="1" x14ac:dyDescent="0.2">
      <c r="A36" s="2"/>
      <c r="B36" s="2"/>
      <c r="C36" s="17"/>
      <c r="D36" s="17"/>
      <c r="E36" s="128" t="s">
        <v>444</v>
      </c>
      <c r="F36" s="128"/>
      <c r="G36" s="128"/>
      <c r="H36" s="128"/>
      <c r="I36" s="128"/>
      <c r="J36" s="128"/>
      <c r="K36" s="128"/>
      <c r="L36" s="128"/>
      <c r="M36" s="128"/>
      <c r="N36" s="20"/>
      <c r="O36" s="20"/>
      <c r="P36" s="20"/>
      <c r="Q36" s="17"/>
      <c r="R36" s="17"/>
      <c r="S36" s="17"/>
      <c r="T36" s="17"/>
      <c r="U36" s="17"/>
      <c r="V36" s="2"/>
      <c r="W36" s="2"/>
      <c r="X36" s="2"/>
      <c r="Y36" s="2"/>
      <c r="Z36" s="2"/>
      <c r="AA36" s="2"/>
      <c r="AB36" s="2"/>
    </row>
    <row r="37" spans="1:28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8.5" customHeight="1" x14ac:dyDescent="0.2">
      <c r="A38" s="2"/>
      <c r="B38" s="2"/>
      <c r="C38" s="2"/>
      <c r="D38" s="22" t="s">
        <v>446</v>
      </c>
      <c r="E38" s="18"/>
      <c r="F38" s="18"/>
      <c r="G38" s="18"/>
      <c r="H38" s="18"/>
      <c r="I38" s="18"/>
      <c r="J38" s="18"/>
      <c r="K38" s="18"/>
      <c r="L38" s="18"/>
      <c r="M38" s="18"/>
      <c r="N38" s="1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4.25" customHeight="1" x14ac:dyDescent="0.2">
      <c r="A39" s="2"/>
      <c r="B39" s="2"/>
      <c r="C39" s="2"/>
      <c r="D39" s="17"/>
      <c r="E39" s="128" t="s">
        <v>444</v>
      </c>
      <c r="F39" s="128"/>
      <c r="G39" s="128"/>
      <c r="H39" s="128"/>
      <c r="I39" s="128"/>
      <c r="J39" s="128"/>
      <c r="K39" s="128"/>
      <c r="L39" s="128"/>
      <c r="M39" s="12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</sheetData>
  <mergeCells count="38">
    <mergeCell ref="A2:Z2"/>
    <mergeCell ref="A4:Z4"/>
    <mergeCell ref="A5:Z5"/>
    <mergeCell ref="A8:A18"/>
    <mergeCell ref="B8:B18"/>
    <mergeCell ref="C8:C18"/>
    <mergeCell ref="D8:D18"/>
    <mergeCell ref="E8:E18"/>
    <mergeCell ref="F8:F18"/>
    <mergeCell ref="G8:G18"/>
    <mergeCell ref="T8:T18"/>
    <mergeCell ref="U8:U18"/>
    <mergeCell ref="V8:V18"/>
    <mergeCell ref="W8:W18"/>
    <mergeCell ref="H8:H18"/>
    <mergeCell ref="I8:I18"/>
    <mergeCell ref="J8:K13"/>
    <mergeCell ref="L8:M13"/>
    <mergeCell ref="N8:P13"/>
    <mergeCell ref="Q8:Q18"/>
    <mergeCell ref="O14:O18"/>
    <mergeCell ref="P14:P18"/>
    <mergeCell ref="A20:AB20"/>
    <mergeCell ref="E33:M33"/>
    <mergeCell ref="E36:M36"/>
    <mergeCell ref="E39:M39"/>
    <mergeCell ref="X8:X18"/>
    <mergeCell ref="Y8:Y18"/>
    <mergeCell ref="Z8:Z18"/>
    <mergeCell ref="AA8:AA18"/>
    <mergeCell ref="AB8:AB18"/>
    <mergeCell ref="J14:J18"/>
    <mergeCell ref="K14:K18"/>
    <mergeCell ref="L14:L18"/>
    <mergeCell ref="M14:M18"/>
    <mergeCell ref="N14:N18"/>
    <mergeCell ref="R8:R18"/>
    <mergeCell ref="S8:S18"/>
  </mergeCells>
  <pageMargins left="0.4" right="0.2" top="0.2" bottom="0.4" header="0.2" footer="0.2"/>
  <pageSetup paperSize="9" scale="30" fitToHeight="0" orientation="landscape" r:id="rId1"/>
  <headerFooter>
    <oddHeader>&amp;L&amp;8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18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57445</v>
      </c>
      <c r="M1">
        <v>10</v>
      </c>
      <c r="N1">
        <v>12</v>
      </c>
      <c r="O1">
        <v>1</v>
      </c>
      <c r="P1">
        <v>0</v>
      </c>
      <c r="Q1">
        <v>5</v>
      </c>
    </row>
    <row r="4" spans="1:133" x14ac:dyDescent="0.2">
      <c r="A4">
        <v>1</v>
      </c>
      <c r="B4">
        <v>1</v>
      </c>
      <c r="C4">
        <v>-1</v>
      </c>
      <c r="G4" t="s">
        <v>407</v>
      </c>
      <c r="EC4">
        <v>0</v>
      </c>
    </row>
    <row r="12" spans="1:133" x14ac:dyDescent="0.2">
      <c r="A12">
        <v>1</v>
      </c>
      <c r="B12">
        <v>176</v>
      </c>
      <c r="C12">
        <v>0</v>
      </c>
      <c r="D12">
        <f>ROW(A110)</f>
        <v>110</v>
      </c>
      <c r="E12">
        <v>0</v>
      </c>
      <c r="F12" t="s">
        <v>4</v>
      </c>
      <c r="G12" t="s">
        <v>5</v>
      </c>
      <c r="H12" t="s">
        <v>3</v>
      </c>
      <c r="I12">
        <v>0</v>
      </c>
      <c r="J12" t="s">
        <v>3</v>
      </c>
      <c r="K12">
        <v>0</v>
      </c>
      <c r="L12">
        <v>0</v>
      </c>
      <c r="M12">
        <v>523</v>
      </c>
      <c r="O12">
        <v>0</v>
      </c>
      <c r="P12">
        <v>0</v>
      </c>
      <c r="Q12">
        <v>7</v>
      </c>
      <c r="R12">
        <v>0</v>
      </c>
      <c r="T12">
        <v>4</v>
      </c>
      <c r="U12" t="s">
        <v>3</v>
      </c>
      <c r="V12">
        <v>0</v>
      </c>
      <c r="W12" t="s">
        <v>3</v>
      </c>
      <c r="X12" t="s">
        <v>3</v>
      </c>
      <c r="Y12" t="s">
        <v>3</v>
      </c>
      <c r="Z12" t="s">
        <v>3</v>
      </c>
      <c r="AA12" t="s">
        <v>3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 t="s">
        <v>3</v>
      </c>
      <c r="AL12" t="s">
        <v>3</v>
      </c>
      <c r="AM12" t="s">
        <v>3</v>
      </c>
      <c r="AN12" t="s">
        <v>3</v>
      </c>
      <c r="AP12" t="s">
        <v>3</v>
      </c>
      <c r="AQ12" t="s">
        <v>3</v>
      </c>
      <c r="AR12" t="s">
        <v>3</v>
      </c>
      <c r="AX12" t="s">
        <v>3</v>
      </c>
      <c r="AY12" t="s">
        <v>3</v>
      </c>
      <c r="AZ12" t="s">
        <v>3</v>
      </c>
      <c r="BB12">
        <v>0</v>
      </c>
      <c r="BH12" t="s">
        <v>6</v>
      </c>
      <c r="BI12" t="s">
        <v>7</v>
      </c>
      <c r="BJ12">
        <v>1</v>
      </c>
      <c r="BK12">
        <v>1</v>
      </c>
      <c r="BL12">
        <v>0</v>
      </c>
      <c r="BM12">
        <v>0</v>
      </c>
      <c r="BN12">
        <v>1</v>
      </c>
      <c r="BO12">
        <v>0</v>
      </c>
      <c r="BP12">
        <v>6</v>
      </c>
      <c r="BQ12">
        <v>2</v>
      </c>
      <c r="BR12">
        <v>1</v>
      </c>
      <c r="BS12">
        <v>1</v>
      </c>
      <c r="BT12">
        <v>0</v>
      </c>
      <c r="BU12">
        <v>0</v>
      </c>
      <c r="BV12">
        <v>0</v>
      </c>
      <c r="BW12">
        <v>0</v>
      </c>
      <c r="BX12">
        <v>0</v>
      </c>
      <c r="BY12" t="s">
        <v>8</v>
      </c>
      <c r="BZ12" t="s">
        <v>9</v>
      </c>
      <c r="CA12" t="s">
        <v>10</v>
      </c>
      <c r="CB12" t="s">
        <v>10</v>
      </c>
      <c r="CC12" t="s">
        <v>10</v>
      </c>
      <c r="CD12" t="s">
        <v>10</v>
      </c>
      <c r="CE12" t="s">
        <v>11</v>
      </c>
      <c r="CF12">
        <v>0</v>
      </c>
      <c r="CG12">
        <v>0</v>
      </c>
      <c r="CH12">
        <v>487096328</v>
      </c>
      <c r="CI12" t="s">
        <v>3</v>
      </c>
      <c r="CJ12" t="s">
        <v>3</v>
      </c>
      <c r="CK12">
        <v>18</v>
      </c>
      <c r="CQ12" t="s">
        <v>12</v>
      </c>
      <c r="CR12" t="s">
        <v>13</v>
      </c>
      <c r="CS12">
        <v>46161</v>
      </c>
      <c r="CT12">
        <v>567</v>
      </c>
      <c r="CU12">
        <v>18</v>
      </c>
      <c r="CV12" t="s">
        <v>408</v>
      </c>
      <c r="CY12">
        <v>0</v>
      </c>
      <c r="CZ12" t="s">
        <v>3</v>
      </c>
      <c r="DA12" t="s">
        <v>3</v>
      </c>
      <c r="EC12">
        <v>0</v>
      </c>
    </row>
    <row r="15" spans="1:133" x14ac:dyDescent="0.2">
      <c r="A15">
        <v>15</v>
      </c>
      <c r="B15">
        <v>1</v>
      </c>
    </row>
    <row r="18" spans="1:245" x14ac:dyDescent="0.2">
      <c r="A18">
        <v>52</v>
      </c>
      <c r="B18">
        <f t="shared" ref="B18:G18" si="0">B110</f>
        <v>176</v>
      </c>
      <c r="C18">
        <f t="shared" si="0"/>
        <v>1</v>
      </c>
      <c r="D18">
        <f t="shared" si="0"/>
        <v>12</v>
      </c>
      <c r="E18">
        <f t="shared" si="0"/>
        <v>0</v>
      </c>
      <c r="F18" t="str">
        <f t="shared" si="0"/>
        <v>Новый объект</v>
      </c>
      <c r="G18" t="str">
        <f t="shared" si="0"/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O18">
        <f t="shared" ref="O18:AT18" si="1">O110</f>
        <v>147171.34</v>
      </c>
      <c r="P18">
        <f t="shared" si="1"/>
        <v>16188.8</v>
      </c>
      <c r="Q18">
        <f t="shared" si="1"/>
        <v>113263.77</v>
      </c>
      <c r="R18">
        <f t="shared" si="1"/>
        <v>116.53</v>
      </c>
      <c r="S18">
        <f t="shared" si="1"/>
        <v>17602.240000000002</v>
      </c>
      <c r="T18">
        <f t="shared" si="1"/>
        <v>0</v>
      </c>
      <c r="U18">
        <f t="shared" si="1"/>
        <v>27.805955000000001</v>
      </c>
      <c r="V18">
        <f t="shared" si="1"/>
        <v>0.16423980000000002</v>
      </c>
      <c r="W18">
        <f t="shared" si="1"/>
        <v>0</v>
      </c>
      <c r="X18">
        <f t="shared" si="1"/>
        <v>17955.64</v>
      </c>
      <c r="Y18">
        <f t="shared" si="1"/>
        <v>9923.19</v>
      </c>
      <c r="Z18">
        <f t="shared" si="1"/>
        <v>0</v>
      </c>
      <c r="AA18">
        <f t="shared" si="1"/>
        <v>0</v>
      </c>
      <c r="AB18">
        <f t="shared" si="1"/>
        <v>0</v>
      </c>
      <c r="AC18">
        <f t="shared" si="1"/>
        <v>0</v>
      </c>
      <c r="AD18">
        <f t="shared" si="1"/>
        <v>0</v>
      </c>
      <c r="AE18">
        <f t="shared" si="1"/>
        <v>0</v>
      </c>
      <c r="AF18">
        <f t="shared" si="1"/>
        <v>0</v>
      </c>
      <c r="AG18">
        <f t="shared" si="1"/>
        <v>0</v>
      </c>
      <c r="AH18">
        <f t="shared" si="1"/>
        <v>0</v>
      </c>
      <c r="AI18">
        <f t="shared" si="1"/>
        <v>0</v>
      </c>
      <c r="AJ18">
        <f t="shared" si="1"/>
        <v>0</v>
      </c>
      <c r="AK18">
        <f t="shared" si="1"/>
        <v>0</v>
      </c>
      <c r="AL18">
        <f t="shared" si="1"/>
        <v>0</v>
      </c>
      <c r="AM18">
        <f t="shared" si="1"/>
        <v>0</v>
      </c>
      <c r="AN18">
        <f t="shared" si="1"/>
        <v>0</v>
      </c>
      <c r="AO18">
        <f t="shared" si="1"/>
        <v>0</v>
      </c>
      <c r="AP18">
        <f t="shared" si="1"/>
        <v>0</v>
      </c>
      <c r="AQ18">
        <f t="shared" si="1"/>
        <v>0</v>
      </c>
      <c r="AR18">
        <f t="shared" si="1"/>
        <v>175050.17</v>
      </c>
      <c r="AS18">
        <f t="shared" si="1"/>
        <v>175050.17</v>
      </c>
      <c r="AT18">
        <f t="shared" si="1"/>
        <v>0</v>
      </c>
      <c r="AU18">
        <f t="shared" ref="AU18:BZ18" si="2">AU110</f>
        <v>0</v>
      </c>
      <c r="AV18">
        <f t="shared" si="2"/>
        <v>16188.8</v>
      </c>
      <c r="AW18">
        <f t="shared" si="2"/>
        <v>16188.8</v>
      </c>
      <c r="AX18">
        <f t="shared" si="2"/>
        <v>0</v>
      </c>
      <c r="AY18">
        <f t="shared" si="2"/>
        <v>16188.8</v>
      </c>
      <c r="AZ18">
        <f t="shared" si="2"/>
        <v>0</v>
      </c>
      <c r="BA18">
        <f t="shared" si="2"/>
        <v>0</v>
      </c>
      <c r="BB18">
        <f t="shared" si="2"/>
        <v>0</v>
      </c>
      <c r="BC18">
        <f t="shared" si="2"/>
        <v>0</v>
      </c>
      <c r="BD18">
        <f t="shared" si="2"/>
        <v>0</v>
      </c>
      <c r="BE18">
        <f t="shared" si="2"/>
        <v>0</v>
      </c>
      <c r="BF18">
        <f t="shared" si="2"/>
        <v>0</v>
      </c>
      <c r="BG18">
        <f t="shared" si="2"/>
        <v>0</v>
      </c>
      <c r="BH18">
        <f t="shared" si="2"/>
        <v>0</v>
      </c>
      <c r="BI18">
        <f t="shared" si="2"/>
        <v>0</v>
      </c>
      <c r="BJ18">
        <f t="shared" si="2"/>
        <v>0</v>
      </c>
      <c r="BK18">
        <f t="shared" si="2"/>
        <v>0</v>
      </c>
      <c r="BL18">
        <f t="shared" si="2"/>
        <v>0</v>
      </c>
      <c r="BM18">
        <f t="shared" si="2"/>
        <v>0</v>
      </c>
      <c r="BN18">
        <f t="shared" si="2"/>
        <v>0</v>
      </c>
      <c r="BO18">
        <f t="shared" si="2"/>
        <v>0</v>
      </c>
      <c r="BP18">
        <f t="shared" si="2"/>
        <v>0</v>
      </c>
      <c r="BQ18">
        <f t="shared" si="2"/>
        <v>0</v>
      </c>
      <c r="BR18">
        <f t="shared" si="2"/>
        <v>0</v>
      </c>
      <c r="BS18">
        <f t="shared" si="2"/>
        <v>0</v>
      </c>
      <c r="BT18">
        <f t="shared" si="2"/>
        <v>0</v>
      </c>
      <c r="BU18">
        <f t="shared" si="2"/>
        <v>0</v>
      </c>
      <c r="BV18">
        <f t="shared" si="2"/>
        <v>0</v>
      </c>
      <c r="BW18">
        <f t="shared" si="2"/>
        <v>0</v>
      </c>
      <c r="BX18">
        <f t="shared" si="2"/>
        <v>0</v>
      </c>
      <c r="BY18">
        <f t="shared" si="2"/>
        <v>0</v>
      </c>
      <c r="BZ18">
        <f t="shared" si="2"/>
        <v>0</v>
      </c>
      <c r="CA18">
        <f t="shared" ref="CA18:DF18" si="3">CA110</f>
        <v>0</v>
      </c>
      <c r="CB18">
        <f t="shared" si="3"/>
        <v>0</v>
      </c>
      <c r="CC18">
        <f t="shared" si="3"/>
        <v>0</v>
      </c>
      <c r="CD18">
        <f t="shared" si="3"/>
        <v>0</v>
      </c>
      <c r="CE18">
        <f t="shared" si="3"/>
        <v>0</v>
      </c>
      <c r="CF18">
        <f t="shared" si="3"/>
        <v>0</v>
      </c>
      <c r="CG18">
        <f t="shared" si="3"/>
        <v>0</v>
      </c>
      <c r="CH18">
        <f t="shared" si="3"/>
        <v>0</v>
      </c>
      <c r="CI18">
        <f t="shared" si="3"/>
        <v>0</v>
      </c>
      <c r="CJ18">
        <f t="shared" si="3"/>
        <v>0</v>
      </c>
      <c r="CK18">
        <f t="shared" si="3"/>
        <v>0</v>
      </c>
      <c r="CL18">
        <f t="shared" si="3"/>
        <v>0</v>
      </c>
      <c r="CM18">
        <f t="shared" si="3"/>
        <v>0</v>
      </c>
      <c r="CN18">
        <f t="shared" si="3"/>
        <v>0</v>
      </c>
      <c r="CO18">
        <f t="shared" si="3"/>
        <v>0</v>
      </c>
      <c r="CP18">
        <f t="shared" si="3"/>
        <v>0</v>
      </c>
      <c r="CQ18">
        <f t="shared" si="3"/>
        <v>0</v>
      </c>
      <c r="CR18">
        <f t="shared" si="3"/>
        <v>0</v>
      </c>
      <c r="CS18">
        <f t="shared" si="3"/>
        <v>0</v>
      </c>
      <c r="CT18">
        <f t="shared" si="3"/>
        <v>0</v>
      </c>
      <c r="CU18">
        <f t="shared" si="3"/>
        <v>0</v>
      </c>
      <c r="CV18">
        <f t="shared" si="3"/>
        <v>0</v>
      </c>
      <c r="CW18">
        <f t="shared" si="3"/>
        <v>0</v>
      </c>
      <c r="CX18">
        <f t="shared" si="3"/>
        <v>0</v>
      </c>
      <c r="CY18">
        <f t="shared" si="3"/>
        <v>0</v>
      </c>
      <c r="CZ18">
        <f t="shared" si="3"/>
        <v>0</v>
      </c>
      <c r="DA18">
        <f t="shared" si="3"/>
        <v>0</v>
      </c>
      <c r="DB18">
        <f t="shared" si="3"/>
        <v>0</v>
      </c>
      <c r="DC18">
        <f t="shared" si="3"/>
        <v>0</v>
      </c>
      <c r="DD18">
        <f t="shared" si="3"/>
        <v>0</v>
      </c>
      <c r="DE18">
        <f t="shared" si="3"/>
        <v>0</v>
      </c>
      <c r="DF18">
        <f t="shared" si="3"/>
        <v>0</v>
      </c>
      <c r="DG18">
        <f t="shared" ref="DG18:EL18" si="4">DG110</f>
        <v>0</v>
      </c>
      <c r="DH18">
        <f t="shared" si="4"/>
        <v>0</v>
      </c>
      <c r="DI18">
        <f t="shared" si="4"/>
        <v>0</v>
      </c>
      <c r="DJ18">
        <f t="shared" si="4"/>
        <v>0</v>
      </c>
      <c r="DK18">
        <f t="shared" si="4"/>
        <v>0</v>
      </c>
      <c r="DL18">
        <f t="shared" si="4"/>
        <v>0</v>
      </c>
      <c r="DM18">
        <f t="shared" si="4"/>
        <v>0</v>
      </c>
      <c r="DN18">
        <f t="shared" si="4"/>
        <v>0</v>
      </c>
      <c r="DO18">
        <f t="shared" si="4"/>
        <v>0</v>
      </c>
      <c r="DP18">
        <f t="shared" si="4"/>
        <v>0</v>
      </c>
      <c r="DQ18">
        <f t="shared" si="4"/>
        <v>0</v>
      </c>
      <c r="DR18">
        <f t="shared" si="4"/>
        <v>0</v>
      </c>
      <c r="DS18">
        <f t="shared" si="4"/>
        <v>0</v>
      </c>
      <c r="DT18">
        <f t="shared" si="4"/>
        <v>0</v>
      </c>
      <c r="DU18">
        <f t="shared" si="4"/>
        <v>0</v>
      </c>
      <c r="DV18">
        <f t="shared" si="4"/>
        <v>0</v>
      </c>
      <c r="DW18">
        <f t="shared" si="4"/>
        <v>0</v>
      </c>
      <c r="DX18">
        <f t="shared" si="4"/>
        <v>0</v>
      </c>
      <c r="DY18">
        <f t="shared" si="4"/>
        <v>0</v>
      </c>
      <c r="DZ18">
        <f t="shared" si="4"/>
        <v>0</v>
      </c>
      <c r="EA18">
        <f t="shared" si="4"/>
        <v>0</v>
      </c>
      <c r="EB18">
        <f t="shared" si="4"/>
        <v>0</v>
      </c>
      <c r="EC18">
        <f t="shared" si="4"/>
        <v>0</v>
      </c>
      <c r="ED18">
        <f t="shared" si="4"/>
        <v>0</v>
      </c>
      <c r="EE18">
        <f t="shared" si="4"/>
        <v>0</v>
      </c>
      <c r="EF18">
        <f t="shared" si="4"/>
        <v>0</v>
      </c>
      <c r="EG18">
        <f t="shared" si="4"/>
        <v>0</v>
      </c>
      <c r="EH18">
        <f t="shared" si="4"/>
        <v>0</v>
      </c>
      <c r="EI18">
        <f t="shared" si="4"/>
        <v>0</v>
      </c>
      <c r="EJ18">
        <f t="shared" si="4"/>
        <v>0</v>
      </c>
      <c r="EK18">
        <f t="shared" si="4"/>
        <v>0</v>
      </c>
      <c r="EL18">
        <f t="shared" si="4"/>
        <v>0</v>
      </c>
      <c r="EM18">
        <f t="shared" ref="EM18:FR18" si="5">EM110</f>
        <v>0</v>
      </c>
      <c r="EN18">
        <f t="shared" si="5"/>
        <v>0</v>
      </c>
      <c r="EO18">
        <f t="shared" si="5"/>
        <v>0</v>
      </c>
      <c r="EP18">
        <f t="shared" si="5"/>
        <v>0</v>
      </c>
      <c r="EQ18">
        <f t="shared" si="5"/>
        <v>0</v>
      </c>
      <c r="ER18">
        <f t="shared" si="5"/>
        <v>0</v>
      </c>
      <c r="ES18">
        <f t="shared" si="5"/>
        <v>0</v>
      </c>
      <c r="ET18">
        <f t="shared" si="5"/>
        <v>0</v>
      </c>
      <c r="EU18">
        <f t="shared" si="5"/>
        <v>0</v>
      </c>
      <c r="EV18">
        <f t="shared" si="5"/>
        <v>0</v>
      </c>
      <c r="EW18">
        <f t="shared" si="5"/>
        <v>0</v>
      </c>
      <c r="EX18">
        <f t="shared" si="5"/>
        <v>0</v>
      </c>
      <c r="EY18">
        <f t="shared" si="5"/>
        <v>0</v>
      </c>
      <c r="EZ18">
        <f t="shared" si="5"/>
        <v>0</v>
      </c>
      <c r="FA18">
        <f t="shared" si="5"/>
        <v>0</v>
      </c>
      <c r="FB18">
        <f t="shared" si="5"/>
        <v>0</v>
      </c>
      <c r="FC18">
        <f t="shared" si="5"/>
        <v>0</v>
      </c>
      <c r="FD18">
        <f t="shared" si="5"/>
        <v>0</v>
      </c>
      <c r="FE18">
        <f t="shared" si="5"/>
        <v>0</v>
      </c>
      <c r="FF18">
        <f t="shared" si="5"/>
        <v>0</v>
      </c>
      <c r="FG18">
        <f t="shared" si="5"/>
        <v>0</v>
      </c>
      <c r="FH18">
        <f t="shared" si="5"/>
        <v>0</v>
      </c>
      <c r="FI18">
        <f t="shared" si="5"/>
        <v>0</v>
      </c>
      <c r="FJ18">
        <f t="shared" si="5"/>
        <v>0</v>
      </c>
      <c r="FK18">
        <f t="shared" si="5"/>
        <v>0</v>
      </c>
      <c r="FL18">
        <f t="shared" si="5"/>
        <v>0</v>
      </c>
      <c r="FM18">
        <f t="shared" si="5"/>
        <v>0</v>
      </c>
      <c r="FN18">
        <f t="shared" si="5"/>
        <v>0</v>
      </c>
      <c r="FO18">
        <f t="shared" si="5"/>
        <v>0</v>
      </c>
      <c r="FP18">
        <f t="shared" si="5"/>
        <v>0</v>
      </c>
      <c r="FQ18">
        <f t="shared" si="5"/>
        <v>0</v>
      </c>
      <c r="FR18">
        <f t="shared" si="5"/>
        <v>0</v>
      </c>
      <c r="FS18">
        <f t="shared" ref="FS18:GX18" si="6">FS110</f>
        <v>0</v>
      </c>
      <c r="FT18">
        <f t="shared" si="6"/>
        <v>0</v>
      </c>
      <c r="FU18">
        <f t="shared" si="6"/>
        <v>0</v>
      </c>
      <c r="FV18">
        <f t="shared" si="6"/>
        <v>0</v>
      </c>
      <c r="FW18">
        <f t="shared" si="6"/>
        <v>0</v>
      </c>
      <c r="FX18">
        <f t="shared" si="6"/>
        <v>0</v>
      </c>
      <c r="FY18">
        <f t="shared" si="6"/>
        <v>0</v>
      </c>
      <c r="FZ18">
        <f t="shared" si="6"/>
        <v>0</v>
      </c>
      <c r="GA18">
        <f t="shared" si="6"/>
        <v>0</v>
      </c>
      <c r="GB18">
        <f t="shared" si="6"/>
        <v>0</v>
      </c>
      <c r="GC18">
        <f t="shared" si="6"/>
        <v>0</v>
      </c>
      <c r="GD18">
        <f t="shared" si="6"/>
        <v>0</v>
      </c>
      <c r="GE18">
        <f t="shared" si="6"/>
        <v>0</v>
      </c>
      <c r="GF18">
        <f t="shared" si="6"/>
        <v>0</v>
      </c>
      <c r="GG18">
        <f t="shared" si="6"/>
        <v>0</v>
      </c>
      <c r="GH18">
        <f t="shared" si="6"/>
        <v>0</v>
      </c>
      <c r="GI18">
        <f t="shared" si="6"/>
        <v>0</v>
      </c>
      <c r="GJ18">
        <f t="shared" si="6"/>
        <v>0</v>
      </c>
      <c r="GK18">
        <f t="shared" si="6"/>
        <v>0</v>
      </c>
      <c r="GL18">
        <f t="shared" si="6"/>
        <v>0</v>
      </c>
      <c r="GM18">
        <f t="shared" si="6"/>
        <v>0</v>
      </c>
      <c r="GN18">
        <f t="shared" si="6"/>
        <v>0</v>
      </c>
      <c r="GO18">
        <f t="shared" si="6"/>
        <v>0</v>
      </c>
      <c r="GP18">
        <f t="shared" si="6"/>
        <v>0</v>
      </c>
      <c r="GQ18">
        <f t="shared" si="6"/>
        <v>0</v>
      </c>
      <c r="GR18">
        <f t="shared" si="6"/>
        <v>0</v>
      </c>
      <c r="GS18">
        <f t="shared" si="6"/>
        <v>0</v>
      </c>
      <c r="GT18">
        <f t="shared" si="6"/>
        <v>0</v>
      </c>
      <c r="GU18">
        <f t="shared" si="6"/>
        <v>0</v>
      </c>
      <c r="GV18">
        <f t="shared" si="6"/>
        <v>0</v>
      </c>
      <c r="GW18">
        <f t="shared" si="6"/>
        <v>0</v>
      </c>
      <c r="GX18">
        <f t="shared" si="6"/>
        <v>0</v>
      </c>
    </row>
    <row r="20" spans="1:245" x14ac:dyDescent="0.2">
      <c r="A20">
        <v>3</v>
      </c>
      <c r="B20">
        <v>1</v>
      </c>
      <c r="D20">
        <f>ROW(A77)</f>
        <v>77</v>
      </c>
      <c r="F20" t="s">
        <v>14</v>
      </c>
      <c r="G20" t="s">
        <v>14</v>
      </c>
      <c r="H20" t="s">
        <v>3</v>
      </c>
      <c r="I20">
        <v>0</v>
      </c>
      <c r="J20" t="s">
        <v>3</v>
      </c>
      <c r="K20">
        <v>0</v>
      </c>
      <c r="L20" t="s">
        <v>14</v>
      </c>
      <c r="M20" t="s">
        <v>3</v>
      </c>
      <c r="S20">
        <v>0</v>
      </c>
      <c r="U20" t="s">
        <v>3</v>
      </c>
      <c r="V20">
        <v>0</v>
      </c>
      <c r="AB20" t="s">
        <v>3</v>
      </c>
      <c r="AC20" t="s">
        <v>3</v>
      </c>
      <c r="AD20" t="s">
        <v>3</v>
      </c>
      <c r="AE20" t="s">
        <v>3</v>
      </c>
      <c r="AF20" t="s">
        <v>3</v>
      </c>
      <c r="AG20" t="s">
        <v>3</v>
      </c>
      <c r="AP20" t="s">
        <v>3</v>
      </c>
      <c r="AQ20" t="s">
        <v>3</v>
      </c>
      <c r="AR20" t="s">
        <v>3</v>
      </c>
      <c r="AZ20" t="s">
        <v>3</v>
      </c>
      <c r="BB20" t="s">
        <v>3</v>
      </c>
      <c r="BC20" t="s">
        <v>3</v>
      </c>
      <c r="BD20" t="s">
        <v>3</v>
      </c>
      <c r="BE20" t="s">
        <v>3</v>
      </c>
      <c r="BF20" t="s">
        <v>3</v>
      </c>
      <c r="BG20" t="s">
        <v>3</v>
      </c>
      <c r="BH20" t="s">
        <v>3</v>
      </c>
      <c r="BI20" t="s">
        <v>3</v>
      </c>
      <c r="BJ20" t="s">
        <v>3</v>
      </c>
      <c r="BK20" t="s">
        <v>3</v>
      </c>
      <c r="BL20" t="s">
        <v>3</v>
      </c>
      <c r="BM20" t="s">
        <v>3</v>
      </c>
      <c r="BN20" t="s">
        <v>3</v>
      </c>
      <c r="BO20" t="s">
        <v>3</v>
      </c>
      <c r="BP20" t="s">
        <v>3</v>
      </c>
      <c r="BX20">
        <v>0</v>
      </c>
      <c r="CF20">
        <v>0</v>
      </c>
      <c r="CG20">
        <v>0</v>
      </c>
      <c r="CI20" t="s">
        <v>3</v>
      </c>
      <c r="CJ20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>
        <v>52</v>
      </c>
      <c r="B22">
        <f t="shared" ref="B22:G22" si="7">B77</f>
        <v>1</v>
      </c>
      <c r="C22">
        <f t="shared" si="7"/>
        <v>3</v>
      </c>
      <c r="D22">
        <f t="shared" si="7"/>
        <v>20</v>
      </c>
      <c r="E22">
        <f t="shared" si="7"/>
        <v>0</v>
      </c>
      <c r="F22" t="str">
        <f t="shared" si="7"/>
        <v>Новая локальная смета</v>
      </c>
      <c r="G22" t="str">
        <f t="shared" si="7"/>
        <v>Новая локальная смета</v>
      </c>
      <c r="O22">
        <f t="shared" ref="O22:AT22" si="8">O77</f>
        <v>147171.34</v>
      </c>
      <c r="P22">
        <f t="shared" si="8"/>
        <v>16188.8</v>
      </c>
      <c r="Q22">
        <f t="shared" si="8"/>
        <v>113263.77</v>
      </c>
      <c r="R22">
        <f t="shared" si="8"/>
        <v>116.53</v>
      </c>
      <c r="S22">
        <f t="shared" si="8"/>
        <v>17602.240000000002</v>
      </c>
      <c r="T22">
        <f t="shared" si="8"/>
        <v>0</v>
      </c>
      <c r="U22">
        <f t="shared" si="8"/>
        <v>27.805955000000001</v>
      </c>
      <c r="V22">
        <f t="shared" si="8"/>
        <v>0.16423980000000002</v>
      </c>
      <c r="W22">
        <f t="shared" si="8"/>
        <v>0</v>
      </c>
      <c r="X22">
        <f t="shared" si="8"/>
        <v>17955.64</v>
      </c>
      <c r="Y22">
        <f t="shared" si="8"/>
        <v>9923.19</v>
      </c>
      <c r="Z22">
        <f t="shared" si="8"/>
        <v>0</v>
      </c>
      <c r="AA22">
        <f t="shared" si="8"/>
        <v>0</v>
      </c>
      <c r="AB22">
        <f t="shared" si="8"/>
        <v>0</v>
      </c>
      <c r="AC22">
        <f t="shared" si="8"/>
        <v>0</v>
      </c>
      <c r="AD22">
        <f t="shared" si="8"/>
        <v>0</v>
      </c>
      <c r="AE22">
        <f t="shared" si="8"/>
        <v>0</v>
      </c>
      <c r="AF22">
        <f t="shared" si="8"/>
        <v>0</v>
      </c>
      <c r="AG22">
        <f t="shared" si="8"/>
        <v>0</v>
      </c>
      <c r="AH22">
        <f t="shared" si="8"/>
        <v>0</v>
      </c>
      <c r="AI22">
        <f t="shared" si="8"/>
        <v>0</v>
      </c>
      <c r="AJ22">
        <f t="shared" si="8"/>
        <v>0</v>
      </c>
      <c r="AK22">
        <f t="shared" si="8"/>
        <v>0</v>
      </c>
      <c r="AL22">
        <f t="shared" si="8"/>
        <v>0</v>
      </c>
      <c r="AM22">
        <f t="shared" si="8"/>
        <v>0</v>
      </c>
      <c r="AN22">
        <f t="shared" si="8"/>
        <v>0</v>
      </c>
      <c r="AO22">
        <f t="shared" si="8"/>
        <v>0</v>
      </c>
      <c r="AP22">
        <f t="shared" si="8"/>
        <v>0</v>
      </c>
      <c r="AQ22">
        <f t="shared" si="8"/>
        <v>0</v>
      </c>
      <c r="AR22">
        <f t="shared" si="8"/>
        <v>175050.17</v>
      </c>
      <c r="AS22">
        <f t="shared" si="8"/>
        <v>175050.17</v>
      </c>
      <c r="AT22">
        <f t="shared" si="8"/>
        <v>0</v>
      </c>
      <c r="AU22">
        <f t="shared" ref="AU22:BZ22" si="9">AU77</f>
        <v>0</v>
      </c>
      <c r="AV22">
        <f t="shared" si="9"/>
        <v>16188.8</v>
      </c>
      <c r="AW22">
        <f t="shared" si="9"/>
        <v>16188.8</v>
      </c>
      <c r="AX22">
        <f t="shared" si="9"/>
        <v>0</v>
      </c>
      <c r="AY22">
        <f t="shared" si="9"/>
        <v>16188.8</v>
      </c>
      <c r="AZ22">
        <f t="shared" si="9"/>
        <v>0</v>
      </c>
      <c r="BA22">
        <f t="shared" si="9"/>
        <v>0</v>
      </c>
      <c r="BB22">
        <f t="shared" si="9"/>
        <v>0</v>
      </c>
      <c r="BC22">
        <f t="shared" si="9"/>
        <v>0</v>
      </c>
      <c r="BD22">
        <f t="shared" si="9"/>
        <v>0</v>
      </c>
      <c r="BE22">
        <f t="shared" si="9"/>
        <v>0</v>
      </c>
      <c r="BF22">
        <f t="shared" si="9"/>
        <v>0</v>
      </c>
      <c r="BG22">
        <f t="shared" si="9"/>
        <v>0</v>
      </c>
      <c r="BH22">
        <f t="shared" si="9"/>
        <v>0</v>
      </c>
      <c r="BI22">
        <f t="shared" si="9"/>
        <v>0</v>
      </c>
      <c r="BJ22">
        <f t="shared" si="9"/>
        <v>0</v>
      </c>
      <c r="BK22">
        <f t="shared" si="9"/>
        <v>0</v>
      </c>
      <c r="BL22">
        <f t="shared" si="9"/>
        <v>0</v>
      </c>
      <c r="BM22">
        <f t="shared" si="9"/>
        <v>0</v>
      </c>
      <c r="BN22">
        <f t="shared" si="9"/>
        <v>0</v>
      </c>
      <c r="BO22">
        <f t="shared" si="9"/>
        <v>0</v>
      </c>
      <c r="BP22">
        <f t="shared" si="9"/>
        <v>0</v>
      </c>
      <c r="BQ22">
        <f t="shared" si="9"/>
        <v>0</v>
      </c>
      <c r="BR22">
        <f t="shared" si="9"/>
        <v>0</v>
      </c>
      <c r="BS22">
        <f t="shared" si="9"/>
        <v>0</v>
      </c>
      <c r="BT22">
        <f t="shared" si="9"/>
        <v>0</v>
      </c>
      <c r="BU22">
        <f t="shared" si="9"/>
        <v>0</v>
      </c>
      <c r="BV22">
        <f t="shared" si="9"/>
        <v>0</v>
      </c>
      <c r="BW22">
        <f t="shared" si="9"/>
        <v>0</v>
      </c>
      <c r="BX22">
        <f t="shared" si="9"/>
        <v>0</v>
      </c>
      <c r="BY22">
        <f t="shared" si="9"/>
        <v>0</v>
      </c>
      <c r="BZ22">
        <f t="shared" si="9"/>
        <v>0</v>
      </c>
      <c r="CA22">
        <f t="shared" ref="CA22:DF22" si="10">CA77</f>
        <v>0</v>
      </c>
      <c r="CB22">
        <f t="shared" si="10"/>
        <v>0</v>
      </c>
      <c r="CC22">
        <f t="shared" si="10"/>
        <v>0</v>
      </c>
      <c r="CD22">
        <f t="shared" si="10"/>
        <v>0</v>
      </c>
      <c r="CE22">
        <f t="shared" si="10"/>
        <v>0</v>
      </c>
      <c r="CF22">
        <f t="shared" si="10"/>
        <v>0</v>
      </c>
      <c r="CG22">
        <f t="shared" si="10"/>
        <v>0</v>
      </c>
      <c r="CH22">
        <f t="shared" si="10"/>
        <v>0</v>
      </c>
      <c r="CI22">
        <f t="shared" si="10"/>
        <v>0</v>
      </c>
      <c r="CJ22">
        <f t="shared" si="10"/>
        <v>0</v>
      </c>
      <c r="CK22">
        <f t="shared" si="10"/>
        <v>0</v>
      </c>
      <c r="CL22">
        <f t="shared" si="10"/>
        <v>0</v>
      </c>
      <c r="CM22">
        <f t="shared" si="10"/>
        <v>0</v>
      </c>
      <c r="CN22">
        <f t="shared" si="10"/>
        <v>0</v>
      </c>
      <c r="CO22">
        <f t="shared" si="10"/>
        <v>0</v>
      </c>
      <c r="CP22">
        <f t="shared" si="10"/>
        <v>0</v>
      </c>
      <c r="CQ22">
        <f t="shared" si="10"/>
        <v>0</v>
      </c>
      <c r="CR22">
        <f t="shared" si="10"/>
        <v>0</v>
      </c>
      <c r="CS22">
        <f t="shared" si="10"/>
        <v>0</v>
      </c>
      <c r="CT22">
        <f t="shared" si="10"/>
        <v>0</v>
      </c>
      <c r="CU22">
        <f t="shared" si="10"/>
        <v>0</v>
      </c>
      <c r="CV22">
        <f t="shared" si="10"/>
        <v>0</v>
      </c>
      <c r="CW22">
        <f t="shared" si="10"/>
        <v>0</v>
      </c>
      <c r="CX22">
        <f t="shared" si="10"/>
        <v>0</v>
      </c>
      <c r="CY22">
        <f t="shared" si="10"/>
        <v>0</v>
      </c>
      <c r="CZ22">
        <f t="shared" si="10"/>
        <v>0</v>
      </c>
      <c r="DA22">
        <f t="shared" si="10"/>
        <v>0</v>
      </c>
      <c r="DB22">
        <f t="shared" si="10"/>
        <v>0</v>
      </c>
      <c r="DC22">
        <f t="shared" si="10"/>
        <v>0</v>
      </c>
      <c r="DD22">
        <f t="shared" si="10"/>
        <v>0</v>
      </c>
      <c r="DE22">
        <f t="shared" si="10"/>
        <v>0</v>
      </c>
      <c r="DF22">
        <f t="shared" si="10"/>
        <v>0</v>
      </c>
      <c r="DG22">
        <f t="shared" ref="DG22:EL22" si="11">DG77</f>
        <v>0</v>
      </c>
      <c r="DH22">
        <f t="shared" si="11"/>
        <v>0</v>
      </c>
      <c r="DI22">
        <f t="shared" si="11"/>
        <v>0</v>
      </c>
      <c r="DJ22">
        <f t="shared" si="11"/>
        <v>0</v>
      </c>
      <c r="DK22">
        <f t="shared" si="11"/>
        <v>0</v>
      </c>
      <c r="DL22">
        <f t="shared" si="11"/>
        <v>0</v>
      </c>
      <c r="DM22">
        <f t="shared" si="11"/>
        <v>0</v>
      </c>
      <c r="DN22">
        <f t="shared" si="11"/>
        <v>0</v>
      </c>
      <c r="DO22">
        <f t="shared" si="11"/>
        <v>0</v>
      </c>
      <c r="DP22">
        <f t="shared" si="11"/>
        <v>0</v>
      </c>
      <c r="DQ22">
        <f t="shared" si="11"/>
        <v>0</v>
      </c>
      <c r="DR22">
        <f t="shared" si="11"/>
        <v>0</v>
      </c>
      <c r="DS22">
        <f t="shared" si="11"/>
        <v>0</v>
      </c>
      <c r="DT22">
        <f t="shared" si="11"/>
        <v>0</v>
      </c>
      <c r="DU22">
        <f t="shared" si="11"/>
        <v>0</v>
      </c>
      <c r="DV22">
        <f t="shared" si="11"/>
        <v>0</v>
      </c>
      <c r="DW22">
        <f t="shared" si="11"/>
        <v>0</v>
      </c>
      <c r="DX22">
        <f t="shared" si="11"/>
        <v>0</v>
      </c>
      <c r="DY22">
        <f t="shared" si="11"/>
        <v>0</v>
      </c>
      <c r="DZ22">
        <f t="shared" si="11"/>
        <v>0</v>
      </c>
      <c r="EA22">
        <f t="shared" si="11"/>
        <v>0</v>
      </c>
      <c r="EB22">
        <f t="shared" si="11"/>
        <v>0</v>
      </c>
      <c r="EC22">
        <f t="shared" si="11"/>
        <v>0</v>
      </c>
      <c r="ED22">
        <f t="shared" si="11"/>
        <v>0</v>
      </c>
      <c r="EE22">
        <f t="shared" si="11"/>
        <v>0</v>
      </c>
      <c r="EF22">
        <f t="shared" si="11"/>
        <v>0</v>
      </c>
      <c r="EG22">
        <f t="shared" si="11"/>
        <v>0</v>
      </c>
      <c r="EH22">
        <f t="shared" si="11"/>
        <v>0</v>
      </c>
      <c r="EI22">
        <f t="shared" si="11"/>
        <v>0</v>
      </c>
      <c r="EJ22">
        <f t="shared" si="11"/>
        <v>0</v>
      </c>
      <c r="EK22">
        <f t="shared" si="11"/>
        <v>0</v>
      </c>
      <c r="EL22">
        <f t="shared" si="11"/>
        <v>0</v>
      </c>
      <c r="EM22">
        <f t="shared" ref="EM22:FR22" si="12">EM77</f>
        <v>0</v>
      </c>
      <c r="EN22">
        <f t="shared" si="12"/>
        <v>0</v>
      </c>
      <c r="EO22">
        <f t="shared" si="12"/>
        <v>0</v>
      </c>
      <c r="EP22">
        <f t="shared" si="12"/>
        <v>0</v>
      </c>
      <c r="EQ22">
        <f t="shared" si="12"/>
        <v>0</v>
      </c>
      <c r="ER22">
        <f t="shared" si="12"/>
        <v>0</v>
      </c>
      <c r="ES22">
        <f t="shared" si="12"/>
        <v>0</v>
      </c>
      <c r="ET22">
        <f t="shared" si="12"/>
        <v>0</v>
      </c>
      <c r="EU22">
        <f t="shared" si="12"/>
        <v>0</v>
      </c>
      <c r="EV22">
        <f t="shared" si="12"/>
        <v>0</v>
      </c>
      <c r="EW22">
        <f t="shared" si="12"/>
        <v>0</v>
      </c>
      <c r="EX22">
        <f t="shared" si="12"/>
        <v>0</v>
      </c>
      <c r="EY22">
        <f t="shared" si="12"/>
        <v>0</v>
      </c>
      <c r="EZ22">
        <f t="shared" si="12"/>
        <v>0</v>
      </c>
      <c r="FA22">
        <f t="shared" si="12"/>
        <v>0</v>
      </c>
      <c r="FB22">
        <f t="shared" si="12"/>
        <v>0</v>
      </c>
      <c r="FC22">
        <f t="shared" si="12"/>
        <v>0</v>
      </c>
      <c r="FD22">
        <f t="shared" si="12"/>
        <v>0</v>
      </c>
      <c r="FE22">
        <f t="shared" si="12"/>
        <v>0</v>
      </c>
      <c r="FF22">
        <f t="shared" si="12"/>
        <v>0</v>
      </c>
      <c r="FG22">
        <f t="shared" si="12"/>
        <v>0</v>
      </c>
      <c r="FH22">
        <f t="shared" si="12"/>
        <v>0</v>
      </c>
      <c r="FI22">
        <f t="shared" si="12"/>
        <v>0</v>
      </c>
      <c r="FJ22">
        <f t="shared" si="12"/>
        <v>0</v>
      </c>
      <c r="FK22">
        <f t="shared" si="12"/>
        <v>0</v>
      </c>
      <c r="FL22">
        <f t="shared" si="12"/>
        <v>0</v>
      </c>
      <c r="FM22">
        <f t="shared" si="12"/>
        <v>0</v>
      </c>
      <c r="FN22">
        <f t="shared" si="12"/>
        <v>0</v>
      </c>
      <c r="FO22">
        <f t="shared" si="12"/>
        <v>0</v>
      </c>
      <c r="FP22">
        <f t="shared" si="12"/>
        <v>0</v>
      </c>
      <c r="FQ22">
        <f t="shared" si="12"/>
        <v>0</v>
      </c>
      <c r="FR22">
        <f t="shared" si="12"/>
        <v>0</v>
      </c>
      <c r="FS22">
        <f t="shared" ref="FS22:GX22" si="13">FS77</f>
        <v>0</v>
      </c>
      <c r="FT22">
        <f t="shared" si="13"/>
        <v>0</v>
      </c>
      <c r="FU22">
        <f t="shared" si="13"/>
        <v>0</v>
      </c>
      <c r="FV22">
        <f t="shared" si="13"/>
        <v>0</v>
      </c>
      <c r="FW22">
        <f t="shared" si="13"/>
        <v>0</v>
      </c>
      <c r="FX22">
        <f t="shared" si="13"/>
        <v>0</v>
      </c>
      <c r="FY22">
        <f t="shared" si="13"/>
        <v>0</v>
      </c>
      <c r="FZ22">
        <f t="shared" si="13"/>
        <v>0</v>
      </c>
      <c r="GA22">
        <f t="shared" si="13"/>
        <v>0</v>
      </c>
      <c r="GB22">
        <f t="shared" si="13"/>
        <v>0</v>
      </c>
      <c r="GC22">
        <f t="shared" si="13"/>
        <v>0</v>
      </c>
      <c r="GD22">
        <f t="shared" si="13"/>
        <v>0</v>
      </c>
      <c r="GE22">
        <f t="shared" si="13"/>
        <v>0</v>
      </c>
      <c r="GF22">
        <f t="shared" si="13"/>
        <v>0</v>
      </c>
      <c r="GG22">
        <f t="shared" si="13"/>
        <v>0</v>
      </c>
      <c r="GH22">
        <f t="shared" si="13"/>
        <v>0</v>
      </c>
      <c r="GI22">
        <f t="shared" si="13"/>
        <v>0</v>
      </c>
      <c r="GJ22">
        <f t="shared" si="13"/>
        <v>0</v>
      </c>
      <c r="GK22">
        <f t="shared" si="13"/>
        <v>0</v>
      </c>
      <c r="GL22">
        <f t="shared" si="13"/>
        <v>0</v>
      </c>
      <c r="GM22">
        <f t="shared" si="13"/>
        <v>0</v>
      </c>
      <c r="GN22">
        <f t="shared" si="13"/>
        <v>0</v>
      </c>
      <c r="GO22">
        <f t="shared" si="13"/>
        <v>0</v>
      </c>
      <c r="GP22">
        <f t="shared" si="13"/>
        <v>0</v>
      </c>
      <c r="GQ22">
        <f t="shared" si="13"/>
        <v>0</v>
      </c>
      <c r="GR22">
        <f t="shared" si="13"/>
        <v>0</v>
      </c>
      <c r="GS22">
        <f t="shared" si="13"/>
        <v>0</v>
      </c>
      <c r="GT22">
        <f t="shared" si="13"/>
        <v>0</v>
      </c>
      <c r="GU22">
        <f t="shared" si="13"/>
        <v>0</v>
      </c>
      <c r="GV22">
        <f t="shared" si="13"/>
        <v>0</v>
      </c>
      <c r="GW22">
        <f t="shared" si="13"/>
        <v>0</v>
      </c>
      <c r="GX22">
        <f t="shared" si="13"/>
        <v>0</v>
      </c>
    </row>
    <row r="24" spans="1:245" x14ac:dyDescent="0.2">
      <c r="A24">
        <v>4</v>
      </c>
      <c r="B24">
        <v>1</v>
      </c>
      <c r="D24">
        <f>ROW(A47)</f>
        <v>47</v>
      </c>
      <c r="F24" t="s">
        <v>15</v>
      </c>
      <c r="G24" t="s">
        <v>16</v>
      </c>
      <c r="H24" t="s">
        <v>3</v>
      </c>
      <c r="I24">
        <v>0</v>
      </c>
      <c r="K24">
        <v>0</v>
      </c>
      <c r="M24" t="s">
        <v>3</v>
      </c>
      <c r="S24">
        <v>0</v>
      </c>
      <c r="U24" t="s">
        <v>3</v>
      </c>
      <c r="V24">
        <v>0</v>
      </c>
      <c r="AB24" t="s">
        <v>3</v>
      </c>
      <c r="AC24" t="s">
        <v>3</v>
      </c>
      <c r="AD24" t="s">
        <v>3</v>
      </c>
      <c r="AE24" t="s">
        <v>3</v>
      </c>
      <c r="AF24" t="s">
        <v>3</v>
      </c>
      <c r="AG24" t="s">
        <v>3</v>
      </c>
      <c r="AP24" t="s">
        <v>3</v>
      </c>
      <c r="AQ24" t="s">
        <v>3</v>
      </c>
      <c r="AR24" t="s">
        <v>3</v>
      </c>
      <c r="AZ24" t="s">
        <v>3</v>
      </c>
      <c r="BB24" t="s">
        <v>3</v>
      </c>
      <c r="BC24" t="s">
        <v>3</v>
      </c>
      <c r="BD24" t="s">
        <v>3</v>
      </c>
      <c r="BE24" t="s">
        <v>3</v>
      </c>
      <c r="BF24" t="s">
        <v>3</v>
      </c>
      <c r="BG24" t="s">
        <v>3</v>
      </c>
      <c r="BH24" t="s">
        <v>3</v>
      </c>
      <c r="BI24" t="s">
        <v>3</v>
      </c>
      <c r="BJ24" t="s">
        <v>3</v>
      </c>
      <c r="BK24" t="s">
        <v>3</v>
      </c>
      <c r="BL24" t="s">
        <v>3</v>
      </c>
      <c r="BM24" t="s">
        <v>3</v>
      </c>
      <c r="BN24" t="s">
        <v>3</v>
      </c>
      <c r="BO24" t="s">
        <v>3</v>
      </c>
      <c r="BP24" t="s">
        <v>3</v>
      </c>
      <c r="BX24">
        <v>0</v>
      </c>
      <c r="CJ24">
        <v>0</v>
      </c>
    </row>
    <row r="26" spans="1:245" x14ac:dyDescent="0.2">
      <c r="A26">
        <v>52</v>
      </c>
      <c r="B26">
        <f t="shared" ref="B26:G26" si="14">B47</f>
        <v>1</v>
      </c>
      <c r="C26">
        <f t="shared" si="14"/>
        <v>4</v>
      </c>
      <c r="D26">
        <f t="shared" si="14"/>
        <v>24</v>
      </c>
      <c r="E26">
        <f t="shared" si="14"/>
        <v>0</v>
      </c>
      <c r="F26" t="str">
        <f t="shared" si="14"/>
        <v>Новый раздел</v>
      </c>
      <c r="G26" t="str">
        <f t="shared" si="14"/>
        <v>Монтажные работы</v>
      </c>
      <c r="O26">
        <f t="shared" ref="O26:AT26" si="15">O47</f>
        <v>147171.34</v>
      </c>
      <c r="P26">
        <f t="shared" si="15"/>
        <v>16188.8</v>
      </c>
      <c r="Q26">
        <f t="shared" si="15"/>
        <v>113263.77</v>
      </c>
      <c r="R26">
        <f t="shared" si="15"/>
        <v>116.53</v>
      </c>
      <c r="S26">
        <f t="shared" si="15"/>
        <v>17602.240000000002</v>
      </c>
      <c r="T26">
        <f t="shared" si="15"/>
        <v>0</v>
      </c>
      <c r="U26">
        <f t="shared" si="15"/>
        <v>27.805955000000001</v>
      </c>
      <c r="V26">
        <f t="shared" si="15"/>
        <v>0.16423980000000002</v>
      </c>
      <c r="W26">
        <f t="shared" si="15"/>
        <v>0</v>
      </c>
      <c r="X26">
        <f t="shared" si="15"/>
        <v>17955.64</v>
      </c>
      <c r="Y26">
        <f t="shared" si="15"/>
        <v>9923.19</v>
      </c>
      <c r="Z26">
        <f t="shared" si="15"/>
        <v>0</v>
      </c>
      <c r="AA26">
        <f t="shared" si="15"/>
        <v>0</v>
      </c>
      <c r="AB26">
        <f t="shared" si="15"/>
        <v>147171.34</v>
      </c>
      <c r="AC26">
        <f t="shared" si="15"/>
        <v>16188.8</v>
      </c>
      <c r="AD26">
        <f t="shared" si="15"/>
        <v>113263.77</v>
      </c>
      <c r="AE26">
        <f t="shared" si="15"/>
        <v>116.53</v>
      </c>
      <c r="AF26">
        <f t="shared" si="15"/>
        <v>17602.240000000002</v>
      </c>
      <c r="AG26">
        <f t="shared" si="15"/>
        <v>0</v>
      </c>
      <c r="AH26">
        <f t="shared" si="15"/>
        <v>27.805955000000001</v>
      </c>
      <c r="AI26">
        <f t="shared" si="15"/>
        <v>0.16423980000000002</v>
      </c>
      <c r="AJ26">
        <f t="shared" si="15"/>
        <v>0</v>
      </c>
      <c r="AK26">
        <f t="shared" si="15"/>
        <v>17955.64</v>
      </c>
      <c r="AL26">
        <f t="shared" si="15"/>
        <v>9923.19</v>
      </c>
      <c r="AM26">
        <f t="shared" si="15"/>
        <v>0</v>
      </c>
      <c r="AN26">
        <f t="shared" si="15"/>
        <v>0</v>
      </c>
      <c r="AO26">
        <f t="shared" si="15"/>
        <v>0</v>
      </c>
      <c r="AP26">
        <f t="shared" si="15"/>
        <v>0</v>
      </c>
      <c r="AQ26">
        <f t="shared" si="15"/>
        <v>0</v>
      </c>
      <c r="AR26">
        <f t="shared" si="15"/>
        <v>175050.17</v>
      </c>
      <c r="AS26">
        <f t="shared" si="15"/>
        <v>175050.17</v>
      </c>
      <c r="AT26">
        <f t="shared" si="15"/>
        <v>0</v>
      </c>
      <c r="AU26">
        <f t="shared" ref="AU26:BZ26" si="16">AU47</f>
        <v>0</v>
      </c>
      <c r="AV26">
        <f t="shared" si="16"/>
        <v>16188.8</v>
      </c>
      <c r="AW26">
        <f t="shared" si="16"/>
        <v>16188.8</v>
      </c>
      <c r="AX26">
        <f t="shared" si="16"/>
        <v>0</v>
      </c>
      <c r="AY26">
        <f t="shared" si="16"/>
        <v>16188.8</v>
      </c>
      <c r="AZ26">
        <f t="shared" si="16"/>
        <v>0</v>
      </c>
      <c r="BA26">
        <f t="shared" si="16"/>
        <v>0</v>
      </c>
      <c r="BB26">
        <f t="shared" si="16"/>
        <v>0</v>
      </c>
      <c r="BC26">
        <f t="shared" si="16"/>
        <v>0</v>
      </c>
      <c r="BD26">
        <f t="shared" si="16"/>
        <v>0</v>
      </c>
      <c r="BE26">
        <f t="shared" si="16"/>
        <v>0</v>
      </c>
      <c r="BF26">
        <f t="shared" si="16"/>
        <v>0</v>
      </c>
      <c r="BG26">
        <f t="shared" si="16"/>
        <v>0</v>
      </c>
      <c r="BH26">
        <f t="shared" si="16"/>
        <v>0</v>
      </c>
      <c r="BI26">
        <f t="shared" si="16"/>
        <v>0</v>
      </c>
      <c r="BJ26">
        <f t="shared" si="16"/>
        <v>0</v>
      </c>
      <c r="BK26">
        <f t="shared" si="16"/>
        <v>0</v>
      </c>
      <c r="BL26">
        <f t="shared" si="16"/>
        <v>0</v>
      </c>
      <c r="BM26">
        <f t="shared" si="16"/>
        <v>0</v>
      </c>
      <c r="BN26">
        <f t="shared" si="16"/>
        <v>0</v>
      </c>
      <c r="BO26">
        <f t="shared" si="16"/>
        <v>0</v>
      </c>
      <c r="BP26">
        <f t="shared" si="16"/>
        <v>0</v>
      </c>
      <c r="BQ26">
        <f t="shared" si="16"/>
        <v>0</v>
      </c>
      <c r="BR26">
        <f t="shared" si="16"/>
        <v>0</v>
      </c>
      <c r="BS26">
        <f t="shared" si="16"/>
        <v>0</v>
      </c>
      <c r="BT26">
        <f t="shared" si="16"/>
        <v>0</v>
      </c>
      <c r="BU26">
        <f t="shared" si="16"/>
        <v>0</v>
      </c>
      <c r="BV26">
        <f t="shared" si="16"/>
        <v>0</v>
      </c>
      <c r="BW26">
        <f t="shared" si="16"/>
        <v>0</v>
      </c>
      <c r="BX26">
        <f t="shared" si="16"/>
        <v>0</v>
      </c>
      <c r="BY26">
        <f t="shared" si="16"/>
        <v>0</v>
      </c>
      <c r="BZ26">
        <f t="shared" si="16"/>
        <v>0</v>
      </c>
      <c r="CA26">
        <f t="shared" ref="CA26:DF26" si="17">CA47</f>
        <v>175050.17</v>
      </c>
      <c r="CB26">
        <f t="shared" si="17"/>
        <v>175050.17</v>
      </c>
      <c r="CC26">
        <f t="shared" si="17"/>
        <v>0</v>
      </c>
      <c r="CD26">
        <f t="shared" si="17"/>
        <v>0</v>
      </c>
      <c r="CE26">
        <f t="shared" si="17"/>
        <v>16188.8</v>
      </c>
      <c r="CF26">
        <f t="shared" si="17"/>
        <v>16188.8</v>
      </c>
      <c r="CG26">
        <f t="shared" si="17"/>
        <v>0</v>
      </c>
      <c r="CH26">
        <f t="shared" si="17"/>
        <v>16188.8</v>
      </c>
      <c r="CI26">
        <f t="shared" si="17"/>
        <v>0</v>
      </c>
      <c r="CJ26">
        <f t="shared" si="17"/>
        <v>0</v>
      </c>
      <c r="CK26">
        <f t="shared" si="17"/>
        <v>0</v>
      </c>
      <c r="CL26">
        <f t="shared" si="17"/>
        <v>0</v>
      </c>
      <c r="CM26">
        <f t="shared" si="17"/>
        <v>0</v>
      </c>
      <c r="CN26">
        <f t="shared" si="17"/>
        <v>0</v>
      </c>
      <c r="CO26">
        <f t="shared" si="17"/>
        <v>0</v>
      </c>
      <c r="CP26">
        <f t="shared" si="17"/>
        <v>0</v>
      </c>
      <c r="CQ26">
        <f t="shared" si="17"/>
        <v>0</v>
      </c>
      <c r="CR26">
        <f t="shared" si="17"/>
        <v>0</v>
      </c>
      <c r="CS26">
        <f t="shared" si="17"/>
        <v>0</v>
      </c>
      <c r="CT26">
        <f t="shared" si="17"/>
        <v>0</v>
      </c>
      <c r="CU26">
        <f t="shared" si="17"/>
        <v>0</v>
      </c>
      <c r="CV26">
        <f t="shared" si="17"/>
        <v>0</v>
      </c>
      <c r="CW26">
        <f t="shared" si="17"/>
        <v>0</v>
      </c>
      <c r="CX26">
        <f t="shared" si="17"/>
        <v>0</v>
      </c>
      <c r="CY26">
        <f t="shared" si="17"/>
        <v>0</v>
      </c>
      <c r="CZ26">
        <f t="shared" si="17"/>
        <v>0</v>
      </c>
      <c r="DA26">
        <f t="shared" si="17"/>
        <v>0</v>
      </c>
      <c r="DB26">
        <f t="shared" si="17"/>
        <v>0</v>
      </c>
      <c r="DC26">
        <f t="shared" si="17"/>
        <v>0</v>
      </c>
      <c r="DD26">
        <f t="shared" si="17"/>
        <v>0</v>
      </c>
      <c r="DE26">
        <f t="shared" si="17"/>
        <v>0</v>
      </c>
      <c r="DF26">
        <f t="shared" si="17"/>
        <v>0</v>
      </c>
      <c r="DG26">
        <f t="shared" ref="DG26:EL26" si="18">DG47</f>
        <v>0</v>
      </c>
      <c r="DH26">
        <f t="shared" si="18"/>
        <v>0</v>
      </c>
      <c r="DI26">
        <f t="shared" si="18"/>
        <v>0</v>
      </c>
      <c r="DJ26">
        <f t="shared" si="18"/>
        <v>0</v>
      </c>
      <c r="DK26">
        <f t="shared" si="18"/>
        <v>0</v>
      </c>
      <c r="DL26">
        <f t="shared" si="18"/>
        <v>0</v>
      </c>
      <c r="DM26">
        <f t="shared" si="18"/>
        <v>0</v>
      </c>
      <c r="DN26">
        <f t="shared" si="18"/>
        <v>0</v>
      </c>
      <c r="DO26">
        <f t="shared" si="18"/>
        <v>0</v>
      </c>
      <c r="DP26">
        <f t="shared" si="18"/>
        <v>0</v>
      </c>
      <c r="DQ26">
        <f t="shared" si="18"/>
        <v>0</v>
      </c>
      <c r="DR26">
        <f t="shared" si="18"/>
        <v>0</v>
      </c>
      <c r="DS26">
        <f t="shared" si="18"/>
        <v>0</v>
      </c>
      <c r="DT26">
        <f t="shared" si="18"/>
        <v>0</v>
      </c>
      <c r="DU26">
        <f t="shared" si="18"/>
        <v>0</v>
      </c>
      <c r="DV26">
        <f t="shared" si="18"/>
        <v>0</v>
      </c>
      <c r="DW26">
        <f t="shared" si="18"/>
        <v>0</v>
      </c>
      <c r="DX26">
        <f t="shared" si="18"/>
        <v>0</v>
      </c>
      <c r="DY26">
        <f t="shared" si="18"/>
        <v>0</v>
      </c>
      <c r="DZ26">
        <f t="shared" si="18"/>
        <v>0</v>
      </c>
      <c r="EA26">
        <f t="shared" si="18"/>
        <v>0</v>
      </c>
      <c r="EB26">
        <f t="shared" si="18"/>
        <v>0</v>
      </c>
      <c r="EC26">
        <f t="shared" si="18"/>
        <v>0</v>
      </c>
      <c r="ED26">
        <f t="shared" si="18"/>
        <v>0</v>
      </c>
      <c r="EE26">
        <f t="shared" si="18"/>
        <v>0</v>
      </c>
      <c r="EF26">
        <f t="shared" si="18"/>
        <v>0</v>
      </c>
      <c r="EG26">
        <f t="shared" si="18"/>
        <v>0</v>
      </c>
      <c r="EH26">
        <f t="shared" si="18"/>
        <v>0</v>
      </c>
      <c r="EI26">
        <f t="shared" si="18"/>
        <v>0</v>
      </c>
      <c r="EJ26">
        <f t="shared" si="18"/>
        <v>0</v>
      </c>
      <c r="EK26">
        <f t="shared" si="18"/>
        <v>0</v>
      </c>
      <c r="EL26">
        <f t="shared" si="18"/>
        <v>0</v>
      </c>
      <c r="EM26">
        <f t="shared" ref="EM26:FR26" si="19">EM47</f>
        <v>0</v>
      </c>
      <c r="EN26">
        <f t="shared" si="19"/>
        <v>0</v>
      </c>
      <c r="EO26">
        <f t="shared" si="19"/>
        <v>0</v>
      </c>
      <c r="EP26">
        <f t="shared" si="19"/>
        <v>0</v>
      </c>
      <c r="EQ26">
        <f t="shared" si="19"/>
        <v>0</v>
      </c>
      <c r="ER26">
        <f t="shared" si="19"/>
        <v>0</v>
      </c>
      <c r="ES26">
        <f t="shared" si="19"/>
        <v>0</v>
      </c>
      <c r="ET26">
        <f t="shared" si="19"/>
        <v>0</v>
      </c>
      <c r="EU26">
        <f t="shared" si="19"/>
        <v>0</v>
      </c>
      <c r="EV26">
        <f t="shared" si="19"/>
        <v>0</v>
      </c>
      <c r="EW26">
        <f t="shared" si="19"/>
        <v>0</v>
      </c>
      <c r="EX26">
        <f t="shared" si="19"/>
        <v>0</v>
      </c>
      <c r="EY26">
        <f t="shared" si="19"/>
        <v>0</v>
      </c>
      <c r="EZ26">
        <f t="shared" si="19"/>
        <v>0</v>
      </c>
      <c r="FA26">
        <f t="shared" si="19"/>
        <v>0</v>
      </c>
      <c r="FB26">
        <f t="shared" si="19"/>
        <v>0</v>
      </c>
      <c r="FC26">
        <f t="shared" si="19"/>
        <v>0</v>
      </c>
      <c r="FD26">
        <f t="shared" si="19"/>
        <v>0</v>
      </c>
      <c r="FE26">
        <f t="shared" si="19"/>
        <v>0</v>
      </c>
      <c r="FF26">
        <f t="shared" si="19"/>
        <v>0</v>
      </c>
      <c r="FG26">
        <f t="shared" si="19"/>
        <v>0</v>
      </c>
      <c r="FH26">
        <f t="shared" si="19"/>
        <v>0</v>
      </c>
      <c r="FI26">
        <f t="shared" si="19"/>
        <v>0</v>
      </c>
      <c r="FJ26">
        <f t="shared" si="19"/>
        <v>0</v>
      </c>
      <c r="FK26">
        <f t="shared" si="19"/>
        <v>0</v>
      </c>
      <c r="FL26">
        <f t="shared" si="19"/>
        <v>0</v>
      </c>
      <c r="FM26">
        <f t="shared" si="19"/>
        <v>0</v>
      </c>
      <c r="FN26">
        <f t="shared" si="19"/>
        <v>0</v>
      </c>
      <c r="FO26">
        <f t="shared" si="19"/>
        <v>0</v>
      </c>
      <c r="FP26">
        <f t="shared" si="19"/>
        <v>0</v>
      </c>
      <c r="FQ26">
        <f t="shared" si="19"/>
        <v>0</v>
      </c>
      <c r="FR26">
        <f t="shared" si="19"/>
        <v>0</v>
      </c>
      <c r="FS26">
        <f t="shared" ref="FS26:GX26" si="20">FS47</f>
        <v>0</v>
      </c>
      <c r="FT26">
        <f t="shared" si="20"/>
        <v>0</v>
      </c>
      <c r="FU26">
        <f t="shared" si="20"/>
        <v>0</v>
      </c>
      <c r="FV26">
        <f t="shared" si="20"/>
        <v>0</v>
      </c>
      <c r="FW26">
        <f t="shared" si="20"/>
        <v>0</v>
      </c>
      <c r="FX26">
        <f t="shared" si="20"/>
        <v>0</v>
      </c>
      <c r="FY26">
        <f t="shared" si="20"/>
        <v>0</v>
      </c>
      <c r="FZ26">
        <f t="shared" si="20"/>
        <v>0</v>
      </c>
      <c r="GA26">
        <f t="shared" si="20"/>
        <v>0</v>
      </c>
      <c r="GB26">
        <f t="shared" si="20"/>
        <v>0</v>
      </c>
      <c r="GC26">
        <f t="shared" si="20"/>
        <v>0</v>
      </c>
      <c r="GD26">
        <f t="shared" si="20"/>
        <v>0</v>
      </c>
      <c r="GE26">
        <f t="shared" si="20"/>
        <v>0</v>
      </c>
      <c r="GF26">
        <f t="shared" si="20"/>
        <v>0</v>
      </c>
      <c r="GG26">
        <f t="shared" si="20"/>
        <v>0</v>
      </c>
      <c r="GH26">
        <f t="shared" si="20"/>
        <v>0</v>
      </c>
      <c r="GI26">
        <f t="shared" si="20"/>
        <v>0</v>
      </c>
      <c r="GJ26">
        <f t="shared" si="20"/>
        <v>0</v>
      </c>
      <c r="GK26">
        <f t="shared" si="20"/>
        <v>0</v>
      </c>
      <c r="GL26">
        <f t="shared" si="20"/>
        <v>0</v>
      </c>
      <c r="GM26">
        <f t="shared" si="20"/>
        <v>0</v>
      </c>
      <c r="GN26">
        <f t="shared" si="20"/>
        <v>0</v>
      </c>
      <c r="GO26">
        <f t="shared" si="20"/>
        <v>0</v>
      </c>
      <c r="GP26">
        <f t="shared" si="20"/>
        <v>0</v>
      </c>
      <c r="GQ26">
        <f t="shared" si="20"/>
        <v>0</v>
      </c>
      <c r="GR26">
        <f t="shared" si="20"/>
        <v>0</v>
      </c>
      <c r="GS26">
        <f t="shared" si="20"/>
        <v>0</v>
      </c>
      <c r="GT26">
        <f t="shared" si="20"/>
        <v>0</v>
      </c>
      <c r="GU26">
        <f t="shared" si="20"/>
        <v>0</v>
      </c>
      <c r="GV26">
        <f t="shared" si="20"/>
        <v>0</v>
      </c>
      <c r="GW26">
        <f t="shared" si="20"/>
        <v>0</v>
      </c>
      <c r="GX26">
        <f t="shared" si="20"/>
        <v>0</v>
      </c>
    </row>
    <row r="28" spans="1:245" ht="409.5" x14ac:dyDescent="0.2">
      <c r="A28">
        <v>17</v>
      </c>
      <c r="B28">
        <v>1</v>
      </c>
      <c r="C28">
        <f>ROW(SmtRes!A3)</f>
        <v>3</v>
      </c>
      <c r="D28">
        <f>ROW(EtalonRes!A3)</f>
        <v>3</v>
      </c>
      <c r="E28" t="s">
        <v>17</v>
      </c>
      <c r="F28" t="s">
        <v>18</v>
      </c>
      <c r="G28" t="s">
        <v>19</v>
      </c>
      <c r="H28" t="s">
        <v>20</v>
      </c>
      <c r="I28">
        <f>ROUND(0.46/100,7)</f>
        <v>4.5999999999999999E-3</v>
      </c>
      <c r="J28">
        <v>0</v>
      </c>
      <c r="K28">
        <f>ROUND(0.46/100,7)</f>
        <v>4.5999999999999999E-3</v>
      </c>
      <c r="O28">
        <f t="shared" ref="O28:O45" si="21">ROUND(CP28,2)</f>
        <v>35.79</v>
      </c>
      <c r="P28">
        <f>SUMIF(SmtRes!AQ1:'SmtRes'!AQ3,"=1",SmtRes!DF1:'SmtRes'!DF3)</f>
        <v>0</v>
      </c>
      <c r="Q28">
        <f>SUMIF(SmtRes!AQ1:'SmtRes'!AQ3,"=1",SmtRes!DG1:'SmtRes'!DG3)</f>
        <v>0.01</v>
      </c>
      <c r="R28">
        <f>SUMIF(SmtRes!AQ1:'SmtRes'!AQ3,"=1",SmtRes!DH1:'SmtRes'!DH3)</f>
        <v>0</v>
      </c>
      <c r="S28">
        <f>SUMIF(SmtRes!AQ1:'SmtRes'!AQ3,"=1",SmtRes!DI1:'SmtRes'!DI3)</f>
        <v>35.78</v>
      </c>
      <c r="T28">
        <f t="shared" ref="T28:T45" si="22">ROUND(CU28*I28,2)</f>
        <v>0</v>
      </c>
      <c r="U28">
        <f>SUMIF(SmtRes!AQ1:'SmtRes'!AQ3,"=1",SmtRes!CV1:'SmtRes'!CV3)</f>
        <v>6.01738E-2</v>
      </c>
      <c r="V28">
        <f>SUMIF(SmtRes!AQ1:'SmtRes'!AQ3,"=1",SmtRes!CW1:'SmtRes'!CW3)</f>
        <v>0</v>
      </c>
      <c r="W28">
        <f t="shared" ref="W28:W45" si="23">ROUND(CX28*I28,2)</f>
        <v>0</v>
      </c>
      <c r="X28">
        <f t="shared" ref="X28:X45" si="24">ROUND(CY28,2)</f>
        <v>32.200000000000003</v>
      </c>
      <c r="Y28">
        <f t="shared" ref="Y28:Y45" si="25">ROUND(CZ28,2)</f>
        <v>16.46</v>
      </c>
      <c r="AA28">
        <v>75284898</v>
      </c>
      <c r="AB28">
        <f t="shared" ref="AB28:AB45" si="26">ROUND((AC28+AD28+AF28),6)</f>
        <v>7780.2996999999996</v>
      </c>
      <c r="AC28">
        <f>ROUND((0),6)</f>
        <v>0</v>
      </c>
      <c r="AD28">
        <f>ROUND((((SUM(SmtRes!BR1:'SmtRes'!BR3))-(0))+AE28),6)</f>
        <v>1.14195</v>
      </c>
      <c r="AE28">
        <f>ROUND((0),6)</f>
        <v>0</v>
      </c>
      <c r="AF28">
        <f>ROUND((SUM(SmtRes!BT1:'SmtRes'!BT3)),6)</f>
        <v>7779.1577500000003</v>
      </c>
      <c r="AG28">
        <f t="shared" ref="AG28:AG45" si="27">ROUND((AP28),6)</f>
        <v>0</v>
      </c>
      <c r="AH28">
        <f>(SUM(SmtRes!BU1:'SmtRes'!BU3))</f>
        <v>13.081249999999997</v>
      </c>
      <c r="AI28">
        <f>(0)</f>
        <v>0</v>
      </c>
      <c r="AJ28">
        <f t="shared" ref="AJ28:AJ45" si="28">(AS28)</f>
        <v>0</v>
      </c>
      <c r="AK28">
        <v>5412.3823999999995</v>
      </c>
      <c r="AL28">
        <v>0</v>
      </c>
      <c r="AM28">
        <v>0.7944</v>
      </c>
      <c r="AN28">
        <v>0</v>
      </c>
      <c r="AO28">
        <v>5411.5879999999997</v>
      </c>
      <c r="AP28">
        <v>0</v>
      </c>
      <c r="AQ28">
        <v>9.1</v>
      </c>
      <c r="AR28">
        <v>0</v>
      </c>
      <c r="AS28">
        <v>0</v>
      </c>
      <c r="AT28">
        <v>90</v>
      </c>
      <c r="AU28">
        <v>46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21</v>
      </c>
      <c r="BM28">
        <v>58001</v>
      </c>
      <c r="BN28">
        <v>0</v>
      </c>
      <c r="BO28" t="s">
        <v>3</v>
      </c>
      <c r="BP28">
        <v>0</v>
      </c>
      <c r="BQ28">
        <v>6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90</v>
      </c>
      <c r="CA28">
        <v>46</v>
      </c>
      <c r="CB28" t="s">
        <v>3</v>
      </c>
      <c r="CE28">
        <v>0</v>
      </c>
      <c r="CF28">
        <v>0</v>
      </c>
      <c r="CG28">
        <v>0</v>
      </c>
      <c r="CM28">
        <v>0</v>
      </c>
      <c r="CN28" s="1" t="s">
        <v>409</v>
      </c>
      <c r="CO28">
        <v>0</v>
      </c>
      <c r="CP28">
        <f t="shared" ref="CP28:CP45" si="29">(P28+Q28+S28+R28)</f>
        <v>35.79</v>
      </c>
      <c r="CQ28">
        <f>SUMIF(SmtRes!AQ1:'SmtRes'!AQ3,"=1",SmtRes!AA1:'SmtRes'!AA3)</f>
        <v>0</v>
      </c>
      <c r="CR28">
        <f>SUMIF(SmtRes!AQ1:'SmtRes'!AQ3,"=1",SmtRes!AB1:'SmtRes'!AB3)</f>
        <v>9.93</v>
      </c>
      <c r="CS28">
        <f>SUMIF(SmtRes!AQ1:'SmtRes'!AQ3,"=1",SmtRes!AC1:'SmtRes'!AC3)</f>
        <v>0</v>
      </c>
      <c r="CT28">
        <f>SUMIF(SmtRes!AQ1:'SmtRes'!AQ3,"=1",SmtRes!AD1:'SmtRes'!AD3)</f>
        <v>594.67999999999995</v>
      </c>
      <c r="CU28">
        <f t="shared" ref="CU28:CU45" si="30">AG28</f>
        <v>0</v>
      </c>
      <c r="CV28">
        <f>SUMIF(SmtRes!AQ1:'SmtRes'!AQ3,"=1",SmtRes!BU1:'SmtRes'!BU3)</f>
        <v>13.081249999999997</v>
      </c>
      <c r="CW28">
        <f>SUMIF(SmtRes!AQ1:'SmtRes'!AQ3,"=1",SmtRes!BV1:'SmtRes'!BV3)</f>
        <v>0</v>
      </c>
      <c r="CX28">
        <f t="shared" ref="CX28:CX45" si="31">AJ28</f>
        <v>0</v>
      </c>
      <c r="CY28">
        <f t="shared" ref="CY28:CY36" si="32">(((S28+R28)*AT28)/100)</f>
        <v>32.202000000000005</v>
      </c>
      <c r="CZ28">
        <f t="shared" ref="CZ28:CZ36" si="33">(((S28+R28)*AU28)/100)</f>
        <v>16.4588</v>
      </c>
      <c r="DB28">
        <v>1</v>
      </c>
      <c r="DC28" t="s">
        <v>3</v>
      </c>
      <c r="DD28" t="s">
        <v>3</v>
      </c>
      <c r="DE28" t="s">
        <v>22</v>
      </c>
      <c r="DF28" t="s">
        <v>22</v>
      </c>
      <c r="DG28" t="s">
        <v>22</v>
      </c>
      <c r="DH28" t="s">
        <v>3</v>
      </c>
      <c r="DI28" t="s">
        <v>22</v>
      </c>
      <c r="DJ28" t="s">
        <v>22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1003</v>
      </c>
      <c r="DV28" t="s">
        <v>20</v>
      </c>
      <c r="DW28" t="s">
        <v>20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73343344</v>
      </c>
      <c r="EF28">
        <v>6</v>
      </c>
      <c r="EG28" t="s">
        <v>23</v>
      </c>
      <c r="EH28">
        <v>92</v>
      </c>
      <c r="EI28" t="s">
        <v>24</v>
      </c>
      <c r="EJ28">
        <v>1</v>
      </c>
      <c r="EK28">
        <v>58001</v>
      </c>
      <c r="EL28" t="s">
        <v>24</v>
      </c>
      <c r="EM28" t="s">
        <v>25</v>
      </c>
      <c r="EO28" t="s">
        <v>26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9.1</v>
      </c>
      <c r="EX28">
        <v>0</v>
      </c>
      <c r="EY28">
        <v>0</v>
      </c>
      <c r="FQ28">
        <v>0</v>
      </c>
      <c r="FR28">
        <v>0</v>
      </c>
      <c r="FS28">
        <v>0</v>
      </c>
      <c r="FX28">
        <v>90</v>
      </c>
      <c r="FY28">
        <v>46</v>
      </c>
      <c r="GA28" t="s">
        <v>3</v>
      </c>
      <c r="GD28">
        <v>1</v>
      </c>
      <c r="GF28">
        <v>-1953215492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ref="GL28:GL45" si="34">ROUND(IF(AND(BH28=3,BI28=3,FS28&lt;&gt;0),P28,0),2)</f>
        <v>0</v>
      </c>
      <c r="GM28">
        <f t="shared" ref="GM28:GM45" si="35">ROUND(O28+X28+Y28,2)+GX28</f>
        <v>84.45</v>
      </c>
      <c r="GN28">
        <f t="shared" ref="GN28:GN45" si="36">IF(OR(BI28=0,BI28=1),GM28-GX28,0)</f>
        <v>84.45</v>
      </c>
      <c r="GO28">
        <f t="shared" ref="GO28:GO45" si="37">IF(BI28=2,GM28-GX28,0)</f>
        <v>0</v>
      </c>
      <c r="GP28">
        <f t="shared" ref="GP28:GP45" si="38">IF(BI28=4,GM28-GX28,0)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45" si="39">ROUND((GT28),6)</f>
        <v>0</v>
      </c>
      <c r="GW28">
        <v>1</v>
      </c>
      <c r="GX28">
        <f t="shared" ref="GX28:GX45" si="40">ROUND(HC28*I28,2)</f>
        <v>0</v>
      </c>
      <c r="HA28">
        <v>0</v>
      </c>
      <c r="HB28">
        <v>0</v>
      </c>
      <c r="HC28">
        <f t="shared" ref="HC28:HC45" si="41">GV28*GW28</f>
        <v>0</v>
      </c>
      <c r="HE28" t="s">
        <v>3</v>
      </c>
      <c r="HF28" t="s">
        <v>3</v>
      </c>
      <c r="HM28" t="s">
        <v>3</v>
      </c>
      <c r="HN28" t="s">
        <v>27</v>
      </c>
      <c r="HO28" t="s">
        <v>28</v>
      </c>
      <c r="HP28" t="s">
        <v>29</v>
      </c>
      <c r="HQ28" t="s">
        <v>29</v>
      </c>
      <c r="HS28">
        <v>0</v>
      </c>
      <c r="IK28">
        <v>0</v>
      </c>
    </row>
    <row r="29" spans="1:245" x14ac:dyDescent="0.2">
      <c r="A29">
        <v>18</v>
      </c>
      <c r="B29">
        <v>1</v>
      </c>
      <c r="C29">
        <v>3</v>
      </c>
      <c r="E29" t="s">
        <v>30</v>
      </c>
      <c r="F29" t="s">
        <v>31</v>
      </c>
      <c r="G29" t="s">
        <v>32</v>
      </c>
      <c r="H29" t="s">
        <v>33</v>
      </c>
      <c r="I29">
        <f>I28*J29</f>
        <v>5.5199999999999997E-4</v>
      </c>
      <c r="J29">
        <v>0.12</v>
      </c>
      <c r="K29">
        <v>0.12</v>
      </c>
      <c r="O29">
        <f t="shared" si="21"/>
        <v>0</v>
      </c>
      <c r="P29">
        <f>ROUND(CQ29*I29,2)</f>
        <v>0</v>
      </c>
      <c r="Q29">
        <f>ROUND(CR29*I29,2)</f>
        <v>0</v>
      </c>
      <c r="R29">
        <f>ROUND(CS29*I29,2)</f>
        <v>0</v>
      </c>
      <c r="S29">
        <f>ROUND(CT29*I29,2)</f>
        <v>0</v>
      </c>
      <c r="T29">
        <f t="shared" si="22"/>
        <v>0</v>
      </c>
      <c r="U29">
        <f>ROUND(CV29*I29,7)</f>
        <v>0</v>
      </c>
      <c r="V29">
        <f>ROUND(CW29*I29,7)</f>
        <v>0</v>
      </c>
      <c r="W29">
        <f t="shared" si="23"/>
        <v>0</v>
      </c>
      <c r="X29">
        <f t="shared" si="24"/>
        <v>0</v>
      </c>
      <c r="Y29">
        <f t="shared" si="25"/>
        <v>0</v>
      </c>
      <c r="AA29">
        <v>75284898</v>
      </c>
      <c r="AB29">
        <f t="shared" si="26"/>
        <v>0</v>
      </c>
      <c r="AC29">
        <f>ROUND((ES29),6)</f>
        <v>0</v>
      </c>
      <c r="AD29">
        <f>ROUND((((ET29)-(EU29))+AE29),6)</f>
        <v>0</v>
      </c>
      <c r="AE29">
        <f>ROUND((EU29),6)</f>
        <v>0</v>
      </c>
      <c r="AF29">
        <f>ROUND((EV29),6)</f>
        <v>0</v>
      </c>
      <c r="AG29">
        <f t="shared" si="27"/>
        <v>0</v>
      </c>
      <c r="AH29">
        <f>(EW29)</f>
        <v>0</v>
      </c>
      <c r="AI29">
        <f>(EX29)</f>
        <v>0</v>
      </c>
      <c r="AJ29">
        <f t="shared" si="28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90</v>
      </c>
      <c r="AU29">
        <v>46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3</v>
      </c>
      <c r="BM29">
        <v>58001</v>
      </c>
      <c r="BN29">
        <v>0</v>
      </c>
      <c r="BO29" t="s">
        <v>3</v>
      </c>
      <c r="BP29">
        <v>0</v>
      </c>
      <c r="BQ29">
        <v>6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90</v>
      </c>
      <c r="CA29">
        <v>46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9"/>
        <v>0</v>
      </c>
      <c r="CQ29">
        <f>ROUND(AL29*BC29,2)</f>
        <v>0</v>
      </c>
      <c r="CR29">
        <f>ROUND(AM29*BB29,2)</f>
        <v>0</v>
      </c>
      <c r="CS29">
        <f>ROUND(AN29*BS29,2)</f>
        <v>0</v>
      </c>
      <c r="CT29">
        <f>ROUND(AO29*BA29,2)</f>
        <v>0</v>
      </c>
      <c r="CU29">
        <f t="shared" si="30"/>
        <v>0</v>
      </c>
      <c r="CV29">
        <f>AH29</f>
        <v>0</v>
      </c>
      <c r="CW29">
        <f>AI29</f>
        <v>0</v>
      </c>
      <c r="CX29">
        <f t="shared" si="31"/>
        <v>0</v>
      </c>
      <c r="CY29">
        <f t="shared" si="32"/>
        <v>0</v>
      </c>
      <c r="CZ29">
        <f t="shared" si="33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33</v>
      </c>
      <c r="DW29" t="s">
        <v>33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73343344</v>
      </c>
      <c r="EF29">
        <v>6</v>
      </c>
      <c r="EG29" t="s">
        <v>23</v>
      </c>
      <c r="EH29">
        <v>92</v>
      </c>
      <c r="EI29" t="s">
        <v>24</v>
      </c>
      <c r="EJ29">
        <v>1</v>
      </c>
      <c r="EK29">
        <v>58001</v>
      </c>
      <c r="EL29" t="s">
        <v>24</v>
      </c>
      <c r="EM29" t="s">
        <v>25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v>0</v>
      </c>
      <c r="FS29">
        <v>0</v>
      </c>
      <c r="FX29">
        <v>90</v>
      </c>
      <c r="FY29">
        <v>46</v>
      </c>
      <c r="GA29" t="s">
        <v>3</v>
      </c>
      <c r="GD29">
        <v>1</v>
      </c>
      <c r="GF29">
        <v>2102561428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34"/>
        <v>0</v>
      </c>
      <c r="GM29">
        <f t="shared" si="35"/>
        <v>0</v>
      </c>
      <c r="GN29">
        <f t="shared" si="36"/>
        <v>0</v>
      </c>
      <c r="GO29">
        <f t="shared" si="37"/>
        <v>0</v>
      </c>
      <c r="GP29">
        <f t="shared" si="38"/>
        <v>0</v>
      </c>
      <c r="GR29">
        <v>0</v>
      </c>
      <c r="GS29">
        <v>3</v>
      </c>
      <c r="GT29">
        <v>0</v>
      </c>
      <c r="GU29" t="s">
        <v>3</v>
      </c>
      <c r="GV29">
        <f t="shared" si="39"/>
        <v>0</v>
      </c>
      <c r="GW29">
        <v>1</v>
      </c>
      <c r="GX29">
        <f t="shared" si="40"/>
        <v>0</v>
      </c>
      <c r="HA29">
        <v>0</v>
      </c>
      <c r="HB29">
        <v>0</v>
      </c>
      <c r="HC29">
        <f t="shared" si="41"/>
        <v>0</v>
      </c>
      <c r="HE29" t="s">
        <v>3</v>
      </c>
      <c r="HF29" t="s">
        <v>3</v>
      </c>
      <c r="HM29" t="s">
        <v>3</v>
      </c>
      <c r="HN29" t="s">
        <v>27</v>
      </c>
      <c r="HO29" t="s">
        <v>28</v>
      </c>
      <c r="HP29" t="s">
        <v>29</v>
      </c>
      <c r="HQ29" t="s">
        <v>29</v>
      </c>
      <c r="HS29">
        <v>0</v>
      </c>
      <c r="IK29">
        <v>0</v>
      </c>
    </row>
    <row r="30" spans="1:245" ht="409.5" x14ac:dyDescent="0.2">
      <c r="A30">
        <v>17</v>
      </c>
      <c r="B30">
        <v>1</v>
      </c>
      <c r="C30">
        <f>ROW(SmtRes!A4)</f>
        <v>4</v>
      </c>
      <c r="D30">
        <f>ROW(EtalonRes!A4)</f>
        <v>4</v>
      </c>
      <c r="E30" t="s">
        <v>34</v>
      </c>
      <c r="F30" t="s">
        <v>35</v>
      </c>
      <c r="G30" t="s">
        <v>36</v>
      </c>
      <c r="H30" t="s">
        <v>37</v>
      </c>
      <c r="I30">
        <v>4</v>
      </c>
      <c r="J30">
        <v>0</v>
      </c>
      <c r="K30">
        <v>4</v>
      </c>
      <c r="O30">
        <f t="shared" si="21"/>
        <v>2645.18</v>
      </c>
      <c r="P30">
        <f>SUMIF(SmtRes!AQ4:'SmtRes'!AQ4,"=1",SmtRes!DF4:'SmtRes'!DF4)</f>
        <v>0</v>
      </c>
      <c r="Q30">
        <f>SUMIF(SmtRes!AQ4:'SmtRes'!AQ4,"=1",SmtRes!DG4:'SmtRes'!DG4)</f>
        <v>0</v>
      </c>
      <c r="R30">
        <f>SUMIF(SmtRes!AQ4:'SmtRes'!AQ4,"=1",SmtRes!DH4:'SmtRes'!DH4)</f>
        <v>0</v>
      </c>
      <c r="S30">
        <f>SUMIF(SmtRes!AQ4:'SmtRes'!AQ4,"=1",SmtRes!DI4:'SmtRes'!DI4)</f>
        <v>2645.18</v>
      </c>
      <c r="T30">
        <f t="shared" si="22"/>
        <v>0</v>
      </c>
      <c r="U30">
        <f>SUMIF(SmtRes!AQ4:'SmtRes'!AQ4,"=1",SmtRes!CV4:'SmtRes'!CV4)</f>
        <v>4.5999999999999996</v>
      </c>
      <c r="V30">
        <f>SUMIF(SmtRes!AQ4:'SmtRes'!AQ4,"=1",SmtRes!CW4:'SmtRes'!CW4)</f>
        <v>0</v>
      </c>
      <c r="W30">
        <f t="shared" si="23"/>
        <v>0</v>
      </c>
      <c r="X30">
        <f t="shared" si="24"/>
        <v>2698.08</v>
      </c>
      <c r="Y30">
        <f t="shared" si="25"/>
        <v>1428.4</v>
      </c>
      <c r="AA30">
        <v>75284898</v>
      </c>
      <c r="AB30">
        <f t="shared" si="26"/>
        <v>661.29600000000005</v>
      </c>
      <c r="AC30">
        <f>ROUND((0),6)</f>
        <v>0</v>
      </c>
      <c r="AD30">
        <f>ROUND((((0)-(0))+AE30),6)</f>
        <v>0</v>
      </c>
      <c r="AE30">
        <f>ROUND((0),6)</f>
        <v>0</v>
      </c>
      <c r="AF30">
        <f>ROUND((SUM(SmtRes!BT4:'SmtRes'!BT4)),6)</f>
        <v>661.29600000000005</v>
      </c>
      <c r="AG30">
        <f t="shared" si="27"/>
        <v>0</v>
      </c>
      <c r="AH30">
        <f>(SUM(SmtRes!BU4:'SmtRes'!BU4))</f>
        <v>1.1499999999999999</v>
      </c>
      <c r="AI30">
        <f>(0)</f>
        <v>0</v>
      </c>
      <c r="AJ30">
        <f t="shared" si="28"/>
        <v>0</v>
      </c>
      <c r="AK30">
        <v>460.03199999999998</v>
      </c>
      <c r="AL30">
        <v>0</v>
      </c>
      <c r="AM30">
        <v>0</v>
      </c>
      <c r="AN30">
        <v>0</v>
      </c>
      <c r="AO30">
        <v>460.03199999999998</v>
      </c>
      <c r="AP30">
        <v>0</v>
      </c>
      <c r="AQ30">
        <v>0.8</v>
      </c>
      <c r="AR30">
        <v>0</v>
      </c>
      <c r="AS30">
        <v>0</v>
      </c>
      <c r="AT30">
        <v>102</v>
      </c>
      <c r="AU30">
        <v>54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38</v>
      </c>
      <c r="BM30">
        <v>68001</v>
      </c>
      <c r="BN30">
        <v>0</v>
      </c>
      <c r="BO30" t="s">
        <v>3</v>
      </c>
      <c r="BP30">
        <v>0</v>
      </c>
      <c r="BQ30">
        <v>6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102</v>
      </c>
      <c r="CA30">
        <v>54</v>
      </c>
      <c r="CB30" t="s">
        <v>3</v>
      </c>
      <c r="CE30">
        <v>0</v>
      </c>
      <c r="CF30">
        <v>0</v>
      </c>
      <c r="CG30">
        <v>0</v>
      </c>
      <c r="CM30">
        <v>0</v>
      </c>
      <c r="CN30" s="1" t="s">
        <v>409</v>
      </c>
      <c r="CO30">
        <v>0</v>
      </c>
      <c r="CP30">
        <f t="shared" si="29"/>
        <v>2645.18</v>
      </c>
      <c r="CQ30">
        <f>SUMIF(SmtRes!AQ4:'SmtRes'!AQ4,"=1",SmtRes!AA4:'SmtRes'!AA4)</f>
        <v>0</v>
      </c>
      <c r="CR30">
        <f>SUMIF(SmtRes!AQ4:'SmtRes'!AQ4,"=1",SmtRes!AB4:'SmtRes'!AB4)</f>
        <v>0</v>
      </c>
      <c r="CS30">
        <f>SUMIF(SmtRes!AQ4:'SmtRes'!AQ4,"=1",SmtRes!AC4:'SmtRes'!AC4)</f>
        <v>0</v>
      </c>
      <c r="CT30">
        <f>SUMIF(SmtRes!AQ4:'SmtRes'!AQ4,"=1",SmtRes!AD4:'SmtRes'!AD4)</f>
        <v>575.04</v>
      </c>
      <c r="CU30">
        <f t="shared" si="30"/>
        <v>0</v>
      </c>
      <c r="CV30">
        <f>SUMIF(SmtRes!AQ4:'SmtRes'!AQ4,"=1",SmtRes!BU4:'SmtRes'!BU4)</f>
        <v>1.1499999999999999</v>
      </c>
      <c r="CW30">
        <f>SUMIF(SmtRes!AQ4:'SmtRes'!AQ4,"=1",SmtRes!BV4:'SmtRes'!BV4)</f>
        <v>0</v>
      </c>
      <c r="CX30">
        <f t="shared" si="31"/>
        <v>0</v>
      </c>
      <c r="CY30">
        <f t="shared" si="32"/>
        <v>2698.0835999999999</v>
      </c>
      <c r="CZ30">
        <f t="shared" si="33"/>
        <v>1428.3972000000001</v>
      </c>
      <c r="DB30">
        <v>3</v>
      </c>
      <c r="DC30" t="s">
        <v>3</v>
      </c>
      <c r="DD30" t="s">
        <v>3</v>
      </c>
      <c r="DE30" t="s">
        <v>22</v>
      </c>
      <c r="DF30" t="s">
        <v>22</v>
      </c>
      <c r="DG30" t="s">
        <v>22</v>
      </c>
      <c r="DH30" t="s">
        <v>3</v>
      </c>
      <c r="DI30" t="s">
        <v>22</v>
      </c>
      <c r="DJ30" t="s">
        <v>22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37</v>
      </c>
      <c r="DW30" t="s">
        <v>37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73343390</v>
      </c>
      <c r="EF30">
        <v>6</v>
      </c>
      <c r="EG30" t="s">
        <v>23</v>
      </c>
      <c r="EH30">
        <v>102</v>
      </c>
      <c r="EI30" t="s">
        <v>39</v>
      </c>
      <c r="EJ30">
        <v>1</v>
      </c>
      <c r="EK30">
        <v>68001</v>
      </c>
      <c r="EL30" t="s">
        <v>39</v>
      </c>
      <c r="EM30" t="s">
        <v>40</v>
      </c>
      <c r="EO30" t="s">
        <v>26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0.8</v>
      </c>
      <c r="EX30">
        <v>0</v>
      </c>
      <c r="EY30">
        <v>0</v>
      </c>
      <c r="FQ30">
        <v>0</v>
      </c>
      <c r="FR30">
        <v>0</v>
      </c>
      <c r="FS30">
        <v>0</v>
      </c>
      <c r="FX30">
        <v>102</v>
      </c>
      <c r="FY30">
        <v>54</v>
      </c>
      <c r="GA30" t="s">
        <v>3</v>
      </c>
      <c r="GD30">
        <v>1</v>
      </c>
      <c r="GF30">
        <v>787895279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34"/>
        <v>0</v>
      </c>
      <c r="GM30">
        <f t="shared" si="35"/>
        <v>6771.66</v>
      </c>
      <c r="GN30">
        <f t="shared" si="36"/>
        <v>6771.66</v>
      </c>
      <c r="GO30">
        <f t="shared" si="37"/>
        <v>0</v>
      </c>
      <c r="GP30">
        <f t="shared" si="38"/>
        <v>0</v>
      </c>
      <c r="GR30">
        <v>0</v>
      </c>
      <c r="GS30">
        <v>3</v>
      </c>
      <c r="GT30">
        <v>0</v>
      </c>
      <c r="GU30" t="s">
        <v>3</v>
      </c>
      <c r="GV30">
        <f t="shared" si="39"/>
        <v>0</v>
      </c>
      <c r="GW30">
        <v>1</v>
      </c>
      <c r="GX30">
        <f t="shared" si="40"/>
        <v>0</v>
      </c>
      <c r="HA30">
        <v>0</v>
      </c>
      <c r="HB30">
        <v>0</v>
      </c>
      <c r="HC30">
        <f t="shared" si="41"/>
        <v>0</v>
      </c>
      <c r="HE30" t="s">
        <v>3</v>
      </c>
      <c r="HF30" t="s">
        <v>3</v>
      </c>
      <c r="HM30" t="s">
        <v>3</v>
      </c>
      <c r="HN30" t="s">
        <v>41</v>
      </c>
      <c r="HO30" t="s">
        <v>42</v>
      </c>
      <c r="HP30" t="s">
        <v>39</v>
      </c>
      <c r="HQ30" t="s">
        <v>39</v>
      </c>
      <c r="HS30">
        <v>0</v>
      </c>
      <c r="IK30">
        <v>0</v>
      </c>
    </row>
    <row r="31" spans="1:245" ht="409.5" x14ac:dyDescent="0.2">
      <c r="A31">
        <v>17</v>
      </c>
      <c r="B31">
        <v>1</v>
      </c>
      <c r="C31">
        <f>ROW(SmtRes!A6)</f>
        <v>6</v>
      </c>
      <c r="D31">
        <f>ROW(EtalonRes!A6)</f>
        <v>6</v>
      </c>
      <c r="E31" t="s">
        <v>43</v>
      </c>
      <c r="F31" t="s">
        <v>44</v>
      </c>
      <c r="G31" t="s">
        <v>45</v>
      </c>
      <c r="H31" t="s">
        <v>46</v>
      </c>
      <c r="I31">
        <f>ROUND(26.99/100,7)</f>
        <v>0.26989999999999997</v>
      </c>
      <c r="J31">
        <v>0</v>
      </c>
      <c r="K31">
        <f>ROUND(26.99/100,7)</f>
        <v>0.26989999999999997</v>
      </c>
      <c r="O31">
        <f t="shared" si="21"/>
        <v>1313.41</v>
      </c>
      <c r="P31">
        <f>SUMIF(SmtRes!AQ5:'SmtRes'!AQ6,"=1",SmtRes!DF5:'SmtRes'!DF6)</f>
        <v>0</v>
      </c>
      <c r="Q31">
        <f>SUMIF(SmtRes!AQ5:'SmtRes'!AQ6,"=1",SmtRes!DG5:'SmtRes'!DG6)</f>
        <v>37.06</v>
      </c>
      <c r="R31">
        <f>SUMIF(SmtRes!AQ5:'SmtRes'!AQ6,"=1",SmtRes!DH5:'SmtRes'!DH6)</f>
        <v>0</v>
      </c>
      <c r="S31">
        <f>SUMIF(SmtRes!AQ5:'SmtRes'!AQ6,"=1",SmtRes!DI5:'SmtRes'!DI6)</f>
        <v>1276.3499999999999</v>
      </c>
      <c r="T31">
        <f t="shared" si="22"/>
        <v>0</v>
      </c>
      <c r="U31">
        <f>SUMIF(SmtRes!AQ5:'SmtRes'!AQ6,"=1",SmtRes!CV5:'SmtRes'!CV6)</f>
        <v>1.9825842</v>
      </c>
      <c r="V31">
        <f>SUMIF(SmtRes!AQ5:'SmtRes'!AQ6,"=1",SmtRes!CW5:'SmtRes'!CW6)</f>
        <v>0</v>
      </c>
      <c r="W31">
        <f t="shared" si="23"/>
        <v>0</v>
      </c>
      <c r="X31">
        <f t="shared" si="24"/>
        <v>1148.72</v>
      </c>
      <c r="Y31">
        <f t="shared" si="25"/>
        <v>574.36</v>
      </c>
      <c r="AA31">
        <v>75284898</v>
      </c>
      <c r="AB31">
        <f t="shared" si="26"/>
        <v>4848.3364629999996</v>
      </c>
      <c r="AC31">
        <f>ROUND((0),6)</f>
        <v>0</v>
      </c>
      <c r="AD31">
        <f>ROUND((((SUM(SmtRes!BR5:'SmtRes'!BR6))-(0))+AE31),6)</f>
        <v>119.37</v>
      </c>
      <c r="AE31">
        <f>ROUND((0),6)</f>
        <v>0</v>
      </c>
      <c r="AF31">
        <f>ROUND((SUM(SmtRes!BT5:'SmtRes'!BT6)),6)</f>
        <v>4728.9664629999997</v>
      </c>
      <c r="AG31">
        <f t="shared" si="27"/>
        <v>0</v>
      </c>
      <c r="AH31">
        <f>(SUM(SmtRes!BU5:'SmtRes'!BU6))</f>
        <v>7.3456250000000001</v>
      </c>
      <c r="AI31">
        <f>(0)</f>
        <v>0</v>
      </c>
      <c r="AJ31">
        <f t="shared" si="28"/>
        <v>0</v>
      </c>
      <c r="AK31">
        <v>3372.7557999999999</v>
      </c>
      <c r="AL31">
        <v>0</v>
      </c>
      <c r="AM31">
        <v>83.04</v>
      </c>
      <c r="AN31">
        <v>0</v>
      </c>
      <c r="AO31">
        <v>3289.7157999999999</v>
      </c>
      <c r="AP31">
        <v>0</v>
      </c>
      <c r="AQ31">
        <v>5.1100000000000003</v>
      </c>
      <c r="AR31">
        <v>0</v>
      </c>
      <c r="AS31">
        <v>0</v>
      </c>
      <c r="AT31">
        <v>90</v>
      </c>
      <c r="AU31">
        <v>45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47</v>
      </c>
      <c r="BM31">
        <v>63001</v>
      </c>
      <c r="BN31">
        <v>0</v>
      </c>
      <c r="BO31" t="s">
        <v>3</v>
      </c>
      <c r="BP31">
        <v>0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90</v>
      </c>
      <c r="CA31">
        <v>45</v>
      </c>
      <c r="CB31" t="s">
        <v>3</v>
      </c>
      <c r="CE31">
        <v>0</v>
      </c>
      <c r="CF31">
        <v>0</v>
      </c>
      <c r="CG31">
        <v>0</v>
      </c>
      <c r="CM31">
        <v>0</v>
      </c>
      <c r="CN31" s="1" t="s">
        <v>409</v>
      </c>
      <c r="CO31">
        <v>0</v>
      </c>
      <c r="CP31">
        <f t="shared" si="29"/>
        <v>1313.4099999999999</v>
      </c>
      <c r="CQ31">
        <f>SUMIF(SmtRes!AQ5:'SmtRes'!AQ6,"=1",SmtRes!AA5:'SmtRes'!AA6)</f>
        <v>0</v>
      </c>
      <c r="CR31">
        <f>SUMIF(SmtRes!AQ5:'SmtRes'!AQ6,"=1",SmtRes!AB5:'SmtRes'!AB6)</f>
        <v>19.899999999999999</v>
      </c>
      <c r="CS31">
        <f>SUMIF(SmtRes!AQ5:'SmtRes'!AQ6,"=1",SmtRes!AC5:'SmtRes'!AC6)</f>
        <v>0</v>
      </c>
      <c r="CT31">
        <f>SUMIF(SmtRes!AQ5:'SmtRes'!AQ6,"=1",SmtRes!AD5:'SmtRes'!AD6)</f>
        <v>643.78</v>
      </c>
      <c r="CU31">
        <f t="shared" si="30"/>
        <v>0</v>
      </c>
      <c r="CV31">
        <f>SUMIF(SmtRes!AQ5:'SmtRes'!AQ6,"=1",SmtRes!BU5:'SmtRes'!BU6)</f>
        <v>7.3456250000000001</v>
      </c>
      <c r="CW31">
        <f>SUMIF(SmtRes!AQ5:'SmtRes'!AQ6,"=1",SmtRes!BV5:'SmtRes'!BV6)</f>
        <v>0</v>
      </c>
      <c r="CX31">
        <f t="shared" si="31"/>
        <v>0</v>
      </c>
      <c r="CY31">
        <f t="shared" si="32"/>
        <v>1148.7149999999999</v>
      </c>
      <c r="CZ31">
        <f t="shared" si="33"/>
        <v>574.35749999999996</v>
      </c>
      <c r="DB31">
        <v>5</v>
      </c>
      <c r="DC31" t="s">
        <v>3</v>
      </c>
      <c r="DD31" t="s">
        <v>3</v>
      </c>
      <c r="DE31" t="s">
        <v>22</v>
      </c>
      <c r="DF31" t="s">
        <v>22</v>
      </c>
      <c r="DG31" t="s">
        <v>22</v>
      </c>
      <c r="DH31" t="s">
        <v>3</v>
      </c>
      <c r="DI31" t="s">
        <v>22</v>
      </c>
      <c r="DJ31" t="s">
        <v>22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1005</v>
      </c>
      <c r="DV31" t="s">
        <v>46</v>
      </c>
      <c r="DW31" t="s">
        <v>46</v>
      </c>
      <c r="DX31">
        <v>100</v>
      </c>
      <c r="DZ31" t="s">
        <v>3</v>
      </c>
      <c r="EA31" t="s">
        <v>3</v>
      </c>
      <c r="EB31" t="s">
        <v>3</v>
      </c>
      <c r="EC31" t="s">
        <v>3</v>
      </c>
      <c r="EE31">
        <v>73343349</v>
      </c>
      <c r="EF31">
        <v>6</v>
      </c>
      <c r="EG31" t="s">
        <v>23</v>
      </c>
      <c r="EH31">
        <v>97</v>
      </c>
      <c r="EI31" t="s">
        <v>48</v>
      </c>
      <c r="EJ31">
        <v>1</v>
      </c>
      <c r="EK31">
        <v>63001</v>
      </c>
      <c r="EL31" t="s">
        <v>49</v>
      </c>
      <c r="EM31" t="s">
        <v>50</v>
      </c>
      <c r="EO31" t="s">
        <v>26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5.1100000000000003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90</v>
      </c>
      <c r="FY31">
        <v>45</v>
      </c>
      <c r="GA31" t="s">
        <v>3</v>
      </c>
      <c r="GD31">
        <v>1</v>
      </c>
      <c r="GF31">
        <v>393673493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34"/>
        <v>0</v>
      </c>
      <c r="GM31">
        <f t="shared" si="35"/>
        <v>3036.49</v>
      </c>
      <c r="GN31">
        <f t="shared" si="36"/>
        <v>3036.49</v>
      </c>
      <c r="GO31">
        <f t="shared" si="37"/>
        <v>0</v>
      </c>
      <c r="GP31">
        <f t="shared" si="38"/>
        <v>0</v>
      </c>
      <c r="GR31">
        <v>0</v>
      </c>
      <c r="GS31">
        <v>3</v>
      </c>
      <c r="GT31">
        <v>0</v>
      </c>
      <c r="GU31" t="s">
        <v>3</v>
      </c>
      <c r="GV31">
        <f t="shared" si="39"/>
        <v>0</v>
      </c>
      <c r="GW31">
        <v>1</v>
      </c>
      <c r="GX31">
        <f t="shared" si="40"/>
        <v>0</v>
      </c>
      <c r="HA31">
        <v>0</v>
      </c>
      <c r="HB31">
        <v>0</v>
      </c>
      <c r="HC31">
        <f t="shared" si="41"/>
        <v>0</v>
      </c>
      <c r="HE31" t="s">
        <v>3</v>
      </c>
      <c r="HF31" t="s">
        <v>3</v>
      </c>
      <c r="HM31" t="s">
        <v>3</v>
      </c>
      <c r="HN31" t="s">
        <v>51</v>
      </c>
      <c r="HO31" t="s">
        <v>52</v>
      </c>
      <c r="HP31" t="s">
        <v>49</v>
      </c>
      <c r="HQ31" t="s">
        <v>49</v>
      </c>
      <c r="HS31">
        <v>0</v>
      </c>
      <c r="IK31">
        <v>0</v>
      </c>
    </row>
    <row r="32" spans="1:245" ht="409.5" x14ac:dyDescent="0.2">
      <c r="A32">
        <v>17</v>
      </c>
      <c r="B32">
        <v>1</v>
      </c>
      <c r="C32">
        <f>ROW(SmtRes!A13)</f>
        <v>13</v>
      </c>
      <c r="D32">
        <f>ROW(EtalonRes!A13)</f>
        <v>13</v>
      </c>
      <c r="E32" t="s">
        <v>53</v>
      </c>
      <c r="F32" t="s">
        <v>54</v>
      </c>
      <c r="G32" t="s">
        <v>55</v>
      </c>
      <c r="H32" t="s">
        <v>56</v>
      </c>
      <c r="I32">
        <f>ROUND(0.19/10,7)</f>
        <v>1.9E-2</v>
      </c>
      <c r="J32">
        <v>0</v>
      </c>
      <c r="K32">
        <f>ROUND(0.19/10,7)</f>
        <v>1.9E-2</v>
      </c>
      <c r="O32">
        <f t="shared" si="21"/>
        <v>2163.02</v>
      </c>
      <c r="P32">
        <f>SUMIF(SmtRes!AQ7:'SmtRes'!AQ13,"=1",SmtRes!DF7:'SmtRes'!DF13)</f>
        <v>0</v>
      </c>
      <c r="Q32">
        <f>SUMIF(SmtRes!AQ7:'SmtRes'!AQ13,"=1",SmtRes!DG7:'SmtRes'!DG13)</f>
        <v>111.45</v>
      </c>
      <c r="R32">
        <f>SUMIF(SmtRes!AQ7:'SmtRes'!AQ13,"=1",SmtRes!DH7:'SmtRes'!DH13)</f>
        <v>103.66999999999999</v>
      </c>
      <c r="S32">
        <f>SUMIF(SmtRes!AQ7:'SmtRes'!AQ13,"=1",SmtRes!DI7:'SmtRes'!DI13)</f>
        <v>1947.9</v>
      </c>
      <c r="T32">
        <f t="shared" si="22"/>
        <v>0</v>
      </c>
      <c r="U32">
        <f>SUMIF(SmtRes!AQ7:'SmtRes'!AQ13,"=1",SmtRes!CV7:'SmtRes'!CV13)</f>
        <v>3.0002781000000001</v>
      </c>
      <c r="V32">
        <f>SUMIF(SmtRes!AQ7:'SmtRes'!AQ13,"=1",SmtRes!CW7:'SmtRes'!CW13)</f>
        <v>0.15021880000000001</v>
      </c>
      <c r="W32">
        <f t="shared" si="23"/>
        <v>0</v>
      </c>
      <c r="X32">
        <f t="shared" si="24"/>
        <v>1887.44</v>
      </c>
      <c r="Y32">
        <f t="shared" si="25"/>
        <v>1066.82</v>
      </c>
      <c r="AA32">
        <v>75284898</v>
      </c>
      <c r="AB32">
        <f t="shared" si="26"/>
        <v>107735.77774999999</v>
      </c>
      <c r="AC32">
        <f>ROUND((0),6)</f>
        <v>0</v>
      </c>
      <c r="AD32">
        <f>ROUND((((SUM(SmtRes!BR7:'SmtRes'!BR13))-(SUM(SmtRes!BS7:'SmtRes'!BS13)))+AE32),6)</f>
        <v>5214.6951250000002</v>
      </c>
      <c r="AE32">
        <f>ROUND((SUM(SmtRes!BS7:'SmtRes'!BS13)),6)</f>
        <v>5456.5775000000003</v>
      </c>
      <c r="AF32">
        <f>ROUND((SUM(SmtRes!BT7:'SmtRes'!BT13)),6)</f>
        <v>102521.082625</v>
      </c>
      <c r="AG32">
        <f t="shared" si="27"/>
        <v>0</v>
      </c>
      <c r="AH32">
        <f>(SUM(SmtRes!BU7:'SmtRes'!BU13))</f>
        <v>157.90937499999998</v>
      </c>
      <c r="AI32">
        <f>(SUM(SmtRes!BV7:'SmtRes'!BV13))</f>
        <v>7.9062499999999991</v>
      </c>
      <c r="AJ32">
        <f t="shared" si="28"/>
        <v>0</v>
      </c>
      <c r="AK32">
        <v>78742.508000000002</v>
      </c>
      <c r="AL32">
        <v>0</v>
      </c>
      <c r="AM32">
        <v>3627.614</v>
      </c>
      <c r="AN32">
        <v>3795.88</v>
      </c>
      <c r="AO32">
        <v>71319.013999999996</v>
      </c>
      <c r="AP32">
        <v>0</v>
      </c>
      <c r="AQ32">
        <v>109.85</v>
      </c>
      <c r="AR32">
        <v>5.5</v>
      </c>
      <c r="AS32">
        <v>0</v>
      </c>
      <c r="AT32">
        <v>92</v>
      </c>
      <c r="AU32">
        <v>52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57</v>
      </c>
      <c r="BM32">
        <v>53001</v>
      </c>
      <c r="BN32">
        <v>0</v>
      </c>
      <c r="BO32" t="s">
        <v>3</v>
      </c>
      <c r="BP32">
        <v>0</v>
      </c>
      <c r="BQ32">
        <v>6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92</v>
      </c>
      <c r="CA32">
        <v>52</v>
      </c>
      <c r="CB32" t="s">
        <v>3</v>
      </c>
      <c r="CE32">
        <v>0</v>
      </c>
      <c r="CF32">
        <v>0</v>
      </c>
      <c r="CG32">
        <v>0</v>
      </c>
      <c r="CM32">
        <v>0</v>
      </c>
      <c r="CN32" s="1" t="s">
        <v>409</v>
      </c>
      <c r="CO32">
        <v>0</v>
      </c>
      <c r="CP32">
        <f t="shared" si="29"/>
        <v>2163.02</v>
      </c>
      <c r="CQ32">
        <f>SUMIF(SmtRes!AQ7:'SmtRes'!AQ13,"=1",SmtRes!AA7:'SmtRes'!AA13)</f>
        <v>0</v>
      </c>
      <c r="CR32">
        <f>SUMIF(SmtRes!AQ7:'SmtRes'!AQ13,"=1",SmtRes!AB7:'SmtRes'!AB13)</f>
        <v>1053.46</v>
      </c>
      <c r="CS32">
        <f>SUMIF(SmtRes!AQ7:'SmtRes'!AQ13,"=1",SmtRes!AC7:'SmtRes'!AC13)</f>
        <v>1380.3200000000002</v>
      </c>
      <c r="CT32">
        <f>SUMIF(SmtRes!AQ7:'SmtRes'!AQ13,"=1",SmtRes!AD7:'SmtRes'!AD13)</f>
        <v>649.24</v>
      </c>
      <c r="CU32">
        <f t="shared" si="30"/>
        <v>0</v>
      </c>
      <c r="CV32">
        <f>SUMIF(SmtRes!AQ7:'SmtRes'!AQ13,"=1",SmtRes!BU7:'SmtRes'!BU13)</f>
        <v>157.90937499999998</v>
      </c>
      <c r="CW32">
        <f>SUMIF(SmtRes!AQ7:'SmtRes'!AQ13,"=1",SmtRes!BV7:'SmtRes'!BV13)</f>
        <v>7.9062499999999991</v>
      </c>
      <c r="CX32">
        <f t="shared" si="31"/>
        <v>0</v>
      </c>
      <c r="CY32">
        <f t="shared" si="32"/>
        <v>1887.4444000000001</v>
      </c>
      <c r="CZ32">
        <f t="shared" si="33"/>
        <v>1066.8164000000002</v>
      </c>
      <c r="DB32">
        <v>7</v>
      </c>
      <c r="DC32" t="s">
        <v>3</v>
      </c>
      <c r="DD32" t="s">
        <v>3</v>
      </c>
      <c r="DE32" t="s">
        <v>22</v>
      </c>
      <c r="DF32" t="s">
        <v>22</v>
      </c>
      <c r="DG32" t="s">
        <v>22</v>
      </c>
      <c r="DH32" t="s">
        <v>3</v>
      </c>
      <c r="DI32" t="s">
        <v>22</v>
      </c>
      <c r="DJ32" t="s">
        <v>22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1007</v>
      </c>
      <c r="DV32" t="s">
        <v>56</v>
      </c>
      <c r="DW32" t="s">
        <v>56</v>
      </c>
      <c r="DX32">
        <v>10</v>
      </c>
      <c r="DZ32" t="s">
        <v>3</v>
      </c>
      <c r="EA32" t="s">
        <v>3</v>
      </c>
      <c r="EB32" t="s">
        <v>3</v>
      </c>
      <c r="EC32" t="s">
        <v>3</v>
      </c>
      <c r="EE32">
        <v>73343339</v>
      </c>
      <c r="EF32">
        <v>6</v>
      </c>
      <c r="EG32" t="s">
        <v>23</v>
      </c>
      <c r="EH32">
        <v>87</v>
      </c>
      <c r="EI32" t="s">
        <v>58</v>
      </c>
      <c r="EJ32">
        <v>1</v>
      </c>
      <c r="EK32">
        <v>53001</v>
      </c>
      <c r="EL32" t="s">
        <v>58</v>
      </c>
      <c r="EM32" t="s">
        <v>59</v>
      </c>
      <c r="EO32" t="s">
        <v>26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109.85</v>
      </c>
      <c r="EX32">
        <v>5.5</v>
      </c>
      <c r="EY32">
        <v>0</v>
      </c>
      <c r="FQ32">
        <v>0</v>
      </c>
      <c r="FR32">
        <v>0</v>
      </c>
      <c r="FS32">
        <v>0</v>
      </c>
      <c r="FX32">
        <v>92</v>
      </c>
      <c r="FY32">
        <v>52</v>
      </c>
      <c r="GA32" t="s">
        <v>3</v>
      </c>
      <c r="GD32">
        <v>1</v>
      </c>
      <c r="GF32">
        <v>-1738767509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34"/>
        <v>0</v>
      </c>
      <c r="GM32">
        <f t="shared" si="35"/>
        <v>5117.28</v>
      </c>
      <c r="GN32">
        <f t="shared" si="36"/>
        <v>5117.28</v>
      </c>
      <c r="GO32">
        <f t="shared" si="37"/>
        <v>0</v>
      </c>
      <c r="GP32">
        <f t="shared" si="38"/>
        <v>0</v>
      </c>
      <c r="GR32">
        <v>0</v>
      </c>
      <c r="GS32">
        <v>3</v>
      </c>
      <c r="GT32">
        <v>0</v>
      </c>
      <c r="GU32" t="s">
        <v>3</v>
      </c>
      <c r="GV32">
        <f t="shared" si="39"/>
        <v>0</v>
      </c>
      <c r="GW32">
        <v>1</v>
      </c>
      <c r="GX32">
        <f t="shared" si="40"/>
        <v>0</v>
      </c>
      <c r="HA32">
        <v>0</v>
      </c>
      <c r="HB32">
        <v>0</v>
      </c>
      <c r="HC32">
        <f t="shared" si="41"/>
        <v>0</v>
      </c>
      <c r="HE32" t="s">
        <v>3</v>
      </c>
      <c r="HF32" t="s">
        <v>3</v>
      </c>
      <c r="HM32" t="s">
        <v>3</v>
      </c>
      <c r="HN32" t="s">
        <v>60</v>
      </c>
      <c r="HO32" t="s">
        <v>61</v>
      </c>
      <c r="HP32" t="s">
        <v>58</v>
      </c>
      <c r="HQ32" t="s">
        <v>58</v>
      </c>
      <c r="HS32">
        <v>0</v>
      </c>
      <c r="IK32">
        <v>0</v>
      </c>
    </row>
    <row r="33" spans="1:245" x14ac:dyDescent="0.2">
      <c r="A33">
        <v>18</v>
      </c>
      <c r="B33">
        <v>1</v>
      </c>
      <c r="C33">
        <v>13</v>
      </c>
      <c r="E33" t="s">
        <v>62</v>
      </c>
      <c r="F33" t="s">
        <v>31</v>
      </c>
      <c r="G33" t="s">
        <v>32</v>
      </c>
      <c r="H33" t="s">
        <v>33</v>
      </c>
      <c r="I33">
        <f>I32*J33</f>
        <v>0.20596</v>
      </c>
      <c r="J33">
        <v>10.84</v>
      </c>
      <c r="K33">
        <v>10.84</v>
      </c>
      <c r="O33">
        <f t="shared" si="21"/>
        <v>0</v>
      </c>
      <c r="P33">
        <f>ROUND(CQ33*I33,2)</f>
        <v>0</v>
      </c>
      <c r="Q33">
        <f>ROUND(CR33*I33,2)</f>
        <v>0</v>
      </c>
      <c r="R33">
        <f>ROUND(CS33*I33,2)</f>
        <v>0</v>
      </c>
      <c r="S33">
        <f>ROUND(CT33*I33,2)</f>
        <v>0</v>
      </c>
      <c r="T33">
        <f t="shared" si="22"/>
        <v>0</v>
      </c>
      <c r="U33">
        <f>ROUND(CV33*I33,7)</f>
        <v>0</v>
      </c>
      <c r="V33">
        <f>ROUND(CW33*I33,7)</f>
        <v>0</v>
      </c>
      <c r="W33">
        <f t="shared" si="23"/>
        <v>0</v>
      </c>
      <c r="X33">
        <f t="shared" si="24"/>
        <v>0</v>
      </c>
      <c r="Y33">
        <f t="shared" si="25"/>
        <v>0</v>
      </c>
      <c r="AA33">
        <v>75284898</v>
      </c>
      <c r="AB33">
        <f t="shared" si="26"/>
        <v>0</v>
      </c>
      <c r="AC33">
        <f>ROUND((ES33),6)</f>
        <v>0</v>
      </c>
      <c r="AD33">
        <f>ROUND((((ET33)-(EU33))+AE33),6)</f>
        <v>0</v>
      </c>
      <c r="AE33">
        <f>ROUND((EU33),6)</f>
        <v>0</v>
      </c>
      <c r="AF33">
        <f>ROUND((EV33),6)</f>
        <v>0</v>
      </c>
      <c r="AG33">
        <f t="shared" si="27"/>
        <v>0</v>
      </c>
      <c r="AH33">
        <f>(EW33)</f>
        <v>0</v>
      </c>
      <c r="AI33">
        <f>(EX33)</f>
        <v>0</v>
      </c>
      <c r="AJ33">
        <f t="shared" si="28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92</v>
      </c>
      <c r="AU33">
        <v>52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3</v>
      </c>
      <c r="BM33">
        <v>53001</v>
      </c>
      <c r="BN33">
        <v>0</v>
      </c>
      <c r="BO33" t="s">
        <v>3</v>
      </c>
      <c r="BP33">
        <v>0</v>
      </c>
      <c r="BQ33">
        <v>6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92</v>
      </c>
      <c r="CA33">
        <v>52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9"/>
        <v>0</v>
      </c>
      <c r="CQ33">
        <f>ROUND(AL33*BC33,2)</f>
        <v>0</v>
      </c>
      <c r="CR33">
        <f>ROUND(AM33*BB33,2)</f>
        <v>0</v>
      </c>
      <c r="CS33">
        <f>ROUND(AN33*BS33,2)</f>
        <v>0</v>
      </c>
      <c r="CT33">
        <f>ROUND(AO33*BA33,2)</f>
        <v>0</v>
      </c>
      <c r="CU33">
        <f t="shared" si="30"/>
        <v>0</v>
      </c>
      <c r="CV33">
        <f>AH33</f>
        <v>0</v>
      </c>
      <c r="CW33">
        <f>AI33</f>
        <v>0</v>
      </c>
      <c r="CX33">
        <f t="shared" si="31"/>
        <v>0</v>
      </c>
      <c r="CY33">
        <f t="shared" si="32"/>
        <v>0</v>
      </c>
      <c r="CZ33">
        <f t="shared" si="33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33</v>
      </c>
      <c r="DW33" t="s">
        <v>33</v>
      </c>
      <c r="DX33">
        <v>1000</v>
      </c>
      <c r="DZ33" t="s">
        <v>3</v>
      </c>
      <c r="EA33" t="s">
        <v>3</v>
      </c>
      <c r="EB33" t="s">
        <v>3</v>
      </c>
      <c r="EC33" t="s">
        <v>3</v>
      </c>
      <c r="EE33">
        <v>73343339</v>
      </c>
      <c r="EF33">
        <v>6</v>
      </c>
      <c r="EG33" t="s">
        <v>23</v>
      </c>
      <c r="EH33">
        <v>87</v>
      </c>
      <c r="EI33" t="s">
        <v>58</v>
      </c>
      <c r="EJ33">
        <v>1</v>
      </c>
      <c r="EK33">
        <v>53001</v>
      </c>
      <c r="EL33" t="s">
        <v>58</v>
      </c>
      <c r="EM33" t="s">
        <v>59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v>0</v>
      </c>
      <c r="FS33">
        <v>0</v>
      </c>
      <c r="FX33">
        <v>92</v>
      </c>
      <c r="FY33">
        <v>52</v>
      </c>
      <c r="GA33" t="s">
        <v>3</v>
      </c>
      <c r="GD33">
        <v>1</v>
      </c>
      <c r="GF33">
        <v>2102561428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34"/>
        <v>0</v>
      </c>
      <c r="GM33">
        <f t="shared" si="35"/>
        <v>0</v>
      </c>
      <c r="GN33">
        <f t="shared" si="36"/>
        <v>0</v>
      </c>
      <c r="GO33">
        <f t="shared" si="37"/>
        <v>0</v>
      </c>
      <c r="GP33">
        <f t="shared" si="38"/>
        <v>0</v>
      </c>
      <c r="GR33">
        <v>0</v>
      </c>
      <c r="GS33">
        <v>3</v>
      </c>
      <c r="GT33">
        <v>0</v>
      </c>
      <c r="GU33" t="s">
        <v>3</v>
      </c>
      <c r="GV33">
        <f t="shared" si="39"/>
        <v>0</v>
      </c>
      <c r="GW33">
        <v>1</v>
      </c>
      <c r="GX33">
        <f t="shared" si="40"/>
        <v>0</v>
      </c>
      <c r="HA33">
        <v>0</v>
      </c>
      <c r="HB33">
        <v>0</v>
      </c>
      <c r="HC33">
        <f t="shared" si="41"/>
        <v>0</v>
      </c>
      <c r="HE33" t="s">
        <v>3</v>
      </c>
      <c r="HF33" t="s">
        <v>3</v>
      </c>
      <c r="HM33" t="s">
        <v>3</v>
      </c>
      <c r="HN33" t="s">
        <v>60</v>
      </c>
      <c r="HO33" t="s">
        <v>61</v>
      </c>
      <c r="HP33" t="s">
        <v>58</v>
      </c>
      <c r="HQ33" t="s">
        <v>58</v>
      </c>
      <c r="HS33">
        <v>0</v>
      </c>
      <c r="IK33">
        <v>0</v>
      </c>
    </row>
    <row r="34" spans="1:245" ht="409.5" x14ac:dyDescent="0.2">
      <c r="A34">
        <v>17</v>
      </c>
      <c r="B34">
        <v>1</v>
      </c>
      <c r="C34">
        <f>ROW(SmtRes!A17)</f>
        <v>17</v>
      </c>
      <c r="D34">
        <f>ROW(EtalonRes!A17)</f>
        <v>17</v>
      </c>
      <c r="E34" t="s">
        <v>63</v>
      </c>
      <c r="F34" t="s">
        <v>64</v>
      </c>
      <c r="G34" t="s">
        <v>65</v>
      </c>
      <c r="H34" t="s">
        <v>46</v>
      </c>
      <c r="I34">
        <f>ROUND(28.59/100,7)</f>
        <v>0.28589999999999999</v>
      </c>
      <c r="J34">
        <v>0</v>
      </c>
      <c r="K34">
        <f>ROUND(28.59/100,7)</f>
        <v>0.28589999999999999</v>
      </c>
      <c r="O34">
        <f t="shared" si="21"/>
        <v>1334.24</v>
      </c>
      <c r="P34">
        <f>SUMIF(SmtRes!AQ14:'SmtRes'!AQ17,"=1",SmtRes!DF14:'SmtRes'!DF17)</f>
        <v>15.14</v>
      </c>
      <c r="Q34">
        <f>SUMIF(SmtRes!AQ14:'SmtRes'!AQ17,"=1",SmtRes!DG14:'SmtRes'!DG17)</f>
        <v>0</v>
      </c>
      <c r="R34">
        <f>SUMIF(SmtRes!AQ14:'SmtRes'!AQ17,"=1",SmtRes!DH14:'SmtRes'!DH17)</f>
        <v>0</v>
      </c>
      <c r="S34">
        <f>SUMIF(SmtRes!AQ14:'SmtRes'!AQ17,"=1",SmtRes!DI14:'SmtRes'!DI17)</f>
        <v>1319.1</v>
      </c>
      <c r="T34">
        <f t="shared" si="22"/>
        <v>0</v>
      </c>
      <c r="U34">
        <f>SUMIF(SmtRes!AQ14:'SmtRes'!AQ17,"=1",SmtRes!CV14:'SmtRes'!CV17)</f>
        <v>2.1782005999999998</v>
      </c>
      <c r="V34">
        <f>SUMIF(SmtRes!AQ14:'SmtRes'!AQ17,"=1",SmtRes!CW14:'SmtRes'!CW17)</f>
        <v>0</v>
      </c>
      <c r="W34">
        <f t="shared" si="23"/>
        <v>0</v>
      </c>
      <c r="X34">
        <f t="shared" si="24"/>
        <v>1187.19</v>
      </c>
      <c r="Y34">
        <f t="shared" si="25"/>
        <v>606.79</v>
      </c>
      <c r="AA34">
        <v>75284898</v>
      </c>
      <c r="AB34">
        <f t="shared" si="26"/>
        <v>4651.6935130000002</v>
      </c>
      <c r="AC34">
        <f>ROUND((SUM(SmtRes!BQ14:'SmtRes'!BQ17)),6)</f>
        <v>37.854700000000001</v>
      </c>
      <c r="AD34">
        <f>ROUND((((0)-(0))+AE34),6)</f>
        <v>0</v>
      </c>
      <c r="AE34">
        <f>ROUND((0),6)</f>
        <v>0</v>
      </c>
      <c r="AF34">
        <f>ROUND((SUM(SmtRes!BT14:'SmtRes'!BT17)),6)</f>
        <v>4613.8388130000003</v>
      </c>
      <c r="AG34">
        <f t="shared" si="27"/>
        <v>0</v>
      </c>
      <c r="AH34">
        <f>(SUM(SmtRes!BU14:'SmtRes'!BU17))</f>
        <v>7.6187499999999995</v>
      </c>
      <c r="AI34">
        <f>(0)</f>
        <v>0</v>
      </c>
      <c r="AJ34">
        <f t="shared" si="28"/>
        <v>0</v>
      </c>
      <c r="AK34">
        <v>3247.4816999999998</v>
      </c>
      <c r="AL34">
        <v>37.854699999999994</v>
      </c>
      <c r="AM34">
        <v>0</v>
      </c>
      <c r="AN34">
        <v>0</v>
      </c>
      <c r="AO34">
        <v>3209.627</v>
      </c>
      <c r="AP34">
        <v>0</v>
      </c>
      <c r="AQ34">
        <v>5.3</v>
      </c>
      <c r="AR34">
        <v>0</v>
      </c>
      <c r="AS34">
        <v>0</v>
      </c>
      <c r="AT34">
        <v>90</v>
      </c>
      <c r="AU34">
        <v>46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66</v>
      </c>
      <c r="BM34">
        <v>62001</v>
      </c>
      <c r="BN34">
        <v>0</v>
      </c>
      <c r="BO34" t="s">
        <v>3</v>
      </c>
      <c r="BP34">
        <v>0</v>
      </c>
      <c r="BQ34">
        <v>6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90</v>
      </c>
      <c r="CA34">
        <v>46</v>
      </c>
      <c r="CB34" t="s">
        <v>3</v>
      </c>
      <c r="CE34">
        <v>0</v>
      </c>
      <c r="CF34">
        <v>0</v>
      </c>
      <c r="CG34">
        <v>0</v>
      </c>
      <c r="CM34">
        <v>0</v>
      </c>
      <c r="CN34" s="1" t="s">
        <v>409</v>
      </c>
      <c r="CO34">
        <v>0</v>
      </c>
      <c r="CP34">
        <f t="shared" si="29"/>
        <v>1334.24</v>
      </c>
      <c r="CQ34">
        <f>SUMIF(SmtRes!AQ14:'SmtRes'!AQ17,"=1",SmtRes!AA14:'SmtRes'!AA17)</f>
        <v>169.52</v>
      </c>
      <c r="CR34">
        <f>SUMIF(SmtRes!AQ14:'SmtRes'!AQ17,"=1",SmtRes!AB14:'SmtRes'!AB17)</f>
        <v>0</v>
      </c>
      <c r="CS34">
        <f>SUMIF(SmtRes!AQ14:'SmtRes'!AQ17,"=1",SmtRes!AC14:'SmtRes'!AC17)</f>
        <v>0</v>
      </c>
      <c r="CT34">
        <f>SUMIF(SmtRes!AQ14:'SmtRes'!AQ17,"=1",SmtRes!AD14:'SmtRes'!AD17)</f>
        <v>605.59</v>
      </c>
      <c r="CU34">
        <f t="shared" si="30"/>
        <v>0</v>
      </c>
      <c r="CV34">
        <f>SUMIF(SmtRes!AQ14:'SmtRes'!AQ17,"=1",SmtRes!BU14:'SmtRes'!BU17)</f>
        <v>7.6187499999999995</v>
      </c>
      <c r="CW34">
        <f>SUMIF(SmtRes!AQ14:'SmtRes'!AQ17,"=1",SmtRes!BV14:'SmtRes'!BV17)</f>
        <v>0</v>
      </c>
      <c r="CX34">
        <f t="shared" si="31"/>
        <v>0</v>
      </c>
      <c r="CY34">
        <f t="shared" si="32"/>
        <v>1187.1899999999998</v>
      </c>
      <c r="CZ34">
        <f t="shared" si="33"/>
        <v>606.78599999999994</v>
      </c>
      <c r="DB34">
        <v>9</v>
      </c>
      <c r="DC34" t="s">
        <v>3</v>
      </c>
      <c r="DD34" t="s">
        <v>3</v>
      </c>
      <c r="DE34" t="s">
        <v>22</v>
      </c>
      <c r="DF34" t="s">
        <v>22</v>
      </c>
      <c r="DG34" t="s">
        <v>22</v>
      </c>
      <c r="DH34" t="s">
        <v>3</v>
      </c>
      <c r="DI34" t="s">
        <v>22</v>
      </c>
      <c r="DJ34" t="s">
        <v>22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1005</v>
      </c>
      <c r="DV34" t="s">
        <v>46</v>
      </c>
      <c r="DW34" t="s">
        <v>46</v>
      </c>
      <c r="DX34">
        <v>100</v>
      </c>
      <c r="DZ34" t="s">
        <v>3</v>
      </c>
      <c r="EA34" t="s">
        <v>3</v>
      </c>
      <c r="EB34" t="s">
        <v>3</v>
      </c>
      <c r="EC34" t="s">
        <v>3</v>
      </c>
      <c r="EE34">
        <v>73343348</v>
      </c>
      <c r="EF34">
        <v>6</v>
      </c>
      <c r="EG34" t="s">
        <v>23</v>
      </c>
      <c r="EH34">
        <v>96</v>
      </c>
      <c r="EI34" t="s">
        <v>67</v>
      </c>
      <c r="EJ34">
        <v>1</v>
      </c>
      <c r="EK34">
        <v>62001</v>
      </c>
      <c r="EL34" t="s">
        <v>67</v>
      </c>
      <c r="EM34" t="s">
        <v>68</v>
      </c>
      <c r="EO34" t="s">
        <v>26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5.3</v>
      </c>
      <c r="EX34">
        <v>0</v>
      </c>
      <c r="EY34">
        <v>0</v>
      </c>
      <c r="FQ34">
        <v>0</v>
      </c>
      <c r="FR34">
        <v>0</v>
      </c>
      <c r="FS34">
        <v>0</v>
      </c>
      <c r="FX34">
        <v>90</v>
      </c>
      <c r="FY34">
        <v>46</v>
      </c>
      <c r="GA34" t="s">
        <v>3</v>
      </c>
      <c r="GD34">
        <v>1</v>
      </c>
      <c r="GF34">
        <v>-1631767542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34"/>
        <v>0</v>
      </c>
      <c r="GM34">
        <f t="shared" si="35"/>
        <v>3128.22</v>
      </c>
      <c r="GN34">
        <f t="shared" si="36"/>
        <v>3128.22</v>
      </c>
      <c r="GO34">
        <f t="shared" si="37"/>
        <v>0</v>
      </c>
      <c r="GP34">
        <f t="shared" si="38"/>
        <v>0</v>
      </c>
      <c r="GR34">
        <v>0</v>
      </c>
      <c r="GS34">
        <v>3</v>
      </c>
      <c r="GT34">
        <v>0</v>
      </c>
      <c r="GU34" t="s">
        <v>3</v>
      </c>
      <c r="GV34">
        <f t="shared" si="39"/>
        <v>0</v>
      </c>
      <c r="GW34">
        <v>1</v>
      </c>
      <c r="GX34">
        <f t="shared" si="40"/>
        <v>0</v>
      </c>
      <c r="HA34">
        <v>0</v>
      </c>
      <c r="HB34">
        <v>0</v>
      </c>
      <c r="HC34">
        <f t="shared" si="41"/>
        <v>0</v>
      </c>
      <c r="HE34" t="s">
        <v>3</v>
      </c>
      <c r="HF34" t="s">
        <v>3</v>
      </c>
      <c r="HM34" t="s">
        <v>3</v>
      </c>
      <c r="HN34" t="s">
        <v>69</v>
      </c>
      <c r="HO34" t="s">
        <v>70</v>
      </c>
      <c r="HP34" t="s">
        <v>67</v>
      </c>
      <c r="HQ34" t="s">
        <v>67</v>
      </c>
      <c r="HS34">
        <v>0</v>
      </c>
      <c r="IK34">
        <v>0</v>
      </c>
    </row>
    <row r="35" spans="1:245" ht="409.5" x14ac:dyDescent="0.2">
      <c r="A35">
        <v>17</v>
      </c>
      <c r="B35">
        <v>1</v>
      </c>
      <c r="C35">
        <f>ROW(SmtRes!A19)</f>
        <v>19</v>
      </c>
      <c r="D35">
        <f>ROW(EtalonRes!A19)</f>
        <v>19</v>
      </c>
      <c r="E35" t="s">
        <v>71</v>
      </c>
      <c r="F35" t="s">
        <v>72</v>
      </c>
      <c r="G35" t="s">
        <v>73</v>
      </c>
      <c r="H35" t="s">
        <v>46</v>
      </c>
      <c r="I35">
        <f>ROUND(1.6/100,7)</f>
        <v>1.6E-2</v>
      </c>
      <c r="J35">
        <v>0</v>
      </c>
      <c r="K35">
        <f>ROUND(1.6/100,7)</f>
        <v>1.6E-2</v>
      </c>
      <c r="O35">
        <f t="shared" si="21"/>
        <v>139.44</v>
      </c>
      <c r="P35">
        <f>SUMIF(SmtRes!AQ18:'SmtRes'!AQ19,"=1",SmtRes!DF18:'SmtRes'!DF19)</f>
        <v>0</v>
      </c>
      <c r="Q35">
        <f>SUMIF(SmtRes!AQ18:'SmtRes'!AQ19,"=1",SmtRes!DG18:'SmtRes'!DG19)</f>
        <v>0</v>
      </c>
      <c r="R35">
        <f>SUMIF(SmtRes!AQ18:'SmtRes'!AQ19,"=1",SmtRes!DH18:'SmtRes'!DH19)</f>
        <v>0</v>
      </c>
      <c r="S35">
        <f>SUMIF(SmtRes!AQ18:'SmtRes'!AQ19,"=1",SmtRes!DI18:'SmtRes'!DI19)</f>
        <v>139.44</v>
      </c>
      <c r="T35">
        <f t="shared" si="22"/>
        <v>0</v>
      </c>
      <c r="U35">
        <f>SUMIF(SmtRes!AQ18:'SmtRes'!AQ19,"=1",SmtRes!CV18:'SmtRes'!CV19)</f>
        <v>0.21477399999999999</v>
      </c>
      <c r="V35">
        <f>SUMIF(SmtRes!AQ18:'SmtRes'!AQ19,"=1",SmtRes!CW18:'SmtRes'!CW19)</f>
        <v>0</v>
      </c>
      <c r="W35">
        <f t="shared" si="23"/>
        <v>0</v>
      </c>
      <c r="X35">
        <f t="shared" si="24"/>
        <v>139.44</v>
      </c>
      <c r="Y35">
        <f t="shared" si="25"/>
        <v>68.33</v>
      </c>
      <c r="AA35">
        <v>75284898</v>
      </c>
      <c r="AB35">
        <f t="shared" si="26"/>
        <v>8714.9919850000006</v>
      </c>
      <c r="AC35">
        <f>ROUND((0),6)</f>
        <v>0</v>
      </c>
      <c r="AD35">
        <f>ROUND((((0)-(0))+AE35),6)</f>
        <v>0</v>
      </c>
      <c r="AE35">
        <f>ROUND((0),6)</f>
        <v>0</v>
      </c>
      <c r="AF35">
        <f>ROUND((SUM(SmtRes!BT18:'SmtRes'!BT19)),6)</f>
        <v>8714.9919850000006</v>
      </c>
      <c r="AG35">
        <f t="shared" si="27"/>
        <v>0</v>
      </c>
      <c r="AH35">
        <f>(SUM(SmtRes!BU18:'SmtRes'!BU19))</f>
        <v>13.423374999999998</v>
      </c>
      <c r="AI35">
        <f>(0)</f>
        <v>0</v>
      </c>
      <c r="AJ35">
        <f t="shared" si="28"/>
        <v>0</v>
      </c>
      <c r="AK35">
        <v>5271.8287999999993</v>
      </c>
      <c r="AL35">
        <v>0</v>
      </c>
      <c r="AM35">
        <v>0</v>
      </c>
      <c r="AN35">
        <v>0</v>
      </c>
      <c r="AO35">
        <v>5271.8287999999993</v>
      </c>
      <c r="AP35">
        <v>0</v>
      </c>
      <c r="AQ35">
        <v>8.1199999999999992</v>
      </c>
      <c r="AR35">
        <v>0</v>
      </c>
      <c r="AS35">
        <v>0</v>
      </c>
      <c r="AT35">
        <v>100</v>
      </c>
      <c r="AU35">
        <v>49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74</v>
      </c>
      <c r="BM35">
        <v>15001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100</v>
      </c>
      <c r="CA35">
        <v>49</v>
      </c>
      <c r="CB35" t="s">
        <v>3</v>
      </c>
      <c r="CE35">
        <v>0</v>
      </c>
      <c r="CF35">
        <v>0</v>
      </c>
      <c r="CG35">
        <v>0</v>
      </c>
      <c r="CM35">
        <v>0</v>
      </c>
      <c r="CN35" s="1" t="s">
        <v>410</v>
      </c>
      <c r="CO35">
        <v>0</v>
      </c>
      <c r="CP35">
        <f t="shared" si="29"/>
        <v>139.44</v>
      </c>
      <c r="CQ35">
        <f>SUMIF(SmtRes!AQ18:'SmtRes'!AQ19,"=1",SmtRes!AA18:'SmtRes'!AA19)</f>
        <v>0</v>
      </c>
      <c r="CR35">
        <f>SUMIF(SmtRes!AQ18:'SmtRes'!AQ19,"=1",SmtRes!AB18:'SmtRes'!AB19)</f>
        <v>0</v>
      </c>
      <c r="CS35">
        <f>SUMIF(SmtRes!AQ18:'SmtRes'!AQ19,"=1",SmtRes!AC18:'SmtRes'!AC19)</f>
        <v>0</v>
      </c>
      <c r="CT35">
        <f>SUMIF(SmtRes!AQ18:'SmtRes'!AQ19,"=1",SmtRes!AD18:'SmtRes'!AD19)</f>
        <v>649.24</v>
      </c>
      <c r="CU35">
        <f t="shared" si="30"/>
        <v>0</v>
      </c>
      <c r="CV35">
        <f>SUMIF(SmtRes!AQ18:'SmtRes'!AQ19,"=1",SmtRes!BU18:'SmtRes'!BU19)</f>
        <v>13.423374999999998</v>
      </c>
      <c r="CW35">
        <f>SUMIF(SmtRes!AQ18:'SmtRes'!AQ19,"=1",SmtRes!BV18:'SmtRes'!BV19)</f>
        <v>0</v>
      </c>
      <c r="CX35">
        <f t="shared" si="31"/>
        <v>0</v>
      </c>
      <c r="CY35">
        <f t="shared" si="32"/>
        <v>139.44</v>
      </c>
      <c r="CZ35">
        <f t="shared" si="33"/>
        <v>68.325599999999994</v>
      </c>
      <c r="DB35">
        <v>11</v>
      </c>
      <c r="DC35" t="s">
        <v>3</v>
      </c>
      <c r="DD35" t="s">
        <v>3</v>
      </c>
      <c r="DE35" t="s">
        <v>75</v>
      </c>
      <c r="DF35" t="s">
        <v>75</v>
      </c>
      <c r="DG35" t="s">
        <v>76</v>
      </c>
      <c r="DH35" t="s">
        <v>3</v>
      </c>
      <c r="DI35" t="s">
        <v>76</v>
      </c>
      <c r="DJ35" t="s">
        <v>75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1005</v>
      </c>
      <c r="DV35" t="s">
        <v>46</v>
      </c>
      <c r="DW35" t="s">
        <v>46</v>
      </c>
      <c r="DX35">
        <v>100</v>
      </c>
      <c r="DZ35" t="s">
        <v>3</v>
      </c>
      <c r="EA35" t="s">
        <v>3</v>
      </c>
      <c r="EB35" t="s">
        <v>3</v>
      </c>
      <c r="EC35" t="s">
        <v>3</v>
      </c>
      <c r="EE35">
        <v>73343291</v>
      </c>
      <c r="EF35">
        <v>2</v>
      </c>
      <c r="EG35" t="s">
        <v>77</v>
      </c>
      <c r="EH35">
        <v>15</v>
      </c>
      <c r="EI35" t="s">
        <v>78</v>
      </c>
      <c r="EJ35">
        <v>1</v>
      </c>
      <c r="EK35">
        <v>15001</v>
      </c>
      <c r="EL35" t="s">
        <v>78</v>
      </c>
      <c r="EM35" t="s">
        <v>79</v>
      </c>
      <c r="EO35" t="s">
        <v>80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8.1199999999999992</v>
      </c>
      <c r="EX35">
        <v>0</v>
      </c>
      <c r="EY35">
        <v>0</v>
      </c>
      <c r="FQ35">
        <v>0</v>
      </c>
      <c r="FR35">
        <v>0</v>
      </c>
      <c r="FS35">
        <v>0</v>
      </c>
      <c r="FX35">
        <v>100</v>
      </c>
      <c r="FY35">
        <v>49</v>
      </c>
      <c r="GA35" t="s">
        <v>3</v>
      </c>
      <c r="GD35">
        <v>1</v>
      </c>
      <c r="GF35">
        <v>1429120111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34"/>
        <v>0</v>
      </c>
      <c r="GM35">
        <f t="shared" si="35"/>
        <v>347.21</v>
      </c>
      <c r="GN35">
        <f t="shared" si="36"/>
        <v>347.21</v>
      </c>
      <c r="GO35">
        <f t="shared" si="37"/>
        <v>0</v>
      </c>
      <c r="GP35">
        <f t="shared" si="38"/>
        <v>0</v>
      </c>
      <c r="GR35">
        <v>0</v>
      </c>
      <c r="GS35">
        <v>3</v>
      </c>
      <c r="GT35">
        <v>0</v>
      </c>
      <c r="GU35" t="s">
        <v>3</v>
      </c>
      <c r="GV35">
        <f t="shared" si="39"/>
        <v>0</v>
      </c>
      <c r="GW35">
        <v>1</v>
      </c>
      <c r="GX35">
        <f t="shared" si="40"/>
        <v>0</v>
      </c>
      <c r="HA35">
        <v>0</v>
      </c>
      <c r="HB35">
        <v>0</v>
      </c>
      <c r="HC35">
        <f t="shared" si="41"/>
        <v>0</v>
      </c>
      <c r="HE35" t="s">
        <v>3</v>
      </c>
      <c r="HF35" t="s">
        <v>3</v>
      </c>
      <c r="HM35" t="s">
        <v>3</v>
      </c>
      <c r="HN35" t="s">
        <v>81</v>
      </c>
      <c r="HO35" t="s">
        <v>82</v>
      </c>
      <c r="HP35" t="s">
        <v>78</v>
      </c>
      <c r="HQ35" t="s">
        <v>78</v>
      </c>
      <c r="HS35">
        <v>0</v>
      </c>
      <c r="IK35">
        <v>0</v>
      </c>
    </row>
    <row r="36" spans="1:245" x14ac:dyDescent="0.2">
      <c r="A36">
        <v>18</v>
      </c>
      <c r="B36">
        <v>1</v>
      </c>
      <c r="C36">
        <v>19</v>
      </c>
      <c r="E36" t="s">
        <v>83</v>
      </c>
      <c r="F36" t="s">
        <v>84</v>
      </c>
      <c r="G36" t="s">
        <v>85</v>
      </c>
      <c r="H36" t="s">
        <v>33</v>
      </c>
      <c r="I36">
        <f>I35*J36</f>
        <v>1.92E-4</v>
      </c>
      <c r="J36">
        <v>1.2E-2</v>
      </c>
      <c r="K36">
        <v>1.2E-2</v>
      </c>
      <c r="O36">
        <f t="shared" si="21"/>
        <v>0</v>
      </c>
      <c r="P36">
        <f>ROUND(CQ36*I36,2)</f>
        <v>0</v>
      </c>
      <c r="Q36">
        <f>ROUND(CR36*I36,2)</f>
        <v>0</v>
      </c>
      <c r="R36">
        <f>ROUND(CS36*I36,2)</f>
        <v>0</v>
      </c>
      <c r="S36">
        <f>ROUND(CT36*I36,2)</f>
        <v>0</v>
      </c>
      <c r="T36">
        <f t="shared" si="22"/>
        <v>0</v>
      </c>
      <c r="U36">
        <f>ROUND(CV36*I36,7)</f>
        <v>0</v>
      </c>
      <c r="V36">
        <f>ROUND(CW36*I36,7)</f>
        <v>0</v>
      </c>
      <c r="W36">
        <f t="shared" si="23"/>
        <v>0</v>
      </c>
      <c r="X36">
        <f t="shared" si="24"/>
        <v>0</v>
      </c>
      <c r="Y36">
        <f t="shared" si="25"/>
        <v>0</v>
      </c>
      <c r="AA36">
        <v>75284898</v>
      </c>
      <c r="AB36">
        <f t="shared" si="26"/>
        <v>0</v>
      </c>
      <c r="AC36">
        <f>ROUND((ES36),6)</f>
        <v>0</v>
      </c>
      <c r="AD36">
        <f>ROUND((((ET36)-(EU36))+AE36),6)</f>
        <v>0</v>
      </c>
      <c r="AE36">
        <f>ROUND((EU36),6)</f>
        <v>0</v>
      </c>
      <c r="AF36">
        <f>ROUND((EV36),6)</f>
        <v>0</v>
      </c>
      <c r="AG36">
        <f t="shared" si="27"/>
        <v>0</v>
      </c>
      <c r="AH36">
        <f>(EW36)</f>
        <v>0</v>
      </c>
      <c r="AI36">
        <f>(EX36)</f>
        <v>0</v>
      </c>
      <c r="AJ36">
        <f t="shared" si="28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100</v>
      </c>
      <c r="AU36">
        <v>49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15001</v>
      </c>
      <c r="BN36">
        <v>0</v>
      </c>
      <c r="BO36" t="s">
        <v>3</v>
      </c>
      <c r="BP36">
        <v>0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100</v>
      </c>
      <c r="CA36">
        <v>49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29"/>
        <v>0</v>
      </c>
      <c r="CQ36">
        <f>ROUND(AL36*BC36,2)</f>
        <v>0</v>
      </c>
      <c r="CR36">
        <f>ROUND(AM36*BB36,2)</f>
        <v>0</v>
      </c>
      <c r="CS36">
        <f>ROUND(AN36*BS36,2)</f>
        <v>0</v>
      </c>
      <c r="CT36">
        <f>ROUND(AO36*BA36,2)</f>
        <v>0</v>
      </c>
      <c r="CU36">
        <f t="shared" si="30"/>
        <v>0</v>
      </c>
      <c r="CV36">
        <f>AH36</f>
        <v>0</v>
      </c>
      <c r="CW36">
        <f>AI36</f>
        <v>0</v>
      </c>
      <c r="CX36">
        <f t="shared" si="31"/>
        <v>0</v>
      </c>
      <c r="CY36">
        <f t="shared" si="32"/>
        <v>0</v>
      </c>
      <c r="CZ36">
        <f t="shared" si="33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1009</v>
      </c>
      <c r="DV36" t="s">
        <v>33</v>
      </c>
      <c r="DW36" t="s">
        <v>33</v>
      </c>
      <c r="DX36">
        <v>1000</v>
      </c>
      <c r="DZ36" t="s">
        <v>3</v>
      </c>
      <c r="EA36" t="s">
        <v>3</v>
      </c>
      <c r="EB36" t="s">
        <v>3</v>
      </c>
      <c r="EC36" t="s">
        <v>3</v>
      </c>
      <c r="EE36">
        <v>73343291</v>
      </c>
      <c r="EF36">
        <v>2</v>
      </c>
      <c r="EG36" t="s">
        <v>77</v>
      </c>
      <c r="EH36">
        <v>15</v>
      </c>
      <c r="EI36" t="s">
        <v>78</v>
      </c>
      <c r="EJ36">
        <v>1</v>
      </c>
      <c r="EK36">
        <v>15001</v>
      </c>
      <c r="EL36" t="s">
        <v>78</v>
      </c>
      <c r="EM36" t="s">
        <v>79</v>
      </c>
      <c r="EO36" t="s">
        <v>3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FQ36">
        <v>0</v>
      </c>
      <c r="FR36">
        <v>0</v>
      </c>
      <c r="FS36">
        <v>0</v>
      </c>
      <c r="FX36">
        <v>100</v>
      </c>
      <c r="FY36">
        <v>49</v>
      </c>
      <c r="GA36" t="s">
        <v>3</v>
      </c>
      <c r="GD36">
        <v>1</v>
      </c>
      <c r="GF36">
        <v>2135888249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34"/>
        <v>0</v>
      </c>
      <c r="GM36">
        <f t="shared" si="35"/>
        <v>0</v>
      </c>
      <c r="GN36">
        <f t="shared" si="36"/>
        <v>0</v>
      </c>
      <c r="GO36">
        <f t="shared" si="37"/>
        <v>0</v>
      </c>
      <c r="GP36">
        <f t="shared" si="38"/>
        <v>0</v>
      </c>
      <c r="GR36">
        <v>0</v>
      </c>
      <c r="GS36">
        <v>3</v>
      </c>
      <c r="GT36">
        <v>0</v>
      </c>
      <c r="GU36" t="s">
        <v>3</v>
      </c>
      <c r="GV36">
        <f t="shared" si="39"/>
        <v>0</v>
      </c>
      <c r="GW36">
        <v>1</v>
      </c>
      <c r="GX36">
        <f t="shared" si="40"/>
        <v>0</v>
      </c>
      <c r="HA36">
        <v>0</v>
      </c>
      <c r="HB36">
        <v>0</v>
      </c>
      <c r="HC36">
        <f t="shared" si="41"/>
        <v>0</v>
      </c>
      <c r="HE36" t="s">
        <v>3</v>
      </c>
      <c r="HF36" t="s">
        <v>3</v>
      </c>
      <c r="HM36" t="s">
        <v>3</v>
      </c>
      <c r="HN36" t="s">
        <v>81</v>
      </c>
      <c r="HO36" t="s">
        <v>82</v>
      </c>
      <c r="HP36" t="s">
        <v>78</v>
      </c>
      <c r="HQ36" t="s">
        <v>78</v>
      </c>
      <c r="HS36">
        <v>0</v>
      </c>
      <c r="IK36">
        <v>0</v>
      </c>
    </row>
    <row r="37" spans="1:245" x14ac:dyDescent="0.2">
      <c r="A37">
        <v>17</v>
      </c>
      <c r="B37">
        <v>1</v>
      </c>
      <c r="E37" t="s">
        <v>86</v>
      </c>
      <c r="F37" t="s">
        <v>87</v>
      </c>
      <c r="G37" t="s">
        <v>88</v>
      </c>
      <c r="H37" t="s">
        <v>89</v>
      </c>
      <c r="I37">
        <v>6.4</v>
      </c>
      <c r="J37">
        <v>0</v>
      </c>
      <c r="K37">
        <v>6.4</v>
      </c>
      <c r="O37">
        <f t="shared" si="21"/>
        <v>9521.7900000000009</v>
      </c>
      <c r="P37">
        <f>ROUND(CQ37*I37,2)</f>
        <v>9521.7900000000009</v>
      </c>
      <c r="Q37">
        <f>ROUND(CR37*I37,2)</f>
        <v>0</v>
      </c>
      <c r="R37">
        <f>ROUND(CS37*I37,2)</f>
        <v>0</v>
      </c>
      <c r="S37">
        <f>ROUND(CT37*I37,2)</f>
        <v>0</v>
      </c>
      <c r="T37">
        <f t="shared" si="22"/>
        <v>0</v>
      </c>
      <c r="U37">
        <f>ROUND(CV37*I37,7)</f>
        <v>0</v>
      </c>
      <c r="V37">
        <f>ROUND(CW37*I37,7)</f>
        <v>0</v>
      </c>
      <c r="W37">
        <f t="shared" si="23"/>
        <v>0</v>
      </c>
      <c r="X37">
        <f t="shared" si="24"/>
        <v>0</v>
      </c>
      <c r="Y37">
        <f t="shared" si="25"/>
        <v>0</v>
      </c>
      <c r="AA37">
        <v>75284898</v>
      </c>
      <c r="AB37">
        <f t="shared" si="26"/>
        <v>1487.78</v>
      </c>
      <c r="AC37">
        <f>ROUND((ES37),6)</f>
        <v>1487.78</v>
      </c>
      <c r="AD37">
        <f>ROUND((ET37),6)</f>
        <v>0</v>
      </c>
      <c r="AE37">
        <f>ROUND((EU37),6)</f>
        <v>0</v>
      </c>
      <c r="AF37">
        <f>ROUND((EV37),6)</f>
        <v>0</v>
      </c>
      <c r="AG37">
        <f t="shared" si="27"/>
        <v>0</v>
      </c>
      <c r="AH37">
        <f>(EW37)</f>
        <v>0</v>
      </c>
      <c r="AI37">
        <f>(EX37)</f>
        <v>0</v>
      </c>
      <c r="AJ37">
        <f t="shared" si="28"/>
        <v>0</v>
      </c>
      <c r="AK37">
        <v>1487.78</v>
      </c>
      <c r="AL37">
        <v>1487.78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87</v>
      </c>
      <c r="BM37">
        <v>900</v>
      </c>
      <c r="BN37">
        <v>0</v>
      </c>
      <c r="BO37" t="s">
        <v>3</v>
      </c>
      <c r="BP37">
        <v>0</v>
      </c>
      <c r="BQ37">
        <v>90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9"/>
        <v>9521.7900000000009</v>
      </c>
      <c r="CQ37">
        <f>ROUND(AL37,2)</f>
        <v>1487.78</v>
      </c>
      <c r="CR37">
        <f>ROUND(AM37,2)</f>
        <v>0</v>
      </c>
      <c r="CS37">
        <f>ROUND(AN37*BS37,2)</f>
        <v>0</v>
      </c>
      <c r="CT37">
        <f>ROUND(AO37*BA37,2)</f>
        <v>0</v>
      </c>
      <c r="CU37">
        <f t="shared" si="30"/>
        <v>0</v>
      </c>
      <c r="CV37">
        <f>AH37</f>
        <v>0</v>
      </c>
      <c r="CW37">
        <f>AI37</f>
        <v>0</v>
      </c>
      <c r="CX37">
        <f t="shared" si="31"/>
        <v>0</v>
      </c>
      <c r="CY37">
        <f>0</f>
        <v>0</v>
      </c>
      <c r="CZ37">
        <f>0</f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1002</v>
      </c>
      <c r="DV37" t="s">
        <v>89</v>
      </c>
      <c r="DW37" t="s">
        <v>89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73343725</v>
      </c>
      <c r="EF37">
        <v>90</v>
      </c>
      <c r="EG37" t="s">
        <v>90</v>
      </c>
      <c r="EH37">
        <v>0</v>
      </c>
      <c r="EI37" t="s">
        <v>3</v>
      </c>
      <c r="EJ37">
        <v>1</v>
      </c>
      <c r="EK37">
        <v>900</v>
      </c>
      <c r="EL37" t="s">
        <v>90</v>
      </c>
      <c r="EM37" t="s">
        <v>91</v>
      </c>
      <c r="EO37" t="s">
        <v>3</v>
      </c>
      <c r="EQ37">
        <v>16</v>
      </c>
      <c r="ER37">
        <v>0</v>
      </c>
      <c r="ES37">
        <v>1487.78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5</v>
      </c>
      <c r="FC37">
        <v>0</v>
      </c>
      <c r="FD37">
        <v>18</v>
      </c>
      <c r="FF37">
        <v>1487.78</v>
      </c>
      <c r="FQ37">
        <v>0</v>
      </c>
      <c r="FR37">
        <v>0</v>
      </c>
      <c r="FS37">
        <v>0</v>
      </c>
      <c r="FX37">
        <v>0</v>
      </c>
      <c r="FY37">
        <v>0</v>
      </c>
      <c r="GA37" t="s">
        <v>3</v>
      </c>
      <c r="GD37">
        <v>1</v>
      </c>
      <c r="GF37">
        <v>-134898236</v>
      </c>
      <c r="GG37">
        <v>2</v>
      </c>
      <c r="GH37">
        <v>3</v>
      </c>
      <c r="GI37">
        <v>-2</v>
      </c>
      <c r="GJ37">
        <v>0</v>
      </c>
      <c r="GK37">
        <v>0</v>
      </c>
      <c r="GL37">
        <f t="shared" si="34"/>
        <v>0</v>
      </c>
      <c r="GM37">
        <f t="shared" si="35"/>
        <v>9521.7900000000009</v>
      </c>
      <c r="GN37">
        <f t="shared" si="36"/>
        <v>9521.7900000000009</v>
      </c>
      <c r="GO37">
        <f t="shared" si="37"/>
        <v>0</v>
      </c>
      <c r="GP37">
        <f t="shared" si="38"/>
        <v>0</v>
      </c>
      <c r="GR37">
        <v>1</v>
      </c>
      <c r="GS37">
        <v>1</v>
      </c>
      <c r="GT37">
        <v>0</v>
      </c>
      <c r="GU37" t="s">
        <v>3</v>
      </c>
      <c r="GV37">
        <f t="shared" si="39"/>
        <v>0</v>
      </c>
      <c r="GW37">
        <v>1</v>
      </c>
      <c r="GX37">
        <f t="shared" si="40"/>
        <v>0</v>
      </c>
      <c r="HA37">
        <v>0</v>
      </c>
      <c r="HB37">
        <v>0</v>
      </c>
      <c r="HC37">
        <f t="shared" si="41"/>
        <v>0</v>
      </c>
      <c r="HE37" t="s">
        <v>3</v>
      </c>
      <c r="HF37" t="s">
        <v>3</v>
      </c>
      <c r="HG37">
        <f>ROUND(ROUND(AL37,2)*I37,2)</f>
        <v>9521.7900000000009</v>
      </c>
      <c r="HM37" t="s">
        <v>3</v>
      </c>
      <c r="HN37" t="s">
        <v>3</v>
      </c>
      <c r="HO37" t="s">
        <v>3</v>
      </c>
      <c r="HP37" t="s">
        <v>3</v>
      </c>
      <c r="HQ37" t="s">
        <v>3</v>
      </c>
      <c r="HS37">
        <v>0</v>
      </c>
      <c r="IK37">
        <v>0</v>
      </c>
    </row>
    <row r="38" spans="1:245" ht="409.5" x14ac:dyDescent="0.2">
      <c r="A38">
        <v>17</v>
      </c>
      <c r="B38">
        <v>1</v>
      </c>
      <c r="C38">
        <f>ROW(SmtRes!A26)</f>
        <v>26</v>
      </c>
      <c r="D38">
        <f>ROW(EtalonRes!A26)</f>
        <v>26</v>
      </c>
      <c r="E38" t="s">
        <v>92</v>
      </c>
      <c r="F38" t="s">
        <v>93</v>
      </c>
      <c r="G38" t="s">
        <v>94</v>
      </c>
      <c r="H38" t="s">
        <v>46</v>
      </c>
      <c r="I38">
        <f>ROUND(2.89/100,7)</f>
        <v>2.8899999999999999E-2</v>
      </c>
      <c r="J38">
        <v>0</v>
      </c>
      <c r="K38">
        <f>ROUND(2.89/100,7)</f>
        <v>2.8899999999999999E-2</v>
      </c>
      <c r="O38">
        <f t="shared" si="21"/>
        <v>4349.2700000000004</v>
      </c>
      <c r="P38">
        <f>SUMIF(SmtRes!AQ20:'SmtRes'!AQ26,"=1",SmtRes!DF20:'SmtRes'!DF26)</f>
        <v>1308.74</v>
      </c>
      <c r="Q38">
        <f>SUMIF(SmtRes!AQ20:'SmtRes'!AQ26,"=1",SmtRes!DG20:'SmtRes'!DG26)</f>
        <v>12.75</v>
      </c>
      <c r="R38">
        <f>SUMIF(SmtRes!AQ20:'SmtRes'!AQ26,"=1",SmtRes!DH20:'SmtRes'!DH26)</f>
        <v>12.86</v>
      </c>
      <c r="S38">
        <f>SUMIF(SmtRes!AQ20:'SmtRes'!AQ26,"=1",SmtRes!DI20:'SmtRes'!DI26)</f>
        <v>3014.92</v>
      </c>
      <c r="T38">
        <f t="shared" si="22"/>
        <v>0</v>
      </c>
      <c r="U38">
        <f>SUMIF(SmtRes!AQ20:'SmtRes'!AQ26,"=1",SmtRes!CV20:'SmtRes'!CV26)</f>
        <v>4.6437603999999997</v>
      </c>
      <c r="V38">
        <f>SUMIF(SmtRes!AQ20:'SmtRes'!AQ26,"=1",SmtRes!CW20:'SmtRes'!CW26)</f>
        <v>1.4021E-2</v>
      </c>
      <c r="W38">
        <f t="shared" si="23"/>
        <v>0</v>
      </c>
      <c r="X38">
        <f t="shared" si="24"/>
        <v>3300.28</v>
      </c>
      <c r="Y38">
        <f t="shared" si="25"/>
        <v>1725.83</v>
      </c>
      <c r="AA38">
        <v>75284898</v>
      </c>
      <c r="AB38">
        <f t="shared" si="26"/>
        <v>150246.01900900001</v>
      </c>
      <c r="AC38">
        <f>ROUND((SUM(SmtRes!BQ20:'SmtRes'!BQ26)),6)</f>
        <v>45482.502939999998</v>
      </c>
      <c r="AD38">
        <f>ROUND((((SUM(SmtRes!BR20:'SmtRes'!BR26))-(SUM(SmtRes!BS20:'SmtRes'!BS26)))+AE38),6)</f>
        <v>441.19821899999999</v>
      </c>
      <c r="AE38">
        <f>ROUND((SUM(SmtRes!BS20:'SmtRes'!BS26)),6)</f>
        <v>444.87678099999999</v>
      </c>
      <c r="AF38">
        <f>ROUND((SUM(SmtRes!BT20:'SmtRes'!BT26)),6)</f>
        <v>104322.31785000001</v>
      </c>
      <c r="AG38">
        <f t="shared" si="27"/>
        <v>0</v>
      </c>
      <c r="AH38">
        <f>(SUM(SmtRes!BU20:'SmtRes'!BU26))</f>
        <v>160.68374999999997</v>
      </c>
      <c r="AI38">
        <f>(SUM(SmtRes!BV20:'SmtRes'!BV26))</f>
        <v>0.48515625000000001</v>
      </c>
      <c r="AJ38">
        <f t="shared" si="28"/>
        <v>0</v>
      </c>
      <c r="AK38">
        <v>109081.75093999998</v>
      </c>
      <c r="AL38">
        <v>45482.502939999991</v>
      </c>
      <c r="AM38">
        <v>245.53640000000001</v>
      </c>
      <c r="AN38">
        <v>247.58360000000002</v>
      </c>
      <c r="AO38">
        <v>63106.128000000004</v>
      </c>
      <c r="AP38">
        <v>0</v>
      </c>
      <c r="AQ38">
        <v>97.2</v>
      </c>
      <c r="AR38">
        <v>0.27</v>
      </c>
      <c r="AS38">
        <v>0</v>
      </c>
      <c r="AT38">
        <v>109</v>
      </c>
      <c r="AU38">
        <v>57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95</v>
      </c>
      <c r="BM38">
        <v>12001</v>
      </c>
      <c r="BN38">
        <v>0</v>
      </c>
      <c r="BO38" t="s">
        <v>3</v>
      </c>
      <c r="BP38">
        <v>0</v>
      </c>
      <c r="BQ38">
        <v>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109</v>
      </c>
      <c r="CA38">
        <v>57</v>
      </c>
      <c r="CB38" t="s">
        <v>3</v>
      </c>
      <c r="CE38">
        <v>0</v>
      </c>
      <c r="CF38">
        <v>0</v>
      </c>
      <c r="CG38">
        <v>0</v>
      </c>
      <c r="CM38">
        <v>0</v>
      </c>
      <c r="CN38" s="1" t="s">
        <v>410</v>
      </c>
      <c r="CO38">
        <v>0</v>
      </c>
      <c r="CP38">
        <f t="shared" si="29"/>
        <v>4349.2699999999995</v>
      </c>
      <c r="CQ38">
        <f>SUMIF(SmtRes!AQ20:'SmtRes'!AQ26,"=1",SmtRes!AA20:'SmtRes'!AA26)</f>
        <v>202162.3</v>
      </c>
      <c r="CR38">
        <f>SUMIF(SmtRes!AQ20:'SmtRes'!AQ26,"=1",SmtRes!AB20:'SmtRes'!AB26)</f>
        <v>1581.88</v>
      </c>
      <c r="CS38">
        <f>SUMIF(SmtRes!AQ20:'SmtRes'!AQ26,"=1",SmtRes!AC20:'SmtRes'!AC26)</f>
        <v>1713.12</v>
      </c>
      <c r="CT38">
        <f>SUMIF(SmtRes!AQ20:'SmtRes'!AQ26,"=1",SmtRes!AD20:'SmtRes'!AD26)</f>
        <v>649.24</v>
      </c>
      <c r="CU38">
        <f t="shared" si="30"/>
        <v>0</v>
      </c>
      <c r="CV38">
        <f>SUMIF(SmtRes!AQ20:'SmtRes'!AQ26,"=1",SmtRes!BU20:'SmtRes'!BU26)</f>
        <v>160.68374999999997</v>
      </c>
      <c r="CW38">
        <f>SUMIF(SmtRes!AQ20:'SmtRes'!AQ26,"=1",SmtRes!BV20:'SmtRes'!BV26)</f>
        <v>0.48515625000000001</v>
      </c>
      <c r="CX38">
        <f t="shared" si="31"/>
        <v>0</v>
      </c>
      <c r="CY38">
        <f>(((S38+R38)*AT38)/100)</f>
        <v>3300.2802000000001</v>
      </c>
      <c r="CZ38">
        <f>(((S38+R38)*AU38)/100)</f>
        <v>1725.8346000000001</v>
      </c>
      <c r="DB38">
        <v>14</v>
      </c>
      <c r="DC38" t="s">
        <v>3</v>
      </c>
      <c r="DD38" t="s">
        <v>3</v>
      </c>
      <c r="DE38" t="s">
        <v>75</v>
      </c>
      <c r="DF38" t="s">
        <v>75</v>
      </c>
      <c r="DG38" t="s">
        <v>76</v>
      </c>
      <c r="DH38" t="s">
        <v>3</v>
      </c>
      <c r="DI38" t="s">
        <v>76</v>
      </c>
      <c r="DJ38" t="s">
        <v>75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1005</v>
      </c>
      <c r="DV38" t="s">
        <v>46</v>
      </c>
      <c r="DW38" t="s">
        <v>46</v>
      </c>
      <c r="DX38">
        <v>100</v>
      </c>
      <c r="DZ38" t="s">
        <v>3</v>
      </c>
      <c r="EA38" t="s">
        <v>3</v>
      </c>
      <c r="EB38" t="s">
        <v>3</v>
      </c>
      <c r="EC38" t="s">
        <v>3</v>
      </c>
      <c r="EE38">
        <v>73343267</v>
      </c>
      <c r="EF38">
        <v>2</v>
      </c>
      <c r="EG38" t="s">
        <v>77</v>
      </c>
      <c r="EH38">
        <v>12</v>
      </c>
      <c r="EI38" t="s">
        <v>96</v>
      </c>
      <c r="EJ38">
        <v>1</v>
      </c>
      <c r="EK38">
        <v>12001</v>
      </c>
      <c r="EL38" t="s">
        <v>96</v>
      </c>
      <c r="EM38" t="s">
        <v>97</v>
      </c>
      <c r="EO38" t="s">
        <v>80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97.2</v>
      </c>
      <c r="EX38">
        <v>0.27</v>
      </c>
      <c r="EY38">
        <v>0</v>
      </c>
      <c r="FQ38">
        <v>0</v>
      </c>
      <c r="FR38">
        <v>0</v>
      </c>
      <c r="FS38">
        <v>0</v>
      </c>
      <c r="FX38">
        <v>109</v>
      </c>
      <c r="FY38">
        <v>57</v>
      </c>
      <c r="GA38" t="s">
        <v>3</v>
      </c>
      <c r="GD38">
        <v>1</v>
      </c>
      <c r="GF38">
        <v>1146080001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34"/>
        <v>0</v>
      </c>
      <c r="GM38">
        <f t="shared" si="35"/>
        <v>9375.3799999999992</v>
      </c>
      <c r="GN38">
        <f t="shared" si="36"/>
        <v>9375.3799999999992</v>
      </c>
      <c r="GO38">
        <f t="shared" si="37"/>
        <v>0</v>
      </c>
      <c r="GP38">
        <f t="shared" si="38"/>
        <v>0</v>
      </c>
      <c r="GR38">
        <v>0</v>
      </c>
      <c r="GS38">
        <v>3</v>
      </c>
      <c r="GT38">
        <v>0</v>
      </c>
      <c r="GU38" t="s">
        <v>3</v>
      </c>
      <c r="GV38">
        <f t="shared" si="39"/>
        <v>0</v>
      </c>
      <c r="GW38">
        <v>1</v>
      </c>
      <c r="GX38">
        <f t="shared" si="40"/>
        <v>0</v>
      </c>
      <c r="HA38">
        <v>0</v>
      </c>
      <c r="HB38">
        <v>0</v>
      </c>
      <c r="HC38">
        <f t="shared" si="41"/>
        <v>0</v>
      </c>
      <c r="HE38" t="s">
        <v>3</v>
      </c>
      <c r="HF38" t="s">
        <v>3</v>
      </c>
      <c r="HM38" t="s">
        <v>3</v>
      </c>
      <c r="HN38" t="s">
        <v>98</v>
      </c>
      <c r="HO38" t="s">
        <v>99</v>
      </c>
      <c r="HP38" t="s">
        <v>96</v>
      </c>
      <c r="HQ38" t="s">
        <v>96</v>
      </c>
      <c r="HS38">
        <v>0</v>
      </c>
      <c r="IK38">
        <v>0</v>
      </c>
    </row>
    <row r="39" spans="1:245" ht="409.5" x14ac:dyDescent="0.2">
      <c r="A39">
        <v>17</v>
      </c>
      <c r="B39">
        <v>1</v>
      </c>
      <c r="C39">
        <f>ROW(SmtRes!A28)</f>
        <v>28</v>
      </c>
      <c r="D39">
        <f>ROW(EtalonRes!A28)</f>
        <v>28</v>
      </c>
      <c r="E39" t="s">
        <v>100</v>
      </c>
      <c r="F39" t="s">
        <v>101</v>
      </c>
      <c r="G39" t="s">
        <v>102</v>
      </c>
      <c r="H39" t="s">
        <v>46</v>
      </c>
      <c r="I39">
        <f>ROUND(124.92/100,7)</f>
        <v>1.2492000000000001</v>
      </c>
      <c r="J39">
        <v>0</v>
      </c>
      <c r="K39">
        <f>ROUND(124.92/100,7)</f>
        <v>1.2492000000000001</v>
      </c>
      <c r="O39">
        <f t="shared" si="21"/>
        <v>1742.96</v>
      </c>
      <c r="P39">
        <f>SUMIF(SmtRes!AQ27:'SmtRes'!AQ28,"=1",SmtRes!DF27:'SmtRes'!DF28)</f>
        <v>0</v>
      </c>
      <c r="Q39">
        <f>SUMIF(SmtRes!AQ27:'SmtRes'!AQ28,"=1",SmtRes!DG27:'SmtRes'!DG28)</f>
        <v>0</v>
      </c>
      <c r="R39">
        <f>SUMIF(SmtRes!AQ27:'SmtRes'!AQ28,"=1",SmtRes!DH27:'SmtRes'!DH28)</f>
        <v>0</v>
      </c>
      <c r="S39">
        <f>SUMIF(SmtRes!AQ27:'SmtRes'!AQ28,"=1",SmtRes!DI27:'SmtRes'!DI28)</f>
        <v>1742.96</v>
      </c>
      <c r="T39">
        <f t="shared" si="22"/>
        <v>0</v>
      </c>
      <c r="U39">
        <f>SUMIF(SmtRes!AQ27:'SmtRes'!AQ28,"=1",SmtRes!CV27:'SmtRes'!CV28)</f>
        <v>2.6846089000000002</v>
      </c>
      <c r="V39">
        <f>SUMIF(SmtRes!AQ27:'SmtRes'!AQ28,"=1",SmtRes!CW27:'SmtRes'!CW28)</f>
        <v>0</v>
      </c>
      <c r="W39">
        <f t="shared" si="23"/>
        <v>0</v>
      </c>
      <c r="X39">
        <f t="shared" si="24"/>
        <v>1917.26</v>
      </c>
      <c r="Y39">
        <f t="shared" si="25"/>
        <v>1202.6400000000001</v>
      </c>
      <c r="AA39">
        <v>75284898</v>
      </c>
      <c r="AB39">
        <f t="shared" si="26"/>
        <v>1395.2573379999999</v>
      </c>
      <c r="AC39">
        <f>ROUND((0),6)</f>
        <v>0</v>
      </c>
      <c r="AD39">
        <f>ROUND((((0)-(0))+AE39),6)</f>
        <v>0</v>
      </c>
      <c r="AE39">
        <f>ROUND((0),6)</f>
        <v>0</v>
      </c>
      <c r="AF39">
        <f>ROUND((SUM(SmtRes!BT27:'SmtRes'!BT28)),6)</f>
        <v>1395.2573379999999</v>
      </c>
      <c r="AG39">
        <f t="shared" si="27"/>
        <v>0</v>
      </c>
      <c r="AH39">
        <f>(SUM(SmtRes!BU27:'SmtRes'!BU28))</f>
        <v>2.1490624999999999</v>
      </c>
      <c r="AI39">
        <f>(0)</f>
        <v>0</v>
      </c>
      <c r="AJ39">
        <f t="shared" si="28"/>
        <v>0</v>
      </c>
      <c r="AK39">
        <v>844.01200000000006</v>
      </c>
      <c r="AL39">
        <v>0</v>
      </c>
      <c r="AM39">
        <v>0</v>
      </c>
      <c r="AN39">
        <v>0</v>
      </c>
      <c r="AO39">
        <v>844.01200000000006</v>
      </c>
      <c r="AP39">
        <v>0</v>
      </c>
      <c r="AQ39">
        <v>1.3</v>
      </c>
      <c r="AR39">
        <v>0</v>
      </c>
      <c r="AS39">
        <v>0</v>
      </c>
      <c r="AT39">
        <v>110</v>
      </c>
      <c r="AU39">
        <v>69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103</v>
      </c>
      <c r="BM39">
        <v>8001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110</v>
      </c>
      <c r="CA39">
        <v>69</v>
      </c>
      <c r="CB39" t="s">
        <v>3</v>
      </c>
      <c r="CE39">
        <v>0</v>
      </c>
      <c r="CF39">
        <v>0</v>
      </c>
      <c r="CG39">
        <v>0</v>
      </c>
      <c r="CM39">
        <v>0</v>
      </c>
      <c r="CN39" s="1" t="s">
        <v>410</v>
      </c>
      <c r="CO39">
        <v>0</v>
      </c>
      <c r="CP39">
        <f t="shared" si="29"/>
        <v>1742.96</v>
      </c>
      <c r="CQ39">
        <f>SUMIF(SmtRes!AQ27:'SmtRes'!AQ28,"=1",SmtRes!AA27:'SmtRes'!AA28)</f>
        <v>0</v>
      </c>
      <c r="CR39">
        <f>SUMIF(SmtRes!AQ27:'SmtRes'!AQ28,"=1",SmtRes!AB27:'SmtRes'!AB28)</f>
        <v>0</v>
      </c>
      <c r="CS39">
        <f>SUMIF(SmtRes!AQ27:'SmtRes'!AQ28,"=1",SmtRes!AC27:'SmtRes'!AC28)</f>
        <v>0</v>
      </c>
      <c r="CT39">
        <f>SUMIF(SmtRes!AQ27:'SmtRes'!AQ28,"=1",SmtRes!AD27:'SmtRes'!AD28)</f>
        <v>649.24</v>
      </c>
      <c r="CU39">
        <f t="shared" si="30"/>
        <v>0</v>
      </c>
      <c r="CV39">
        <f>SUMIF(SmtRes!AQ27:'SmtRes'!AQ28,"=1",SmtRes!BU27:'SmtRes'!BU28)</f>
        <v>2.1490624999999999</v>
      </c>
      <c r="CW39">
        <f>SUMIF(SmtRes!AQ27:'SmtRes'!AQ28,"=1",SmtRes!BV27:'SmtRes'!BV28)</f>
        <v>0</v>
      </c>
      <c r="CX39">
        <f t="shared" si="31"/>
        <v>0</v>
      </c>
      <c r="CY39">
        <f>(((S39+R39)*AT39)/100)</f>
        <v>1917.2560000000001</v>
      </c>
      <c r="CZ39">
        <f>(((S39+R39)*AU39)/100)</f>
        <v>1202.6424</v>
      </c>
      <c r="DB39">
        <v>17</v>
      </c>
      <c r="DC39" t="s">
        <v>3</v>
      </c>
      <c r="DD39" t="s">
        <v>3</v>
      </c>
      <c r="DE39" t="s">
        <v>75</v>
      </c>
      <c r="DF39" t="s">
        <v>75</v>
      </c>
      <c r="DG39" t="s">
        <v>76</v>
      </c>
      <c r="DH39" t="s">
        <v>3</v>
      </c>
      <c r="DI39" t="s">
        <v>76</v>
      </c>
      <c r="DJ39" t="s">
        <v>75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1005</v>
      </c>
      <c r="DV39" t="s">
        <v>46</v>
      </c>
      <c r="DW39" t="s">
        <v>46</v>
      </c>
      <c r="DX39">
        <v>100</v>
      </c>
      <c r="DZ39" t="s">
        <v>3</v>
      </c>
      <c r="EA39" t="s">
        <v>3</v>
      </c>
      <c r="EB39" t="s">
        <v>3</v>
      </c>
      <c r="EC39" t="s">
        <v>3</v>
      </c>
      <c r="EE39">
        <v>73343263</v>
      </c>
      <c r="EF39">
        <v>2</v>
      </c>
      <c r="EG39" t="s">
        <v>77</v>
      </c>
      <c r="EH39">
        <v>8</v>
      </c>
      <c r="EI39" t="s">
        <v>104</v>
      </c>
      <c r="EJ39">
        <v>1</v>
      </c>
      <c r="EK39">
        <v>8001</v>
      </c>
      <c r="EL39" t="s">
        <v>104</v>
      </c>
      <c r="EM39" t="s">
        <v>105</v>
      </c>
      <c r="EO39" t="s">
        <v>80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1.3</v>
      </c>
      <c r="EX39">
        <v>0</v>
      </c>
      <c r="EY39">
        <v>0</v>
      </c>
      <c r="FQ39">
        <v>0</v>
      </c>
      <c r="FR39">
        <v>0</v>
      </c>
      <c r="FS39">
        <v>0</v>
      </c>
      <c r="FX39">
        <v>110</v>
      </c>
      <c r="FY39">
        <v>69</v>
      </c>
      <c r="GA39" t="s">
        <v>3</v>
      </c>
      <c r="GD39">
        <v>1</v>
      </c>
      <c r="GF39">
        <v>247140816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34"/>
        <v>0</v>
      </c>
      <c r="GM39">
        <f t="shared" si="35"/>
        <v>4862.8599999999997</v>
      </c>
      <c r="GN39">
        <f t="shared" si="36"/>
        <v>4862.8599999999997</v>
      </c>
      <c r="GO39">
        <f t="shared" si="37"/>
        <v>0</v>
      </c>
      <c r="GP39">
        <f t="shared" si="38"/>
        <v>0</v>
      </c>
      <c r="GR39">
        <v>0</v>
      </c>
      <c r="GS39">
        <v>3</v>
      </c>
      <c r="GT39">
        <v>0</v>
      </c>
      <c r="GU39" t="s">
        <v>3</v>
      </c>
      <c r="GV39">
        <f t="shared" si="39"/>
        <v>0</v>
      </c>
      <c r="GW39">
        <v>1</v>
      </c>
      <c r="GX39">
        <f t="shared" si="40"/>
        <v>0</v>
      </c>
      <c r="HA39">
        <v>0</v>
      </c>
      <c r="HB39">
        <v>0</v>
      </c>
      <c r="HC39">
        <f t="shared" si="41"/>
        <v>0</v>
      </c>
      <c r="HE39" t="s">
        <v>3</v>
      </c>
      <c r="HF39" t="s">
        <v>3</v>
      </c>
      <c r="HM39" t="s">
        <v>3</v>
      </c>
      <c r="HN39" t="s">
        <v>106</v>
      </c>
      <c r="HO39" t="s">
        <v>107</v>
      </c>
      <c r="HP39" t="s">
        <v>104</v>
      </c>
      <c r="HQ39" t="s">
        <v>104</v>
      </c>
      <c r="HS39">
        <v>0</v>
      </c>
      <c r="IK39">
        <v>0</v>
      </c>
    </row>
    <row r="40" spans="1:245" x14ac:dyDescent="0.2">
      <c r="A40">
        <v>18</v>
      </c>
      <c r="B40">
        <v>1</v>
      </c>
      <c r="C40">
        <v>28</v>
      </c>
      <c r="E40" t="s">
        <v>108</v>
      </c>
      <c r="F40" t="s">
        <v>109</v>
      </c>
      <c r="G40" t="s">
        <v>110</v>
      </c>
      <c r="H40" t="s">
        <v>111</v>
      </c>
      <c r="I40">
        <f>I39*J40</f>
        <v>0</v>
      </c>
      <c r="J40">
        <v>0</v>
      </c>
      <c r="K40">
        <v>0</v>
      </c>
      <c r="O40">
        <f t="shared" si="21"/>
        <v>0</v>
      </c>
      <c r="P40">
        <f>ROUND(CQ40*I40,2)</f>
        <v>0</v>
      </c>
      <c r="Q40">
        <f>ROUND(CR40*I40,2)</f>
        <v>0</v>
      </c>
      <c r="R40">
        <f>ROUND(CS40*I40,2)</f>
        <v>0</v>
      </c>
      <c r="S40">
        <f>ROUND(CT40*I40,2)</f>
        <v>0</v>
      </c>
      <c r="T40">
        <f t="shared" si="22"/>
        <v>0</v>
      </c>
      <c r="U40">
        <f>ROUND(CV40*I40,7)</f>
        <v>0</v>
      </c>
      <c r="V40">
        <f>ROUND(CW40*I40,7)</f>
        <v>0</v>
      </c>
      <c r="W40">
        <f t="shared" si="23"/>
        <v>0</v>
      </c>
      <c r="X40">
        <f t="shared" si="24"/>
        <v>0</v>
      </c>
      <c r="Y40">
        <f t="shared" si="25"/>
        <v>0</v>
      </c>
      <c r="AA40">
        <v>75284898</v>
      </c>
      <c r="AB40">
        <f t="shared" si="26"/>
        <v>0</v>
      </c>
      <c r="AC40">
        <f>ROUND((ES40),6)</f>
        <v>0</v>
      </c>
      <c r="AD40">
        <f>ROUND((((ET40)-(EU40))+AE40),6)</f>
        <v>0</v>
      </c>
      <c r="AE40">
        <f>ROUND((EU40),6)</f>
        <v>0</v>
      </c>
      <c r="AF40">
        <f>ROUND((EV40),6)</f>
        <v>0</v>
      </c>
      <c r="AG40">
        <f t="shared" si="27"/>
        <v>0</v>
      </c>
      <c r="AH40">
        <f>(EW40)</f>
        <v>0</v>
      </c>
      <c r="AI40">
        <f>(EX40)</f>
        <v>0</v>
      </c>
      <c r="AJ40">
        <f t="shared" si="28"/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110</v>
      </c>
      <c r="AU40">
        <v>69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1</v>
      </c>
      <c r="BJ40" t="s">
        <v>3</v>
      </c>
      <c r="BM40">
        <v>8001</v>
      </c>
      <c r="BN40">
        <v>0</v>
      </c>
      <c r="BO40" t="s">
        <v>3</v>
      </c>
      <c r="BP40">
        <v>0</v>
      </c>
      <c r="BQ40">
        <v>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110</v>
      </c>
      <c r="CA40">
        <v>69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29"/>
        <v>0</v>
      </c>
      <c r="CQ40">
        <f>ROUND(AL40*BC40,2)</f>
        <v>0</v>
      </c>
      <c r="CR40">
        <f>ROUND(AM40*BB40,2)</f>
        <v>0</v>
      </c>
      <c r="CS40">
        <f>ROUND(AN40*BS40,2)</f>
        <v>0</v>
      </c>
      <c r="CT40">
        <f>ROUND(AO40*BA40,2)</f>
        <v>0</v>
      </c>
      <c r="CU40">
        <f t="shared" si="30"/>
        <v>0</v>
      </c>
      <c r="CV40">
        <f>AH40</f>
        <v>0</v>
      </c>
      <c r="CW40">
        <f>AI40</f>
        <v>0</v>
      </c>
      <c r="CX40">
        <f t="shared" si="31"/>
        <v>0</v>
      </c>
      <c r="CY40">
        <f>(((S40+R40)*AT40)/100)</f>
        <v>0</v>
      </c>
      <c r="CZ40">
        <f>(((S40+R40)*AU40)/100)</f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1005</v>
      </c>
      <c r="DV40" t="s">
        <v>111</v>
      </c>
      <c r="DW40" t="s">
        <v>111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73343263</v>
      </c>
      <c r="EF40">
        <v>2</v>
      </c>
      <c r="EG40" t="s">
        <v>77</v>
      </c>
      <c r="EH40">
        <v>8</v>
      </c>
      <c r="EI40" t="s">
        <v>104</v>
      </c>
      <c r="EJ40">
        <v>1</v>
      </c>
      <c r="EK40">
        <v>8001</v>
      </c>
      <c r="EL40" t="s">
        <v>104</v>
      </c>
      <c r="EM40" t="s">
        <v>105</v>
      </c>
      <c r="EO40" t="s">
        <v>3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FQ40">
        <v>0</v>
      </c>
      <c r="FR40">
        <v>0</v>
      </c>
      <c r="FS40">
        <v>0</v>
      </c>
      <c r="FX40">
        <v>110</v>
      </c>
      <c r="FY40">
        <v>69</v>
      </c>
      <c r="GA40" t="s">
        <v>3</v>
      </c>
      <c r="GD40">
        <v>1</v>
      </c>
      <c r="GF40">
        <v>-1880808210</v>
      </c>
      <c r="GG40">
        <v>2</v>
      </c>
      <c r="GH40">
        <v>1</v>
      </c>
      <c r="GI40">
        <v>-2</v>
      </c>
      <c r="GJ40">
        <v>0</v>
      </c>
      <c r="GK40">
        <v>0</v>
      </c>
      <c r="GL40">
        <f t="shared" si="34"/>
        <v>0</v>
      </c>
      <c r="GM40">
        <f t="shared" si="35"/>
        <v>0</v>
      </c>
      <c r="GN40">
        <f t="shared" si="36"/>
        <v>0</v>
      </c>
      <c r="GO40">
        <f t="shared" si="37"/>
        <v>0</v>
      </c>
      <c r="GP40">
        <f t="shared" si="38"/>
        <v>0</v>
      </c>
      <c r="GR40">
        <v>0</v>
      </c>
      <c r="GS40">
        <v>3</v>
      </c>
      <c r="GT40">
        <v>0</v>
      </c>
      <c r="GU40" t="s">
        <v>3</v>
      </c>
      <c r="GV40">
        <f t="shared" si="39"/>
        <v>0</v>
      </c>
      <c r="GW40">
        <v>1</v>
      </c>
      <c r="GX40">
        <f t="shared" si="40"/>
        <v>0</v>
      </c>
      <c r="HA40">
        <v>0</v>
      </c>
      <c r="HB40">
        <v>0</v>
      </c>
      <c r="HC40">
        <f t="shared" si="41"/>
        <v>0</v>
      </c>
      <c r="HE40" t="s">
        <v>3</v>
      </c>
      <c r="HF40" t="s">
        <v>3</v>
      </c>
      <c r="HM40" t="s">
        <v>3</v>
      </c>
      <c r="HN40" t="s">
        <v>106</v>
      </c>
      <c r="HO40" t="s">
        <v>107</v>
      </c>
      <c r="HP40" t="s">
        <v>104</v>
      </c>
      <c r="HQ40" t="s">
        <v>104</v>
      </c>
      <c r="HS40">
        <v>0</v>
      </c>
      <c r="IK40">
        <v>0</v>
      </c>
    </row>
    <row r="41" spans="1:245" x14ac:dyDescent="0.2">
      <c r="A41">
        <v>17</v>
      </c>
      <c r="B41">
        <v>1</v>
      </c>
      <c r="E41" t="s">
        <v>112</v>
      </c>
      <c r="F41" t="s">
        <v>113</v>
      </c>
      <c r="G41" t="s">
        <v>114</v>
      </c>
      <c r="H41" t="s">
        <v>111</v>
      </c>
      <c r="I41">
        <v>131.66</v>
      </c>
      <c r="J41">
        <v>0</v>
      </c>
      <c r="K41">
        <v>131.66</v>
      </c>
      <c r="O41">
        <f t="shared" si="21"/>
        <v>4954.37</v>
      </c>
      <c r="P41">
        <f>ROUND(CQ41*I41,2)</f>
        <v>4954.37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22"/>
        <v>0</v>
      </c>
      <c r="U41">
        <f>ROUND(CV41*I41,7)</f>
        <v>0</v>
      </c>
      <c r="V41">
        <f>ROUND(CW41*I41,7)</f>
        <v>0</v>
      </c>
      <c r="W41">
        <f t="shared" si="23"/>
        <v>0</v>
      </c>
      <c r="X41">
        <f t="shared" si="24"/>
        <v>0</v>
      </c>
      <c r="Y41">
        <f t="shared" si="25"/>
        <v>0</v>
      </c>
      <c r="AA41">
        <v>75284898</v>
      </c>
      <c r="AB41">
        <f t="shared" si="26"/>
        <v>37.630000000000003</v>
      </c>
      <c r="AC41">
        <f>ROUND((ES41),6)</f>
        <v>37.630000000000003</v>
      </c>
      <c r="AD41">
        <f>ROUND((ET41),6)</f>
        <v>0</v>
      </c>
      <c r="AE41">
        <f>ROUND((EU41),6)</f>
        <v>0</v>
      </c>
      <c r="AF41">
        <f>ROUND((EV41),6)</f>
        <v>0</v>
      </c>
      <c r="AG41">
        <f t="shared" si="27"/>
        <v>0</v>
      </c>
      <c r="AH41">
        <f>(EW41)</f>
        <v>0</v>
      </c>
      <c r="AI41">
        <f>(EX41)</f>
        <v>0</v>
      </c>
      <c r="AJ41">
        <f t="shared" si="28"/>
        <v>0</v>
      </c>
      <c r="AK41">
        <v>37.630000000000003</v>
      </c>
      <c r="AL41">
        <v>37.630000000000003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113</v>
      </c>
      <c r="BM41">
        <v>900</v>
      </c>
      <c r="BN41">
        <v>0</v>
      </c>
      <c r="BO41" t="s">
        <v>3</v>
      </c>
      <c r="BP41">
        <v>0</v>
      </c>
      <c r="BQ41">
        <v>90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29"/>
        <v>4954.37</v>
      </c>
      <c r="CQ41">
        <f>ROUND(AL41,2)</f>
        <v>37.630000000000003</v>
      </c>
      <c r="CR41">
        <f>ROUND(AM41,2)</f>
        <v>0</v>
      </c>
      <c r="CS41">
        <f>ROUND(AN41*BS41,2)</f>
        <v>0</v>
      </c>
      <c r="CT41">
        <f>ROUND(AO41*BA41,2)</f>
        <v>0</v>
      </c>
      <c r="CU41">
        <f t="shared" si="30"/>
        <v>0</v>
      </c>
      <c r="CV41">
        <f>AH41</f>
        <v>0</v>
      </c>
      <c r="CW41">
        <f>AI41</f>
        <v>0</v>
      </c>
      <c r="CX41">
        <f t="shared" si="31"/>
        <v>0</v>
      </c>
      <c r="CY41">
        <f>0</f>
        <v>0</v>
      </c>
      <c r="CZ41">
        <f>0</f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1005</v>
      </c>
      <c r="DV41" t="s">
        <v>111</v>
      </c>
      <c r="DW41" t="s">
        <v>111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73343725</v>
      </c>
      <c r="EF41">
        <v>90</v>
      </c>
      <c r="EG41" t="s">
        <v>90</v>
      </c>
      <c r="EH41">
        <v>0</v>
      </c>
      <c r="EI41" t="s">
        <v>3</v>
      </c>
      <c r="EJ41">
        <v>1</v>
      </c>
      <c r="EK41">
        <v>900</v>
      </c>
      <c r="EL41" t="s">
        <v>90</v>
      </c>
      <c r="EM41" t="s">
        <v>91</v>
      </c>
      <c r="EO41" t="s">
        <v>3</v>
      </c>
      <c r="EQ41">
        <v>16</v>
      </c>
      <c r="ER41">
        <v>0</v>
      </c>
      <c r="ES41">
        <v>37.630000000000003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5</v>
      </c>
      <c r="FC41">
        <v>0</v>
      </c>
      <c r="FD41">
        <v>18</v>
      </c>
      <c r="FF41">
        <v>37.630000000000003</v>
      </c>
      <c r="FQ41">
        <v>0</v>
      </c>
      <c r="FR41">
        <v>0</v>
      </c>
      <c r="FS41">
        <v>0</v>
      </c>
      <c r="FX41">
        <v>0</v>
      </c>
      <c r="FY41">
        <v>0</v>
      </c>
      <c r="GA41" t="s">
        <v>3</v>
      </c>
      <c r="GD41">
        <v>1</v>
      </c>
      <c r="GF41">
        <v>553240113</v>
      </c>
      <c r="GG41">
        <v>2</v>
      </c>
      <c r="GH41">
        <v>3</v>
      </c>
      <c r="GI41">
        <v>-2</v>
      </c>
      <c r="GJ41">
        <v>0</v>
      </c>
      <c r="GK41">
        <v>0</v>
      </c>
      <c r="GL41">
        <f t="shared" si="34"/>
        <v>0</v>
      </c>
      <c r="GM41">
        <f t="shared" si="35"/>
        <v>4954.37</v>
      </c>
      <c r="GN41">
        <f t="shared" si="36"/>
        <v>4954.37</v>
      </c>
      <c r="GO41">
        <f t="shared" si="37"/>
        <v>0</v>
      </c>
      <c r="GP41">
        <f t="shared" si="38"/>
        <v>0</v>
      </c>
      <c r="GR41">
        <v>1</v>
      </c>
      <c r="GS41">
        <v>1</v>
      </c>
      <c r="GT41">
        <v>0</v>
      </c>
      <c r="GU41" t="s">
        <v>3</v>
      </c>
      <c r="GV41">
        <f t="shared" si="39"/>
        <v>0</v>
      </c>
      <c r="GW41">
        <v>1</v>
      </c>
      <c r="GX41">
        <f t="shared" si="40"/>
        <v>0</v>
      </c>
      <c r="HA41">
        <v>0</v>
      </c>
      <c r="HB41">
        <v>0</v>
      </c>
      <c r="HC41">
        <f t="shared" si="41"/>
        <v>0</v>
      </c>
      <c r="HE41" t="s">
        <v>3</v>
      </c>
      <c r="HF41" t="s">
        <v>3</v>
      </c>
      <c r="HG41">
        <f>ROUND(ROUND(AL41,2)*I41,2)</f>
        <v>4954.37</v>
      </c>
      <c r="HM41" t="s">
        <v>3</v>
      </c>
      <c r="HN41" t="s">
        <v>3</v>
      </c>
      <c r="HO41" t="s">
        <v>3</v>
      </c>
      <c r="HP41" t="s">
        <v>3</v>
      </c>
      <c r="HQ41" t="s">
        <v>3</v>
      </c>
      <c r="HS41">
        <v>0</v>
      </c>
      <c r="IK41">
        <v>0</v>
      </c>
    </row>
    <row r="42" spans="1:245" ht="409.5" x14ac:dyDescent="0.2">
      <c r="A42">
        <v>17</v>
      </c>
      <c r="B42">
        <v>1</v>
      </c>
      <c r="C42">
        <f>ROW(SmtRes!A31)</f>
        <v>31</v>
      </c>
      <c r="D42">
        <f>ROW(EtalonRes!A31)</f>
        <v>31</v>
      </c>
      <c r="E42" t="s">
        <v>115</v>
      </c>
      <c r="F42" t="s">
        <v>116</v>
      </c>
      <c r="G42" t="s">
        <v>117</v>
      </c>
      <c r="H42" t="s">
        <v>118</v>
      </c>
      <c r="I42">
        <f>ROUND(106/100,7)</f>
        <v>1.06</v>
      </c>
      <c r="J42">
        <v>0</v>
      </c>
      <c r="K42">
        <f>ROUND(106/100,7)</f>
        <v>1.06</v>
      </c>
      <c r="O42">
        <f t="shared" si="21"/>
        <v>5523.96</v>
      </c>
      <c r="P42">
        <f>SUMIF(SmtRes!AQ29:'SmtRes'!AQ31,"=1",SmtRes!DF29:'SmtRes'!DF31)</f>
        <v>43.35</v>
      </c>
      <c r="Q42">
        <f>SUMIF(SmtRes!AQ29:'SmtRes'!AQ31,"=1",SmtRes!DG29:'SmtRes'!DG31)</f>
        <v>0</v>
      </c>
      <c r="R42">
        <f>SUMIF(SmtRes!AQ29:'SmtRes'!AQ31,"=1",SmtRes!DH29:'SmtRes'!DH31)</f>
        <v>0</v>
      </c>
      <c r="S42">
        <f>SUMIF(SmtRes!AQ29:'SmtRes'!AQ31,"=1",SmtRes!DI29:'SmtRes'!DI31)</f>
        <v>5480.61</v>
      </c>
      <c r="T42">
        <f t="shared" si="22"/>
        <v>0</v>
      </c>
      <c r="U42">
        <f>SUMIF(SmtRes!AQ29:'SmtRes'!AQ31,"=1",SmtRes!CV29:'SmtRes'!CV31)</f>
        <v>8.4415750000000003</v>
      </c>
      <c r="V42">
        <f>SUMIF(SmtRes!AQ29:'SmtRes'!AQ31,"=1",SmtRes!CW29:'SmtRes'!CW31)</f>
        <v>0</v>
      </c>
      <c r="W42">
        <f t="shared" si="23"/>
        <v>0</v>
      </c>
      <c r="X42">
        <f t="shared" si="24"/>
        <v>5645.03</v>
      </c>
      <c r="Y42">
        <f t="shared" si="25"/>
        <v>3233.56</v>
      </c>
      <c r="AA42">
        <v>75284898</v>
      </c>
      <c r="AB42">
        <f t="shared" si="26"/>
        <v>5211.2822500000002</v>
      </c>
      <c r="AC42">
        <f>ROUND((SUM(SmtRes!BQ29:'SmtRes'!BQ31)),6)</f>
        <v>40.897199999999998</v>
      </c>
      <c r="AD42">
        <f>ROUND((((0)-(0))+AE42),6)</f>
        <v>0</v>
      </c>
      <c r="AE42">
        <f>ROUND((0),6)</f>
        <v>0</v>
      </c>
      <c r="AF42">
        <f>ROUND((SUM(SmtRes!BT29:'SmtRes'!BT31)),6)</f>
        <v>5170.3850499999999</v>
      </c>
      <c r="AG42">
        <f t="shared" si="27"/>
        <v>0</v>
      </c>
      <c r="AH42">
        <f>(SUM(SmtRes!BU29:'SmtRes'!BU31))</f>
        <v>7.9637499999999992</v>
      </c>
      <c r="AI42">
        <f>(0)</f>
        <v>0</v>
      </c>
      <c r="AJ42">
        <f t="shared" si="28"/>
        <v>0</v>
      </c>
      <c r="AK42">
        <v>3637.6867999999999</v>
      </c>
      <c r="AL42">
        <v>40.897199999999998</v>
      </c>
      <c r="AM42">
        <v>0</v>
      </c>
      <c r="AN42">
        <v>0</v>
      </c>
      <c r="AO42">
        <v>3596.7896000000001</v>
      </c>
      <c r="AP42">
        <v>0</v>
      </c>
      <c r="AQ42">
        <v>5.54</v>
      </c>
      <c r="AR42">
        <v>0</v>
      </c>
      <c r="AS42">
        <v>0</v>
      </c>
      <c r="AT42">
        <v>103</v>
      </c>
      <c r="AU42">
        <v>59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1</v>
      </c>
      <c r="BJ42" t="s">
        <v>119</v>
      </c>
      <c r="BM42">
        <v>46001</v>
      </c>
      <c r="BN42">
        <v>0</v>
      </c>
      <c r="BO42" t="s">
        <v>3</v>
      </c>
      <c r="BP42">
        <v>0</v>
      </c>
      <c r="BQ42">
        <v>2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103</v>
      </c>
      <c r="CA42">
        <v>59</v>
      </c>
      <c r="CB42" t="s">
        <v>3</v>
      </c>
      <c r="CE42">
        <v>0</v>
      </c>
      <c r="CF42">
        <v>0</v>
      </c>
      <c r="CG42">
        <v>0</v>
      </c>
      <c r="CM42">
        <v>0</v>
      </c>
      <c r="CN42" s="1" t="s">
        <v>409</v>
      </c>
      <c r="CO42">
        <v>0</v>
      </c>
      <c r="CP42">
        <f t="shared" si="29"/>
        <v>5523.96</v>
      </c>
      <c r="CQ42">
        <f>SUMIF(SmtRes!AQ29:'SmtRes'!AQ31,"=1",SmtRes!AA29:'SmtRes'!AA31)</f>
        <v>6.92</v>
      </c>
      <c r="CR42">
        <f>SUMIF(SmtRes!AQ29:'SmtRes'!AQ31,"=1",SmtRes!AB29:'SmtRes'!AB31)</f>
        <v>0</v>
      </c>
      <c r="CS42">
        <f>SUMIF(SmtRes!AQ29:'SmtRes'!AQ31,"=1",SmtRes!AC29:'SmtRes'!AC31)</f>
        <v>0</v>
      </c>
      <c r="CT42">
        <f>SUMIF(SmtRes!AQ29:'SmtRes'!AQ31,"=1",SmtRes!AD29:'SmtRes'!AD31)</f>
        <v>649.24</v>
      </c>
      <c r="CU42">
        <f t="shared" si="30"/>
        <v>0</v>
      </c>
      <c r="CV42">
        <f>SUMIF(SmtRes!AQ29:'SmtRes'!AQ31,"=1",SmtRes!BU29:'SmtRes'!BU31)</f>
        <v>7.9637499999999992</v>
      </c>
      <c r="CW42">
        <f>SUMIF(SmtRes!AQ29:'SmtRes'!AQ31,"=1",SmtRes!BV29:'SmtRes'!BV31)</f>
        <v>0</v>
      </c>
      <c r="CX42">
        <f t="shared" si="31"/>
        <v>0</v>
      </c>
      <c r="CY42">
        <f>(((S42+R42)*AT42)/100)</f>
        <v>5645.0282999999999</v>
      </c>
      <c r="CZ42">
        <f>(((S42+R42)*AU42)/100)</f>
        <v>3233.5598999999997</v>
      </c>
      <c r="DB42">
        <v>20</v>
      </c>
      <c r="DC42" t="s">
        <v>3</v>
      </c>
      <c r="DD42" t="s">
        <v>3</v>
      </c>
      <c r="DE42" t="s">
        <v>22</v>
      </c>
      <c r="DF42" t="s">
        <v>22</v>
      </c>
      <c r="DG42" t="s">
        <v>22</v>
      </c>
      <c r="DH42" t="s">
        <v>3</v>
      </c>
      <c r="DI42" t="s">
        <v>22</v>
      </c>
      <c r="DJ42" t="s">
        <v>22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118</v>
      </c>
      <c r="DW42" t="s">
        <v>118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73343332</v>
      </c>
      <c r="EF42">
        <v>2</v>
      </c>
      <c r="EG42" t="s">
        <v>77</v>
      </c>
      <c r="EH42">
        <v>40</v>
      </c>
      <c r="EI42" t="s">
        <v>120</v>
      </c>
      <c r="EJ42">
        <v>1</v>
      </c>
      <c r="EK42">
        <v>46001</v>
      </c>
      <c r="EL42" t="s">
        <v>121</v>
      </c>
      <c r="EM42" t="s">
        <v>122</v>
      </c>
      <c r="EO42" t="s">
        <v>26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5.54</v>
      </c>
      <c r="EX42">
        <v>0</v>
      </c>
      <c r="EY42">
        <v>0</v>
      </c>
      <c r="FQ42">
        <v>0</v>
      </c>
      <c r="FR42">
        <v>0</v>
      </c>
      <c r="FS42">
        <v>0</v>
      </c>
      <c r="FX42">
        <v>103</v>
      </c>
      <c r="FY42">
        <v>59</v>
      </c>
      <c r="GA42" t="s">
        <v>3</v>
      </c>
      <c r="GD42">
        <v>1</v>
      </c>
      <c r="GF42">
        <v>-388035019</v>
      </c>
      <c r="GG42">
        <v>2</v>
      </c>
      <c r="GH42">
        <v>1</v>
      </c>
      <c r="GI42">
        <v>-2</v>
      </c>
      <c r="GJ42">
        <v>0</v>
      </c>
      <c r="GK42">
        <v>0</v>
      </c>
      <c r="GL42">
        <f t="shared" si="34"/>
        <v>0</v>
      </c>
      <c r="GM42">
        <f t="shared" si="35"/>
        <v>14402.55</v>
      </c>
      <c r="GN42">
        <f t="shared" si="36"/>
        <v>14402.55</v>
      </c>
      <c r="GO42">
        <f t="shared" si="37"/>
        <v>0</v>
      </c>
      <c r="GP42">
        <f t="shared" si="38"/>
        <v>0</v>
      </c>
      <c r="GR42">
        <v>0</v>
      </c>
      <c r="GS42">
        <v>3</v>
      </c>
      <c r="GT42">
        <v>0</v>
      </c>
      <c r="GU42" t="s">
        <v>3</v>
      </c>
      <c r="GV42">
        <f t="shared" si="39"/>
        <v>0</v>
      </c>
      <c r="GW42">
        <v>1</v>
      </c>
      <c r="GX42">
        <f t="shared" si="40"/>
        <v>0</v>
      </c>
      <c r="HA42">
        <v>0</v>
      </c>
      <c r="HB42">
        <v>0</v>
      </c>
      <c r="HC42">
        <f t="shared" si="41"/>
        <v>0</v>
      </c>
      <c r="HE42" t="s">
        <v>3</v>
      </c>
      <c r="HF42" t="s">
        <v>3</v>
      </c>
      <c r="HM42" t="s">
        <v>3</v>
      </c>
      <c r="HN42" t="s">
        <v>123</v>
      </c>
      <c r="HO42" t="s">
        <v>124</v>
      </c>
      <c r="HP42" t="s">
        <v>121</v>
      </c>
      <c r="HQ42" t="s">
        <v>121</v>
      </c>
      <c r="HS42">
        <v>0</v>
      </c>
      <c r="IK42">
        <v>0</v>
      </c>
    </row>
    <row r="43" spans="1:245" x14ac:dyDescent="0.2">
      <c r="A43">
        <v>18</v>
      </c>
      <c r="B43">
        <v>1</v>
      </c>
      <c r="C43">
        <v>31</v>
      </c>
      <c r="E43" t="s">
        <v>125</v>
      </c>
      <c r="F43" t="s">
        <v>126</v>
      </c>
      <c r="G43" t="s">
        <v>127</v>
      </c>
      <c r="H43" t="s">
        <v>37</v>
      </c>
      <c r="I43">
        <f>I42*J43</f>
        <v>0</v>
      </c>
      <c r="J43">
        <v>0</v>
      </c>
      <c r="K43">
        <v>0</v>
      </c>
      <c r="O43">
        <f t="shared" si="21"/>
        <v>0</v>
      </c>
      <c r="P43">
        <f>ROUND(CQ43*I43,2)</f>
        <v>0</v>
      </c>
      <c r="Q43">
        <f>ROUND(CR43*I43,2)</f>
        <v>0</v>
      </c>
      <c r="R43">
        <f>ROUND(CS43*I43,2)</f>
        <v>0</v>
      </c>
      <c r="S43">
        <f>ROUND(CT43*I43,2)</f>
        <v>0</v>
      </c>
      <c r="T43">
        <f t="shared" si="22"/>
        <v>0</v>
      </c>
      <c r="U43">
        <f>ROUND(CV43*I43,7)</f>
        <v>0</v>
      </c>
      <c r="V43">
        <f>ROUND(CW43*I43,7)</f>
        <v>0</v>
      </c>
      <c r="W43">
        <f t="shared" si="23"/>
        <v>0</v>
      </c>
      <c r="X43">
        <f t="shared" si="24"/>
        <v>0</v>
      </c>
      <c r="Y43">
        <f t="shared" si="25"/>
        <v>0</v>
      </c>
      <c r="AA43">
        <v>75284898</v>
      </c>
      <c r="AB43">
        <f t="shared" si="26"/>
        <v>0</v>
      </c>
      <c r="AC43">
        <f>ROUND((ES43),6)</f>
        <v>0</v>
      </c>
      <c r="AD43">
        <f>ROUND((((ET43)-(EU43))+AE43),6)</f>
        <v>0</v>
      </c>
      <c r="AE43">
        <f>ROUND((EU43),6)</f>
        <v>0</v>
      </c>
      <c r="AF43">
        <f>ROUND((EV43),6)</f>
        <v>0</v>
      </c>
      <c r="AG43">
        <f t="shared" si="27"/>
        <v>0</v>
      </c>
      <c r="AH43">
        <f>(EW43)</f>
        <v>0</v>
      </c>
      <c r="AI43">
        <f>(EX43)</f>
        <v>0</v>
      </c>
      <c r="AJ43">
        <f t="shared" si="28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103</v>
      </c>
      <c r="AU43">
        <v>59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46001</v>
      </c>
      <c r="BN43">
        <v>0</v>
      </c>
      <c r="BO43" t="s">
        <v>3</v>
      </c>
      <c r="BP43">
        <v>0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103</v>
      </c>
      <c r="CA43">
        <v>59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29"/>
        <v>0</v>
      </c>
      <c r="CQ43">
        <f>ROUND(AL43*BC43,2)</f>
        <v>0</v>
      </c>
      <c r="CR43">
        <f>ROUND(AM43*BB43,2)</f>
        <v>0</v>
      </c>
      <c r="CS43">
        <f>ROUND(AN43*BS43,2)</f>
        <v>0</v>
      </c>
      <c r="CT43">
        <f>ROUND(AO43*BA43,2)</f>
        <v>0</v>
      </c>
      <c r="CU43">
        <f t="shared" si="30"/>
        <v>0</v>
      </c>
      <c r="CV43">
        <f t="shared" ref="CV43:CW45" si="42">AH43</f>
        <v>0</v>
      </c>
      <c r="CW43">
        <f t="shared" si="42"/>
        <v>0</v>
      </c>
      <c r="CX43">
        <f t="shared" si="31"/>
        <v>0</v>
      </c>
      <c r="CY43">
        <f>(((S43+R43)*AT43)/100)</f>
        <v>0</v>
      </c>
      <c r="CZ43">
        <f>(((S43+R43)*AU43)/100)</f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37</v>
      </c>
      <c r="DW43" t="s">
        <v>37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73343332</v>
      </c>
      <c r="EF43">
        <v>2</v>
      </c>
      <c r="EG43" t="s">
        <v>77</v>
      </c>
      <c r="EH43">
        <v>40</v>
      </c>
      <c r="EI43" t="s">
        <v>120</v>
      </c>
      <c r="EJ43">
        <v>1</v>
      </c>
      <c r="EK43">
        <v>46001</v>
      </c>
      <c r="EL43" t="s">
        <v>121</v>
      </c>
      <c r="EM43" t="s">
        <v>122</v>
      </c>
      <c r="EO43" t="s">
        <v>3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v>0</v>
      </c>
      <c r="FS43">
        <v>0</v>
      </c>
      <c r="FX43">
        <v>103</v>
      </c>
      <c r="FY43">
        <v>59</v>
      </c>
      <c r="GA43" t="s">
        <v>3</v>
      </c>
      <c r="GD43">
        <v>1</v>
      </c>
      <c r="GF43">
        <v>-529615532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34"/>
        <v>0</v>
      </c>
      <c r="GM43">
        <f t="shared" si="35"/>
        <v>0</v>
      </c>
      <c r="GN43">
        <f t="shared" si="36"/>
        <v>0</v>
      </c>
      <c r="GO43">
        <f t="shared" si="37"/>
        <v>0</v>
      </c>
      <c r="GP43">
        <f t="shared" si="38"/>
        <v>0</v>
      </c>
      <c r="GR43">
        <v>0</v>
      </c>
      <c r="GS43">
        <v>3</v>
      </c>
      <c r="GT43">
        <v>0</v>
      </c>
      <c r="GU43" t="s">
        <v>3</v>
      </c>
      <c r="GV43">
        <f t="shared" si="39"/>
        <v>0</v>
      </c>
      <c r="GW43">
        <v>1</v>
      </c>
      <c r="GX43">
        <f t="shared" si="40"/>
        <v>0</v>
      </c>
      <c r="HA43">
        <v>0</v>
      </c>
      <c r="HB43">
        <v>0</v>
      </c>
      <c r="HC43">
        <f t="shared" si="41"/>
        <v>0</v>
      </c>
      <c r="HE43" t="s">
        <v>3</v>
      </c>
      <c r="HF43" t="s">
        <v>3</v>
      </c>
      <c r="HM43" t="s">
        <v>3</v>
      </c>
      <c r="HN43" t="s">
        <v>123</v>
      </c>
      <c r="HO43" t="s">
        <v>124</v>
      </c>
      <c r="HP43" t="s">
        <v>121</v>
      </c>
      <c r="HQ43" t="s">
        <v>121</v>
      </c>
      <c r="HS43">
        <v>0</v>
      </c>
      <c r="IK43">
        <v>0</v>
      </c>
    </row>
    <row r="44" spans="1:245" x14ac:dyDescent="0.2">
      <c r="A44">
        <v>17</v>
      </c>
      <c r="B44">
        <v>1</v>
      </c>
      <c r="E44" t="s">
        <v>128</v>
      </c>
      <c r="F44" t="s">
        <v>129</v>
      </c>
      <c r="G44" t="s">
        <v>130</v>
      </c>
      <c r="H44" t="s">
        <v>131</v>
      </c>
      <c r="I44">
        <f>ROUND(106/100,7)</f>
        <v>1.06</v>
      </c>
      <c r="J44">
        <v>0</v>
      </c>
      <c r="K44">
        <f>ROUND(106/100,7)</f>
        <v>1.06</v>
      </c>
      <c r="O44">
        <f t="shared" si="21"/>
        <v>345.41</v>
      </c>
      <c r="P44">
        <f>ROUND(CQ44*I44,2)</f>
        <v>345.41</v>
      </c>
      <c r="Q44">
        <f>ROUND(CR44*I44,2)</f>
        <v>0</v>
      </c>
      <c r="R44">
        <f>ROUND(CS44*I44,2)</f>
        <v>0</v>
      </c>
      <c r="S44">
        <f>ROUND(CT44*I44,2)</f>
        <v>0</v>
      </c>
      <c r="T44">
        <f t="shared" si="22"/>
        <v>0</v>
      </c>
      <c r="U44">
        <f>ROUND(CV44*I44,7)</f>
        <v>0</v>
      </c>
      <c r="V44">
        <f>ROUND(CW44*I44,7)</f>
        <v>0</v>
      </c>
      <c r="W44">
        <f t="shared" si="23"/>
        <v>0</v>
      </c>
      <c r="X44">
        <f t="shared" si="24"/>
        <v>0</v>
      </c>
      <c r="Y44">
        <f t="shared" si="25"/>
        <v>0</v>
      </c>
      <c r="AA44">
        <v>75284898</v>
      </c>
      <c r="AB44">
        <f t="shared" si="26"/>
        <v>248.75</v>
      </c>
      <c r="AC44">
        <f>ROUND((ES44),6)</f>
        <v>248.75</v>
      </c>
      <c r="AD44">
        <f>ROUND((((ET44)-(EU44))+AE44),6)</f>
        <v>0</v>
      </c>
      <c r="AE44">
        <f>ROUND((EU44),6)</f>
        <v>0</v>
      </c>
      <c r="AF44">
        <f>ROUND((EV44),6)</f>
        <v>0</v>
      </c>
      <c r="AG44">
        <f t="shared" si="27"/>
        <v>0</v>
      </c>
      <c r="AH44">
        <f>(EW44)</f>
        <v>0</v>
      </c>
      <c r="AI44">
        <f>(EX44)</f>
        <v>0</v>
      </c>
      <c r="AJ44">
        <f t="shared" si="28"/>
        <v>0</v>
      </c>
      <c r="AK44">
        <v>248.75</v>
      </c>
      <c r="AL44">
        <v>248.75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1.31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1</v>
      </c>
      <c r="BJ44" t="s">
        <v>132</v>
      </c>
      <c r="BM44">
        <v>500001</v>
      </c>
      <c r="BN44">
        <v>0</v>
      </c>
      <c r="BO44" t="s">
        <v>129</v>
      </c>
      <c r="BP44">
        <v>1</v>
      </c>
      <c r="BQ44">
        <v>8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0</v>
      </c>
      <c r="CA44">
        <v>0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29"/>
        <v>345.41</v>
      </c>
      <c r="CQ44">
        <f>ROUND(AL44*BC44,2)</f>
        <v>325.86</v>
      </c>
      <c r="CR44">
        <f>ROUND(AM44*BB44,2)</f>
        <v>0</v>
      </c>
      <c r="CS44">
        <f>ROUND(AN44*BS44,2)</f>
        <v>0</v>
      </c>
      <c r="CT44">
        <f>ROUND(AO44*BA44,2)</f>
        <v>0</v>
      </c>
      <c r="CU44">
        <f t="shared" si="30"/>
        <v>0</v>
      </c>
      <c r="CV44">
        <f t="shared" si="42"/>
        <v>0</v>
      </c>
      <c r="CW44">
        <f t="shared" si="42"/>
        <v>0</v>
      </c>
      <c r="CX44">
        <f t="shared" si="31"/>
        <v>0</v>
      </c>
      <c r="CY44">
        <f>0</f>
        <v>0</v>
      </c>
      <c r="CZ44">
        <f>0</f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1013</v>
      </c>
      <c r="DV44" t="s">
        <v>131</v>
      </c>
      <c r="DW44" t="s">
        <v>131</v>
      </c>
      <c r="DX44">
        <v>1</v>
      </c>
      <c r="DZ44" t="s">
        <v>3</v>
      </c>
      <c r="EA44" t="s">
        <v>3</v>
      </c>
      <c r="EB44" t="s">
        <v>3</v>
      </c>
      <c r="EC44" t="s">
        <v>3</v>
      </c>
      <c r="EE44">
        <v>73343198</v>
      </c>
      <c r="EF44">
        <v>8</v>
      </c>
      <c r="EG44" t="s">
        <v>133</v>
      </c>
      <c r="EH44">
        <v>0</v>
      </c>
      <c r="EI44" t="s">
        <v>3</v>
      </c>
      <c r="EJ44">
        <v>1</v>
      </c>
      <c r="EK44">
        <v>500001</v>
      </c>
      <c r="EL44" t="s">
        <v>134</v>
      </c>
      <c r="EM44" t="s">
        <v>135</v>
      </c>
      <c r="EO44" t="s">
        <v>3</v>
      </c>
      <c r="EQ44">
        <v>0</v>
      </c>
      <c r="ER44">
        <v>248.75</v>
      </c>
      <c r="ES44">
        <v>248.75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FQ44">
        <v>0</v>
      </c>
      <c r="FR44">
        <v>0</v>
      </c>
      <c r="FS44">
        <v>0</v>
      </c>
      <c r="FX44">
        <v>0</v>
      </c>
      <c r="FY44">
        <v>0</v>
      </c>
      <c r="GA44" t="s">
        <v>3</v>
      </c>
      <c r="GD44">
        <v>1</v>
      </c>
      <c r="GF44">
        <v>-794522474</v>
      </c>
      <c r="GG44">
        <v>2</v>
      </c>
      <c r="GH44">
        <v>1</v>
      </c>
      <c r="GI44">
        <v>2</v>
      </c>
      <c r="GJ44">
        <v>0</v>
      </c>
      <c r="GK44">
        <v>0</v>
      </c>
      <c r="GL44">
        <f t="shared" si="34"/>
        <v>0</v>
      </c>
      <c r="GM44">
        <f t="shared" si="35"/>
        <v>345.41</v>
      </c>
      <c r="GN44">
        <f t="shared" si="36"/>
        <v>345.41</v>
      </c>
      <c r="GO44">
        <f t="shared" si="37"/>
        <v>0</v>
      </c>
      <c r="GP44">
        <f t="shared" si="38"/>
        <v>0</v>
      </c>
      <c r="GR44">
        <v>0</v>
      </c>
      <c r="GS44">
        <v>3</v>
      </c>
      <c r="GT44">
        <v>0</v>
      </c>
      <c r="GU44" t="s">
        <v>3</v>
      </c>
      <c r="GV44">
        <f t="shared" si="39"/>
        <v>0</v>
      </c>
      <c r="GW44">
        <v>1</v>
      </c>
      <c r="GX44">
        <f t="shared" si="40"/>
        <v>0</v>
      </c>
      <c r="HA44">
        <v>0</v>
      </c>
      <c r="HB44">
        <v>0</v>
      </c>
      <c r="HC44">
        <f t="shared" si="41"/>
        <v>0</v>
      </c>
      <c r="HE44" t="s">
        <v>3</v>
      </c>
      <c r="HF44" t="s">
        <v>3</v>
      </c>
      <c r="HM44" t="s">
        <v>3</v>
      </c>
      <c r="HN44" t="s">
        <v>3</v>
      </c>
      <c r="HO44" t="s">
        <v>3</v>
      </c>
      <c r="HP44" t="s">
        <v>3</v>
      </c>
      <c r="HQ44" t="s">
        <v>3</v>
      </c>
      <c r="HS44">
        <v>0</v>
      </c>
      <c r="IK44">
        <v>0</v>
      </c>
    </row>
    <row r="45" spans="1:245" ht="409.5" x14ac:dyDescent="0.2">
      <c r="A45">
        <v>17</v>
      </c>
      <c r="B45">
        <v>1</v>
      </c>
      <c r="E45" t="s">
        <v>136</v>
      </c>
      <c r="F45" t="s">
        <v>137</v>
      </c>
      <c r="G45" t="s">
        <v>138</v>
      </c>
      <c r="H45" t="s">
        <v>139</v>
      </c>
      <c r="I45">
        <v>80</v>
      </c>
      <c r="J45">
        <v>0</v>
      </c>
      <c r="K45">
        <v>80</v>
      </c>
      <c r="O45">
        <f t="shared" si="21"/>
        <v>113102.5</v>
      </c>
      <c r="P45">
        <f>ROUND(CQ45*I45,2)</f>
        <v>0</v>
      </c>
      <c r="Q45">
        <f>ROUND(CR45*I45,2)</f>
        <v>113102.5</v>
      </c>
      <c r="R45">
        <f>ROUND(CS45*I45,2)</f>
        <v>0</v>
      </c>
      <c r="S45">
        <f>ROUND(CT45*I45,2)</f>
        <v>0</v>
      </c>
      <c r="T45">
        <f t="shared" si="22"/>
        <v>0</v>
      </c>
      <c r="U45">
        <f>ROUND(CV45*I45,7)</f>
        <v>0</v>
      </c>
      <c r="V45">
        <f>ROUND(CW45*I45,7)</f>
        <v>0</v>
      </c>
      <c r="W45">
        <f t="shared" si="23"/>
        <v>0</v>
      </c>
      <c r="X45">
        <f t="shared" si="24"/>
        <v>0</v>
      </c>
      <c r="Y45">
        <f t="shared" si="25"/>
        <v>0</v>
      </c>
      <c r="AA45">
        <v>75284898</v>
      </c>
      <c r="AB45">
        <f t="shared" si="26"/>
        <v>1413.78125</v>
      </c>
      <c r="AC45">
        <f>ROUND((ES45),6)</f>
        <v>0</v>
      </c>
      <c r="AD45">
        <f>ROUND(((((ET45*ROUND(((0.15+1)*1.25),7)))-((EU45*ROUND(((0.15+1)*1.25),7))))+AE45),6)</f>
        <v>1413.78125</v>
      </c>
      <c r="AE45">
        <f>ROUND(((EU45*ROUND(((0.15+1)*1.25),7))),6)</f>
        <v>0</v>
      </c>
      <c r="AF45">
        <f>ROUND(((EV45*ROUND(((0.15+1)*1.25),7))),6)</f>
        <v>0</v>
      </c>
      <c r="AG45">
        <f t="shared" si="27"/>
        <v>0</v>
      </c>
      <c r="AH45">
        <f>((EW45*ROUND(((0.15+1)*1.25),7)))</f>
        <v>0</v>
      </c>
      <c r="AI45">
        <f>((EX45*ROUND(((0.15+1)*1.25),7)))</f>
        <v>0</v>
      </c>
      <c r="AJ45">
        <f t="shared" si="28"/>
        <v>0</v>
      </c>
      <c r="AK45">
        <v>983.5</v>
      </c>
      <c r="AL45">
        <v>0</v>
      </c>
      <c r="AM45">
        <v>983.5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2</v>
      </c>
      <c r="BI45">
        <v>1</v>
      </c>
      <c r="BJ45" t="s">
        <v>137</v>
      </c>
      <c r="BM45">
        <v>250005</v>
      </c>
      <c r="BN45">
        <v>0</v>
      </c>
      <c r="BO45" t="s">
        <v>3</v>
      </c>
      <c r="BP45">
        <v>0</v>
      </c>
      <c r="BQ45">
        <v>7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0</v>
      </c>
      <c r="CA45">
        <v>0</v>
      </c>
      <c r="CB45" t="s">
        <v>3</v>
      </c>
      <c r="CE45">
        <v>0</v>
      </c>
      <c r="CF45">
        <v>0</v>
      </c>
      <c r="CG45">
        <v>0</v>
      </c>
      <c r="CM45">
        <v>0</v>
      </c>
      <c r="CN45" s="1" t="s">
        <v>409</v>
      </c>
      <c r="CO45">
        <v>0</v>
      </c>
      <c r="CP45">
        <f t="shared" si="29"/>
        <v>113102.5</v>
      </c>
      <c r="CQ45">
        <f>ROUND(AL45,2)</f>
        <v>0</v>
      </c>
      <c r="CR45">
        <f>(ROUND(AM45,2)*ROUND(((0.15+1)*1.25),7))</f>
        <v>1413.78125</v>
      </c>
      <c r="CS45">
        <f>(ROUND(AN45*BS45,2)*ROUND(((0.15+1)*1.25),7))</f>
        <v>0</v>
      </c>
      <c r="CT45">
        <f>(ROUND(AO45*BA45,2)*ROUND(((0.15+1)*1.25),7))</f>
        <v>0</v>
      </c>
      <c r="CU45">
        <f t="shared" si="30"/>
        <v>0</v>
      </c>
      <c r="CV45">
        <f t="shared" si="42"/>
        <v>0</v>
      </c>
      <c r="CW45">
        <f t="shared" si="42"/>
        <v>0</v>
      </c>
      <c r="CX45">
        <f t="shared" si="31"/>
        <v>0</v>
      </c>
      <c r="CY45">
        <f>(((S45+R45)*AT45)/100)</f>
        <v>0</v>
      </c>
      <c r="CZ45">
        <f>(((S45+R45)*AU45)/100)</f>
        <v>0</v>
      </c>
      <c r="DB45">
        <v>22</v>
      </c>
      <c r="DC45" t="s">
        <v>3</v>
      </c>
      <c r="DD45" t="s">
        <v>3</v>
      </c>
      <c r="DE45" t="s">
        <v>22</v>
      </c>
      <c r="DF45" t="s">
        <v>22</v>
      </c>
      <c r="DG45" t="s">
        <v>22</v>
      </c>
      <c r="DH45" t="s">
        <v>3</v>
      </c>
      <c r="DI45" t="s">
        <v>22</v>
      </c>
      <c r="DJ45" t="s">
        <v>22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1011</v>
      </c>
      <c r="DV45" t="s">
        <v>139</v>
      </c>
      <c r="DW45" t="s">
        <v>139</v>
      </c>
      <c r="DX45">
        <v>1</v>
      </c>
      <c r="DZ45" t="s">
        <v>3</v>
      </c>
      <c r="EA45" t="s">
        <v>3</v>
      </c>
      <c r="EB45" t="s">
        <v>3</v>
      </c>
      <c r="EC45" t="s">
        <v>3</v>
      </c>
      <c r="EE45">
        <v>73343194</v>
      </c>
      <c r="EF45">
        <v>7</v>
      </c>
      <c r="EG45" t="s">
        <v>140</v>
      </c>
      <c r="EH45">
        <v>0</v>
      </c>
      <c r="EI45" t="s">
        <v>3</v>
      </c>
      <c r="EJ45">
        <v>1</v>
      </c>
      <c r="EK45">
        <v>250005</v>
      </c>
      <c r="EL45" t="s">
        <v>141</v>
      </c>
      <c r="EM45" t="s">
        <v>142</v>
      </c>
      <c r="EO45" t="s">
        <v>26</v>
      </c>
      <c r="EQ45">
        <v>16</v>
      </c>
      <c r="ER45">
        <v>0</v>
      </c>
      <c r="ES45">
        <v>0</v>
      </c>
      <c r="ET45">
        <v>983.5</v>
      </c>
      <c r="EU45">
        <v>0</v>
      </c>
      <c r="EV45">
        <v>0</v>
      </c>
      <c r="EW45">
        <v>0</v>
      </c>
      <c r="EX45">
        <v>0</v>
      </c>
      <c r="EY45">
        <v>0</v>
      </c>
      <c r="FQ45">
        <v>0</v>
      </c>
      <c r="FR45">
        <v>0</v>
      </c>
      <c r="FS45">
        <v>0</v>
      </c>
      <c r="FX45">
        <v>0</v>
      </c>
      <c r="FY45">
        <v>0</v>
      </c>
      <c r="GA45" t="s">
        <v>3</v>
      </c>
      <c r="GD45">
        <v>1</v>
      </c>
      <c r="GF45">
        <v>-1409778872</v>
      </c>
      <c r="GG45">
        <v>2</v>
      </c>
      <c r="GH45">
        <v>0</v>
      </c>
      <c r="GI45">
        <v>-2</v>
      </c>
      <c r="GJ45">
        <v>0</v>
      </c>
      <c r="GK45">
        <v>0</v>
      </c>
      <c r="GL45">
        <f t="shared" si="34"/>
        <v>0</v>
      </c>
      <c r="GM45">
        <f t="shared" si="35"/>
        <v>113102.5</v>
      </c>
      <c r="GN45">
        <f t="shared" si="36"/>
        <v>113102.5</v>
      </c>
      <c r="GO45">
        <f t="shared" si="37"/>
        <v>0</v>
      </c>
      <c r="GP45">
        <f t="shared" si="38"/>
        <v>0</v>
      </c>
      <c r="GR45">
        <v>1</v>
      </c>
      <c r="GS45">
        <v>0</v>
      </c>
      <c r="GT45">
        <v>0</v>
      </c>
      <c r="GU45" t="s">
        <v>3</v>
      </c>
      <c r="GV45">
        <f t="shared" si="39"/>
        <v>0</v>
      </c>
      <c r="GW45">
        <v>1</v>
      </c>
      <c r="GX45">
        <f t="shared" si="40"/>
        <v>0</v>
      </c>
      <c r="HA45">
        <v>0</v>
      </c>
      <c r="HB45">
        <v>0</v>
      </c>
      <c r="HC45">
        <f t="shared" si="41"/>
        <v>0</v>
      </c>
      <c r="HE45" t="s">
        <v>3</v>
      </c>
      <c r="HF45" t="s">
        <v>3</v>
      </c>
      <c r="HM45" t="s">
        <v>3</v>
      </c>
      <c r="HN45" t="s">
        <v>3</v>
      </c>
      <c r="HO45" t="s">
        <v>3</v>
      </c>
      <c r="HP45" t="s">
        <v>3</v>
      </c>
      <c r="HQ45" t="s">
        <v>3</v>
      </c>
      <c r="HS45">
        <v>0</v>
      </c>
      <c r="IK45">
        <v>0</v>
      </c>
    </row>
    <row r="47" spans="1:245" x14ac:dyDescent="0.2">
      <c r="A47">
        <v>51</v>
      </c>
      <c r="B47">
        <f>B24</f>
        <v>1</v>
      </c>
      <c r="C47">
        <f>A24</f>
        <v>4</v>
      </c>
      <c r="D47">
        <f>ROW(A24)</f>
        <v>24</v>
      </c>
      <c r="F47" t="str">
        <f>IF(F24&lt;&gt;"",F24,"")</f>
        <v>Новый раздел</v>
      </c>
      <c r="G47" t="str">
        <f>IF(G24&lt;&gt;"",G24,"")</f>
        <v>Монтажные работы</v>
      </c>
      <c r="H47">
        <v>0</v>
      </c>
      <c r="O47">
        <f t="shared" ref="O47:T47" si="43">ROUND(AB47,2)</f>
        <v>147171.34</v>
      </c>
      <c r="P47">
        <f t="shared" si="43"/>
        <v>16188.8</v>
      </c>
      <c r="Q47">
        <f t="shared" si="43"/>
        <v>113263.77</v>
      </c>
      <c r="R47">
        <f t="shared" si="43"/>
        <v>116.53</v>
      </c>
      <c r="S47">
        <f t="shared" si="43"/>
        <v>17602.240000000002</v>
      </c>
      <c r="T47">
        <f t="shared" si="43"/>
        <v>0</v>
      </c>
      <c r="U47">
        <f>AH47</f>
        <v>27.805955000000001</v>
      </c>
      <c r="V47">
        <f>AI47</f>
        <v>0.16423980000000002</v>
      </c>
      <c r="W47">
        <f>ROUND(AJ47,2)</f>
        <v>0</v>
      </c>
      <c r="X47">
        <f>ROUND(AK47,2)</f>
        <v>17955.64</v>
      </c>
      <c r="Y47">
        <f>ROUND(AL47,2)</f>
        <v>9923.19</v>
      </c>
      <c r="AB47">
        <f>ROUND(SUMIF(AA28:AA45,"=75284898",O28:O45),2)</f>
        <v>147171.34</v>
      </c>
      <c r="AC47">
        <f>ROUND(SUMIF(AA28:AA45,"=75284898",P28:P45),2)</f>
        <v>16188.8</v>
      </c>
      <c r="AD47">
        <f>ROUND(SUMIF(AA28:AA45,"=75284898",Q28:Q45),2)</f>
        <v>113263.77</v>
      </c>
      <c r="AE47">
        <f>ROUND(SUMIF(AA28:AA45,"=75284898",R28:R45),2)</f>
        <v>116.53</v>
      </c>
      <c r="AF47">
        <f>ROUND(SUMIF(AA28:AA45,"=75284898",S28:S45),2)</f>
        <v>17602.240000000002</v>
      </c>
      <c r="AG47">
        <f>ROUND(SUMIF(AA28:AA45,"=75284898",T28:T45),2)</f>
        <v>0</v>
      </c>
      <c r="AH47">
        <f>SUMIF(AA28:AA45,"=75284898",U28:U45)</f>
        <v>27.805955000000001</v>
      </c>
      <c r="AI47">
        <f>SUMIF(AA28:AA45,"=75284898",V28:V45)</f>
        <v>0.16423980000000002</v>
      </c>
      <c r="AJ47">
        <f>ROUND(SUMIF(AA28:AA45,"=75284898",W28:W45),2)</f>
        <v>0</v>
      </c>
      <c r="AK47">
        <f>ROUND(SUMIF(AA28:AA45,"=75284898",X28:X45),2)</f>
        <v>17955.64</v>
      </c>
      <c r="AL47">
        <f>ROUND(SUMIF(AA28:AA45,"=75284898",Y28:Y45),2)</f>
        <v>9923.19</v>
      </c>
      <c r="AO47">
        <f t="shared" ref="AO47:BD47" si="44">ROUND(BX47,2)</f>
        <v>0</v>
      </c>
      <c r="AP47">
        <f t="shared" si="44"/>
        <v>0</v>
      </c>
      <c r="AQ47">
        <f t="shared" si="44"/>
        <v>0</v>
      </c>
      <c r="AR47">
        <f t="shared" si="44"/>
        <v>175050.17</v>
      </c>
      <c r="AS47">
        <f t="shared" si="44"/>
        <v>175050.17</v>
      </c>
      <c r="AT47">
        <f t="shared" si="44"/>
        <v>0</v>
      </c>
      <c r="AU47">
        <f t="shared" si="44"/>
        <v>0</v>
      </c>
      <c r="AV47">
        <f t="shared" si="44"/>
        <v>16188.8</v>
      </c>
      <c r="AW47">
        <f t="shared" si="44"/>
        <v>16188.8</v>
      </c>
      <c r="AX47">
        <f t="shared" si="44"/>
        <v>0</v>
      </c>
      <c r="AY47">
        <f t="shared" si="44"/>
        <v>16188.8</v>
      </c>
      <c r="AZ47">
        <f t="shared" si="44"/>
        <v>0</v>
      </c>
      <c r="BA47">
        <f t="shared" si="44"/>
        <v>0</v>
      </c>
      <c r="BB47">
        <f t="shared" si="44"/>
        <v>0</v>
      </c>
      <c r="BC47">
        <f t="shared" si="44"/>
        <v>0</v>
      </c>
      <c r="BD47">
        <f t="shared" si="44"/>
        <v>0</v>
      </c>
      <c r="BX47">
        <f>ROUND(SUMIF(AA28:AA45,"=75284898",FQ28:FQ45),2)</f>
        <v>0</v>
      </c>
      <c r="BY47">
        <f>ROUND(SUMIF(AA28:AA45,"=75284898",FR28:FR45),2)</f>
        <v>0</v>
      </c>
      <c r="BZ47">
        <f>ROUND(SUMIF(AA28:AA45,"=75284898",GL28:GL45),2)</f>
        <v>0</v>
      </c>
      <c r="CA47">
        <f>ROUND(SUMIF(AA28:AA45,"=75284898",GM28:GM45),2)</f>
        <v>175050.17</v>
      </c>
      <c r="CB47">
        <f>ROUND(SUMIF(AA28:AA45,"=75284898",GN28:GN45),2)</f>
        <v>175050.17</v>
      </c>
      <c r="CC47">
        <f>ROUND(SUMIF(AA28:AA45,"=75284898",GO28:GO45),2)</f>
        <v>0</v>
      </c>
      <c r="CD47">
        <f>ROUND(SUMIF(AA28:AA45,"=75284898",GP28:GP45),2)</f>
        <v>0</v>
      </c>
      <c r="CE47">
        <f>AC47-BX47</f>
        <v>16188.8</v>
      </c>
      <c r="CF47">
        <f>AC47-BY47</f>
        <v>16188.8</v>
      </c>
      <c r="CG47">
        <f>BX47-BZ47</f>
        <v>0</v>
      </c>
      <c r="CH47">
        <f>AC47-BX47-BY47+BZ47</f>
        <v>16188.8</v>
      </c>
      <c r="CI47">
        <f>BY47-BZ47</f>
        <v>0</v>
      </c>
      <c r="CJ47">
        <f>ROUND(SUMIF(AA28:AA45,"=75284898",GX28:GX45),2)</f>
        <v>0</v>
      </c>
      <c r="CK47">
        <f>ROUND(SUMIF(AA28:AA45,"=75284898",GY28:GY45),2)</f>
        <v>0</v>
      </c>
      <c r="CL47">
        <f>ROUND(SUMIF(AA28:AA45,"=75284898",GZ28:GZ45),2)</f>
        <v>0</v>
      </c>
      <c r="CM47">
        <f>ROUND(SUMIF(AA28:AA45,"=75284898",HD28:HD45),2)</f>
        <v>0</v>
      </c>
      <c r="GX47">
        <v>0</v>
      </c>
    </row>
    <row r="49" spans="1:25" x14ac:dyDescent="0.2">
      <c r="A49">
        <v>50</v>
      </c>
      <c r="B49">
        <v>0</v>
      </c>
      <c r="C49">
        <v>0</v>
      </c>
      <c r="D49">
        <v>1</v>
      </c>
      <c r="E49">
        <v>201</v>
      </c>
      <c r="F49">
        <f>ROUND(Source!O47,O49)</f>
        <v>147171.34</v>
      </c>
      <c r="G49" t="s">
        <v>143</v>
      </c>
      <c r="H49" t="s">
        <v>144</v>
      </c>
      <c r="K49">
        <v>201</v>
      </c>
      <c r="L49">
        <v>1</v>
      </c>
      <c r="M49">
        <v>3</v>
      </c>
      <c r="N49" t="s">
        <v>3</v>
      </c>
      <c r="O49">
        <v>2</v>
      </c>
      <c r="W49">
        <v>147171.34</v>
      </c>
      <c r="X49">
        <v>1</v>
      </c>
      <c r="Y49">
        <v>147171.34</v>
      </c>
    </row>
    <row r="50" spans="1:25" x14ac:dyDescent="0.2">
      <c r="A50">
        <v>50</v>
      </c>
      <c r="B50">
        <v>0</v>
      </c>
      <c r="C50">
        <v>0</v>
      </c>
      <c r="D50">
        <v>1</v>
      </c>
      <c r="E50">
        <v>202</v>
      </c>
      <c r="F50">
        <f>ROUND(Source!P47,O50)</f>
        <v>16188.8</v>
      </c>
      <c r="G50" t="s">
        <v>145</v>
      </c>
      <c r="H50" t="s">
        <v>146</v>
      </c>
      <c r="K50">
        <v>202</v>
      </c>
      <c r="L50">
        <v>2</v>
      </c>
      <c r="M50">
        <v>3</v>
      </c>
      <c r="N50" t="s">
        <v>3</v>
      </c>
      <c r="O50">
        <v>2</v>
      </c>
      <c r="W50">
        <v>16188.8</v>
      </c>
      <c r="X50">
        <v>1</v>
      </c>
      <c r="Y50">
        <v>16188.8</v>
      </c>
    </row>
    <row r="51" spans="1:25" x14ac:dyDescent="0.2">
      <c r="A51">
        <v>50</v>
      </c>
      <c r="B51">
        <v>0</v>
      </c>
      <c r="C51">
        <v>0</v>
      </c>
      <c r="D51">
        <v>1</v>
      </c>
      <c r="E51">
        <v>222</v>
      </c>
      <c r="F51">
        <f>ROUND(Source!AO47,O51)</f>
        <v>0</v>
      </c>
      <c r="G51" t="s">
        <v>147</v>
      </c>
      <c r="H51" t="s">
        <v>148</v>
      </c>
      <c r="K51">
        <v>222</v>
      </c>
      <c r="L51">
        <v>3</v>
      </c>
      <c r="M51">
        <v>3</v>
      </c>
      <c r="N51" t="s">
        <v>3</v>
      </c>
      <c r="O51">
        <v>2</v>
      </c>
      <c r="W51">
        <v>0</v>
      </c>
      <c r="X51">
        <v>1</v>
      </c>
      <c r="Y51">
        <v>0</v>
      </c>
    </row>
    <row r="52" spans="1:25" x14ac:dyDescent="0.2">
      <c r="A52">
        <v>50</v>
      </c>
      <c r="B52">
        <v>0</v>
      </c>
      <c r="C52">
        <v>0</v>
      </c>
      <c r="D52">
        <v>1</v>
      </c>
      <c r="E52">
        <v>225</v>
      </c>
      <c r="F52">
        <f>ROUND(Source!AV47,O52)</f>
        <v>16188.8</v>
      </c>
      <c r="G52" t="s">
        <v>149</v>
      </c>
      <c r="H52" t="s">
        <v>150</v>
      </c>
      <c r="K52">
        <v>225</v>
      </c>
      <c r="L52">
        <v>4</v>
      </c>
      <c r="M52">
        <v>3</v>
      </c>
      <c r="N52" t="s">
        <v>3</v>
      </c>
      <c r="O52">
        <v>2</v>
      </c>
      <c r="W52">
        <v>16188.8</v>
      </c>
      <c r="X52">
        <v>1</v>
      </c>
      <c r="Y52">
        <v>16188.8</v>
      </c>
    </row>
    <row r="53" spans="1:25" x14ac:dyDescent="0.2">
      <c r="A53">
        <v>50</v>
      </c>
      <c r="B53">
        <v>0</v>
      </c>
      <c r="C53">
        <v>0</v>
      </c>
      <c r="D53">
        <v>1</v>
      </c>
      <c r="E53">
        <v>226</v>
      </c>
      <c r="F53">
        <f>ROUND(Source!AW47,O53)</f>
        <v>16188.8</v>
      </c>
      <c r="G53" t="s">
        <v>151</v>
      </c>
      <c r="H53" t="s">
        <v>152</v>
      </c>
      <c r="K53">
        <v>226</v>
      </c>
      <c r="L53">
        <v>5</v>
      </c>
      <c r="M53">
        <v>3</v>
      </c>
      <c r="N53" t="s">
        <v>3</v>
      </c>
      <c r="O53">
        <v>2</v>
      </c>
      <c r="W53">
        <v>16188.8</v>
      </c>
      <c r="X53">
        <v>1</v>
      </c>
      <c r="Y53">
        <v>16188.8</v>
      </c>
    </row>
    <row r="54" spans="1:25" x14ac:dyDescent="0.2">
      <c r="A54">
        <v>50</v>
      </c>
      <c r="B54">
        <v>0</v>
      </c>
      <c r="C54">
        <v>0</v>
      </c>
      <c r="D54">
        <v>1</v>
      </c>
      <c r="E54">
        <v>227</v>
      </c>
      <c r="F54">
        <f>ROUND(Source!AX47,O54)</f>
        <v>0</v>
      </c>
      <c r="G54" t="s">
        <v>153</v>
      </c>
      <c r="H54" t="s">
        <v>154</v>
      </c>
      <c r="K54">
        <v>227</v>
      </c>
      <c r="L54">
        <v>6</v>
      </c>
      <c r="M54">
        <v>3</v>
      </c>
      <c r="N54" t="s">
        <v>3</v>
      </c>
      <c r="O54">
        <v>2</v>
      </c>
      <c r="W54">
        <v>0</v>
      </c>
      <c r="X54">
        <v>1</v>
      </c>
      <c r="Y54">
        <v>0</v>
      </c>
    </row>
    <row r="55" spans="1:25" x14ac:dyDescent="0.2">
      <c r="A55">
        <v>50</v>
      </c>
      <c r="B55">
        <v>0</v>
      </c>
      <c r="C55">
        <v>0</v>
      </c>
      <c r="D55">
        <v>1</v>
      </c>
      <c r="E55">
        <v>228</v>
      </c>
      <c r="F55">
        <f>ROUND(Source!AY47,O55)</f>
        <v>16188.8</v>
      </c>
      <c r="G55" t="s">
        <v>155</v>
      </c>
      <c r="H55" t="s">
        <v>156</v>
      </c>
      <c r="K55">
        <v>228</v>
      </c>
      <c r="L55">
        <v>7</v>
      </c>
      <c r="M55">
        <v>3</v>
      </c>
      <c r="N55" t="s">
        <v>3</v>
      </c>
      <c r="O55">
        <v>2</v>
      </c>
      <c r="W55">
        <v>16188.8</v>
      </c>
      <c r="X55">
        <v>1</v>
      </c>
      <c r="Y55">
        <v>16188.8</v>
      </c>
    </row>
    <row r="56" spans="1:25" x14ac:dyDescent="0.2">
      <c r="A56">
        <v>50</v>
      </c>
      <c r="B56">
        <v>0</v>
      </c>
      <c r="C56">
        <v>0</v>
      </c>
      <c r="D56">
        <v>1</v>
      </c>
      <c r="E56">
        <v>216</v>
      </c>
      <c r="F56">
        <f>ROUND(Source!AP47,O56)</f>
        <v>0</v>
      </c>
      <c r="G56" t="s">
        <v>157</v>
      </c>
      <c r="H56" t="s">
        <v>158</v>
      </c>
      <c r="K56">
        <v>216</v>
      </c>
      <c r="L56">
        <v>8</v>
      </c>
      <c r="M56">
        <v>3</v>
      </c>
      <c r="N56" t="s">
        <v>3</v>
      </c>
      <c r="O56">
        <v>2</v>
      </c>
      <c r="W56">
        <v>0</v>
      </c>
      <c r="X56">
        <v>1</v>
      </c>
      <c r="Y56">
        <v>0</v>
      </c>
    </row>
    <row r="57" spans="1:25" x14ac:dyDescent="0.2">
      <c r="A57">
        <v>50</v>
      </c>
      <c r="B57">
        <v>0</v>
      </c>
      <c r="C57">
        <v>0</v>
      </c>
      <c r="D57">
        <v>1</v>
      </c>
      <c r="E57">
        <v>223</v>
      </c>
      <c r="F57">
        <f>ROUND(Source!AQ47,O57)</f>
        <v>0</v>
      </c>
      <c r="G57" t="s">
        <v>159</v>
      </c>
      <c r="H57" t="s">
        <v>160</v>
      </c>
      <c r="K57">
        <v>223</v>
      </c>
      <c r="L57">
        <v>9</v>
      </c>
      <c r="M57">
        <v>3</v>
      </c>
      <c r="N57" t="s">
        <v>3</v>
      </c>
      <c r="O57">
        <v>2</v>
      </c>
      <c r="W57">
        <v>0</v>
      </c>
      <c r="X57">
        <v>1</v>
      </c>
      <c r="Y57">
        <v>0</v>
      </c>
    </row>
    <row r="58" spans="1:25" x14ac:dyDescent="0.2">
      <c r="A58">
        <v>50</v>
      </c>
      <c r="B58">
        <v>0</v>
      </c>
      <c r="C58">
        <v>0</v>
      </c>
      <c r="D58">
        <v>1</v>
      </c>
      <c r="E58">
        <v>229</v>
      </c>
      <c r="F58">
        <f>ROUND(Source!AZ47,O58)</f>
        <v>0</v>
      </c>
      <c r="G58" t="s">
        <v>161</v>
      </c>
      <c r="H58" t="s">
        <v>162</v>
      </c>
      <c r="K58">
        <v>229</v>
      </c>
      <c r="L58">
        <v>10</v>
      </c>
      <c r="M58">
        <v>3</v>
      </c>
      <c r="N58" t="s">
        <v>3</v>
      </c>
      <c r="O58">
        <v>2</v>
      </c>
      <c r="W58">
        <v>0</v>
      </c>
      <c r="X58">
        <v>1</v>
      </c>
      <c r="Y58">
        <v>0</v>
      </c>
    </row>
    <row r="59" spans="1:25" x14ac:dyDescent="0.2">
      <c r="A59">
        <v>50</v>
      </c>
      <c r="B59">
        <v>0</v>
      </c>
      <c r="C59">
        <v>0</v>
      </c>
      <c r="D59">
        <v>1</v>
      </c>
      <c r="E59">
        <v>203</v>
      </c>
      <c r="F59">
        <f>ROUND(Source!Q47,O59)</f>
        <v>113263.77</v>
      </c>
      <c r="G59" t="s">
        <v>163</v>
      </c>
      <c r="H59" t="s">
        <v>164</v>
      </c>
      <c r="K59">
        <v>203</v>
      </c>
      <c r="L59">
        <v>11</v>
      </c>
      <c r="M59">
        <v>3</v>
      </c>
      <c r="N59" t="s">
        <v>3</v>
      </c>
      <c r="O59">
        <v>2</v>
      </c>
      <c r="W59">
        <v>113263.77</v>
      </c>
      <c r="X59">
        <v>1</v>
      </c>
      <c r="Y59">
        <v>113263.77</v>
      </c>
    </row>
    <row r="60" spans="1:25" x14ac:dyDescent="0.2">
      <c r="A60">
        <v>50</v>
      </c>
      <c r="B60">
        <v>0</v>
      </c>
      <c r="C60">
        <v>0</v>
      </c>
      <c r="D60">
        <v>1</v>
      </c>
      <c r="E60">
        <v>231</v>
      </c>
      <c r="F60">
        <f>ROUND(Source!BB47,O60)</f>
        <v>0</v>
      </c>
      <c r="G60" t="s">
        <v>165</v>
      </c>
      <c r="H60" t="s">
        <v>166</v>
      </c>
      <c r="K60">
        <v>231</v>
      </c>
      <c r="L60">
        <v>12</v>
      </c>
      <c r="M60">
        <v>3</v>
      </c>
      <c r="N60" t="s">
        <v>3</v>
      </c>
      <c r="O60">
        <v>2</v>
      </c>
      <c r="W60">
        <v>0</v>
      </c>
      <c r="X60">
        <v>1</v>
      </c>
      <c r="Y60">
        <v>0</v>
      </c>
    </row>
    <row r="61" spans="1:25" x14ac:dyDescent="0.2">
      <c r="A61">
        <v>50</v>
      </c>
      <c r="B61">
        <v>0</v>
      </c>
      <c r="C61">
        <v>0</v>
      </c>
      <c r="D61">
        <v>1</v>
      </c>
      <c r="E61">
        <v>204</v>
      </c>
      <c r="F61">
        <f>ROUND(Source!R47,O61)</f>
        <v>116.53</v>
      </c>
      <c r="G61" t="s">
        <v>167</v>
      </c>
      <c r="H61" t="s">
        <v>168</v>
      </c>
      <c r="K61">
        <v>204</v>
      </c>
      <c r="L61">
        <v>13</v>
      </c>
      <c r="M61">
        <v>3</v>
      </c>
      <c r="N61" t="s">
        <v>3</v>
      </c>
      <c r="O61">
        <v>2</v>
      </c>
      <c r="W61">
        <v>116.52999999999999</v>
      </c>
      <c r="X61">
        <v>1</v>
      </c>
      <c r="Y61">
        <v>116.52999999999999</v>
      </c>
    </row>
    <row r="62" spans="1:25" x14ac:dyDescent="0.2">
      <c r="A62">
        <v>50</v>
      </c>
      <c r="B62">
        <v>0</v>
      </c>
      <c r="C62">
        <v>0</v>
      </c>
      <c r="D62">
        <v>1</v>
      </c>
      <c r="E62">
        <v>205</v>
      </c>
      <c r="F62">
        <f>ROUND(Source!S47,O62)</f>
        <v>17602.240000000002</v>
      </c>
      <c r="G62" t="s">
        <v>169</v>
      </c>
      <c r="H62" t="s">
        <v>170</v>
      </c>
      <c r="K62">
        <v>205</v>
      </c>
      <c r="L62">
        <v>14</v>
      </c>
      <c r="M62">
        <v>3</v>
      </c>
      <c r="N62" t="s">
        <v>3</v>
      </c>
      <c r="O62">
        <v>2</v>
      </c>
      <c r="W62">
        <v>17602.239999999998</v>
      </c>
      <c r="X62">
        <v>1</v>
      </c>
      <c r="Y62">
        <v>17602.239999999998</v>
      </c>
    </row>
    <row r="63" spans="1:25" x14ac:dyDescent="0.2">
      <c r="A63">
        <v>50</v>
      </c>
      <c r="B63">
        <v>0</v>
      </c>
      <c r="C63">
        <v>0</v>
      </c>
      <c r="D63">
        <v>1</v>
      </c>
      <c r="E63">
        <v>232</v>
      </c>
      <c r="F63">
        <f>ROUND(Source!BC47,O63)</f>
        <v>0</v>
      </c>
      <c r="G63" t="s">
        <v>171</v>
      </c>
      <c r="H63" t="s">
        <v>172</v>
      </c>
      <c r="K63">
        <v>232</v>
      </c>
      <c r="L63">
        <v>15</v>
      </c>
      <c r="M63">
        <v>3</v>
      </c>
      <c r="N63" t="s">
        <v>3</v>
      </c>
      <c r="O63">
        <v>2</v>
      </c>
      <c r="W63">
        <v>0</v>
      </c>
      <c r="X63">
        <v>1</v>
      </c>
      <c r="Y63">
        <v>0</v>
      </c>
    </row>
    <row r="64" spans="1:25" x14ac:dyDescent="0.2">
      <c r="A64">
        <v>50</v>
      </c>
      <c r="B64">
        <v>0</v>
      </c>
      <c r="C64">
        <v>0</v>
      </c>
      <c r="D64">
        <v>1</v>
      </c>
      <c r="E64">
        <v>214</v>
      </c>
      <c r="F64">
        <f>ROUND(Source!AS47,O64)</f>
        <v>175050.17</v>
      </c>
      <c r="G64" t="s">
        <v>173</v>
      </c>
      <c r="H64" t="s">
        <v>174</v>
      </c>
      <c r="K64">
        <v>214</v>
      </c>
      <c r="L64">
        <v>16</v>
      </c>
      <c r="M64">
        <v>3</v>
      </c>
      <c r="N64" t="s">
        <v>3</v>
      </c>
      <c r="O64">
        <v>2</v>
      </c>
      <c r="W64">
        <v>175050.17</v>
      </c>
      <c r="X64">
        <v>1</v>
      </c>
      <c r="Y64">
        <v>175050.17</v>
      </c>
    </row>
    <row r="65" spans="1:206" x14ac:dyDescent="0.2">
      <c r="A65">
        <v>50</v>
      </c>
      <c r="B65">
        <v>0</v>
      </c>
      <c r="C65">
        <v>0</v>
      </c>
      <c r="D65">
        <v>1</v>
      </c>
      <c r="E65">
        <v>215</v>
      </c>
      <c r="F65">
        <f>ROUND(Source!AT47,O65)</f>
        <v>0</v>
      </c>
      <c r="G65" t="s">
        <v>175</v>
      </c>
      <c r="H65" t="s">
        <v>176</v>
      </c>
      <c r="K65">
        <v>215</v>
      </c>
      <c r="L65">
        <v>17</v>
      </c>
      <c r="M65">
        <v>3</v>
      </c>
      <c r="N65" t="s">
        <v>3</v>
      </c>
      <c r="O65">
        <v>2</v>
      </c>
      <c r="W65">
        <v>0</v>
      </c>
      <c r="X65">
        <v>1</v>
      </c>
      <c r="Y65">
        <v>0</v>
      </c>
    </row>
    <row r="66" spans="1:206" x14ac:dyDescent="0.2">
      <c r="A66">
        <v>50</v>
      </c>
      <c r="B66">
        <v>0</v>
      </c>
      <c r="C66">
        <v>0</v>
      </c>
      <c r="D66">
        <v>1</v>
      </c>
      <c r="E66">
        <v>217</v>
      </c>
      <c r="F66">
        <f>ROUND(Source!AU47,O66)</f>
        <v>0</v>
      </c>
      <c r="G66" t="s">
        <v>177</v>
      </c>
      <c r="H66" t="s">
        <v>178</v>
      </c>
      <c r="K66">
        <v>217</v>
      </c>
      <c r="L66">
        <v>18</v>
      </c>
      <c r="M66">
        <v>3</v>
      </c>
      <c r="N66" t="s">
        <v>3</v>
      </c>
      <c r="O66">
        <v>2</v>
      </c>
      <c r="W66">
        <v>0</v>
      </c>
      <c r="X66">
        <v>1</v>
      </c>
      <c r="Y66">
        <v>0</v>
      </c>
    </row>
    <row r="67" spans="1:206" x14ac:dyDescent="0.2">
      <c r="A67">
        <v>50</v>
      </c>
      <c r="B67">
        <v>0</v>
      </c>
      <c r="C67">
        <v>0</v>
      </c>
      <c r="D67">
        <v>1</v>
      </c>
      <c r="E67">
        <v>230</v>
      </c>
      <c r="F67">
        <f>ROUND(Source!BA47,O67)</f>
        <v>0</v>
      </c>
      <c r="G67" t="s">
        <v>179</v>
      </c>
      <c r="H67" t="s">
        <v>180</v>
      </c>
      <c r="K67">
        <v>230</v>
      </c>
      <c r="L67">
        <v>19</v>
      </c>
      <c r="M67">
        <v>3</v>
      </c>
      <c r="N67" t="s">
        <v>3</v>
      </c>
      <c r="O67">
        <v>2</v>
      </c>
      <c r="W67">
        <v>0</v>
      </c>
      <c r="X67">
        <v>1</v>
      </c>
      <c r="Y67">
        <v>0</v>
      </c>
    </row>
    <row r="68" spans="1:206" x14ac:dyDescent="0.2">
      <c r="A68">
        <v>50</v>
      </c>
      <c r="B68">
        <v>0</v>
      </c>
      <c r="C68">
        <v>0</v>
      </c>
      <c r="D68">
        <v>1</v>
      </c>
      <c r="E68">
        <v>206</v>
      </c>
      <c r="F68">
        <f>ROUND(Source!T47,O68)</f>
        <v>0</v>
      </c>
      <c r="G68" t="s">
        <v>181</v>
      </c>
      <c r="H68" t="s">
        <v>182</v>
      </c>
      <c r="K68">
        <v>206</v>
      </c>
      <c r="L68">
        <v>20</v>
      </c>
      <c r="M68">
        <v>3</v>
      </c>
      <c r="N68" t="s">
        <v>3</v>
      </c>
      <c r="O68">
        <v>2</v>
      </c>
      <c r="W68">
        <v>0</v>
      </c>
      <c r="X68">
        <v>1</v>
      </c>
      <c r="Y68">
        <v>0</v>
      </c>
    </row>
    <row r="69" spans="1:206" x14ac:dyDescent="0.2">
      <c r="A69">
        <v>50</v>
      </c>
      <c r="B69">
        <v>0</v>
      </c>
      <c r="C69">
        <v>0</v>
      </c>
      <c r="D69">
        <v>1</v>
      </c>
      <c r="E69">
        <v>207</v>
      </c>
      <c r="F69">
        <f>ROUND(Source!U47,O69)</f>
        <v>27.805955000000001</v>
      </c>
      <c r="G69" t="s">
        <v>183</v>
      </c>
      <c r="H69" t="s">
        <v>184</v>
      </c>
      <c r="K69">
        <v>207</v>
      </c>
      <c r="L69">
        <v>21</v>
      </c>
      <c r="M69">
        <v>3</v>
      </c>
      <c r="N69" t="s">
        <v>3</v>
      </c>
      <c r="O69">
        <v>7</v>
      </c>
      <c r="W69">
        <v>27.805955000000001</v>
      </c>
      <c r="X69">
        <v>1</v>
      </c>
      <c r="Y69">
        <v>27.805955000000001</v>
      </c>
    </row>
    <row r="70" spans="1:206" x14ac:dyDescent="0.2">
      <c r="A70">
        <v>50</v>
      </c>
      <c r="B70">
        <v>0</v>
      </c>
      <c r="C70">
        <v>0</v>
      </c>
      <c r="D70">
        <v>1</v>
      </c>
      <c r="E70">
        <v>208</v>
      </c>
      <c r="F70">
        <f>ROUND(Source!V47,O70)</f>
        <v>0.16423979999999999</v>
      </c>
      <c r="G70" t="s">
        <v>185</v>
      </c>
      <c r="H70" t="s">
        <v>186</v>
      </c>
      <c r="K70">
        <v>208</v>
      </c>
      <c r="L70">
        <v>22</v>
      </c>
      <c r="M70">
        <v>3</v>
      </c>
      <c r="N70" t="s">
        <v>3</v>
      </c>
      <c r="O70">
        <v>7</v>
      </c>
      <c r="W70">
        <v>0.16423979999999999</v>
      </c>
      <c r="X70">
        <v>1</v>
      </c>
      <c r="Y70">
        <v>0.16423979999999999</v>
      </c>
    </row>
    <row r="71" spans="1:206" x14ac:dyDescent="0.2">
      <c r="A71">
        <v>50</v>
      </c>
      <c r="B71">
        <v>0</v>
      </c>
      <c r="C71">
        <v>0</v>
      </c>
      <c r="D71">
        <v>1</v>
      </c>
      <c r="E71">
        <v>209</v>
      </c>
      <c r="F71">
        <f>ROUND(Source!W47,O71)</f>
        <v>0</v>
      </c>
      <c r="G71" t="s">
        <v>187</v>
      </c>
      <c r="H71" t="s">
        <v>188</v>
      </c>
      <c r="K71">
        <v>209</v>
      </c>
      <c r="L71">
        <v>23</v>
      </c>
      <c r="M71">
        <v>3</v>
      </c>
      <c r="N71" t="s">
        <v>3</v>
      </c>
      <c r="O71">
        <v>2</v>
      </c>
      <c r="W71">
        <v>0</v>
      </c>
      <c r="X71">
        <v>1</v>
      </c>
      <c r="Y71">
        <v>0</v>
      </c>
    </row>
    <row r="72" spans="1:206" x14ac:dyDescent="0.2">
      <c r="A72">
        <v>50</v>
      </c>
      <c r="B72">
        <v>0</v>
      </c>
      <c r="C72">
        <v>0</v>
      </c>
      <c r="D72">
        <v>1</v>
      </c>
      <c r="E72">
        <v>233</v>
      </c>
      <c r="F72">
        <f>ROUND(Source!BD47,O72)</f>
        <v>0</v>
      </c>
      <c r="G72" t="s">
        <v>189</v>
      </c>
      <c r="H72" t="s">
        <v>190</v>
      </c>
      <c r="K72">
        <v>233</v>
      </c>
      <c r="L72">
        <v>24</v>
      </c>
      <c r="M72">
        <v>3</v>
      </c>
      <c r="N72" t="s">
        <v>3</v>
      </c>
      <c r="O72">
        <v>2</v>
      </c>
      <c r="W72">
        <v>0</v>
      </c>
      <c r="X72">
        <v>1</v>
      </c>
      <c r="Y72">
        <v>0</v>
      </c>
    </row>
    <row r="73" spans="1:206" x14ac:dyDescent="0.2">
      <c r="A73">
        <v>50</v>
      </c>
      <c r="B73">
        <v>0</v>
      </c>
      <c r="C73">
        <v>0</v>
      </c>
      <c r="D73">
        <v>1</v>
      </c>
      <c r="E73">
        <v>210</v>
      </c>
      <c r="F73">
        <f>ROUND(Source!X47,O73)</f>
        <v>17955.64</v>
      </c>
      <c r="G73" t="s">
        <v>191</v>
      </c>
      <c r="H73" t="s">
        <v>192</v>
      </c>
      <c r="K73">
        <v>210</v>
      </c>
      <c r="L73">
        <v>25</v>
      </c>
      <c r="M73">
        <v>3</v>
      </c>
      <c r="N73" t="s">
        <v>3</v>
      </c>
      <c r="O73">
        <v>2</v>
      </c>
      <c r="W73">
        <v>17955.64</v>
      </c>
      <c r="X73">
        <v>1</v>
      </c>
      <c r="Y73">
        <v>17955.64</v>
      </c>
    </row>
    <row r="74" spans="1:206" x14ac:dyDescent="0.2">
      <c r="A74">
        <v>50</v>
      </c>
      <c r="B74">
        <v>0</v>
      </c>
      <c r="C74">
        <v>0</v>
      </c>
      <c r="D74">
        <v>1</v>
      </c>
      <c r="E74">
        <v>211</v>
      </c>
      <c r="F74">
        <f>ROUND(Source!Y47,O74)</f>
        <v>9923.19</v>
      </c>
      <c r="G74" t="s">
        <v>193</v>
      </c>
      <c r="H74" t="s">
        <v>194</v>
      </c>
      <c r="K74">
        <v>211</v>
      </c>
      <c r="L74">
        <v>26</v>
      </c>
      <c r="M74">
        <v>3</v>
      </c>
      <c r="N74" t="s">
        <v>3</v>
      </c>
      <c r="O74">
        <v>2</v>
      </c>
      <c r="W74">
        <v>9923.19</v>
      </c>
      <c r="X74">
        <v>1</v>
      </c>
      <c r="Y74">
        <v>9923.19</v>
      </c>
    </row>
    <row r="75" spans="1:206" x14ac:dyDescent="0.2">
      <c r="A75">
        <v>50</v>
      </c>
      <c r="B75">
        <v>0</v>
      </c>
      <c r="C75">
        <v>0</v>
      </c>
      <c r="D75">
        <v>1</v>
      </c>
      <c r="E75">
        <v>224</v>
      </c>
      <c r="F75">
        <f>ROUND(Source!AR47,O75)</f>
        <v>175050.17</v>
      </c>
      <c r="G75" t="s">
        <v>195</v>
      </c>
      <c r="H75" t="s">
        <v>196</v>
      </c>
      <c r="K75">
        <v>224</v>
      </c>
      <c r="L75">
        <v>27</v>
      </c>
      <c r="M75">
        <v>3</v>
      </c>
      <c r="N75" t="s">
        <v>3</v>
      </c>
      <c r="O75">
        <v>2</v>
      </c>
      <c r="W75">
        <v>175050.17</v>
      </c>
      <c r="X75">
        <v>1</v>
      </c>
      <c r="Y75">
        <v>175050.17</v>
      </c>
    </row>
    <row r="77" spans="1:206" x14ac:dyDescent="0.2">
      <c r="A77">
        <v>51</v>
      </c>
      <c r="B77">
        <f>B20</f>
        <v>1</v>
      </c>
      <c r="C77">
        <f>A20</f>
        <v>3</v>
      </c>
      <c r="D77">
        <f>ROW(A20)</f>
        <v>20</v>
      </c>
      <c r="F77" t="str">
        <f>IF(F20&lt;&gt;"",F20,"")</f>
        <v>Новая локальная смета</v>
      </c>
      <c r="G77" t="str">
        <f>IF(G20&lt;&gt;"",G20,"")</f>
        <v>Новая локальная смета</v>
      </c>
      <c r="H77">
        <v>0</v>
      </c>
      <c r="O77">
        <f t="shared" ref="O77:T77" si="45">ROUND(O47+AB77,2)</f>
        <v>147171.34</v>
      </c>
      <c r="P77">
        <f t="shared" si="45"/>
        <v>16188.8</v>
      </c>
      <c r="Q77">
        <f t="shared" si="45"/>
        <v>113263.77</v>
      </c>
      <c r="R77">
        <f t="shared" si="45"/>
        <v>116.53</v>
      </c>
      <c r="S77">
        <f t="shared" si="45"/>
        <v>17602.240000000002</v>
      </c>
      <c r="T77">
        <f t="shared" si="45"/>
        <v>0</v>
      </c>
      <c r="U77">
        <f>U47+AH77</f>
        <v>27.805955000000001</v>
      </c>
      <c r="V77">
        <f>V47+AI77</f>
        <v>0.16423980000000002</v>
      </c>
      <c r="W77">
        <f>ROUND(W47+AJ77,2)</f>
        <v>0</v>
      </c>
      <c r="X77">
        <f>ROUND(X47+AK77,2)</f>
        <v>17955.64</v>
      </c>
      <c r="Y77">
        <f>ROUND(Y47+AL77,2)</f>
        <v>9923.19</v>
      </c>
      <c r="AO77">
        <f t="shared" ref="AO77:BD77" si="46">ROUND(AO47+BX77,2)</f>
        <v>0</v>
      </c>
      <c r="AP77">
        <f t="shared" si="46"/>
        <v>0</v>
      </c>
      <c r="AQ77">
        <f t="shared" si="46"/>
        <v>0</v>
      </c>
      <c r="AR77">
        <f t="shared" si="46"/>
        <v>175050.17</v>
      </c>
      <c r="AS77">
        <f t="shared" si="46"/>
        <v>175050.17</v>
      </c>
      <c r="AT77">
        <f t="shared" si="46"/>
        <v>0</v>
      </c>
      <c r="AU77">
        <f t="shared" si="46"/>
        <v>0</v>
      </c>
      <c r="AV77">
        <f t="shared" si="46"/>
        <v>16188.8</v>
      </c>
      <c r="AW77">
        <f t="shared" si="46"/>
        <v>16188.8</v>
      </c>
      <c r="AX77">
        <f t="shared" si="46"/>
        <v>0</v>
      </c>
      <c r="AY77">
        <f t="shared" si="46"/>
        <v>16188.8</v>
      </c>
      <c r="AZ77">
        <f t="shared" si="46"/>
        <v>0</v>
      </c>
      <c r="BA77">
        <f t="shared" si="46"/>
        <v>0</v>
      </c>
      <c r="BB77">
        <f t="shared" si="46"/>
        <v>0</v>
      </c>
      <c r="BC77">
        <f t="shared" si="46"/>
        <v>0</v>
      </c>
      <c r="BD77">
        <f t="shared" si="46"/>
        <v>0</v>
      </c>
      <c r="GX77">
        <v>0</v>
      </c>
    </row>
    <row r="79" spans="1:206" x14ac:dyDescent="0.2">
      <c r="A79">
        <v>50</v>
      </c>
      <c r="B79">
        <v>0</v>
      </c>
      <c r="C79">
        <v>0</v>
      </c>
      <c r="D79">
        <v>1</v>
      </c>
      <c r="E79">
        <v>201</v>
      </c>
      <c r="F79">
        <f>ROUND(Source!O77,O79)</f>
        <v>147171.34</v>
      </c>
      <c r="G79" t="s">
        <v>143</v>
      </c>
      <c r="H79" t="s">
        <v>144</v>
      </c>
      <c r="K79">
        <v>201</v>
      </c>
      <c r="L79">
        <v>1</v>
      </c>
      <c r="M79">
        <v>3</v>
      </c>
      <c r="N79" t="s">
        <v>3</v>
      </c>
      <c r="O79">
        <v>2</v>
      </c>
      <c r="W79">
        <v>147171.34</v>
      </c>
      <c r="X79">
        <v>1</v>
      </c>
      <c r="Y79">
        <v>147171.34</v>
      </c>
    </row>
    <row r="80" spans="1:206" x14ac:dyDescent="0.2">
      <c r="A80">
        <v>50</v>
      </c>
      <c r="B80">
        <v>0</v>
      </c>
      <c r="C80">
        <v>0</v>
      </c>
      <c r="D80">
        <v>1</v>
      </c>
      <c r="E80">
        <v>202</v>
      </c>
      <c r="F80">
        <f>ROUND(Source!P77,O80)</f>
        <v>16188.8</v>
      </c>
      <c r="G80" t="s">
        <v>145</v>
      </c>
      <c r="H80" t="s">
        <v>146</v>
      </c>
      <c r="K80">
        <v>202</v>
      </c>
      <c r="L80">
        <v>2</v>
      </c>
      <c r="M80">
        <v>3</v>
      </c>
      <c r="N80" t="s">
        <v>3</v>
      </c>
      <c r="O80">
        <v>2</v>
      </c>
      <c r="W80">
        <v>16188.8</v>
      </c>
      <c r="X80">
        <v>1</v>
      </c>
      <c r="Y80">
        <v>16188.8</v>
      </c>
    </row>
    <row r="81" spans="1:25" x14ac:dyDescent="0.2">
      <c r="A81">
        <v>50</v>
      </c>
      <c r="B81">
        <v>0</v>
      </c>
      <c r="C81">
        <v>0</v>
      </c>
      <c r="D81">
        <v>1</v>
      </c>
      <c r="E81">
        <v>222</v>
      </c>
      <c r="F81">
        <f>ROUND(Source!AO77,O81)</f>
        <v>0</v>
      </c>
      <c r="G81" t="s">
        <v>147</v>
      </c>
      <c r="H81" t="s">
        <v>148</v>
      </c>
      <c r="K81">
        <v>222</v>
      </c>
      <c r="L81">
        <v>3</v>
      </c>
      <c r="M81">
        <v>3</v>
      </c>
      <c r="N81" t="s">
        <v>3</v>
      </c>
      <c r="O81">
        <v>2</v>
      </c>
      <c r="W81">
        <v>0</v>
      </c>
      <c r="X81">
        <v>1</v>
      </c>
      <c r="Y81">
        <v>0</v>
      </c>
    </row>
    <row r="82" spans="1:25" x14ac:dyDescent="0.2">
      <c r="A82">
        <v>50</v>
      </c>
      <c r="B82">
        <v>0</v>
      </c>
      <c r="C82">
        <v>0</v>
      </c>
      <c r="D82">
        <v>1</v>
      </c>
      <c r="E82">
        <v>225</v>
      </c>
      <c r="F82">
        <f>ROUND(Source!AV77,O82)</f>
        <v>16188.8</v>
      </c>
      <c r="G82" t="s">
        <v>149</v>
      </c>
      <c r="H82" t="s">
        <v>150</v>
      </c>
      <c r="K82">
        <v>225</v>
      </c>
      <c r="L82">
        <v>4</v>
      </c>
      <c r="M82">
        <v>3</v>
      </c>
      <c r="N82" t="s">
        <v>3</v>
      </c>
      <c r="O82">
        <v>2</v>
      </c>
      <c r="W82">
        <v>16188.8</v>
      </c>
      <c r="X82">
        <v>1</v>
      </c>
      <c r="Y82">
        <v>16188.8</v>
      </c>
    </row>
    <row r="83" spans="1:25" x14ac:dyDescent="0.2">
      <c r="A83">
        <v>50</v>
      </c>
      <c r="B83">
        <v>0</v>
      </c>
      <c r="C83">
        <v>0</v>
      </c>
      <c r="D83">
        <v>1</v>
      </c>
      <c r="E83">
        <v>226</v>
      </c>
      <c r="F83">
        <f>ROUND(Source!AW77,O83)</f>
        <v>16188.8</v>
      </c>
      <c r="G83" t="s">
        <v>151</v>
      </c>
      <c r="H83" t="s">
        <v>152</v>
      </c>
      <c r="K83">
        <v>226</v>
      </c>
      <c r="L83">
        <v>5</v>
      </c>
      <c r="M83">
        <v>3</v>
      </c>
      <c r="N83" t="s">
        <v>3</v>
      </c>
      <c r="O83">
        <v>2</v>
      </c>
      <c r="W83">
        <v>16188.8</v>
      </c>
      <c r="X83">
        <v>1</v>
      </c>
      <c r="Y83">
        <v>16188.8</v>
      </c>
    </row>
    <row r="84" spans="1:25" x14ac:dyDescent="0.2">
      <c r="A84">
        <v>50</v>
      </c>
      <c r="B84">
        <v>0</v>
      </c>
      <c r="C84">
        <v>0</v>
      </c>
      <c r="D84">
        <v>1</v>
      </c>
      <c r="E84">
        <v>227</v>
      </c>
      <c r="F84">
        <f>ROUND(Source!AX77,O84)</f>
        <v>0</v>
      </c>
      <c r="G84" t="s">
        <v>153</v>
      </c>
      <c r="H84" t="s">
        <v>154</v>
      </c>
      <c r="K84">
        <v>227</v>
      </c>
      <c r="L84">
        <v>6</v>
      </c>
      <c r="M84">
        <v>3</v>
      </c>
      <c r="N84" t="s">
        <v>3</v>
      </c>
      <c r="O84">
        <v>2</v>
      </c>
      <c r="W84">
        <v>0</v>
      </c>
      <c r="X84">
        <v>1</v>
      </c>
      <c r="Y84">
        <v>0</v>
      </c>
    </row>
    <row r="85" spans="1:25" x14ac:dyDescent="0.2">
      <c r="A85">
        <v>50</v>
      </c>
      <c r="B85">
        <v>0</v>
      </c>
      <c r="C85">
        <v>0</v>
      </c>
      <c r="D85">
        <v>1</v>
      </c>
      <c r="E85">
        <v>228</v>
      </c>
      <c r="F85">
        <f>ROUND(Source!AY77,O85)</f>
        <v>16188.8</v>
      </c>
      <c r="G85" t="s">
        <v>155</v>
      </c>
      <c r="H85" t="s">
        <v>156</v>
      </c>
      <c r="K85">
        <v>228</v>
      </c>
      <c r="L85">
        <v>7</v>
      </c>
      <c r="M85">
        <v>3</v>
      </c>
      <c r="N85" t="s">
        <v>3</v>
      </c>
      <c r="O85">
        <v>2</v>
      </c>
      <c r="W85">
        <v>16188.8</v>
      </c>
      <c r="X85">
        <v>1</v>
      </c>
      <c r="Y85">
        <v>16188.8</v>
      </c>
    </row>
    <row r="86" spans="1:25" x14ac:dyDescent="0.2">
      <c r="A86">
        <v>50</v>
      </c>
      <c r="B86">
        <v>0</v>
      </c>
      <c r="C86">
        <v>0</v>
      </c>
      <c r="D86">
        <v>1</v>
      </c>
      <c r="E86">
        <v>216</v>
      </c>
      <c r="F86">
        <f>ROUND(Source!AP77,O86)</f>
        <v>0</v>
      </c>
      <c r="G86" t="s">
        <v>157</v>
      </c>
      <c r="H86" t="s">
        <v>158</v>
      </c>
      <c r="K86">
        <v>216</v>
      </c>
      <c r="L86">
        <v>8</v>
      </c>
      <c r="M86">
        <v>3</v>
      </c>
      <c r="N86" t="s">
        <v>3</v>
      </c>
      <c r="O86">
        <v>2</v>
      </c>
      <c r="W86">
        <v>0</v>
      </c>
      <c r="X86">
        <v>1</v>
      </c>
      <c r="Y86">
        <v>0</v>
      </c>
    </row>
    <row r="87" spans="1:25" x14ac:dyDescent="0.2">
      <c r="A87">
        <v>50</v>
      </c>
      <c r="B87">
        <v>0</v>
      </c>
      <c r="C87">
        <v>0</v>
      </c>
      <c r="D87">
        <v>1</v>
      </c>
      <c r="E87">
        <v>223</v>
      </c>
      <c r="F87">
        <f>ROUND(Source!AQ77,O87)</f>
        <v>0</v>
      </c>
      <c r="G87" t="s">
        <v>159</v>
      </c>
      <c r="H87" t="s">
        <v>160</v>
      </c>
      <c r="K87">
        <v>223</v>
      </c>
      <c r="L87">
        <v>9</v>
      </c>
      <c r="M87">
        <v>3</v>
      </c>
      <c r="N87" t="s">
        <v>3</v>
      </c>
      <c r="O87">
        <v>2</v>
      </c>
      <c r="W87">
        <v>0</v>
      </c>
      <c r="X87">
        <v>1</v>
      </c>
      <c r="Y87">
        <v>0</v>
      </c>
    </row>
    <row r="88" spans="1:25" x14ac:dyDescent="0.2">
      <c r="A88">
        <v>50</v>
      </c>
      <c r="B88">
        <v>0</v>
      </c>
      <c r="C88">
        <v>0</v>
      </c>
      <c r="D88">
        <v>1</v>
      </c>
      <c r="E88">
        <v>229</v>
      </c>
      <c r="F88">
        <f>ROUND(Source!AZ77,O88)</f>
        <v>0</v>
      </c>
      <c r="G88" t="s">
        <v>161</v>
      </c>
      <c r="H88" t="s">
        <v>162</v>
      </c>
      <c r="K88">
        <v>229</v>
      </c>
      <c r="L88">
        <v>10</v>
      </c>
      <c r="M88">
        <v>3</v>
      </c>
      <c r="N88" t="s">
        <v>3</v>
      </c>
      <c r="O88">
        <v>2</v>
      </c>
      <c r="W88">
        <v>0</v>
      </c>
      <c r="X88">
        <v>1</v>
      </c>
      <c r="Y88">
        <v>0</v>
      </c>
    </row>
    <row r="89" spans="1:25" x14ac:dyDescent="0.2">
      <c r="A89">
        <v>50</v>
      </c>
      <c r="B89">
        <v>0</v>
      </c>
      <c r="C89">
        <v>0</v>
      </c>
      <c r="D89">
        <v>1</v>
      </c>
      <c r="E89">
        <v>203</v>
      </c>
      <c r="F89">
        <f>ROUND(Source!Q77,O89)</f>
        <v>113263.77</v>
      </c>
      <c r="G89" t="s">
        <v>163</v>
      </c>
      <c r="H89" t="s">
        <v>164</v>
      </c>
      <c r="K89">
        <v>203</v>
      </c>
      <c r="L89">
        <v>11</v>
      </c>
      <c r="M89">
        <v>3</v>
      </c>
      <c r="N89" t="s">
        <v>3</v>
      </c>
      <c r="O89">
        <v>2</v>
      </c>
      <c r="W89">
        <v>113263.77</v>
      </c>
      <c r="X89">
        <v>1</v>
      </c>
      <c r="Y89">
        <v>113263.77</v>
      </c>
    </row>
    <row r="90" spans="1:25" x14ac:dyDescent="0.2">
      <c r="A90">
        <v>50</v>
      </c>
      <c r="B90">
        <v>0</v>
      </c>
      <c r="C90">
        <v>0</v>
      </c>
      <c r="D90">
        <v>1</v>
      </c>
      <c r="E90">
        <v>231</v>
      </c>
      <c r="F90">
        <f>ROUND(Source!BB77,O90)</f>
        <v>0</v>
      </c>
      <c r="G90" t="s">
        <v>165</v>
      </c>
      <c r="H90" t="s">
        <v>166</v>
      </c>
      <c r="K90">
        <v>231</v>
      </c>
      <c r="L90">
        <v>12</v>
      </c>
      <c r="M90">
        <v>3</v>
      </c>
      <c r="N90" t="s">
        <v>3</v>
      </c>
      <c r="O90">
        <v>2</v>
      </c>
      <c r="W90">
        <v>0</v>
      </c>
      <c r="X90">
        <v>1</v>
      </c>
      <c r="Y90">
        <v>0</v>
      </c>
    </row>
    <row r="91" spans="1:25" x14ac:dyDescent="0.2">
      <c r="A91">
        <v>50</v>
      </c>
      <c r="B91">
        <v>0</v>
      </c>
      <c r="C91">
        <v>0</v>
      </c>
      <c r="D91">
        <v>1</v>
      </c>
      <c r="E91">
        <v>204</v>
      </c>
      <c r="F91">
        <f>ROUND(Source!R77,O91)</f>
        <v>116.53</v>
      </c>
      <c r="G91" t="s">
        <v>167</v>
      </c>
      <c r="H91" t="s">
        <v>168</v>
      </c>
      <c r="K91">
        <v>204</v>
      </c>
      <c r="L91">
        <v>13</v>
      </c>
      <c r="M91">
        <v>3</v>
      </c>
      <c r="N91" t="s">
        <v>3</v>
      </c>
      <c r="O91">
        <v>2</v>
      </c>
      <c r="W91">
        <v>116.52999999999999</v>
      </c>
      <c r="X91">
        <v>1</v>
      </c>
      <c r="Y91">
        <v>116.52999999999999</v>
      </c>
    </row>
    <row r="92" spans="1:25" x14ac:dyDescent="0.2">
      <c r="A92">
        <v>50</v>
      </c>
      <c r="B92">
        <v>0</v>
      </c>
      <c r="C92">
        <v>0</v>
      </c>
      <c r="D92">
        <v>1</v>
      </c>
      <c r="E92">
        <v>205</v>
      </c>
      <c r="F92">
        <f>ROUND(Source!S77,O92)</f>
        <v>17602.240000000002</v>
      </c>
      <c r="G92" t="s">
        <v>169</v>
      </c>
      <c r="H92" t="s">
        <v>170</v>
      </c>
      <c r="K92">
        <v>205</v>
      </c>
      <c r="L92">
        <v>14</v>
      </c>
      <c r="M92">
        <v>3</v>
      </c>
      <c r="N92" t="s">
        <v>3</v>
      </c>
      <c r="O92">
        <v>2</v>
      </c>
      <c r="W92">
        <v>17602.239999999998</v>
      </c>
      <c r="X92">
        <v>1</v>
      </c>
      <c r="Y92">
        <v>17602.239999999998</v>
      </c>
    </row>
    <row r="93" spans="1:25" x14ac:dyDescent="0.2">
      <c r="A93">
        <v>50</v>
      </c>
      <c r="B93">
        <v>0</v>
      </c>
      <c r="C93">
        <v>0</v>
      </c>
      <c r="D93">
        <v>1</v>
      </c>
      <c r="E93">
        <v>232</v>
      </c>
      <c r="F93">
        <f>ROUND(Source!BC77,O93)</f>
        <v>0</v>
      </c>
      <c r="G93" t="s">
        <v>171</v>
      </c>
      <c r="H93" t="s">
        <v>172</v>
      </c>
      <c r="K93">
        <v>232</v>
      </c>
      <c r="L93">
        <v>15</v>
      </c>
      <c r="M93">
        <v>3</v>
      </c>
      <c r="N93" t="s">
        <v>3</v>
      </c>
      <c r="O93">
        <v>2</v>
      </c>
      <c r="W93">
        <v>0</v>
      </c>
      <c r="X93">
        <v>1</v>
      </c>
      <c r="Y93">
        <v>0</v>
      </c>
    </row>
    <row r="94" spans="1:25" x14ac:dyDescent="0.2">
      <c r="A94">
        <v>50</v>
      </c>
      <c r="B94">
        <v>0</v>
      </c>
      <c r="C94">
        <v>0</v>
      </c>
      <c r="D94">
        <v>1</v>
      </c>
      <c r="E94">
        <v>214</v>
      </c>
      <c r="F94">
        <f>ROUND(Source!AS77,O94)</f>
        <v>175050.17</v>
      </c>
      <c r="G94" t="s">
        <v>173</v>
      </c>
      <c r="H94" t="s">
        <v>174</v>
      </c>
      <c r="K94">
        <v>214</v>
      </c>
      <c r="L94">
        <v>16</v>
      </c>
      <c r="M94">
        <v>3</v>
      </c>
      <c r="N94" t="s">
        <v>3</v>
      </c>
      <c r="O94">
        <v>2</v>
      </c>
      <c r="W94">
        <v>175050.17</v>
      </c>
      <c r="X94">
        <v>1</v>
      </c>
      <c r="Y94">
        <v>175050.17</v>
      </c>
    </row>
    <row r="95" spans="1:25" x14ac:dyDescent="0.2">
      <c r="A95">
        <v>50</v>
      </c>
      <c r="B95">
        <v>0</v>
      </c>
      <c r="C95">
        <v>0</v>
      </c>
      <c r="D95">
        <v>1</v>
      </c>
      <c r="E95">
        <v>215</v>
      </c>
      <c r="F95">
        <f>ROUND(Source!AT77,O95)</f>
        <v>0</v>
      </c>
      <c r="G95" t="s">
        <v>175</v>
      </c>
      <c r="H95" t="s">
        <v>176</v>
      </c>
      <c r="K95">
        <v>215</v>
      </c>
      <c r="L95">
        <v>17</v>
      </c>
      <c r="M95">
        <v>3</v>
      </c>
      <c r="N95" t="s">
        <v>3</v>
      </c>
      <c r="O95">
        <v>2</v>
      </c>
      <c r="W95">
        <v>0</v>
      </c>
      <c r="X95">
        <v>1</v>
      </c>
      <c r="Y95">
        <v>0</v>
      </c>
    </row>
    <row r="96" spans="1:25" x14ac:dyDescent="0.2">
      <c r="A96">
        <v>50</v>
      </c>
      <c r="B96">
        <v>0</v>
      </c>
      <c r="C96">
        <v>0</v>
      </c>
      <c r="D96">
        <v>1</v>
      </c>
      <c r="E96">
        <v>217</v>
      </c>
      <c r="F96">
        <f>ROUND(Source!AU77,O96)</f>
        <v>0</v>
      </c>
      <c r="G96" t="s">
        <v>177</v>
      </c>
      <c r="H96" t="s">
        <v>178</v>
      </c>
      <c r="K96">
        <v>217</v>
      </c>
      <c r="L96">
        <v>18</v>
      </c>
      <c r="M96">
        <v>3</v>
      </c>
      <c r="N96" t="s">
        <v>3</v>
      </c>
      <c r="O96">
        <v>2</v>
      </c>
      <c r="W96">
        <v>0</v>
      </c>
      <c r="X96">
        <v>1</v>
      </c>
      <c r="Y96">
        <v>0</v>
      </c>
    </row>
    <row r="97" spans="1:206" x14ac:dyDescent="0.2">
      <c r="A97">
        <v>50</v>
      </c>
      <c r="B97">
        <v>0</v>
      </c>
      <c r="C97">
        <v>0</v>
      </c>
      <c r="D97">
        <v>1</v>
      </c>
      <c r="E97">
        <v>230</v>
      </c>
      <c r="F97">
        <f>ROUND(Source!BA77,O97)</f>
        <v>0</v>
      </c>
      <c r="G97" t="s">
        <v>179</v>
      </c>
      <c r="H97" t="s">
        <v>180</v>
      </c>
      <c r="K97">
        <v>230</v>
      </c>
      <c r="L97">
        <v>19</v>
      </c>
      <c r="M97">
        <v>3</v>
      </c>
      <c r="N97" t="s">
        <v>3</v>
      </c>
      <c r="O97">
        <v>2</v>
      </c>
      <c r="W97">
        <v>0</v>
      </c>
      <c r="X97">
        <v>1</v>
      </c>
      <c r="Y97">
        <v>0</v>
      </c>
    </row>
    <row r="98" spans="1:206" x14ac:dyDescent="0.2">
      <c r="A98">
        <v>50</v>
      </c>
      <c r="B98">
        <v>0</v>
      </c>
      <c r="C98">
        <v>0</v>
      </c>
      <c r="D98">
        <v>1</v>
      </c>
      <c r="E98">
        <v>206</v>
      </c>
      <c r="F98">
        <f>ROUND(Source!T77,O98)</f>
        <v>0</v>
      </c>
      <c r="G98" t="s">
        <v>181</v>
      </c>
      <c r="H98" t="s">
        <v>182</v>
      </c>
      <c r="K98">
        <v>206</v>
      </c>
      <c r="L98">
        <v>20</v>
      </c>
      <c r="M98">
        <v>3</v>
      </c>
      <c r="N98" t="s">
        <v>3</v>
      </c>
      <c r="O98">
        <v>2</v>
      </c>
      <c r="W98">
        <v>0</v>
      </c>
      <c r="X98">
        <v>1</v>
      </c>
      <c r="Y98">
        <v>0</v>
      </c>
    </row>
    <row r="99" spans="1:206" x14ac:dyDescent="0.2">
      <c r="A99">
        <v>50</v>
      </c>
      <c r="B99">
        <v>0</v>
      </c>
      <c r="C99">
        <v>0</v>
      </c>
      <c r="D99">
        <v>1</v>
      </c>
      <c r="E99">
        <v>207</v>
      </c>
      <c r="F99">
        <f>ROUND(Source!U77,O99)</f>
        <v>27.805955000000001</v>
      </c>
      <c r="G99" t="s">
        <v>183</v>
      </c>
      <c r="H99" t="s">
        <v>184</v>
      </c>
      <c r="K99">
        <v>207</v>
      </c>
      <c r="L99">
        <v>21</v>
      </c>
      <c r="M99">
        <v>3</v>
      </c>
      <c r="N99" t="s">
        <v>3</v>
      </c>
      <c r="O99">
        <v>7</v>
      </c>
      <c r="W99">
        <v>27.805955000000001</v>
      </c>
      <c r="X99">
        <v>1</v>
      </c>
      <c r="Y99">
        <v>27.805955000000001</v>
      </c>
    </row>
    <row r="100" spans="1:206" x14ac:dyDescent="0.2">
      <c r="A100">
        <v>50</v>
      </c>
      <c r="B100">
        <v>0</v>
      </c>
      <c r="C100">
        <v>0</v>
      </c>
      <c r="D100">
        <v>1</v>
      </c>
      <c r="E100">
        <v>208</v>
      </c>
      <c r="F100">
        <f>ROUND(Source!V77,O100)</f>
        <v>0.16423979999999999</v>
      </c>
      <c r="G100" t="s">
        <v>185</v>
      </c>
      <c r="H100" t="s">
        <v>186</v>
      </c>
      <c r="K100">
        <v>208</v>
      </c>
      <c r="L100">
        <v>22</v>
      </c>
      <c r="M100">
        <v>3</v>
      </c>
      <c r="N100" t="s">
        <v>3</v>
      </c>
      <c r="O100">
        <v>7</v>
      </c>
      <c r="W100">
        <v>0.16423979999999999</v>
      </c>
      <c r="X100">
        <v>1</v>
      </c>
      <c r="Y100">
        <v>0.16423979999999999</v>
      </c>
    </row>
    <row r="101" spans="1:206" x14ac:dyDescent="0.2">
      <c r="A101">
        <v>50</v>
      </c>
      <c r="B101">
        <v>0</v>
      </c>
      <c r="C101">
        <v>0</v>
      </c>
      <c r="D101">
        <v>1</v>
      </c>
      <c r="E101">
        <v>209</v>
      </c>
      <c r="F101">
        <f>ROUND(Source!W77,O101)</f>
        <v>0</v>
      </c>
      <c r="G101" t="s">
        <v>187</v>
      </c>
      <c r="H101" t="s">
        <v>188</v>
      </c>
      <c r="K101">
        <v>209</v>
      </c>
      <c r="L101">
        <v>23</v>
      </c>
      <c r="M101">
        <v>3</v>
      </c>
      <c r="N101" t="s">
        <v>3</v>
      </c>
      <c r="O101">
        <v>2</v>
      </c>
      <c r="W101">
        <v>0</v>
      </c>
      <c r="X101">
        <v>1</v>
      </c>
      <c r="Y101">
        <v>0</v>
      </c>
    </row>
    <row r="102" spans="1:206" x14ac:dyDescent="0.2">
      <c r="A102">
        <v>50</v>
      </c>
      <c r="B102">
        <v>0</v>
      </c>
      <c r="C102">
        <v>0</v>
      </c>
      <c r="D102">
        <v>1</v>
      </c>
      <c r="E102">
        <v>233</v>
      </c>
      <c r="F102">
        <f>ROUND(Source!BD77,O102)</f>
        <v>0</v>
      </c>
      <c r="G102" t="s">
        <v>189</v>
      </c>
      <c r="H102" t="s">
        <v>190</v>
      </c>
      <c r="K102">
        <v>233</v>
      </c>
      <c r="L102">
        <v>24</v>
      </c>
      <c r="M102">
        <v>3</v>
      </c>
      <c r="N102" t="s">
        <v>3</v>
      </c>
      <c r="O102">
        <v>2</v>
      </c>
      <c r="W102">
        <v>0</v>
      </c>
      <c r="X102">
        <v>1</v>
      </c>
      <c r="Y102">
        <v>0</v>
      </c>
    </row>
    <row r="103" spans="1:206" x14ac:dyDescent="0.2">
      <c r="A103">
        <v>50</v>
      </c>
      <c r="B103">
        <v>0</v>
      </c>
      <c r="C103">
        <v>0</v>
      </c>
      <c r="D103">
        <v>1</v>
      </c>
      <c r="E103">
        <v>210</v>
      </c>
      <c r="F103">
        <f>ROUND(Source!X77,O103)</f>
        <v>17955.64</v>
      </c>
      <c r="G103" t="s">
        <v>191</v>
      </c>
      <c r="H103" t="s">
        <v>192</v>
      </c>
      <c r="K103">
        <v>210</v>
      </c>
      <c r="L103">
        <v>25</v>
      </c>
      <c r="M103">
        <v>3</v>
      </c>
      <c r="N103" t="s">
        <v>3</v>
      </c>
      <c r="O103">
        <v>2</v>
      </c>
      <c r="W103">
        <v>17955.64</v>
      </c>
      <c r="X103">
        <v>1</v>
      </c>
      <c r="Y103">
        <v>17955.64</v>
      </c>
    </row>
    <row r="104" spans="1:206" x14ac:dyDescent="0.2">
      <c r="A104">
        <v>50</v>
      </c>
      <c r="B104">
        <v>0</v>
      </c>
      <c r="C104">
        <v>0</v>
      </c>
      <c r="D104">
        <v>1</v>
      </c>
      <c r="E104">
        <v>211</v>
      </c>
      <c r="F104">
        <f>ROUND(Source!Y77,O104)</f>
        <v>9923.19</v>
      </c>
      <c r="G104" t="s">
        <v>193</v>
      </c>
      <c r="H104" t="s">
        <v>194</v>
      </c>
      <c r="K104">
        <v>211</v>
      </c>
      <c r="L104">
        <v>26</v>
      </c>
      <c r="M104">
        <v>3</v>
      </c>
      <c r="N104" t="s">
        <v>3</v>
      </c>
      <c r="O104">
        <v>2</v>
      </c>
      <c r="W104">
        <v>9923.19</v>
      </c>
      <c r="X104">
        <v>1</v>
      </c>
      <c r="Y104">
        <v>9923.19</v>
      </c>
    </row>
    <row r="105" spans="1:206" x14ac:dyDescent="0.2">
      <c r="A105">
        <v>50</v>
      </c>
      <c r="B105">
        <v>0</v>
      </c>
      <c r="C105">
        <v>0</v>
      </c>
      <c r="D105">
        <v>1</v>
      </c>
      <c r="E105">
        <v>224</v>
      </c>
      <c r="F105">
        <f>ROUND(Source!AR77,O105)</f>
        <v>175050.17</v>
      </c>
      <c r="G105" t="s">
        <v>195</v>
      </c>
      <c r="H105" t="s">
        <v>196</v>
      </c>
      <c r="K105">
        <v>224</v>
      </c>
      <c r="L105">
        <v>27</v>
      </c>
      <c r="M105">
        <v>3</v>
      </c>
      <c r="N105" t="s">
        <v>3</v>
      </c>
      <c r="O105">
        <v>2</v>
      </c>
      <c r="W105">
        <v>175050.17</v>
      </c>
      <c r="X105">
        <v>1</v>
      </c>
      <c r="Y105">
        <v>175050.17</v>
      </c>
    </row>
    <row r="106" spans="1:206" x14ac:dyDescent="0.2">
      <c r="A106">
        <v>50</v>
      </c>
      <c r="B106">
        <v>1</v>
      </c>
      <c r="C106">
        <v>0</v>
      </c>
      <c r="D106">
        <v>2</v>
      </c>
      <c r="E106">
        <v>0</v>
      </c>
      <c r="F106">
        <f>ROUND(F105,O106)</f>
        <v>175050.17</v>
      </c>
      <c r="G106" t="s">
        <v>197</v>
      </c>
      <c r="H106" t="s">
        <v>198</v>
      </c>
      <c r="K106">
        <v>212</v>
      </c>
      <c r="L106">
        <v>28</v>
      </c>
      <c r="M106">
        <v>0</v>
      </c>
      <c r="N106" t="s">
        <v>3</v>
      </c>
      <c r="O106">
        <v>2</v>
      </c>
      <c r="W106">
        <v>175050.17</v>
      </c>
      <c r="X106">
        <v>1</v>
      </c>
      <c r="Y106">
        <v>175050.17</v>
      </c>
    </row>
    <row r="107" spans="1:206" x14ac:dyDescent="0.2">
      <c r="A107">
        <v>50</v>
      </c>
      <c r="B107">
        <v>1</v>
      </c>
      <c r="C107">
        <v>0</v>
      </c>
      <c r="D107">
        <v>2</v>
      </c>
      <c r="E107">
        <v>0</v>
      </c>
      <c r="F107">
        <f>ROUND(F106*0.22,O107)</f>
        <v>38511.040000000001</v>
      </c>
      <c r="G107" t="s">
        <v>199</v>
      </c>
      <c r="H107" t="s">
        <v>200</v>
      </c>
      <c r="K107">
        <v>212</v>
      </c>
      <c r="L107">
        <v>29</v>
      </c>
      <c r="M107">
        <v>0</v>
      </c>
      <c r="N107" t="s">
        <v>3</v>
      </c>
      <c r="O107">
        <v>2</v>
      </c>
      <c r="W107">
        <v>38511.040000000001</v>
      </c>
      <c r="X107">
        <v>1</v>
      </c>
      <c r="Y107">
        <v>38511.040000000001</v>
      </c>
    </row>
    <row r="108" spans="1:206" x14ac:dyDescent="0.2">
      <c r="A108">
        <v>50</v>
      </c>
      <c r="B108">
        <v>1</v>
      </c>
      <c r="C108">
        <v>0</v>
      </c>
      <c r="D108">
        <v>2</v>
      </c>
      <c r="E108">
        <v>213</v>
      </c>
      <c r="F108">
        <f>ROUND(F106+F107,O108)</f>
        <v>213561.21</v>
      </c>
      <c r="G108" t="s">
        <v>201</v>
      </c>
      <c r="H108" t="s">
        <v>195</v>
      </c>
      <c r="K108">
        <v>212</v>
      </c>
      <c r="L108">
        <v>30</v>
      </c>
      <c r="M108">
        <v>0</v>
      </c>
      <c r="N108" t="s">
        <v>3</v>
      </c>
      <c r="O108">
        <v>2</v>
      </c>
      <c r="W108">
        <v>213561.21</v>
      </c>
      <c r="X108">
        <v>1</v>
      </c>
      <c r="Y108">
        <v>213561.21</v>
      </c>
    </row>
    <row r="110" spans="1:206" x14ac:dyDescent="0.2">
      <c r="A110">
        <v>51</v>
      </c>
      <c r="B110">
        <f>B12</f>
        <v>176</v>
      </c>
      <c r="C110">
        <f>A12</f>
        <v>1</v>
      </c>
      <c r="D110">
        <f>ROW(A12)</f>
        <v>12</v>
      </c>
      <c r="F110" t="str">
        <f>IF(F12&lt;&gt;"",F12,"")</f>
        <v>Новый объект</v>
      </c>
      <c r="G110" t="str">
        <f>IF(G12&lt;&gt;"",G12,"")</f>
        <v>Проведение противоаварийных и (или) консервационных мероприятий по сохранению венчающего карниза под окном, выходящим на улицу Россолимо, помещения №1 мансарды</v>
      </c>
      <c r="H110">
        <v>0</v>
      </c>
      <c r="O110">
        <f t="shared" ref="O110:T110" si="47">ROUND(O77,2)</f>
        <v>147171.34</v>
      </c>
      <c r="P110">
        <f t="shared" si="47"/>
        <v>16188.8</v>
      </c>
      <c r="Q110">
        <f t="shared" si="47"/>
        <v>113263.77</v>
      </c>
      <c r="R110">
        <f t="shared" si="47"/>
        <v>116.53</v>
      </c>
      <c r="S110">
        <f t="shared" si="47"/>
        <v>17602.240000000002</v>
      </c>
      <c r="T110">
        <f t="shared" si="47"/>
        <v>0</v>
      </c>
      <c r="U110">
        <f>U77</f>
        <v>27.805955000000001</v>
      </c>
      <c r="V110">
        <f>V77</f>
        <v>0.16423980000000002</v>
      </c>
      <c r="W110">
        <f>ROUND(W77,2)</f>
        <v>0</v>
      </c>
      <c r="X110">
        <f>ROUND(X77,2)</f>
        <v>17955.64</v>
      </c>
      <c r="Y110">
        <f>ROUND(Y77,2)</f>
        <v>9923.19</v>
      </c>
      <c r="AO110">
        <f t="shared" ref="AO110:BD110" si="48">ROUND(AO77,2)</f>
        <v>0</v>
      </c>
      <c r="AP110">
        <f t="shared" si="48"/>
        <v>0</v>
      </c>
      <c r="AQ110">
        <f t="shared" si="48"/>
        <v>0</v>
      </c>
      <c r="AR110">
        <f t="shared" si="48"/>
        <v>175050.17</v>
      </c>
      <c r="AS110">
        <f t="shared" si="48"/>
        <v>175050.17</v>
      </c>
      <c r="AT110">
        <f t="shared" si="48"/>
        <v>0</v>
      </c>
      <c r="AU110">
        <f t="shared" si="48"/>
        <v>0</v>
      </c>
      <c r="AV110">
        <f t="shared" si="48"/>
        <v>16188.8</v>
      </c>
      <c r="AW110">
        <f t="shared" si="48"/>
        <v>16188.8</v>
      </c>
      <c r="AX110">
        <f t="shared" si="48"/>
        <v>0</v>
      </c>
      <c r="AY110">
        <f t="shared" si="48"/>
        <v>16188.8</v>
      </c>
      <c r="AZ110">
        <f t="shared" si="48"/>
        <v>0</v>
      </c>
      <c r="BA110">
        <f t="shared" si="48"/>
        <v>0</v>
      </c>
      <c r="BB110">
        <f t="shared" si="48"/>
        <v>0</v>
      </c>
      <c r="BC110">
        <f t="shared" si="48"/>
        <v>0</v>
      </c>
      <c r="BD110">
        <f t="shared" si="48"/>
        <v>0</v>
      </c>
      <c r="GX110">
        <v>0</v>
      </c>
    </row>
    <row r="112" spans="1:206" x14ac:dyDescent="0.2">
      <c r="A112">
        <v>50</v>
      </c>
      <c r="B112">
        <v>0</v>
      </c>
      <c r="C112">
        <v>0</v>
      </c>
      <c r="D112">
        <v>1</v>
      </c>
      <c r="E112">
        <v>201</v>
      </c>
      <c r="F112">
        <f>ROUND(Source!O110,O112)</f>
        <v>147171.34</v>
      </c>
      <c r="G112" t="s">
        <v>143</v>
      </c>
      <c r="H112" t="s">
        <v>144</v>
      </c>
      <c r="K112">
        <v>201</v>
      </c>
      <c r="L112">
        <v>1</v>
      </c>
      <c r="M112">
        <v>3</v>
      </c>
      <c r="N112" t="s">
        <v>3</v>
      </c>
      <c r="O112">
        <v>2</v>
      </c>
      <c r="W112">
        <v>147171.34</v>
      </c>
      <c r="X112">
        <v>1</v>
      </c>
      <c r="Y112">
        <v>147171.34</v>
      </c>
    </row>
    <row r="113" spans="1:25" x14ac:dyDescent="0.2">
      <c r="A113">
        <v>50</v>
      </c>
      <c r="B113">
        <v>0</v>
      </c>
      <c r="C113">
        <v>0</v>
      </c>
      <c r="D113">
        <v>1</v>
      </c>
      <c r="E113">
        <v>202</v>
      </c>
      <c r="F113">
        <f>ROUND(Source!P110,O113)</f>
        <v>16188.8</v>
      </c>
      <c r="G113" t="s">
        <v>145</v>
      </c>
      <c r="H113" t="s">
        <v>146</v>
      </c>
      <c r="K113">
        <v>202</v>
      </c>
      <c r="L113">
        <v>2</v>
      </c>
      <c r="M113">
        <v>3</v>
      </c>
      <c r="N113" t="s">
        <v>3</v>
      </c>
      <c r="O113">
        <v>2</v>
      </c>
      <c r="W113">
        <v>16188.8</v>
      </c>
      <c r="X113">
        <v>1</v>
      </c>
      <c r="Y113">
        <v>16188.8</v>
      </c>
    </row>
    <row r="114" spans="1:25" x14ac:dyDescent="0.2">
      <c r="A114">
        <v>50</v>
      </c>
      <c r="B114">
        <v>0</v>
      </c>
      <c r="C114">
        <v>0</v>
      </c>
      <c r="D114">
        <v>1</v>
      </c>
      <c r="E114">
        <v>222</v>
      </c>
      <c r="F114">
        <f>ROUND(Source!AO110,O114)</f>
        <v>0</v>
      </c>
      <c r="G114" t="s">
        <v>147</v>
      </c>
      <c r="H114" t="s">
        <v>148</v>
      </c>
      <c r="K114">
        <v>222</v>
      </c>
      <c r="L114">
        <v>3</v>
      </c>
      <c r="M114">
        <v>3</v>
      </c>
      <c r="N114" t="s">
        <v>3</v>
      </c>
      <c r="O114">
        <v>2</v>
      </c>
      <c r="W114">
        <v>0</v>
      </c>
      <c r="X114">
        <v>1</v>
      </c>
      <c r="Y114">
        <v>0</v>
      </c>
    </row>
    <row r="115" spans="1:25" x14ac:dyDescent="0.2">
      <c r="A115">
        <v>50</v>
      </c>
      <c r="B115">
        <v>0</v>
      </c>
      <c r="C115">
        <v>0</v>
      </c>
      <c r="D115">
        <v>1</v>
      </c>
      <c r="E115">
        <v>225</v>
      </c>
      <c r="F115">
        <f>ROUND(Source!AV110,O115)</f>
        <v>16188.8</v>
      </c>
      <c r="G115" t="s">
        <v>149</v>
      </c>
      <c r="H115" t="s">
        <v>150</v>
      </c>
      <c r="K115">
        <v>225</v>
      </c>
      <c r="L115">
        <v>4</v>
      </c>
      <c r="M115">
        <v>3</v>
      </c>
      <c r="N115" t="s">
        <v>3</v>
      </c>
      <c r="O115">
        <v>2</v>
      </c>
      <c r="W115">
        <v>16188.8</v>
      </c>
      <c r="X115">
        <v>1</v>
      </c>
      <c r="Y115">
        <v>16188.8</v>
      </c>
    </row>
    <row r="116" spans="1:25" x14ac:dyDescent="0.2">
      <c r="A116">
        <v>50</v>
      </c>
      <c r="B116">
        <v>0</v>
      </c>
      <c r="C116">
        <v>0</v>
      </c>
      <c r="D116">
        <v>1</v>
      </c>
      <c r="E116">
        <v>226</v>
      </c>
      <c r="F116">
        <f>ROUND(Source!AW110,O116)</f>
        <v>16188.8</v>
      </c>
      <c r="G116" t="s">
        <v>151</v>
      </c>
      <c r="H116" t="s">
        <v>152</v>
      </c>
      <c r="K116">
        <v>226</v>
      </c>
      <c r="L116">
        <v>5</v>
      </c>
      <c r="M116">
        <v>3</v>
      </c>
      <c r="N116" t="s">
        <v>3</v>
      </c>
      <c r="O116">
        <v>2</v>
      </c>
      <c r="W116">
        <v>16188.8</v>
      </c>
      <c r="X116">
        <v>1</v>
      </c>
      <c r="Y116">
        <v>16188.8</v>
      </c>
    </row>
    <row r="117" spans="1:25" x14ac:dyDescent="0.2">
      <c r="A117">
        <v>50</v>
      </c>
      <c r="B117">
        <v>0</v>
      </c>
      <c r="C117">
        <v>0</v>
      </c>
      <c r="D117">
        <v>1</v>
      </c>
      <c r="E117">
        <v>227</v>
      </c>
      <c r="F117">
        <f>ROUND(Source!AX110,O117)</f>
        <v>0</v>
      </c>
      <c r="G117" t="s">
        <v>153</v>
      </c>
      <c r="H117" t="s">
        <v>154</v>
      </c>
      <c r="K117">
        <v>227</v>
      </c>
      <c r="L117">
        <v>6</v>
      </c>
      <c r="M117">
        <v>3</v>
      </c>
      <c r="N117" t="s">
        <v>3</v>
      </c>
      <c r="O117">
        <v>2</v>
      </c>
      <c r="W117">
        <v>0</v>
      </c>
      <c r="X117">
        <v>1</v>
      </c>
      <c r="Y117">
        <v>0</v>
      </c>
    </row>
    <row r="118" spans="1:25" x14ac:dyDescent="0.2">
      <c r="A118">
        <v>50</v>
      </c>
      <c r="B118">
        <v>0</v>
      </c>
      <c r="C118">
        <v>0</v>
      </c>
      <c r="D118">
        <v>1</v>
      </c>
      <c r="E118">
        <v>228</v>
      </c>
      <c r="F118">
        <f>ROUND(Source!AY110,O118)</f>
        <v>16188.8</v>
      </c>
      <c r="G118" t="s">
        <v>155</v>
      </c>
      <c r="H118" t="s">
        <v>156</v>
      </c>
      <c r="K118">
        <v>228</v>
      </c>
      <c r="L118">
        <v>7</v>
      </c>
      <c r="M118">
        <v>3</v>
      </c>
      <c r="N118" t="s">
        <v>3</v>
      </c>
      <c r="O118">
        <v>2</v>
      </c>
      <c r="W118">
        <v>16188.8</v>
      </c>
      <c r="X118">
        <v>1</v>
      </c>
      <c r="Y118">
        <v>16188.8</v>
      </c>
    </row>
    <row r="119" spans="1:25" x14ac:dyDescent="0.2">
      <c r="A119">
        <v>50</v>
      </c>
      <c r="B119">
        <v>0</v>
      </c>
      <c r="C119">
        <v>0</v>
      </c>
      <c r="D119">
        <v>1</v>
      </c>
      <c r="E119">
        <v>216</v>
      </c>
      <c r="F119">
        <f>ROUND(Source!AP110,O119)</f>
        <v>0</v>
      </c>
      <c r="G119" t="s">
        <v>157</v>
      </c>
      <c r="H119" t="s">
        <v>158</v>
      </c>
      <c r="K119">
        <v>216</v>
      </c>
      <c r="L119">
        <v>8</v>
      </c>
      <c r="M119">
        <v>3</v>
      </c>
      <c r="N119" t="s">
        <v>3</v>
      </c>
      <c r="O119">
        <v>2</v>
      </c>
      <c r="W119">
        <v>0</v>
      </c>
      <c r="X119">
        <v>1</v>
      </c>
      <c r="Y119">
        <v>0</v>
      </c>
    </row>
    <row r="120" spans="1:25" x14ac:dyDescent="0.2">
      <c r="A120">
        <v>50</v>
      </c>
      <c r="B120">
        <v>0</v>
      </c>
      <c r="C120">
        <v>0</v>
      </c>
      <c r="D120">
        <v>1</v>
      </c>
      <c r="E120">
        <v>223</v>
      </c>
      <c r="F120">
        <f>ROUND(Source!AQ110,O120)</f>
        <v>0</v>
      </c>
      <c r="G120" t="s">
        <v>159</v>
      </c>
      <c r="H120" t="s">
        <v>160</v>
      </c>
      <c r="K120">
        <v>223</v>
      </c>
      <c r="L120">
        <v>9</v>
      </c>
      <c r="M120">
        <v>3</v>
      </c>
      <c r="N120" t="s">
        <v>3</v>
      </c>
      <c r="O120">
        <v>2</v>
      </c>
      <c r="W120">
        <v>0</v>
      </c>
      <c r="X120">
        <v>1</v>
      </c>
      <c r="Y120">
        <v>0</v>
      </c>
    </row>
    <row r="121" spans="1:25" x14ac:dyDescent="0.2">
      <c r="A121">
        <v>50</v>
      </c>
      <c r="B121">
        <v>0</v>
      </c>
      <c r="C121">
        <v>0</v>
      </c>
      <c r="D121">
        <v>1</v>
      </c>
      <c r="E121">
        <v>229</v>
      </c>
      <c r="F121">
        <f>ROUND(Source!AZ110,O121)</f>
        <v>0</v>
      </c>
      <c r="G121" t="s">
        <v>161</v>
      </c>
      <c r="H121" t="s">
        <v>162</v>
      </c>
      <c r="K121">
        <v>229</v>
      </c>
      <c r="L121">
        <v>10</v>
      </c>
      <c r="M121">
        <v>3</v>
      </c>
      <c r="N121" t="s">
        <v>3</v>
      </c>
      <c r="O121">
        <v>2</v>
      </c>
      <c r="W121">
        <v>0</v>
      </c>
      <c r="X121">
        <v>1</v>
      </c>
      <c r="Y121">
        <v>0</v>
      </c>
    </row>
    <row r="122" spans="1:25" x14ac:dyDescent="0.2">
      <c r="A122">
        <v>50</v>
      </c>
      <c r="B122">
        <v>0</v>
      </c>
      <c r="C122">
        <v>0</v>
      </c>
      <c r="D122">
        <v>1</v>
      </c>
      <c r="E122">
        <v>203</v>
      </c>
      <c r="F122">
        <f>ROUND(Source!Q110,O122)</f>
        <v>113263.77</v>
      </c>
      <c r="G122" t="s">
        <v>163</v>
      </c>
      <c r="H122" t="s">
        <v>164</v>
      </c>
      <c r="K122">
        <v>203</v>
      </c>
      <c r="L122">
        <v>11</v>
      </c>
      <c r="M122">
        <v>3</v>
      </c>
      <c r="N122" t="s">
        <v>3</v>
      </c>
      <c r="O122">
        <v>2</v>
      </c>
      <c r="W122">
        <v>113263.77</v>
      </c>
      <c r="X122">
        <v>1</v>
      </c>
      <c r="Y122">
        <v>113263.77</v>
      </c>
    </row>
    <row r="123" spans="1:25" x14ac:dyDescent="0.2">
      <c r="A123">
        <v>50</v>
      </c>
      <c r="B123">
        <v>0</v>
      </c>
      <c r="C123">
        <v>0</v>
      </c>
      <c r="D123">
        <v>1</v>
      </c>
      <c r="E123">
        <v>231</v>
      </c>
      <c r="F123">
        <f>ROUND(Source!BB110,O123)</f>
        <v>0</v>
      </c>
      <c r="G123" t="s">
        <v>165</v>
      </c>
      <c r="H123" t="s">
        <v>166</v>
      </c>
      <c r="K123">
        <v>231</v>
      </c>
      <c r="L123">
        <v>12</v>
      </c>
      <c r="M123">
        <v>3</v>
      </c>
      <c r="N123" t="s">
        <v>3</v>
      </c>
      <c r="O123">
        <v>2</v>
      </c>
      <c r="W123">
        <v>0</v>
      </c>
      <c r="X123">
        <v>1</v>
      </c>
      <c r="Y123">
        <v>0</v>
      </c>
    </row>
    <row r="124" spans="1:25" x14ac:dyDescent="0.2">
      <c r="A124">
        <v>50</v>
      </c>
      <c r="B124">
        <v>0</v>
      </c>
      <c r="C124">
        <v>0</v>
      </c>
      <c r="D124">
        <v>1</v>
      </c>
      <c r="E124">
        <v>204</v>
      </c>
      <c r="F124">
        <f>ROUND(Source!R110,O124)</f>
        <v>116.53</v>
      </c>
      <c r="G124" t="s">
        <v>167</v>
      </c>
      <c r="H124" t="s">
        <v>168</v>
      </c>
      <c r="K124">
        <v>204</v>
      </c>
      <c r="L124">
        <v>13</v>
      </c>
      <c r="M124">
        <v>3</v>
      </c>
      <c r="N124" t="s">
        <v>3</v>
      </c>
      <c r="O124">
        <v>2</v>
      </c>
      <c r="W124">
        <v>116.52999999999999</v>
      </c>
      <c r="X124">
        <v>1</v>
      </c>
      <c r="Y124">
        <v>116.52999999999999</v>
      </c>
    </row>
    <row r="125" spans="1:25" x14ac:dyDescent="0.2">
      <c r="A125">
        <v>50</v>
      </c>
      <c r="B125">
        <v>0</v>
      </c>
      <c r="C125">
        <v>0</v>
      </c>
      <c r="D125">
        <v>1</v>
      </c>
      <c r="E125">
        <v>205</v>
      </c>
      <c r="F125">
        <f>ROUND(Source!S110,O125)</f>
        <v>17602.240000000002</v>
      </c>
      <c r="G125" t="s">
        <v>169</v>
      </c>
      <c r="H125" t="s">
        <v>170</v>
      </c>
      <c r="K125">
        <v>205</v>
      </c>
      <c r="L125">
        <v>14</v>
      </c>
      <c r="M125">
        <v>3</v>
      </c>
      <c r="N125" t="s">
        <v>3</v>
      </c>
      <c r="O125">
        <v>2</v>
      </c>
      <c r="W125">
        <v>17602.239999999998</v>
      </c>
      <c r="X125">
        <v>1</v>
      </c>
      <c r="Y125">
        <v>17602.239999999998</v>
      </c>
    </row>
    <row r="126" spans="1:25" x14ac:dyDescent="0.2">
      <c r="A126">
        <v>50</v>
      </c>
      <c r="B126">
        <v>0</v>
      </c>
      <c r="C126">
        <v>0</v>
      </c>
      <c r="D126">
        <v>1</v>
      </c>
      <c r="E126">
        <v>232</v>
      </c>
      <c r="F126">
        <f>ROUND(Source!BC110,O126)</f>
        <v>0</v>
      </c>
      <c r="G126" t="s">
        <v>171</v>
      </c>
      <c r="H126" t="s">
        <v>172</v>
      </c>
      <c r="K126">
        <v>232</v>
      </c>
      <c r="L126">
        <v>15</v>
      </c>
      <c r="M126">
        <v>3</v>
      </c>
      <c r="N126" t="s">
        <v>3</v>
      </c>
      <c r="O126">
        <v>2</v>
      </c>
      <c r="W126">
        <v>0</v>
      </c>
      <c r="X126">
        <v>1</v>
      </c>
      <c r="Y126">
        <v>0</v>
      </c>
    </row>
    <row r="127" spans="1:25" x14ac:dyDescent="0.2">
      <c r="A127">
        <v>50</v>
      </c>
      <c r="B127">
        <v>0</v>
      </c>
      <c r="C127">
        <v>0</v>
      </c>
      <c r="D127">
        <v>1</v>
      </c>
      <c r="E127">
        <v>214</v>
      </c>
      <c r="F127">
        <f>ROUND(Source!AS110,O127)</f>
        <v>175050.17</v>
      </c>
      <c r="G127" t="s">
        <v>173</v>
      </c>
      <c r="H127" t="s">
        <v>174</v>
      </c>
      <c r="K127">
        <v>214</v>
      </c>
      <c r="L127">
        <v>16</v>
      </c>
      <c r="M127">
        <v>3</v>
      </c>
      <c r="N127" t="s">
        <v>3</v>
      </c>
      <c r="O127">
        <v>2</v>
      </c>
      <c r="W127">
        <v>175050.17</v>
      </c>
      <c r="X127">
        <v>1</v>
      </c>
      <c r="Y127">
        <v>175050.17</v>
      </c>
    </row>
    <row r="128" spans="1:25" x14ac:dyDescent="0.2">
      <c r="A128">
        <v>50</v>
      </c>
      <c r="B128">
        <v>0</v>
      </c>
      <c r="C128">
        <v>0</v>
      </c>
      <c r="D128">
        <v>1</v>
      </c>
      <c r="E128">
        <v>215</v>
      </c>
      <c r="F128">
        <f>ROUND(Source!AT110,O128)</f>
        <v>0</v>
      </c>
      <c r="G128" t="s">
        <v>175</v>
      </c>
      <c r="H128" t="s">
        <v>176</v>
      </c>
      <c r="K128">
        <v>215</v>
      </c>
      <c r="L128">
        <v>17</v>
      </c>
      <c r="M128">
        <v>3</v>
      </c>
      <c r="N128" t="s">
        <v>3</v>
      </c>
      <c r="O128">
        <v>2</v>
      </c>
      <c r="W128">
        <v>0</v>
      </c>
      <c r="X128">
        <v>1</v>
      </c>
      <c r="Y128">
        <v>0</v>
      </c>
    </row>
    <row r="129" spans="1:25" x14ac:dyDescent="0.2">
      <c r="A129">
        <v>50</v>
      </c>
      <c r="B129">
        <v>0</v>
      </c>
      <c r="C129">
        <v>0</v>
      </c>
      <c r="D129">
        <v>1</v>
      </c>
      <c r="E129">
        <v>217</v>
      </c>
      <c r="F129">
        <f>ROUND(Source!AU110,O129)</f>
        <v>0</v>
      </c>
      <c r="G129" t="s">
        <v>177</v>
      </c>
      <c r="H129" t="s">
        <v>178</v>
      </c>
      <c r="K129">
        <v>217</v>
      </c>
      <c r="L129">
        <v>18</v>
      </c>
      <c r="M129">
        <v>3</v>
      </c>
      <c r="N129" t="s">
        <v>3</v>
      </c>
      <c r="O129">
        <v>2</v>
      </c>
      <c r="W129">
        <v>0</v>
      </c>
      <c r="X129">
        <v>1</v>
      </c>
      <c r="Y129">
        <v>0</v>
      </c>
    </row>
    <row r="130" spans="1:25" x14ac:dyDescent="0.2">
      <c r="A130">
        <v>50</v>
      </c>
      <c r="B130">
        <v>0</v>
      </c>
      <c r="C130">
        <v>0</v>
      </c>
      <c r="D130">
        <v>1</v>
      </c>
      <c r="E130">
        <v>230</v>
      </c>
      <c r="F130">
        <f>ROUND(Source!BA110,O130)</f>
        <v>0</v>
      </c>
      <c r="G130" t="s">
        <v>179</v>
      </c>
      <c r="H130" t="s">
        <v>180</v>
      </c>
      <c r="K130">
        <v>230</v>
      </c>
      <c r="L130">
        <v>19</v>
      </c>
      <c r="M130">
        <v>3</v>
      </c>
      <c r="N130" t="s">
        <v>3</v>
      </c>
      <c r="O130">
        <v>2</v>
      </c>
      <c r="W130">
        <v>0</v>
      </c>
      <c r="X130">
        <v>1</v>
      </c>
      <c r="Y130">
        <v>0</v>
      </c>
    </row>
    <row r="131" spans="1:25" x14ac:dyDescent="0.2">
      <c r="A131">
        <v>50</v>
      </c>
      <c r="B131">
        <v>0</v>
      </c>
      <c r="C131">
        <v>0</v>
      </c>
      <c r="D131">
        <v>1</v>
      </c>
      <c r="E131">
        <v>206</v>
      </c>
      <c r="F131">
        <f>ROUND(Source!T110,O131)</f>
        <v>0</v>
      </c>
      <c r="G131" t="s">
        <v>181</v>
      </c>
      <c r="H131" t="s">
        <v>182</v>
      </c>
      <c r="K131">
        <v>206</v>
      </c>
      <c r="L131">
        <v>20</v>
      </c>
      <c r="M131">
        <v>3</v>
      </c>
      <c r="N131" t="s">
        <v>3</v>
      </c>
      <c r="O131">
        <v>2</v>
      </c>
      <c r="W131">
        <v>0</v>
      </c>
      <c r="X131">
        <v>1</v>
      </c>
      <c r="Y131">
        <v>0</v>
      </c>
    </row>
    <row r="132" spans="1:25" x14ac:dyDescent="0.2">
      <c r="A132">
        <v>50</v>
      </c>
      <c r="B132">
        <v>0</v>
      </c>
      <c r="C132">
        <v>0</v>
      </c>
      <c r="D132">
        <v>1</v>
      </c>
      <c r="E132">
        <v>207</v>
      </c>
      <c r="F132">
        <f>ROUND(Source!U110,O132)</f>
        <v>27.805955000000001</v>
      </c>
      <c r="G132" t="s">
        <v>183</v>
      </c>
      <c r="H132" t="s">
        <v>184</v>
      </c>
      <c r="K132">
        <v>207</v>
      </c>
      <c r="L132">
        <v>21</v>
      </c>
      <c r="M132">
        <v>3</v>
      </c>
      <c r="N132" t="s">
        <v>3</v>
      </c>
      <c r="O132">
        <v>7</v>
      </c>
      <c r="W132">
        <v>27.805955000000001</v>
      </c>
      <c r="X132">
        <v>1</v>
      </c>
      <c r="Y132">
        <v>27.805955000000001</v>
      </c>
    </row>
    <row r="133" spans="1:25" x14ac:dyDescent="0.2">
      <c r="A133">
        <v>50</v>
      </c>
      <c r="B133">
        <v>0</v>
      </c>
      <c r="C133">
        <v>0</v>
      </c>
      <c r="D133">
        <v>1</v>
      </c>
      <c r="E133">
        <v>208</v>
      </c>
      <c r="F133">
        <f>ROUND(Source!V110,O133)</f>
        <v>0.16423979999999999</v>
      </c>
      <c r="G133" t="s">
        <v>185</v>
      </c>
      <c r="H133" t="s">
        <v>186</v>
      </c>
      <c r="K133">
        <v>208</v>
      </c>
      <c r="L133">
        <v>22</v>
      </c>
      <c r="M133">
        <v>3</v>
      </c>
      <c r="N133" t="s">
        <v>3</v>
      </c>
      <c r="O133">
        <v>7</v>
      </c>
      <c r="W133">
        <v>0.16423979999999999</v>
      </c>
      <c r="X133">
        <v>1</v>
      </c>
      <c r="Y133">
        <v>0.16423979999999999</v>
      </c>
    </row>
    <row r="134" spans="1:25" x14ac:dyDescent="0.2">
      <c r="A134">
        <v>50</v>
      </c>
      <c r="B134">
        <v>0</v>
      </c>
      <c r="C134">
        <v>0</v>
      </c>
      <c r="D134">
        <v>1</v>
      </c>
      <c r="E134">
        <v>209</v>
      </c>
      <c r="F134">
        <f>ROUND(Source!W110,O134)</f>
        <v>0</v>
      </c>
      <c r="G134" t="s">
        <v>187</v>
      </c>
      <c r="H134" t="s">
        <v>188</v>
      </c>
      <c r="K134">
        <v>209</v>
      </c>
      <c r="L134">
        <v>23</v>
      </c>
      <c r="M134">
        <v>3</v>
      </c>
      <c r="N134" t="s">
        <v>3</v>
      </c>
      <c r="O134">
        <v>2</v>
      </c>
      <c r="W134">
        <v>0</v>
      </c>
      <c r="X134">
        <v>1</v>
      </c>
      <c r="Y134">
        <v>0</v>
      </c>
    </row>
    <row r="135" spans="1:25" x14ac:dyDescent="0.2">
      <c r="A135">
        <v>50</v>
      </c>
      <c r="B135">
        <v>0</v>
      </c>
      <c r="C135">
        <v>0</v>
      </c>
      <c r="D135">
        <v>1</v>
      </c>
      <c r="E135">
        <v>233</v>
      </c>
      <c r="F135">
        <f>ROUND(Source!BD110,O135)</f>
        <v>0</v>
      </c>
      <c r="G135" t="s">
        <v>189</v>
      </c>
      <c r="H135" t="s">
        <v>190</v>
      </c>
      <c r="K135">
        <v>233</v>
      </c>
      <c r="L135">
        <v>24</v>
      </c>
      <c r="M135">
        <v>3</v>
      </c>
      <c r="N135" t="s">
        <v>3</v>
      </c>
      <c r="O135">
        <v>2</v>
      </c>
      <c r="W135">
        <v>0</v>
      </c>
      <c r="X135">
        <v>1</v>
      </c>
      <c r="Y135">
        <v>0</v>
      </c>
    </row>
    <row r="136" spans="1:25" x14ac:dyDescent="0.2">
      <c r="A136">
        <v>50</v>
      </c>
      <c r="B136">
        <v>0</v>
      </c>
      <c r="C136">
        <v>0</v>
      </c>
      <c r="D136">
        <v>1</v>
      </c>
      <c r="E136">
        <v>210</v>
      </c>
      <c r="F136">
        <f>ROUND(Source!X110,O136)</f>
        <v>17955.64</v>
      </c>
      <c r="G136" t="s">
        <v>191</v>
      </c>
      <c r="H136" t="s">
        <v>192</v>
      </c>
      <c r="K136">
        <v>210</v>
      </c>
      <c r="L136">
        <v>25</v>
      </c>
      <c r="M136">
        <v>3</v>
      </c>
      <c r="N136" t="s">
        <v>3</v>
      </c>
      <c r="O136">
        <v>2</v>
      </c>
      <c r="W136">
        <v>17955.64</v>
      </c>
      <c r="X136">
        <v>1</v>
      </c>
      <c r="Y136">
        <v>17955.64</v>
      </c>
    </row>
    <row r="137" spans="1:25" x14ac:dyDescent="0.2">
      <c r="A137">
        <v>50</v>
      </c>
      <c r="B137">
        <v>0</v>
      </c>
      <c r="C137">
        <v>0</v>
      </c>
      <c r="D137">
        <v>1</v>
      </c>
      <c r="E137">
        <v>211</v>
      </c>
      <c r="F137">
        <f>ROUND(Source!Y110,O137)</f>
        <v>9923.19</v>
      </c>
      <c r="G137" t="s">
        <v>193</v>
      </c>
      <c r="H137" t="s">
        <v>194</v>
      </c>
      <c r="K137">
        <v>211</v>
      </c>
      <c r="L137">
        <v>26</v>
      </c>
      <c r="M137">
        <v>3</v>
      </c>
      <c r="N137" t="s">
        <v>3</v>
      </c>
      <c r="O137">
        <v>2</v>
      </c>
      <c r="W137">
        <v>9923.19</v>
      </c>
      <c r="X137">
        <v>1</v>
      </c>
      <c r="Y137">
        <v>9923.19</v>
      </c>
    </row>
    <row r="138" spans="1:25" x14ac:dyDescent="0.2">
      <c r="A138">
        <v>50</v>
      </c>
      <c r="B138">
        <v>0</v>
      </c>
      <c r="C138">
        <v>0</v>
      </c>
      <c r="D138">
        <v>1</v>
      </c>
      <c r="E138">
        <v>224</v>
      </c>
      <c r="F138">
        <f>ROUND(Source!AR110,O138)</f>
        <v>175050.17</v>
      </c>
      <c r="G138" t="s">
        <v>195</v>
      </c>
      <c r="H138" t="s">
        <v>196</v>
      </c>
      <c r="K138">
        <v>224</v>
      </c>
      <c r="L138">
        <v>27</v>
      </c>
      <c r="M138">
        <v>3</v>
      </c>
      <c r="N138" t="s">
        <v>3</v>
      </c>
      <c r="O138">
        <v>2</v>
      </c>
      <c r="W138">
        <v>175050.17</v>
      </c>
      <c r="X138">
        <v>1</v>
      </c>
      <c r="Y138">
        <v>175050.17</v>
      </c>
    </row>
    <row r="139" spans="1:25" x14ac:dyDescent="0.2">
      <c r="A139">
        <v>50</v>
      </c>
      <c r="B139">
        <v>1</v>
      </c>
      <c r="C139">
        <v>0</v>
      </c>
      <c r="D139">
        <v>2</v>
      </c>
      <c r="E139">
        <v>0</v>
      </c>
      <c r="F139">
        <f>ROUND(F138,O139)</f>
        <v>175050.17</v>
      </c>
      <c r="G139" t="s">
        <v>197</v>
      </c>
      <c r="H139" t="s">
        <v>198</v>
      </c>
      <c r="K139">
        <v>212</v>
      </c>
      <c r="L139">
        <v>28</v>
      </c>
      <c r="M139">
        <v>0</v>
      </c>
      <c r="N139" t="s">
        <v>3</v>
      </c>
      <c r="O139">
        <v>2</v>
      </c>
      <c r="W139">
        <v>175050.17</v>
      </c>
      <c r="X139">
        <v>1</v>
      </c>
      <c r="Y139">
        <v>175050.17</v>
      </c>
    </row>
    <row r="140" spans="1:25" x14ac:dyDescent="0.2">
      <c r="A140">
        <v>50</v>
      </c>
      <c r="B140">
        <v>1</v>
      </c>
      <c r="C140">
        <v>0</v>
      </c>
      <c r="D140">
        <v>2</v>
      </c>
      <c r="E140">
        <v>0</v>
      </c>
      <c r="F140">
        <f>ROUND(F139*0.22,O140)</f>
        <v>38511.040000000001</v>
      </c>
      <c r="G140" t="s">
        <v>199</v>
      </c>
      <c r="H140" t="s">
        <v>200</v>
      </c>
      <c r="K140">
        <v>212</v>
      </c>
      <c r="L140">
        <v>29</v>
      </c>
      <c r="M140">
        <v>0</v>
      </c>
      <c r="N140" t="s">
        <v>3</v>
      </c>
      <c r="O140">
        <v>2</v>
      </c>
      <c r="W140">
        <v>38511.040000000001</v>
      </c>
      <c r="X140">
        <v>1</v>
      </c>
      <c r="Y140">
        <v>38511.040000000001</v>
      </c>
    </row>
    <row r="141" spans="1:25" x14ac:dyDescent="0.2">
      <c r="A141">
        <v>50</v>
      </c>
      <c r="B141">
        <v>1</v>
      </c>
      <c r="C141">
        <v>0</v>
      </c>
      <c r="D141">
        <v>2</v>
      </c>
      <c r="E141">
        <v>213</v>
      </c>
      <c r="F141">
        <f>ROUND(F139+F140,O141)</f>
        <v>213561.21</v>
      </c>
      <c r="G141" t="s">
        <v>201</v>
      </c>
      <c r="H141" t="s">
        <v>195</v>
      </c>
      <c r="K141">
        <v>212</v>
      </c>
      <c r="L141">
        <v>30</v>
      </c>
      <c r="M141">
        <v>0</v>
      </c>
      <c r="N141" t="s">
        <v>3</v>
      </c>
      <c r="O141">
        <v>2</v>
      </c>
      <c r="W141">
        <v>213561.21</v>
      </c>
      <c r="X141">
        <v>1</v>
      </c>
      <c r="Y141">
        <v>213561.21</v>
      </c>
    </row>
    <row r="143" spans="1:25" x14ac:dyDescent="0.2">
      <c r="A143">
        <v>61</v>
      </c>
      <c r="F143">
        <v>3</v>
      </c>
      <c r="G143" t="s">
        <v>202</v>
      </c>
      <c r="H143" t="s">
        <v>203</v>
      </c>
    </row>
    <row r="144" spans="1:25" x14ac:dyDescent="0.2">
      <c r="A144">
        <v>61</v>
      </c>
      <c r="F144">
        <v>12</v>
      </c>
      <c r="G144" t="s">
        <v>204</v>
      </c>
      <c r="H144" t="s">
        <v>203</v>
      </c>
    </row>
    <row r="145" spans="1:16" x14ac:dyDescent="0.2">
      <c r="A145">
        <v>61</v>
      </c>
      <c r="F145">
        <v>0</v>
      </c>
      <c r="G145" t="s">
        <v>205</v>
      </c>
      <c r="H145" t="s">
        <v>203</v>
      </c>
    </row>
    <row r="146" spans="1:16" x14ac:dyDescent="0.2">
      <c r="A146">
        <v>61</v>
      </c>
      <c r="F146">
        <v>2</v>
      </c>
      <c r="G146" t="s">
        <v>206</v>
      </c>
      <c r="H146" t="s">
        <v>203</v>
      </c>
    </row>
    <row r="147" spans="1:16" x14ac:dyDescent="0.2">
      <c r="A147">
        <v>61</v>
      </c>
      <c r="F147">
        <v>1</v>
      </c>
      <c r="G147" t="s">
        <v>207</v>
      </c>
      <c r="H147" t="s">
        <v>203</v>
      </c>
    </row>
    <row r="150" spans="1:16" x14ac:dyDescent="0.2">
      <c r="A150">
        <v>70</v>
      </c>
      <c r="B150">
        <v>1</v>
      </c>
      <c r="D150">
        <v>1</v>
      </c>
      <c r="E150" t="s">
        <v>208</v>
      </c>
      <c r="F150" t="s">
        <v>209</v>
      </c>
      <c r="G150">
        <v>1</v>
      </c>
      <c r="H150">
        <v>0</v>
      </c>
      <c r="I150" t="s">
        <v>3</v>
      </c>
      <c r="J150">
        <v>1</v>
      </c>
      <c r="K150">
        <v>0</v>
      </c>
      <c r="L150" t="s">
        <v>3</v>
      </c>
      <c r="M150" t="s">
        <v>3</v>
      </c>
      <c r="N150">
        <v>0</v>
      </c>
      <c r="P150" t="s">
        <v>210</v>
      </c>
    </row>
    <row r="151" spans="1:16" x14ac:dyDescent="0.2">
      <c r="A151">
        <v>70</v>
      </c>
      <c r="B151">
        <v>1</v>
      </c>
      <c r="D151">
        <v>2</v>
      </c>
      <c r="E151" t="s">
        <v>211</v>
      </c>
      <c r="F151" t="s">
        <v>212</v>
      </c>
      <c r="G151">
        <v>0</v>
      </c>
      <c r="H151">
        <v>0</v>
      </c>
      <c r="I151" t="s">
        <v>3</v>
      </c>
      <c r="J151">
        <v>1</v>
      </c>
      <c r="K151">
        <v>0</v>
      </c>
      <c r="L151" t="s">
        <v>3</v>
      </c>
      <c r="M151" t="s">
        <v>3</v>
      </c>
      <c r="N151">
        <v>0</v>
      </c>
      <c r="P151" t="s">
        <v>213</v>
      </c>
    </row>
    <row r="152" spans="1:16" x14ac:dyDescent="0.2">
      <c r="A152">
        <v>70</v>
      </c>
      <c r="B152">
        <v>1</v>
      </c>
      <c r="D152">
        <v>3</v>
      </c>
      <c r="E152" t="s">
        <v>214</v>
      </c>
      <c r="F152" t="s">
        <v>215</v>
      </c>
      <c r="G152">
        <v>0</v>
      </c>
      <c r="H152">
        <v>0</v>
      </c>
      <c r="I152" t="s">
        <v>3</v>
      </c>
      <c r="J152">
        <v>1</v>
      </c>
      <c r="K152">
        <v>0</v>
      </c>
      <c r="L152" t="s">
        <v>3</v>
      </c>
      <c r="M152" t="s">
        <v>3</v>
      </c>
      <c r="N152">
        <v>0</v>
      </c>
      <c r="P152" t="s">
        <v>216</v>
      </c>
    </row>
    <row r="153" spans="1:16" x14ac:dyDescent="0.2">
      <c r="A153">
        <v>70</v>
      </c>
      <c r="B153">
        <v>1</v>
      </c>
      <c r="D153">
        <v>4</v>
      </c>
      <c r="E153" t="s">
        <v>217</v>
      </c>
      <c r="F153" t="s">
        <v>218</v>
      </c>
      <c r="G153">
        <v>1</v>
      </c>
      <c r="H153">
        <v>0</v>
      </c>
      <c r="I153" t="s">
        <v>3</v>
      </c>
      <c r="J153">
        <v>2</v>
      </c>
      <c r="K153">
        <v>0</v>
      </c>
      <c r="L153" t="s">
        <v>3</v>
      </c>
      <c r="M153" t="s">
        <v>3</v>
      </c>
      <c r="N153">
        <v>0</v>
      </c>
      <c r="P153" t="s">
        <v>3</v>
      </c>
    </row>
    <row r="154" spans="1:16" x14ac:dyDescent="0.2">
      <c r="A154">
        <v>70</v>
      </c>
      <c r="B154">
        <v>1</v>
      </c>
      <c r="D154">
        <v>5</v>
      </c>
      <c r="E154" t="s">
        <v>219</v>
      </c>
      <c r="F154" t="s">
        <v>220</v>
      </c>
      <c r="G154">
        <v>0</v>
      </c>
      <c r="H154">
        <v>0</v>
      </c>
      <c r="I154" t="s">
        <v>3</v>
      </c>
      <c r="J154">
        <v>2</v>
      </c>
      <c r="K154">
        <v>0</v>
      </c>
      <c r="L154" t="s">
        <v>3</v>
      </c>
      <c r="M154" t="s">
        <v>3</v>
      </c>
      <c r="N154">
        <v>0</v>
      </c>
      <c r="P154" t="s">
        <v>3</v>
      </c>
    </row>
    <row r="155" spans="1:16" x14ac:dyDescent="0.2">
      <c r="A155">
        <v>70</v>
      </c>
      <c r="B155">
        <v>1</v>
      </c>
      <c r="D155">
        <v>6</v>
      </c>
      <c r="E155" t="s">
        <v>221</v>
      </c>
      <c r="F155" t="s">
        <v>222</v>
      </c>
      <c r="G155">
        <v>0</v>
      </c>
      <c r="H155">
        <v>0</v>
      </c>
      <c r="I155" t="s">
        <v>3</v>
      </c>
      <c r="J155">
        <v>2</v>
      </c>
      <c r="K155">
        <v>0</v>
      </c>
      <c r="L155" t="s">
        <v>3</v>
      </c>
      <c r="M155" t="s">
        <v>3</v>
      </c>
      <c r="N155">
        <v>0</v>
      </c>
      <c r="P155" t="s">
        <v>3</v>
      </c>
    </row>
    <row r="156" spans="1:16" x14ac:dyDescent="0.2">
      <c r="A156">
        <v>70</v>
      </c>
      <c r="B156">
        <v>1</v>
      </c>
      <c r="D156">
        <v>7</v>
      </c>
      <c r="E156" t="s">
        <v>223</v>
      </c>
      <c r="F156" t="s">
        <v>224</v>
      </c>
      <c r="G156">
        <v>0</v>
      </c>
      <c r="H156">
        <v>0</v>
      </c>
      <c r="I156" t="s">
        <v>225</v>
      </c>
      <c r="J156">
        <v>0</v>
      </c>
      <c r="K156">
        <v>0</v>
      </c>
      <c r="L156" t="s">
        <v>3</v>
      </c>
      <c r="M156" t="s">
        <v>3</v>
      </c>
      <c r="N156">
        <v>0</v>
      </c>
      <c r="P156" t="s">
        <v>226</v>
      </c>
    </row>
    <row r="157" spans="1:16" x14ac:dyDescent="0.2">
      <c r="A157">
        <v>70</v>
      </c>
      <c r="B157">
        <v>1</v>
      </c>
      <c r="D157">
        <v>8</v>
      </c>
      <c r="E157" t="s">
        <v>227</v>
      </c>
      <c r="F157" t="s">
        <v>228</v>
      </c>
      <c r="G157">
        <v>1</v>
      </c>
      <c r="H157">
        <v>0</v>
      </c>
      <c r="I157" t="s">
        <v>3</v>
      </c>
      <c r="J157">
        <v>5</v>
      </c>
      <c r="K157">
        <v>0</v>
      </c>
      <c r="L157" t="s">
        <v>3</v>
      </c>
      <c r="M157" t="s">
        <v>3</v>
      </c>
      <c r="N157">
        <v>0</v>
      </c>
      <c r="P157" t="s">
        <v>3</v>
      </c>
    </row>
    <row r="158" spans="1:16" x14ac:dyDescent="0.2">
      <c r="A158">
        <v>70</v>
      </c>
      <c r="B158">
        <v>1</v>
      </c>
      <c r="D158">
        <v>9</v>
      </c>
      <c r="E158" t="s">
        <v>229</v>
      </c>
      <c r="F158" t="s">
        <v>230</v>
      </c>
      <c r="G158">
        <v>0</v>
      </c>
      <c r="H158">
        <v>0</v>
      </c>
      <c r="I158" t="s">
        <v>3</v>
      </c>
      <c r="J158">
        <v>5</v>
      </c>
      <c r="K158">
        <v>0</v>
      </c>
      <c r="L158" t="s">
        <v>3</v>
      </c>
      <c r="M158" t="s">
        <v>3</v>
      </c>
      <c r="N158">
        <v>0</v>
      </c>
      <c r="P158" t="s">
        <v>231</v>
      </c>
    </row>
    <row r="159" spans="1:16" x14ac:dyDescent="0.2">
      <c r="A159">
        <v>70</v>
      </c>
      <c r="B159">
        <v>1</v>
      </c>
      <c r="D159">
        <v>10</v>
      </c>
      <c r="E159" t="s">
        <v>232</v>
      </c>
      <c r="F159" t="s">
        <v>233</v>
      </c>
      <c r="G159">
        <v>0</v>
      </c>
      <c r="H159">
        <v>0</v>
      </c>
      <c r="I159" t="s">
        <v>234</v>
      </c>
      <c r="J159">
        <v>5</v>
      </c>
      <c r="K159">
        <v>0</v>
      </c>
      <c r="L159" t="s">
        <v>3</v>
      </c>
      <c r="M159" t="s">
        <v>3</v>
      </c>
      <c r="N159">
        <v>0</v>
      </c>
      <c r="P159" t="s">
        <v>235</v>
      </c>
    </row>
    <row r="160" spans="1:16" x14ac:dyDescent="0.2">
      <c r="A160">
        <v>70</v>
      </c>
      <c r="B160">
        <v>1</v>
      </c>
      <c r="D160">
        <v>11</v>
      </c>
      <c r="E160" t="s">
        <v>236</v>
      </c>
      <c r="F160" t="s">
        <v>237</v>
      </c>
      <c r="G160">
        <v>0</v>
      </c>
      <c r="H160">
        <v>0</v>
      </c>
      <c r="I160" t="s">
        <v>238</v>
      </c>
      <c r="J160">
        <v>0</v>
      </c>
      <c r="K160">
        <v>0</v>
      </c>
      <c r="L160" t="s">
        <v>3</v>
      </c>
      <c r="M160" t="s">
        <v>3</v>
      </c>
      <c r="N160">
        <v>0</v>
      </c>
      <c r="P160" t="s">
        <v>239</v>
      </c>
    </row>
    <row r="161" spans="1:16" x14ac:dyDescent="0.2">
      <c r="A161">
        <v>70</v>
      </c>
      <c r="B161">
        <v>1</v>
      </c>
      <c r="D161">
        <v>12</v>
      </c>
      <c r="E161" t="s">
        <v>240</v>
      </c>
      <c r="F161" t="s">
        <v>241</v>
      </c>
      <c r="G161">
        <v>0</v>
      </c>
      <c r="H161">
        <v>0</v>
      </c>
      <c r="I161" t="s">
        <v>242</v>
      </c>
      <c r="J161">
        <v>0</v>
      </c>
      <c r="K161">
        <v>0</v>
      </c>
      <c r="L161" t="s">
        <v>3</v>
      </c>
      <c r="M161" t="s">
        <v>3</v>
      </c>
      <c r="N161">
        <v>0</v>
      </c>
      <c r="P161" t="s">
        <v>243</v>
      </c>
    </row>
    <row r="162" spans="1:16" x14ac:dyDescent="0.2">
      <c r="A162">
        <v>70</v>
      </c>
      <c r="B162">
        <v>1</v>
      </c>
      <c r="D162">
        <v>13</v>
      </c>
      <c r="E162" t="s">
        <v>244</v>
      </c>
      <c r="F162" t="s">
        <v>245</v>
      </c>
      <c r="G162">
        <v>0</v>
      </c>
      <c r="H162">
        <v>0</v>
      </c>
      <c r="I162" t="s">
        <v>246</v>
      </c>
      <c r="J162">
        <v>0</v>
      </c>
      <c r="K162">
        <v>0</v>
      </c>
      <c r="L162" t="s">
        <v>3</v>
      </c>
      <c r="M162" t="s">
        <v>3</v>
      </c>
      <c r="N162">
        <v>0</v>
      </c>
      <c r="P162" t="s">
        <v>247</v>
      </c>
    </row>
    <row r="163" spans="1:16" x14ac:dyDescent="0.2">
      <c r="A163">
        <v>70</v>
      </c>
      <c r="B163">
        <v>1</v>
      </c>
      <c r="D163">
        <v>14</v>
      </c>
      <c r="E163" t="s">
        <v>248</v>
      </c>
      <c r="F163" t="s">
        <v>249</v>
      </c>
      <c r="G163">
        <v>0</v>
      </c>
      <c r="H163">
        <v>0</v>
      </c>
      <c r="I163" t="s">
        <v>3</v>
      </c>
      <c r="J163">
        <v>0</v>
      </c>
      <c r="K163">
        <v>0</v>
      </c>
      <c r="L163" t="s">
        <v>3</v>
      </c>
      <c r="M163" t="s">
        <v>3</v>
      </c>
      <c r="N163">
        <v>0</v>
      </c>
      <c r="P163" t="s">
        <v>3</v>
      </c>
    </row>
    <row r="164" spans="1:16" x14ac:dyDescent="0.2">
      <c r="A164">
        <v>70</v>
      </c>
      <c r="B164">
        <v>1</v>
      </c>
      <c r="D164">
        <v>15</v>
      </c>
      <c r="E164" t="s">
        <v>250</v>
      </c>
      <c r="F164" t="s">
        <v>251</v>
      </c>
      <c r="G164">
        <v>0</v>
      </c>
      <c r="H164">
        <v>0</v>
      </c>
      <c r="I164" t="s">
        <v>3</v>
      </c>
      <c r="J164">
        <v>0</v>
      </c>
      <c r="K164">
        <v>0</v>
      </c>
      <c r="L164" t="s">
        <v>3</v>
      </c>
      <c r="M164" t="s">
        <v>3</v>
      </c>
      <c r="N164">
        <v>0</v>
      </c>
      <c r="P164" t="s">
        <v>252</v>
      </c>
    </row>
    <row r="165" spans="1:16" x14ac:dyDescent="0.2">
      <c r="A165">
        <v>70</v>
      </c>
      <c r="B165">
        <v>1</v>
      </c>
      <c r="D165">
        <v>16</v>
      </c>
      <c r="E165" t="s">
        <v>253</v>
      </c>
      <c r="F165" t="s">
        <v>254</v>
      </c>
      <c r="G165">
        <v>0</v>
      </c>
      <c r="H165">
        <v>0</v>
      </c>
      <c r="I165" t="s">
        <v>3</v>
      </c>
      <c r="J165">
        <v>3</v>
      </c>
      <c r="K165">
        <v>0</v>
      </c>
      <c r="L165" t="s">
        <v>3</v>
      </c>
      <c r="M165" t="s">
        <v>3</v>
      </c>
      <c r="N165">
        <v>0</v>
      </c>
      <c r="P165" t="s">
        <v>3</v>
      </c>
    </row>
    <row r="166" spans="1:16" x14ac:dyDescent="0.2">
      <c r="A166">
        <v>70</v>
      </c>
      <c r="B166">
        <v>1</v>
      </c>
      <c r="D166">
        <v>17</v>
      </c>
      <c r="E166" t="s">
        <v>255</v>
      </c>
      <c r="F166" t="s">
        <v>256</v>
      </c>
      <c r="G166">
        <v>1</v>
      </c>
      <c r="H166">
        <v>0</v>
      </c>
      <c r="I166" t="s">
        <v>3</v>
      </c>
      <c r="J166">
        <v>3</v>
      </c>
      <c r="K166">
        <v>0</v>
      </c>
      <c r="L166" t="s">
        <v>3</v>
      </c>
      <c r="M166" t="s">
        <v>3</v>
      </c>
      <c r="N166">
        <v>0</v>
      </c>
      <c r="P166" t="s">
        <v>3</v>
      </c>
    </row>
    <row r="167" spans="1:16" x14ac:dyDescent="0.2">
      <c r="A167">
        <v>70</v>
      </c>
      <c r="B167">
        <v>1</v>
      </c>
      <c r="D167">
        <v>1</v>
      </c>
      <c r="E167" t="s">
        <v>257</v>
      </c>
      <c r="F167" t="s">
        <v>258</v>
      </c>
      <c r="G167">
        <v>0.9</v>
      </c>
      <c r="H167">
        <v>1</v>
      </c>
      <c r="I167" t="s">
        <v>259</v>
      </c>
      <c r="J167">
        <v>0</v>
      </c>
      <c r="K167">
        <v>0</v>
      </c>
      <c r="L167" t="s">
        <v>3</v>
      </c>
      <c r="M167" t="s">
        <v>3</v>
      </c>
      <c r="N167">
        <v>0</v>
      </c>
      <c r="P167" t="s">
        <v>260</v>
      </c>
    </row>
    <row r="168" spans="1:16" x14ac:dyDescent="0.2">
      <c r="A168">
        <v>70</v>
      </c>
      <c r="B168">
        <v>1</v>
      </c>
      <c r="D168">
        <v>2</v>
      </c>
      <c r="E168" t="s">
        <v>261</v>
      </c>
      <c r="F168" t="s">
        <v>262</v>
      </c>
      <c r="G168">
        <v>0.85</v>
      </c>
      <c r="H168">
        <v>1</v>
      </c>
      <c r="I168" t="s">
        <v>263</v>
      </c>
      <c r="J168">
        <v>0</v>
      </c>
      <c r="K168">
        <v>0</v>
      </c>
      <c r="L168" t="s">
        <v>3</v>
      </c>
      <c r="M168" t="s">
        <v>3</v>
      </c>
      <c r="N168">
        <v>0</v>
      </c>
      <c r="P168" t="s">
        <v>264</v>
      </c>
    </row>
    <row r="169" spans="1:16" x14ac:dyDescent="0.2">
      <c r="A169">
        <v>70</v>
      </c>
      <c r="B169">
        <v>1</v>
      </c>
      <c r="D169">
        <v>3</v>
      </c>
      <c r="E169" t="s">
        <v>265</v>
      </c>
      <c r="F169" t="s">
        <v>266</v>
      </c>
      <c r="G169">
        <v>1.03</v>
      </c>
      <c r="H169">
        <v>0</v>
      </c>
      <c r="I169" t="s">
        <v>3</v>
      </c>
      <c r="J169">
        <v>0</v>
      </c>
      <c r="K169">
        <v>0</v>
      </c>
      <c r="L169" t="s">
        <v>3</v>
      </c>
      <c r="M169" t="s">
        <v>3</v>
      </c>
      <c r="N169">
        <v>0</v>
      </c>
      <c r="P169" t="s">
        <v>267</v>
      </c>
    </row>
    <row r="170" spans="1:16" x14ac:dyDescent="0.2">
      <c r="A170">
        <v>70</v>
      </c>
      <c r="B170">
        <v>1</v>
      </c>
      <c r="D170">
        <v>4</v>
      </c>
      <c r="E170" t="s">
        <v>268</v>
      </c>
      <c r="F170" t="s">
        <v>269</v>
      </c>
      <c r="G170">
        <v>1.1499999999999999</v>
      </c>
      <c r="H170">
        <v>0</v>
      </c>
      <c r="I170" t="s">
        <v>3</v>
      </c>
      <c r="J170">
        <v>0</v>
      </c>
      <c r="K170">
        <v>0</v>
      </c>
      <c r="L170" t="s">
        <v>3</v>
      </c>
      <c r="M170" t="s">
        <v>3</v>
      </c>
      <c r="N170">
        <v>0</v>
      </c>
      <c r="P170" t="s">
        <v>270</v>
      </c>
    </row>
    <row r="171" spans="1:16" x14ac:dyDescent="0.2">
      <c r="A171">
        <v>70</v>
      </c>
      <c r="B171">
        <v>1</v>
      </c>
      <c r="D171">
        <v>5</v>
      </c>
      <c r="E171" t="s">
        <v>271</v>
      </c>
      <c r="F171" t="s">
        <v>272</v>
      </c>
      <c r="G171">
        <v>7</v>
      </c>
      <c r="H171">
        <v>0</v>
      </c>
      <c r="I171" t="s">
        <v>3</v>
      </c>
      <c r="J171">
        <v>0</v>
      </c>
      <c r="K171">
        <v>0</v>
      </c>
      <c r="L171" t="s">
        <v>3</v>
      </c>
      <c r="M171" t="s">
        <v>3</v>
      </c>
      <c r="N171">
        <v>0</v>
      </c>
      <c r="P171" t="s">
        <v>3</v>
      </c>
    </row>
    <row r="172" spans="1:16" x14ac:dyDescent="0.2">
      <c r="A172">
        <v>70</v>
      </c>
      <c r="B172">
        <v>1</v>
      </c>
      <c r="D172">
        <v>6</v>
      </c>
      <c r="E172" t="s">
        <v>273</v>
      </c>
      <c r="F172" t="s">
        <v>3</v>
      </c>
      <c r="G172">
        <v>2</v>
      </c>
      <c r="H172">
        <v>0</v>
      </c>
      <c r="I172" t="s">
        <v>3</v>
      </c>
      <c r="J172">
        <v>0</v>
      </c>
      <c r="K172">
        <v>0</v>
      </c>
      <c r="L172" t="s">
        <v>3</v>
      </c>
      <c r="M172" t="s">
        <v>3</v>
      </c>
      <c r="N172">
        <v>0</v>
      </c>
      <c r="P172" t="s">
        <v>3</v>
      </c>
    </row>
    <row r="174" spans="1:16" x14ac:dyDescent="0.2">
      <c r="A174">
        <v>-1</v>
      </c>
    </row>
    <row r="176" spans="1:16" x14ac:dyDescent="0.2">
      <c r="A176">
        <v>75</v>
      </c>
      <c r="B176" t="s">
        <v>274</v>
      </c>
      <c r="C176">
        <v>2026</v>
      </c>
      <c r="D176">
        <v>2</v>
      </c>
      <c r="E176">
        <v>0</v>
      </c>
      <c r="F176">
        <v>1</v>
      </c>
      <c r="G176">
        <v>0</v>
      </c>
      <c r="H176">
        <v>1</v>
      </c>
      <c r="I176">
        <v>0</v>
      </c>
      <c r="J176">
        <v>1</v>
      </c>
      <c r="K176">
        <v>0</v>
      </c>
      <c r="L176">
        <v>0</v>
      </c>
      <c r="M176">
        <v>0</v>
      </c>
      <c r="N176">
        <v>75284898</v>
      </c>
      <c r="O176">
        <v>1</v>
      </c>
    </row>
    <row r="177" spans="1:40" x14ac:dyDescent="0.2">
      <c r="A177">
        <v>2</v>
      </c>
      <c r="B177" t="s">
        <v>275</v>
      </c>
      <c r="C177" t="s">
        <v>276</v>
      </c>
      <c r="D177">
        <v>0</v>
      </c>
      <c r="E177">
        <v>0</v>
      </c>
      <c r="F177">
        <v>0</v>
      </c>
      <c r="AN177">
        <v>75284899</v>
      </c>
    </row>
    <row r="178" spans="1:40" x14ac:dyDescent="0.2">
      <c r="A178">
        <v>1</v>
      </c>
      <c r="B178" t="s">
        <v>277</v>
      </c>
      <c r="C178" t="s">
        <v>278</v>
      </c>
      <c r="D178">
        <v>2026</v>
      </c>
      <c r="E178">
        <v>6</v>
      </c>
      <c r="F178">
        <v>1</v>
      </c>
      <c r="G178">
        <v>1</v>
      </c>
      <c r="H178">
        <v>0</v>
      </c>
      <c r="I178">
        <v>2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1</v>
      </c>
      <c r="Q178">
        <v>1</v>
      </c>
      <c r="R178" t="s">
        <v>3</v>
      </c>
      <c r="S178" t="s">
        <v>3</v>
      </c>
      <c r="T178" t="s">
        <v>3</v>
      </c>
      <c r="U178" t="s">
        <v>3</v>
      </c>
      <c r="V178" t="s">
        <v>3</v>
      </c>
      <c r="W178" t="s">
        <v>3</v>
      </c>
      <c r="X178" t="s">
        <v>3</v>
      </c>
      <c r="Y178" t="s">
        <v>3</v>
      </c>
      <c r="Z178" t="s">
        <v>3</v>
      </c>
      <c r="AA178" t="s">
        <v>3</v>
      </c>
      <c r="AN178">
        <v>75284900</v>
      </c>
    </row>
    <row r="182" spans="1:40" x14ac:dyDescent="0.2">
      <c r="A182">
        <v>65</v>
      </c>
      <c r="C182">
        <v>1</v>
      </c>
      <c r="D182">
        <v>0</v>
      </c>
      <c r="E182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5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279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57445</v>
      </c>
      <c r="M1">
        <v>10</v>
      </c>
      <c r="N1">
        <v>12</v>
      </c>
      <c r="O1">
        <v>1</v>
      </c>
      <c r="P1">
        <v>0</v>
      </c>
      <c r="Q1">
        <v>5</v>
      </c>
    </row>
    <row r="4" spans="1:133" x14ac:dyDescent="0.2">
      <c r="A4">
        <v>1</v>
      </c>
      <c r="B4">
        <v>1</v>
      </c>
      <c r="C4">
        <v>-1</v>
      </c>
      <c r="G4" t="s">
        <v>407</v>
      </c>
      <c r="EC4">
        <v>0</v>
      </c>
    </row>
    <row r="12" spans="1:133" x14ac:dyDescent="0.2">
      <c r="A12">
        <v>1</v>
      </c>
      <c r="B12">
        <v>54</v>
      </c>
      <c r="C12">
        <v>0</v>
      </c>
      <c r="E12">
        <v>0</v>
      </c>
      <c r="F12" t="s">
        <v>4</v>
      </c>
      <c r="G12" t="s">
        <v>5</v>
      </c>
      <c r="H12" t="s">
        <v>3</v>
      </c>
      <c r="I12">
        <v>0</v>
      </c>
      <c r="J12" t="s">
        <v>3</v>
      </c>
      <c r="K12">
        <v>0</v>
      </c>
      <c r="L12">
        <v>0</v>
      </c>
      <c r="M12">
        <v>523</v>
      </c>
      <c r="O12">
        <v>0</v>
      </c>
      <c r="P12">
        <v>0</v>
      </c>
      <c r="Q12">
        <v>7</v>
      </c>
      <c r="R12">
        <v>0</v>
      </c>
      <c r="T12">
        <v>4</v>
      </c>
      <c r="U12" t="s">
        <v>3</v>
      </c>
      <c r="V12">
        <v>0</v>
      </c>
      <c r="W12" t="s">
        <v>3</v>
      </c>
      <c r="X12" t="s">
        <v>3</v>
      </c>
      <c r="Y12" t="s">
        <v>3</v>
      </c>
      <c r="Z12" t="s">
        <v>3</v>
      </c>
      <c r="AA12" t="s">
        <v>3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 t="s">
        <v>3</v>
      </c>
      <c r="AL12" t="s">
        <v>3</v>
      </c>
      <c r="AM12" t="s">
        <v>3</v>
      </c>
      <c r="AN12" t="s">
        <v>3</v>
      </c>
      <c r="AP12" t="s">
        <v>3</v>
      </c>
      <c r="AQ12" t="s">
        <v>3</v>
      </c>
      <c r="AR12" t="s">
        <v>3</v>
      </c>
      <c r="AX12" t="s">
        <v>3</v>
      </c>
      <c r="AY12" t="s">
        <v>3</v>
      </c>
      <c r="AZ12" t="s">
        <v>3</v>
      </c>
      <c r="BB12">
        <v>0</v>
      </c>
      <c r="BH12" t="s">
        <v>6</v>
      </c>
      <c r="BI12" t="s">
        <v>7</v>
      </c>
      <c r="BJ12">
        <v>1</v>
      </c>
      <c r="BK12">
        <v>1</v>
      </c>
      <c r="BL12">
        <v>0</v>
      </c>
      <c r="BM12">
        <v>0</v>
      </c>
      <c r="BN12">
        <v>1</v>
      </c>
      <c r="BO12">
        <v>0</v>
      </c>
      <c r="BP12">
        <v>6</v>
      </c>
      <c r="BQ12">
        <v>2</v>
      </c>
      <c r="BR12">
        <v>1</v>
      </c>
      <c r="BS12">
        <v>1</v>
      </c>
      <c r="BT12">
        <v>0</v>
      </c>
      <c r="BU12">
        <v>0</v>
      </c>
      <c r="BV12">
        <v>0</v>
      </c>
      <c r="BW12">
        <v>0</v>
      </c>
      <c r="BX12">
        <v>0</v>
      </c>
      <c r="BY12" t="s">
        <v>8</v>
      </c>
      <c r="BZ12" t="s">
        <v>9</v>
      </c>
      <c r="CA12" t="s">
        <v>10</v>
      </c>
      <c r="CB12" t="s">
        <v>10</v>
      </c>
      <c r="CC12" t="s">
        <v>10</v>
      </c>
      <c r="CD12" t="s">
        <v>10</v>
      </c>
      <c r="CE12" t="s">
        <v>11</v>
      </c>
      <c r="CF12">
        <v>0</v>
      </c>
      <c r="CG12">
        <v>0</v>
      </c>
      <c r="CH12">
        <v>487096328</v>
      </c>
      <c r="CI12" t="s">
        <v>3</v>
      </c>
      <c r="CJ12" t="s">
        <v>3</v>
      </c>
      <c r="CK12">
        <v>18</v>
      </c>
      <c r="CQ12" t="s">
        <v>12</v>
      </c>
      <c r="CR12" t="s">
        <v>13</v>
      </c>
      <c r="CS12">
        <v>46161</v>
      </c>
      <c r="CT12">
        <v>567</v>
      </c>
      <c r="CU12">
        <v>18</v>
      </c>
      <c r="CV12" t="s">
        <v>408</v>
      </c>
      <c r="CY12">
        <v>0</v>
      </c>
      <c r="CZ12" t="s">
        <v>3</v>
      </c>
      <c r="DA12" t="s">
        <v>3</v>
      </c>
      <c r="EC12">
        <v>0</v>
      </c>
    </row>
    <row r="14" spans="1:133" x14ac:dyDescent="0.2">
      <c r="A14">
        <v>22</v>
      </c>
      <c r="B14">
        <v>1</v>
      </c>
      <c r="C14">
        <v>0</v>
      </c>
      <c r="D14">
        <v>75284898</v>
      </c>
      <c r="E14">
        <v>0</v>
      </c>
      <c r="F14">
        <v>2</v>
      </c>
      <c r="G14">
        <v>1</v>
      </c>
    </row>
    <row r="16" spans="1:133" x14ac:dyDescent="0.2">
      <c r="A16">
        <v>3</v>
      </c>
      <c r="B16">
        <v>1</v>
      </c>
      <c r="C16" t="s">
        <v>14</v>
      </c>
      <c r="D16" t="s">
        <v>14</v>
      </c>
      <c r="E16">
        <f>ROUND((Source!F94)/1000,2)</f>
        <v>175.05</v>
      </c>
      <c r="F16">
        <f>ROUND((Source!F95)/1000,2)</f>
        <v>0</v>
      </c>
      <c r="G16">
        <f>ROUND((Source!F86)/1000,2)</f>
        <v>0</v>
      </c>
      <c r="H16">
        <f>ROUND((Source!F96)/1000+(Source!F97)/1000,2)</f>
        <v>0</v>
      </c>
      <c r="I16">
        <f>E16+F16+G16+H16</f>
        <v>175.05</v>
      </c>
      <c r="J16">
        <f>ROUND((Source!F92+Source!F91)/1000,2)</f>
        <v>17.72</v>
      </c>
      <c r="K16">
        <v>163.36000000000001</v>
      </c>
      <c r="L16">
        <v>0</v>
      </c>
      <c r="M16">
        <v>0</v>
      </c>
      <c r="N16">
        <f>I16+L16+M16</f>
        <v>175.05</v>
      </c>
      <c r="AI16">
        <v>0</v>
      </c>
      <c r="AJ16">
        <v>0</v>
      </c>
      <c r="AK16" t="s">
        <v>3</v>
      </c>
      <c r="AL16" t="s">
        <v>3</v>
      </c>
      <c r="AM16" t="s">
        <v>3</v>
      </c>
      <c r="AN16">
        <v>0</v>
      </c>
      <c r="AO16" t="s">
        <v>3</v>
      </c>
      <c r="AP16" t="s">
        <v>3</v>
      </c>
      <c r="AT16">
        <v>147171.34</v>
      </c>
      <c r="AU16">
        <v>16188.8</v>
      </c>
      <c r="AV16">
        <v>0</v>
      </c>
      <c r="AW16">
        <v>0</v>
      </c>
      <c r="AX16">
        <v>0</v>
      </c>
      <c r="AY16">
        <v>113263.77</v>
      </c>
      <c r="AZ16">
        <v>116.52999999999999</v>
      </c>
      <c r="BA16">
        <v>17602.239999999998</v>
      </c>
      <c r="BB16">
        <v>175050.17</v>
      </c>
      <c r="BC16">
        <v>0</v>
      </c>
      <c r="BD16">
        <v>0</v>
      </c>
      <c r="BE16">
        <v>0</v>
      </c>
      <c r="BF16">
        <v>27.805955000000001</v>
      </c>
      <c r="BG16">
        <v>0.16423979999999999</v>
      </c>
      <c r="BH16">
        <v>0</v>
      </c>
      <c r="BI16">
        <v>17955.64</v>
      </c>
      <c r="BJ16">
        <v>9923.19</v>
      </c>
      <c r="BK16">
        <v>175050.17</v>
      </c>
    </row>
    <row r="18" spans="1:15" x14ac:dyDescent="0.2">
      <c r="A18">
        <v>51</v>
      </c>
      <c r="E18">
        <v>175.05</v>
      </c>
      <c r="F18">
        <v>0</v>
      </c>
      <c r="G18">
        <v>0</v>
      </c>
      <c r="H18">
        <v>0</v>
      </c>
      <c r="I18">
        <v>175.05</v>
      </c>
      <c r="J18">
        <v>17.72</v>
      </c>
      <c r="K18">
        <v>163.36000000000001</v>
      </c>
      <c r="L18">
        <v>0</v>
      </c>
      <c r="M18">
        <v>0</v>
      </c>
      <c r="N18">
        <v>175.05</v>
      </c>
    </row>
    <row r="20" spans="1:15" x14ac:dyDescent="0.2">
      <c r="A20">
        <v>50</v>
      </c>
      <c r="B20">
        <v>0</v>
      </c>
      <c r="C20">
        <v>0</v>
      </c>
      <c r="D20">
        <v>1</v>
      </c>
      <c r="E20">
        <v>201</v>
      </c>
      <c r="F20">
        <v>147171.34</v>
      </c>
      <c r="G20" t="s">
        <v>143</v>
      </c>
      <c r="H20" t="s">
        <v>144</v>
      </c>
      <c r="K20">
        <v>201</v>
      </c>
      <c r="L20">
        <v>1</v>
      </c>
      <c r="M20">
        <v>3</v>
      </c>
      <c r="N20" t="s">
        <v>3</v>
      </c>
      <c r="O20">
        <v>2</v>
      </c>
    </row>
    <row r="21" spans="1:15" x14ac:dyDescent="0.2">
      <c r="A21">
        <v>50</v>
      </c>
      <c r="B21">
        <v>0</v>
      </c>
      <c r="C21">
        <v>0</v>
      </c>
      <c r="D21">
        <v>1</v>
      </c>
      <c r="E21">
        <v>202</v>
      </c>
      <c r="F21">
        <v>16188.8</v>
      </c>
      <c r="G21" t="s">
        <v>145</v>
      </c>
      <c r="H21" t="s">
        <v>146</v>
      </c>
      <c r="K21">
        <v>202</v>
      </c>
      <c r="L21">
        <v>2</v>
      </c>
      <c r="M21">
        <v>3</v>
      </c>
      <c r="N21" t="s">
        <v>3</v>
      </c>
      <c r="O21">
        <v>2</v>
      </c>
    </row>
    <row r="22" spans="1:15" x14ac:dyDescent="0.2">
      <c r="A22">
        <v>50</v>
      </c>
      <c r="B22">
        <v>0</v>
      </c>
      <c r="C22">
        <v>0</v>
      </c>
      <c r="D22">
        <v>1</v>
      </c>
      <c r="E22">
        <v>222</v>
      </c>
      <c r="F22">
        <v>0</v>
      </c>
      <c r="G22" t="s">
        <v>147</v>
      </c>
      <c r="H22" t="s">
        <v>148</v>
      </c>
      <c r="K22">
        <v>222</v>
      </c>
      <c r="L22">
        <v>3</v>
      </c>
      <c r="M22">
        <v>3</v>
      </c>
      <c r="N22" t="s">
        <v>3</v>
      </c>
      <c r="O22">
        <v>2</v>
      </c>
    </row>
    <row r="23" spans="1:15" x14ac:dyDescent="0.2">
      <c r="A23">
        <v>50</v>
      </c>
      <c r="B23">
        <v>0</v>
      </c>
      <c r="C23">
        <v>0</v>
      </c>
      <c r="D23">
        <v>1</v>
      </c>
      <c r="E23">
        <v>225</v>
      </c>
      <c r="F23">
        <v>16188.8</v>
      </c>
      <c r="G23" t="s">
        <v>149</v>
      </c>
      <c r="H23" t="s">
        <v>150</v>
      </c>
      <c r="K23">
        <v>225</v>
      </c>
      <c r="L23">
        <v>4</v>
      </c>
      <c r="M23">
        <v>3</v>
      </c>
      <c r="N23" t="s">
        <v>3</v>
      </c>
      <c r="O23">
        <v>2</v>
      </c>
    </row>
    <row r="24" spans="1:15" x14ac:dyDescent="0.2">
      <c r="A24">
        <v>50</v>
      </c>
      <c r="B24">
        <v>0</v>
      </c>
      <c r="C24">
        <v>0</v>
      </c>
      <c r="D24">
        <v>1</v>
      </c>
      <c r="E24">
        <v>226</v>
      </c>
      <c r="F24">
        <v>16188.8</v>
      </c>
      <c r="G24" t="s">
        <v>151</v>
      </c>
      <c r="H24" t="s">
        <v>152</v>
      </c>
      <c r="K24">
        <v>226</v>
      </c>
      <c r="L24">
        <v>5</v>
      </c>
      <c r="M24">
        <v>3</v>
      </c>
      <c r="N24" t="s">
        <v>3</v>
      </c>
      <c r="O24">
        <v>2</v>
      </c>
    </row>
    <row r="25" spans="1:15" x14ac:dyDescent="0.2">
      <c r="A25">
        <v>50</v>
      </c>
      <c r="B25">
        <v>0</v>
      </c>
      <c r="C25">
        <v>0</v>
      </c>
      <c r="D25">
        <v>1</v>
      </c>
      <c r="E25">
        <v>227</v>
      </c>
      <c r="F25">
        <v>0</v>
      </c>
      <c r="G25" t="s">
        <v>153</v>
      </c>
      <c r="H25" t="s">
        <v>154</v>
      </c>
      <c r="K25">
        <v>227</v>
      </c>
      <c r="L25">
        <v>6</v>
      </c>
      <c r="M25">
        <v>3</v>
      </c>
      <c r="N25" t="s">
        <v>3</v>
      </c>
      <c r="O25">
        <v>2</v>
      </c>
    </row>
    <row r="26" spans="1:15" x14ac:dyDescent="0.2">
      <c r="A26">
        <v>50</v>
      </c>
      <c r="B26">
        <v>0</v>
      </c>
      <c r="C26">
        <v>0</v>
      </c>
      <c r="D26">
        <v>1</v>
      </c>
      <c r="E26">
        <v>228</v>
      </c>
      <c r="F26">
        <v>16188.8</v>
      </c>
      <c r="G26" t="s">
        <v>155</v>
      </c>
      <c r="H26" t="s">
        <v>156</v>
      </c>
      <c r="K26">
        <v>228</v>
      </c>
      <c r="L26">
        <v>7</v>
      </c>
      <c r="M26">
        <v>3</v>
      </c>
      <c r="N26" t="s">
        <v>3</v>
      </c>
      <c r="O26">
        <v>2</v>
      </c>
    </row>
    <row r="27" spans="1:15" x14ac:dyDescent="0.2">
      <c r="A27">
        <v>50</v>
      </c>
      <c r="B27">
        <v>0</v>
      </c>
      <c r="C27">
        <v>0</v>
      </c>
      <c r="D27">
        <v>1</v>
      </c>
      <c r="E27">
        <v>216</v>
      </c>
      <c r="F27">
        <v>0</v>
      </c>
      <c r="G27" t="s">
        <v>157</v>
      </c>
      <c r="H27" t="s">
        <v>158</v>
      </c>
      <c r="K27">
        <v>216</v>
      </c>
      <c r="L27">
        <v>8</v>
      </c>
      <c r="M27">
        <v>3</v>
      </c>
      <c r="N27" t="s">
        <v>3</v>
      </c>
      <c r="O27">
        <v>2</v>
      </c>
    </row>
    <row r="28" spans="1:15" x14ac:dyDescent="0.2">
      <c r="A28">
        <v>50</v>
      </c>
      <c r="B28">
        <v>0</v>
      </c>
      <c r="C28">
        <v>0</v>
      </c>
      <c r="D28">
        <v>1</v>
      </c>
      <c r="E28">
        <v>223</v>
      </c>
      <c r="F28">
        <v>0</v>
      </c>
      <c r="G28" t="s">
        <v>159</v>
      </c>
      <c r="H28" t="s">
        <v>160</v>
      </c>
      <c r="K28">
        <v>223</v>
      </c>
      <c r="L28">
        <v>9</v>
      </c>
      <c r="M28">
        <v>3</v>
      </c>
      <c r="N28" t="s">
        <v>3</v>
      </c>
      <c r="O28">
        <v>2</v>
      </c>
    </row>
    <row r="29" spans="1:15" x14ac:dyDescent="0.2">
      <c r="A29">
        <v>50</v>
      </c>
      <c r="B29">
        <v>0</v>
      </c>
      <c r="C29">
        <v>0</v>
      </c>
      <c r="D29">
        <v>1</v>
      </c>
      <c r="E29">
        <v>229</v>
      </c>
      <c r="F29">
        <v>0</v>
      </c>
      <c r="G29" t="s">
        <v>161</v>
      </c>
      <c r="H29" t="s">
        <v>162</v>
      </c>
      <c r="K29">
        <v>229</v>
      </c>
      <c r="L29">
        <v>10</v>
      </c>
      <c r="M29">
        <v>3</v>
      </c>
      <c r="N29" t="s">
        <v>3</v>
      </c>
      <c r="O29">
        <v>2</v>
      </c>
    </row>
    <row r="30" spans="1:15" x14ac:dyDescent="0.2">
      <c r="A30">
        <v>50</v>
      </c>
      <c r="B30">
        <v>0</v>
      </c>
      <c r="C30">
        <v>0</v>
      </c>
      <c r="D30">
        <v>1</v>
      </c>
      <c r="E30">
        <v>203</v>
      </c>
      <c r="F30">
        <v>113263.77</v>
      </c>
      <c r="G30" t="s">
        <v>163</v>
      </c>
      <c r="H30" t="s">
        <v>164</v>
      </c>
      <c r="K30">
        <v>203</v>
      </c>
      <c r="L30">
        <v>11</v>
      </c>
      <c r="M30">
        <v>3</v>
      </c>
      <c r="N30" t="s">
        <v>3</v>
      </c>
      <c r="O30">
        <v>2</v>
      </c>
    </row>
    <row r="31" spans="1:15" x14ac:dyDescent="0.2">
      <c r="A31">
        <v>50</v>
      </c>
      <c r="B31">
        <v>0</v>
      </c>
      <c r="C31">
        <v>0</v>
      </c>
      <c r="D31">
        <v>1</v>
      </c>
      <c r="E31">
        <v>231</v>
      </c>
      <c r="F31">
        <v>0</v>
      </c>
      <c r="G31" t="s">
        <v>165</v>
      </c>
      <c r="H31" t="s">
        <v>166</v>
      </c>
      <c r="K31">
        <v>231</v>
      </c>
      <c r="L31">
        <v>12</v>
      </c>
      <c r="M31">
        <v>3</v>
      </c>
      <c r="N31" t="s">
        <v>3</v>
      </c>
      <c r="O31">
        <v>2</v>
      </c>
    </row>
    <row r="32" spans="1:15" x14ac:dyDescent="0.2">
      <c r="A32">
        <v>50</v>
      </c>
      <c r="B32">
        <v>0</v>
      </c>
      <c r="C32">
        <v>0</v>
      </c>
      <c r="D32">
        <v>1</v>
      </c>
      <c r="E32">
        <v>204</v>
      </c>
      <c r="F32">
        <v>116.52999999999999</v>
      </c>
      <c r="G32" t="s">
        <v>167</v>
      </c>
      <c r="H32" t="s">
        <v>168</v>
      </c>
      <c r="K32">
        <v>204</v>
      </c>
      <c r="L32">
        <v>13</v>
      </c>
      <c r="M32">
        <v>3</v>
      </c>
      <c r="N32" t="s">
        <v>3</v>
      </c>
      <c r="O32">
        <v>2</v>
      </c>
    </row>
    <row r="33" spans="1:15" x14ac:dyDescent="0.2">
      <c r="A33">
        <v>50</v>
      </c>
      <c r="B33">
        <v>0</v>
      </c>
      <c r="C33">
        <v>0</v>
      </c>
      <c r="D33">
        <v>1</v>
      </c>
      <c r="E33">
        <v>205</v>
      </c>
      <c r="F33">
        <v>17602.239999999998</v>
      </c>
      <c r="G33" t="s">
        <v>169</v>
      </c>
      <c r="H33" t="s">
        <v>170</v>
      </c>
      <c r="K33">
        <v>205</v>
      </c>
      <c r="L33">
        <v>14</v>
      </c>
      <c r="M33">
        <v>3</v>
      </c>
      <c r="N33" t="s">
        <v>3</v>
      </c>
      <c r="O33">
        <v>2</v>
      </c>
    </row>
    <row r="34" spans="1:15" x14ac:dyDescent="0.2">
      <c r="A34">
        <v>50</v>
      </c>
      <c r="B34">
        <v>0</v>
      </c>
      <c r="C34">
        <v>0</v>
      </c>
      <c r="D34">
        <v>1</v>
      </c>
      <c r="E34">
        <v>232</v>
      </c>
      <c r="F34">
        <v>0</v>
      </c>
      <c r="G34" t="s">
        <v>171</v>
      </c>
      <c r="H34" t="s">
        <v>172</v>
      </c>
      <c r="K34">
        <v>232</v>
      </c>
      <c r="L34">
        <v>15</v>
      </c>
      <c r="M34">
        <v>3</v>
      </c>
      <c r="N34" t="s">
        <v>3</v>
      </c>
      <c r="O34">
        <v>2</v>
      </c>
    </row>
    <row r="35" spans="1:15" x14ac:dyDescent="0.2">
      <c r="A35">
        <v>50</v>
      </c>
      <c r="B35">
        <v>0</v>
      </c>
      <c r="C35">
        <v>0</v>
      </c>
      <c r="D35">
        <v>1</v>
      </c>
      <c r="E35">
        <v>214</v>
      </c>
      <c r="F35">
        <v>175050.17</v>
      </c>
      <c r="G35" t="s">
        <v>173</v>
      </c>
      <c r="H35" t="s">
        <v>174</v>
      </c>
      <c r="K35">
        <v>214</v>
      </c>
      <c r="L35">
        <v>16</v>
      </c>
      <c r="M35">
        <v>3</v>
      </c>
      <c r="N35" t="s">
        <v>3</v>
      </c>
      <c r="O35">
        <v>2</v>
      </c>
    </row>
    <row r="36" spans="1:15" x14ac:dyDescent="0.2">
      <c r="A36">
        <v>50</v>
      </c>
      <c r="B36">
        <v>0</v>
      </c>
      <c r="C36">
        <v>0</v>
      </c>
      <c r="D36">
        <v>1</v>
      </c>
      <c r="E36">
        <v>215</v>
      </c>
      <c r="F36">
        <v>0</v>
      </c>
      <c r="G36" t="s">
        <v>175</v>
      </c>
      <c r="H36" t="s">
        <v>176</v>
      </c>
      <c r="K36">
        <v>215</v>
      </c>
      <c r="L36">
        <v>17</v>
      </c>
      <c r="M36">
        <v>3</v>
      </c>
      <c r="N36" t="s">
        <v>3</v>
      </c>
      <c r="O36">
        <v>2</v>
      </c>
    </row>
    <row r="37" spans="1:15" x14ac:dyDescent="0.2">
      <c r="A37">
        <v>50</v>
      </c>
      <c r="B37">
        <v>0</v>
      </c>
      <c r="C37">
        <v>0</v>
      </c>
      <c r="D37">
        <v>1</v>
      </c>
      <c r="E37">
        <v>217</v>
      </c>
      <c r="F37">
        <v>0</v>
      </c>
      <c r="G37" t="s">
        <v>177</v>
      </c>
      <c r="H37" t="s">
        <v>178</v>
      </c>
      <c r="K37">
        <v>217</v>
      </c>
      <c r="L37">
        <v>18</v>
      </c>
      <c r="M37">
        <v>3</v>
      </c>
      <c r="N37" t="s">
        <v>3</v>
      </c>
      <c r="O37">
        <v>2</v>
      </c>
    </row>
    <row r="38" spans="1:15" x14ac:dyDescent="0.2">
      <c r="A38">
        <v>50</v>
      </c>
      <c r="B38">
        <v>0</v>
      </c>
      <c r="C38">
        <v>0</v>
      </c>
      <c r="D38">
        <v>1</v>
      </c>
      <c r="E38">
        <v>230</v>
      </c>
      <c r="F38">
        <v>0</v>
      </c>
      <c r="G38" t="s">
        <v>179</v>
      </c>
      <c r="H38" t="s">
        <v>180</v>
      </c>
      <c r="K38">
        <v>230</v>
      </c>
      <c r="L38">
        <v>19</v>
      </c>
      <c r="M38">
        <v>3</v>
      </c>
      <c r="N38" t="s">
        <v>3</v>
      </c>
      <c r="O38">
        <v>2</v>
      </c>
    </row>
    <row r="39" spans="1:15" x14ac:dyDescent="0.2">
      <c r="A39">
        <v>50</v>
      </c>
      <c r="B39">
        <v>0</v>
      </c>
      <c r="C39">
        <v>0</v>
      </c>
      <c r="D39">
        <v>1</v>
      </c>
      <c r="E39">
        <v>206</v>
      </c>
      <c r="F39">
        <v>0</v>
      </c>
      <c r="G39" t="s">
        <v>181</v>
      </c>
      <c r="H39" t="s">
        <v>182</v>
      </c>
      <c r="K39">
        <v>206</v>
      </c>
      <c r="L39">
        <v>20</v>
      </c>
      <c r="M39">
        <v>3</v>
      </c>
      <c r="N39" t="s">
        <v>3</v>
      </c>
      <c r="O39">
        <v>2</v>
      </c>
    </row>
    <row r="40" spans="1:15" x14ac:dyDescent="0.2">
      <c r="A40">
        <v>50</v>
      </c>
      <c r="B40">
        <v>0</v>
      </c>
      <c r="C40">
        <v>0</v>
      </c>
      <c r="D40">
        <v>1</v>
      </c>
      <c r="E40">
        <v>207</v>
      </c>
      <c r="F40">
        <v>27.805955000000001</v>
      </c>
      <c r="G40" t="s">
        <v>183</v>
      </c>
      <c r="H40" t="s">
        <v>184</v>
      </c>
      <c r="K40">
        <v>207</v>
      </c>
      <c r="L40">
        <v>21</v>
      </c>
      <c r="M40">
        <v>3</v>
      </c>
      <c r="N40" t="s">
        <v>3</v>
      </c>
      <c r="O40">
        <v>-1</v>
      </c>
    </row>
    <row r="41" spans="1:15" x14ac:dyDescent="0.2">
      <c r="A41">
        <v>50</v>
      </c>
      <c r="B41">
        <v>0</v>
      </c>
      <c r="C41">
        <v>0</v>
      </c>
      <c r="D41">
        <v>1</v>
      </c>
      <c r="E41">
        <v>208</v>
      </c>
      <c r="F41">
        <v>0.16423979999999999</v>
      </c>
      <c r="G41" t="s">
        <v>185</v>
      </c>
      <c r="H41" t="s">
        <v>186</v>
      </c>
      <c r="K41">
        <v>208</v>
      </c>
      <c r="L41">
        <v>22</v>
      </c>
      <c r="M41">
        <v>3</v>
      </c>
      <c r="N41" t="s">
        <v>3</v>
      </c>
      <c r="O41">
        <v>-1</v>
      </c>
    </row>
    <row r="42" spans="1:15" x14ac:dyDescent="0.2">
      <c r="A42">
        <v>50</v>
      </c>
      <c r="B42">
        <v>0</v>
      </c>
      <c r="C42">
        <v>0</v>
      </c>
      <c r="D42">
        <v>1</v>
      </c>
      <c r="E42">
        <v>209</v>
      </c>
      <c r="F42">
        <v>0</v>
      </c>
      <c r="G42" t="s">
        <v>187</v>
      </c>
      <c r="H42" t="s">
        <v>188</v>
      </c>
      <c r="K42">
        <v>209</v>
      </c>
      <c r="L42">
        <v>23</v>
      </c>
      <c r="M42">
        <v>3</v>
      </c>
      <c r="N42" t="s">
        <v>3</v>
      </c>
      <c r="O42">
        <v>2</v>
      </c>
    </row>
    <row r="43" spans="1:15" x14ac:dyDescent="0.2">
      <c r="A43">
        <v>50</v>
      </c>
      <c r="B43">
        <v>0</v>
      </c>
      <c r="C43">
        <v>0</v>
      </c>
      <c r="D43">
        <v>1</v>
      </c>
      <c r="E43">
        <v>233</v>
      </c>
      <c r="F43">
        <v>0</v>
      </c>
      <c r="G43" t="s">
        <v>189</v>
      </c>
      <c r="H43" t="s">
        <v>190</v>
      </c>
      <c r="K43">
        <v>233</v>
      </c>
      <c r="L43">
        <v>24</v>
      </c>
      <c r="M43">
        <v>3</v>
      </c>
      <c r="N43" t="s">
        <v>3</v>
      </c>
      <c r="O43">
        <v>2</v>
      </c>
    </row>
    <row r="44" spans="1:15" x14ac:dyDescent="0.2">
      <c r="A44">
        <v>50</v>
      </c>
      <c r="B44">
        <v>0</v>
      </c>
      <c r="C44">
        <v>0</v>
      </c>
      <c r="D44">
        <v>1</v>
      </c>
      <c r="E44">
        <v>210</v>
      </c>
      <c r="F44">
        <v>17955.64</v>
      </c>
      <c r="G44" t="s">
        <v>191</v>
      </c>
      <c r="H44" t="s">
        <v>192</v>
      </c>
      <c r="K44">
        <v>210</v>
      </c>
      <c r="L44">
        <v>25</v>
      </c>
      <c r="M44">
        <v>3</v>
      </c>
      <c r="N44" t="s">
        <v>3</v>
      </c>
      <c r="O44">
        <v>2</v>
      </c>
    </row>
    <row r="45" spans="1:15" x14ac:dyDescent="0.2">
      <c r="A45">
        <v>50</v>
      </c>
      <c r="B45">
        <v>0</v>
      </c>
      <c r="C45">
        <v>0</v>
      </c>
      <c r="D45">
        <v>1</v>
      </c>
      <c r="E45">
        <v>211</v>
      </c>
      <c r="F45">
        <v>9923.19</v>
      </c>
      <c r="G45" t="s">
        <v>193</v>
      </c>
      <c r="H45" t="s">
        <v>194</v>
      </c>
      <c r="K45">
        <v>211</v>
      </c>
      <c r="L45">
        <v>26</v>
      </c>
      <c r="M45">
        <v>3</v>
      </c>
      <c r="N45" t="s">
        <v>3</v>
      </c>
      <c r="O45">
        <v>2</v>
      </c>
    </row>
    <row r="46" spans="1:15" x14ac:dyDescent="0.2">
      <c r="A46">
        <v>50</v>
      </c>
      <c r="B46">
        <v>0</v>
      </c>
      <c r="C46">
        <v>0</v>
      </c>
      <c r="D46">
        <v>1</v>
      </c>
      <c r="E46">
        <v>224</v>
      </c>
      <c r="F46">
        <v>175050.17</v>
      </c>
      <c r="G46" t="s">
        <v>195</v>
      </c>
      <c r="H46" t="s">
        <v>196</v>
      </c>
      <c r="K46">
        <v>224</v>
      </c>
      <c r="L46">
        <v>27</v>
      </c>
      <c r="M46">
        <v>3</v>
      </c>
      <c r="N46" t="s">
        <v>3</v>
      </c>
      <c r="O46">
        <v>2</v>
      </c>
    </row>
    <row r="47" spans="1:15" x14ac:dyDescent="0.2">
      <c r="A47">
        <v>50</v>
      </c>
      <c r="B47">
        <v>1</v>
      </c>
      <c r="C47">
        <v>0</v>
      </c>
      <c r="D47">
        <v>2</v>
      </c>
      <c r="E47">
        <v>0</v>
      </c>
      <c r="F47">
        <v>175050.17</v>
      </c>
      <c r="G47" t="s">
        <v>197</v>
      </c>
      <c r="H47" t="s">
        <v>198</v>
      </c>
      <c r="K47">
        <v>212</v>
      </c>
      <c r="L47">
        <v>28</v>
      </c>
      <c r="M47">
        <v>0</v>
      </c>
      <c r="N47" t="s">
        <v>3</v>
      </c>
      <c r="O47">
        <v>2</v>
      </c>
    </row>
    <row r="48" spans="1:15" x14ac:dyDescent="0.2">
      <c r="A48">
        <v>50</v>
      </c>
      <c r="B48">
        <v>1</v>
      </c>
      <c r="C48">
        <v>0</v>
      </c>
      <c r="D48">
        <v>2</v>
      </c>
      <c r="E48">
        <v>0</v>
      </c>
      <c r="F48">
        <v>38511.040000000001</v>
      </c>
      <c r="G48" t="s">
        <v>199</v>
      </c>
      <c r="H48" t="s">
        <v>200</v>
      </c>
      <c r="K48">
        <v>212</v>
      </c>
      <c r="L48">
        <v>29</v>
      </c>
      <c r="M48">
        <v>0</v>
      </c>
      <c r="N48" t="s">
        <v>3</v>
      </c>
      <c r="O48">
        <v>2</v>
      </c>
    </row>
    <row r="49" spans="1:40" x14ac:dyDescent="0.2">
      <c r="A49">
        <v>50</v>
      </c>
      <c r="B49">
        <v>1</v>
      </c>
      <c r="C49">
        <v>0</v>
      </c>
      <c r="D49">
        <v>2</v>
      </c>
      <c r="E49">
        <v>213</v>
      </c>
      <c r="F49">
        <v>213561.21</v>
      </c>
      <c r="G49" t="s">
        <v>201</v>
      </c>
      <c r="H49" t="s">
        <v>195</v>
      </c>
      <c r="K49">
        <v>212</v>
      </c>
      <c r="L49">
        <v>30</v>
      </c>
      <c r="M49">
        <v>0</v>
      </c>
      <c r="N49" t="s">
        <v>3</v>
      </c>
      <c r="O49">
        <v>2</v>
      </c>
    </row>
    <row r="51" spans="1:40" x14ac:dyDescent="0.2">
      <c r="A51">
        <v>-1</v>
      </c>
    </row>
    <row r="54" spans="1:40" x14ac:dyDescent="0.2">
      <c r="A54">
        <v>75</v>
      </c>
      <c r="B54" t="s">
        <v>274</v>
      </c>
      <c r="C54">
        <v>2026</v>
      </c>
      <c r="D54">
        <v>2</v>
      </c>
      <c r="E54">
        <v>0</v>
      </c>
      <c r="F54">
        <v>1</v>
      </c>
      <c r="G54">
        <v>0</v>
      </c>
      <c r="H54">
        <v>1</v>
      </c>
      <c r="I54">
        <v>0</v>
      </c>
      <c r="J54">
        <v>1</v>
      </c>
      <c r="K54">
        <v>0</v>
      </c>
      <c r="L54">
        <v>0</v>
      </c>
      <c r="M54">
        <v>0</v>
      </c>
      <c r="N54">
        <v>75284898</v>
      </c>
      <c r="O54">
        <v>1</v>
      </c>
    </row>
    <row r="55" spans="1:40" x14ac:dyDescent="0.2">
      <c r="A55">
        <v>2</v>
      </c>
      <c r="B55" t="s">
        <v>275</v>
      </c>
      <c r="C55" t="s">
        <v>276</v>
      </c>
      <c r="D55">
        <v>0</v>
      </c>
      <c r="E55">
        <v>0</v>
      </c>
      <c r="F55">
        <v>0</v>
      </c>
      <c r="AN55">
        <v>75284899</v>
      </c>
    </row>
    <row r="56" spans="1:40" x14ac:dyDescent="0.2">
      <c r="A56">
        <v>1</v>
      </c>
      <c r="B56" t="s">
        <v>277</v>
      </c>
      <c r="C56" t="s">
        <v>278</v>
      </c>
      <c r="D56">
        <v>2026</v>
      </c>
      <c r="E56">
        <v>6</v>
      </c>
      <c r="F56">
        <v>1</v>
      </c>
      <c r="G56">
        <v>1</v>
      </c>
      <c r="H56">
        <v>0</v>
      </c>
      <c r="I56">
        <v>2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 t="s">
        <v>3</v>
      </c>
      <c r="S56" t="s">
        <v>3</v>
      </c>
      <c r="T56" t="s">
        <v>3</v>
      </c>
      <c r="U56" t="s">
        <v>3</v>
      </c>
      <c r="V56" t="s">
        <v>3</v>
      </c>
      <c r="W56" t="s">
        <v>3</v>
      </c>
      <c r="X56" t="s">
        <v>3</v>
      </c>
      <c r="Y56" t="s">
        <v>3</v>
      </c>
      <c r="Z56" t="s">
        <v>3</v>
      </c>
      <c r="AA56" t="s">
        <v>3</v>
      </c>
      <c r="AN56">
        <v>75284900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3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75284898</v>
      </c>
      <c r="C1">
        <v>75284970</v>
      </c>
      <c r="D1">
        <v>73521290</v>
      </c>
      <c r="E1">
        <v>118</v>
      </c>
      <c r="F1">
        <v>1</v>
      </c>
      <c r="G1">
        <v>1</v>
      </c>
      <c r="H1">
        <v>1</v>
      </c>
      <c r="I1" t="s">
        <v>280</v>
      </c>
      <c r="J1" t="s">
        <v>3</v>
      </c>
      <c r="K1" t="s">
        <v>281</v>
      </c>
      <c r="L1">
        <v>1191</v>
      </c>
      <c r="N1">
        <v>1013</v>
      </c>
      <c r="O1" t="s">
        <v>282</v>
      </c>
      <c r="P1" t="s">
        <v>282</v>
      </c>
      <c r="Q1">
        <v>1</v>
      </c>
      <c r="W1">
        <v>0</v>
      </c>
      <c r="X1">
        <v>370475345</v>
      </c>
      <c r="Y1">
        <f>(AT1*ROUND(((0.15+1)*1.25),7))</f>
        <v>13.081249999999999</v>
      </c>
      <c r="AA1">
        <v>0</v>
      </c>
      <c r="AB1">
        <v>0</v>
      </c>
      <c r="AC1">
        <v>0</v>
      </c>
      <c r="AD1">
        <v>594.67999999999995</v>
      </c>
      <c r="AE1">
        <v>0</v>
      </c>
      <c r="AF1">
        <v>0</v>
      </c>
      <c r="AG1">
        <v>0</v>
      </c>
      <c r="AH1">
        <v>594.67999999999995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9.1</v>
      </c>
      <c r="AU1" t="s">
        <v>22</v>
      </c>
      <c r="AV1">
        <v>1</v>
      </c>
      <c r="AW1">
        <v>2</v>
      </c>
      <c r="AX1">
        <v>75284971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5411.5879999999997</v>
      </c>
      <c r="BN1">
        <v>9.1</v>
      </c>
      <c r="BO1">
        <v>0</v>
      </c>
      <c r="BP1">
        <v>1</v>
      </c>
      <c r="BQ1">
        <v>0</v>
      </c>
      <c r="BR1">
        <v>0</v>
      </c>
      <c r="BS1">
        <v>0</v>
      </c>
      <c r="BT1">
        <v>7779.1577499999976</v>
      </c>
      <c r="BU1">
        <v>13.081249999999997</v>
      </c>
      <c r="BV1">
        <v>0</v>
      </c>
      <c r="BW1">
        <v>1</v>
      </c>
      <c r="CU1">
        <f>ROUND(AT1*Source!I28*AH1*AL1,2)</f>
        <v>24.89</v>
      </c>
      <c r="CV1">
        <f>ROUND(Y1*Source!I28,7)</f>
        <v>6.01738E-2</v>
      </c>
      <c r="CW1">
        <v>0</v>
      </c>
      <c r="CX1">
        <f>ROUND(Y1*Source!I28,7)</f>
        <v>6.01738E-2</v>
      </c>
      <c r="CY1">
        <f>AD1</f>
        <v>594.67999999999995</v>
      </c>
      <c r="CZ1">
        <f>AH1</f>
        <v>594.67999999999995</v>
      </c>
      <c r="DA1">
        <f>AL1</f>
        <v>1</v>
      </c>
      <c r="DB1">
        <f>ROUND((ROUND(AT1*CZ1,2)*ROUND(((0.15+1)*1.25),7)),6)</f>
        <v>7779.1606250000004</v>
      </c>
      <c r="DC1">
        <f>ROUND((ROUND(AT1*AG1,2)*ROUND(((0.15+1)*1.25),7)),6)</f>
        <v>0</v>
      </c>
      <c r="DD1" t="s">
        <v>3</v>
      </c>
      <c r="DE1" t="s">
        <v>3</v>
      </c>
      <c r="DF1">
        <f t="shared" ref="DF1:DF14" si="0">ROUND(ROUND(AE1,2)*CX1,2)</f>
        <v>0</v>
      </c>
      <c r="DG1">
        <f>ROUND(ROUND(AF1,2)*CX1,2)</f>
        <v>0</v>
      </c>
      <c r="DH1">
        <f t="shared" ref="DH1:DH31" si="1">ROUND(ROUND(AG1,2)*CX1,2)</f>
        <v>0</v>
      </c>
      <c r="DI1">
        <f t="shared" ref="DI1:DI31" si="2">ROUND(ROUND(AH1,2)*CX1,2)</f>
        <v>35.78</v>
      </c>
      <c r="DJ1">
        <f>DI1</f>
        <v>35.78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75284898</v>
      </c>
      <c r="C2">
        <v>75284970</v>
      </c>
      <c r="D2">
        <v>73648121</v>
      </c>
      <c r="E2">
        <v>1</v>
      </c>
      <c r="F2">
        <v>1</v>
      </c>
      <c r="G2">
        <v>1</v>
      </c>
      <c r="H2">
        <v>2</v>
      </c>
      <c r="I2" t="s">
        <v>283</v>
      </c>
      <c r="J2" t="s">
        <v>284</v>
      </c>
      <c r="K2" t="s">
        <v>285</v>
      </c>
      <c r="L2">
        <v>1368</v>
      </c>
      <c r="N2">
        <v>1011</v>
      </c>
      <c r="O2" t="s">
        <v>286</v>
      </c>
      <c r="P2" t="s">
        <v>286</v>
      </c>
      <c r="Q2">
        <v>1</v>
      </c>
      <c r="W2">
        <v>0</v>
      </c>
      <c r="X2">
        <v>-43419242</v>
      </c>
      <c r="Y2">
        <f>(AT2*ROUND(((0.15+1)*1.25),7))</f>
        <v>0.17249999999999999</v>
      </c>
      <c r="AA2">
        <v>0</v>
      </c>
      <c r="AB2">
        <v>9.93</v>
      </c>
      <c r="AC2">
        <v>0</v>
      </c>
      <c r="AD2">
        <v>0</v>
      </c>
      <c r="AE2">
        <v>0</v>
      </c>
      <c r="AF2">
        <v>6.62</v>
      </c>
      <c r="AG2">
        <v>0</v>
      </c>
      <c r="AH2">
        <v>0</v>
      </c>
      <c r="AI2">
        <v>1</v>
      </c>
      <c r="AJ2">
        <v>1.5</v>
      </c>
      <c r="AK2">
        <v>1</v>
      </c>
      <c r="AL2">
        <v>1</v>
      </c>
      <c r="AM2">
        <v>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0.12</v>
      </c>
      <c r="AU2" t="s">
        <v>22</v>
      </c>
      <c r="AV2">
        <v>1</v>
      </c>
      <c r="AW2">
        <v>2</v>
      </c>
      <c r="AX2">
        <v>75284972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0.7944</v>
      </c>
      <c r="BL2">
        <v>0</v>
      </c>
      <c r="BM2">
        <v>0</v>
      </c>
      <c r="BN2">
        <v>0</v>
      </c>
      <c r="BO2">
        <v>0</v>
      </c>
      <c r="BP2">
        <v>1</v>
      </c>
      <c r="BQ2">
        <v>0</v>
      </c>
      <c r="BR2">
        <v>1.14195</v>
      </c>
      <c r="BS2">
        <v>0</v>
      </c>
      <c r="BT2">
        <v>0</v>
      </c>
      <c r="BU2">
        <v>0</v>
      </c>
      <c r="BV2">
        <v>0</v>
      </c>
      <c r="BW2">
        <v>1</v>
      </c>
      <c r="CV2">
        <v>0</v>
      </c>
      <c r="CW2">
        <f>ROUND(Y2*Source!I28*DO2,7)</f>
        <v>0</v>
      </c>
      <c r="CX2">
        <f>ROUND(Y2*Source!I28,7)</f>
        <v>7.9350000000000004E-4</v>
      </c>
      <c r="CY2">
        <f>AB2</f>
        <v>9.93</v>
      </c>
      <c r="CZ2">
        <f>AF2</f>
        <v>6.62</v>
      </c>
      <c r="DA2">
        <f>AJ2</f>
        <v>1.5</v>
      </c>
      <c r="DB2">
        <f>ROUND((ROUND(AT2*CZ2,2)*ROUND(((0.15+1)*1.25),7)),6)</f>
        <v>1.1356250000000001</v>
      </c>
      <c r="DC2">
        <f>ROUND((ROUND(AT2*AG2,2)*ROUND(((0.15+1)*1.25),7)),6)</f>
        <v>0</v>
      </c>
      <c r="DD2" t="s">
        <v>3</v>
      </c>
      <c r="DE2" t="s">
        <v>3</v>
      </c>
      <c r="DF2">
        <f t="shared" si="0"/>
        <v>0</v>
      </c>
      <c r="DG2">
        <f>ROUND(ROUND(AF2*AJ2,2)*CX2,2)</f>
        <v>0.01</v>
      </c>
      <c r="DH2">
        <f t="shared" si="1"/>
        <v>0</v>
      </c>
      <c r="DI2">
        <f t="shared" si="2"/>
        <v>0</v>
      </c>
      <c r="DJ2">
        <f>DG2+DH2</f>
        <v>0.01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ROW(Source!A28)</f>
        <v>28</v>
      </c>
      <c r="B3">
        <v>75284898</v>
      </c>
      <c r="C3">
        <v>75284970</v>
      </c>
      <c r="D3">
        <v>73527584</v>
      </c>
      <c r="E3">
        <v>118</v>
      </c>
      <c r="F3">
        <v>1</v>
      </c>
      <c r="G3">
        <v>1</v>
      </c>
      <c r="H3">
        <v>3</v>
      </c>
      <c r="I3" t="s">
        <v>31</v>
      </c>
      <c r="J3" t="s">
        <v>3</v>
      </c>
      <c r="K3" t="s">
        <v>32</v>
      </c>
      <c r="L3">
        <v>1348</v>
      </c>
      <c r="N3">
        <v>1009</v>
      </c>
      <c r="O3" t="s">
        <v>33</v>
      </c>
      <c r="P3" t="s">
        <v>33</v>
      </c>
      <c r="Q3">
        <v>1000</v>
      </c>
      <c r="W3">
        <v>0</v>
      </c>
      <c r="X3">
        <v>2102561428</v>
      </c>
      <c r="Y3">
        <f>AT3</f>
        <v>0.12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M3">
        <v>0</v>
      </c>
      <c r="AN3">
        <v>0</v>
      </c>
      <c r="AO3">
        <v>0</v>
      </c>
      <c r="AP3">
        <v>1</v>
      </c>
      <c r="AQ3">
        <v>0</v>
      </c>
      <c r="AR3">
        <v>0</v>
      </c>
      <c r="AS3" t="s">
        <v>3</v>
      </c>
      <c r="AT3">
        <v>0.12</v>
      </c>
      <c r="AU3" t="s">
        <v>3</v>
      </c>
      <c r="AV3">
        <v>0</v>
      </c>
      <c r="AW3">
        <v>2</v>
      </c>
      <c r="AX3">
        <v>75284973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v>0</v>
      </c>
      <c r="CX3">
        <f>ROUND(Y3*Source!I28,7)</f>
        <v>5.5199999999999997E-4</v>
      </c>
      <c r="CY3">
        <f>AA3</f>
        <v>0</v>
      </c>
      <c r="CZ3">
        <f>AE3</f>
        <v>0</v>
      </c>
      <c r="DA3">
        <f>AI3</f>
        <v>1</v>
      </c>
      <c r="DB3">
        <f>ROUND(ROUND(AT3*CZ3,2),6)</f>
        <v>0</v>
      </c>
      <c r="DC3">
        <f>ROUND(ROUND(AT3*AG3,2),6)</f>
        <v>0</v>
      </c>
      <c r="DD3" t="s">
        <v>3</v>
      </c>
      <c r="DE3" t="s">
        <v>3</v>
      </c>
      <c r="DF3">
        <f t="shared" si="0"/>
        <v>0</v>
      </c>
      <c r="DG3">
        <f>ROUND(ROUND(AF3,2)*CX3,2)</f>
        <v>0</v>
      </c>
      <c r="DH3">
        <f t="shared" si="1"/>
        <v>0</v>
      </c>
      <c r="DI3">
        <f t="shared" si="2"/>
        <v>0</v>
      </c>
      <c r="DJ3">
        <f>DF3</f>
        <v>0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ROW(Source!A30)</f>
        <v>30</v>
      </c>
      <c r="B4">
        <v>75284898</v>
      </c>
      <c r="C4">
        <v>75285001</v>
      </c>
      <c r="D4">
        <v>73521282</v>
      </c>
      <c r="E4">
        <v>118</v>
      </c>
      <c r="F4">
        <v>1</v>
      </c>
      <c r="G4">
        <v>1</v>
      </c>
      <c r="H4">
        <v>1</v>
      </c>
      <c r="I4" t="s">
        <v>287</v>
      </c>
      <c r="J4" t="s">
        <v>3</v>
      </c>
      <c r="K4" t="s">
        <v>288</v>
      </c>
      <c r="L4">
        <v>1191</v>
      </c>
      <c r="N4">
        <v>1013</v>
      </c>
      <c r="O4" t="s">
        <v>282</v>
      </c>
      <c r="P4" t="s">
        <v>282</v>
      </c>
      <c r="Q4">
        <v>1</v>
      </c>
      <c r="W4">
        <v>0</v>
      </c>
      <c r="X4">
        <v>1058917192</v>
      </c>
      <c r="Y4">
        <f t="shared" ref="Y4:Y12" si="3">(AT4*ROUND(((0.15+1)*1.25),7))</f>
        <v>1.1500000000000001</v>
      </c>
      <c r="AA4">
        <v>0</v>
      </c>
      <c r="AB4">
        <v>0</v>
      </c>
      <c r="AC4">
        <v>0</v>
      </c>
      <c r="AD4">
        <v>575.04</v>
      </c>
      <c r="AE4">
        <v>0</v>
      </c>
      <c r="AF4">
        <v>0</v>
      </c>
      <c r="AG4">
        <v>0</v>
      </c>
      <c r="AH4">
        <v>575.04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0.8</v>
      </c>
      <c r="AU4" t="s">
        <v>22</v>
      </c>
      <c r="AV4">
        <v>1</v>
      </c>
      <c r="AW4">
        <v>2</v>
      </c>
      <c r="AX4">
        <v>75285002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460.03199999999998</v>
      </c>
      <c r="BN4">
        <v>0.8</v>
      </c>
      <c r="BO4">
        <v>0</v>
      </c>
      <c r="BP4">
        <v>1</v>
      </c>
      <c r="BQ4">
        <v>0</v>
      </c>
      <c r="BR4">
        <v>0</v>
      </c>
      <c r="BS4">
        <v>0</v>
      </c>
      <c r="BT4">
        <v>661.29599999999994</v>
      </c>
      <c r="BU4">
        <v>1.1499999999999999</v>
      </c>
      <c r="BV4">
        <v>0</v>
      </c>
      <c r="BW4">
        <v>1</v>
      </c>
      <c r="CU4">
        <f>ROUND(AT4*Source!I30*AH4*AL4,2)</f>
        <v>1840.13</v>
      </c>
      <c r="CV4">
        <f>ROUND(Y4*Source!I30,7)</f>
        <v>4.5999999999999996</v>
      </c>
      <c r="CW4">
        <v>0</v>
      </c>
      <c r="CX4">
        <f>ROUND(Y4*Source!I30,7)</f>
        <v>4.5999999999999996</v>
      </c>
      <c r="CY4">
        <f>AD4</f>
        <v>575.04</v>
      </c>
      <c r="CZ4">
        <f>AH4</f>
        <v>575.04</v>
      </c>
      <c r="DA4">
        <f>AL4</f>
        <v>1</v>
      </c>
      <c r="DB4">
        <f t="shared" ref="DB4:DB12" si="4">ROUND((ROUND(AT4*CZ4,2)*ROUND(((0.15+1)*1.25),7)),6)</f>
        <v>661.29312500000003</v>
      </c>
      <c r="DC4">
        <f t="shared" ref="DC4:DC12" si="5">ROUND((ROUND(AT4*AG4,2)*ROUND(((0.15+1)*1.25),7)),6)</f>
        <v>0</v>
      </c>
      <c r="DD4" t="s">
        <v>3</v>
      </c>
      <c r="DE4" t="s">
        <v>3</v>
      </c>
      <c r="DF4">
        <f t="shared" si="0"/>
        <v>0</v>
      </c>
      <c r="DG4">
        <f>ROUND(ROUND(AF4,2)*CX4,2)</f>
        <v>0</v>
      </c>
      <c r="DH4">
        <f t="shared" si="1"/>
        <v>0</v>
      </c>
      <c r="DI4">
        <f t="shared" si="2"/>
        <v>2645.18</v>
      </c>
      <c r="DJ4">
        <f>DI4</f>
        <v>2645.18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ROW(Source!A31)</f>
        <v>31</v>
      </c>
      <c r="B5">
        <v>75284898</v>
      </c>
      <c r="C5">
        <v>75285003</v>
      </c>
      <c r="D5">
        <v>73521326</v>
      </c>
      <c r="E5">
        <v>118</v>
      </c>
      <c r="F5">
        <v>1</v>
      </c>
      <c r="G5">
        <v>1</v>
      </c>
      <c r="H5">
        <v>1</v>
      </c>
      <c r="I5" t="s">
        <v>289</v>
      </c>
      <c r="J5" t="s">
        <v>3</v>
      </c>
      <c r="K5" t="s">
        <v>290</v>
      </c>
      <c r="L5">
        <v>1191</v>
      </c>
      <c r="N5">
        <v>1013</v>
      </c>
      <c r="O5" t="s">
        <v>282</v>
      </c>
      <c r="P5" t="s">
        <v>282</v>
      </c>
      <c r="Q5">
        <v>1</v>
      </c>
      <c r="W5">
        <v>0</v>
      </c>
      <c r="X5">
        <v>1014935341</v>
      </c>
      <c r="Y5">
        <f t="shared" si="3"/>
        <v>7.3456250000000001</v>
      </c>
      <c r="AA5">
        <v>0</v>
      </c>
      <c r="AB5">
        <v>0</v>
      </c>
      <c r="AC5">
        <v>0</v>
      </c>
      <c r="AD5">
        <v>643.78</v>
      </c>
      <c r="AE5">
        <v>0</v>
      </c>
      <c r="AF5">
        <v>0</v>
      </c>
      <c r="AG5">
        <v>0</v>
      </c>
      <c r="AH5">
        <v>643.78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5.1100000000000003</v>
      </c>
      <c r="AU5" t="s">
        <v>22</v>
      </c>
      <c r="AV5">
        <v>1</v>
      </c>
      <c r="AW5">
        <v>2</v>
      </c>
      <c r="AX5">
        <v>75285004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3289.7157999999999</v>
      </c>
      <c r="BN5">
        <v>5.1100000000000003</v>
      </c>
      <c r="BO5">
        <v>0</v>
      </c>
      <c r="BP5">
        <v>1</v>
      </c>
      <c r="BQ5">
        <v>0</v>
      </c>
      <c r="BR5">
        <v>0</v>
      </c>
      <c r="BS5">
        <v>0</v>
      </c>
      <c r="BT5">
        <v>4728.9664624999996</v>
      </c>
      <c r="BU5">
        <v>7.3456250000000001</v>
      </c>
      <c r="BV5">
        <v>0</v>
      </c>
      <c r="BW5">
        <v>1</v>
      </c>
      <c r="CU5">
        <f>ROUND(AT5*Source!I31*AH5*AL5,2)</f>
        <v>887.89</v>
      </c>
      <c r="CV5">
        <f>ROUND(Y5*Source!I31,7)</f>
        <v>1.9825842</v>
      </c>
      <c r="CW5">
        <v>0</v>
      </c>
      <c r="CX5">
        <f>ROUND(Y5*Source!I31,7)</f>
        <v>1.9825842</v>
      </c>
      <c r="CY5">
        <f>AD5</f>
        <v>643.78</v>
      </c>
      <c r="CZ5">
        <f>AH5</f>
        <v>643.78</v>
      </c>
      <c r="DA5">
        <f>AL5</f>
        <v>1</v>
      </c>
      <c r="DB5">
        <f t="shared" si="4"/>
        <v>4728.9724999999999</v>
      </c>
      <c r="DC5">
        <f t="shared" si="5"/>
        <v>0</v>
      </c>
      <c r="DD5" t="s">
        <v>3</v>
      </c>
      <c r="DE5" t="s">
        <v>3</v>
      </c>
      <c r="DF5">
        <f t="shared" si="0"/>
        <v>0</v>
      </c>
      <c r="DG5">
        <f>ROUND(ROUND(AF5,2)*CX5,2)</f>
        <v>0</v>
      </c>
      <c r="DH5">
        <f t="shared" si="1"/>
        <v>0</v>
      </c>
      <c r="DI5">
        <f t="shared" si="2"/>
        <v>1276.3499999999999</v>
      </c>
      <c r="DJ5">
        <f>DI5</f>
        <v>1276.3499999999999</v>
      </c>
      <c r="DK5">
        <v>1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ROW(Source!A31)</f>
        <v>31</v>
      </c>
      <c r="B6">
        <v>75284898</v>
      </c>
      <c r="C6">
        <v>75285003</v>
      </c>
      <c r="D6">
        <v>73648197</v>
      </c>
      <c r="E6">
        <v>1</v>
      </c>
      <c r="F6">
        <v>1</v>
      </c>
      <c r="G6">
        <v>1</v>
      </c>
      <c r="H6">
        <v>2</v>
      </c>
      <c r="I6" t="s">
        <v>291</v>
      </c>
      <c r="J6" t="s">
        <v>292</v>
      </c>
      <c r="K6" t="s">
        <v>293</v>
      </c>
      <c r="L6">
        <v>1368</v>
      </c>
      <c r="N6">
        <v>1011</v>
      </c>
      <c r="O6" t="s">
        <v>286</v>
      </c>
      <c r="P6" t="s">
        <v>286</v>
      </c>
      <c r="Q6">
        <v>1</v>
      </c>
      <c r="W6">
        <v>0</v>
      </c>
      <c r="X6">
        <v>-1097391293</v>
      </c>
      <c r="Y6">
        <f t="shared" si="3"/>
        <v>6.8999999999999995</v>
      </c>
      <c r="AA6">
        <v>0</v>
      </c>
      <c r="AB6">
        <v>19.899999999999999</v>
      </c>
      <c r="AC6">
        <v>0</v>
      </c>
      <c r="AD6">
        <v>0</v>
      </c>
      <c r="AE6">
        <v>0</v>
      </c>
      <c r="AF6">
        <v>17.3</v>
      </c>
      <c r="AG6">
        <v>0</v>
      </c>
      <c r="AH6">
        <v>0</v>
      </c>
      <c r="AI6">
        <v>1</v>
      </c>
      <c r="AJ6">
        <v>1.1499999999999999</v>
      </c>
      <c r="AK6">
        <v>1</v>
      </c>
      <c r="AL6">
        <v>1</v>
      </c>
      <c r="AM6">
        <v>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4.8</v>
      </c>
      <c r="AU6" t="s">
        <v>22</v>
      </c>
      <c r="AV6">
        <v>1</v>
      </c>
      <c r="AW6">
        <v>2</v>
      </c>
      <c r="AX6">
        <v>75285005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83.04</v>
      </c>
      <c r="BL6">
        <v>0</v>
      </c>
      <c r="BM6">
        <v>0</v>
      </c>
      <c r="BN6">
        <v>0</v>
      </c>
      <c r="BO6">
        <v>0</v>
      </c>
      <c r="BP6">
        <v>1</v>
      </c>
      <c r="BQ6">
        <v>0</v>
      </c>
      <c r="BR6">
        <v>119.36999999999999</v>
      </c>
      <c r="BS6">
        <v>0</v>
      </c>
      <c r="BT6">
        <v>0</v>
      </c>
      <c r="BU6">
        <v>0</v>
      </c>
      <c r="BV6">
        <v>0</v>
      </c>
      <c r="BW6">
        <v>1</v>
      </c>
      <c r="CV6">
        <v>0</v>
      </c>
      <c r="CW6">
        <f>ROUND(Y6*Source!I31*DO6,7)</f>
        <v>0</v>
      </c>
      <c r="CX6">
        <f>ROUND(Y6*Source!I31,7)</f>
        <v>1.8623099999999999</v>
      </c>
      <c r="CY6">
        <f>AB6</f>
        <v>19.899999999999999</v>
      </c>
      <c r="CZ6">
        <f>AF6</f>
        <v>17.3</v>
      </c>
      <c r="DA6">
        <f>AJ6</f>
        <v>1.1499999999999999</v>
      </c>
      <c r="DB6">
        <f t="shared" si="4"/>
        <v>119.37</v>
      </c>
      <c r="DC6">
        <f t="shared" si="5"/>
        <v>0</v>
      </c>
      <c r="DD6" t="s">
        <v>3</v>
      </c>
      <c r="DE6" t="s">
        <v>3</v>
      </c>
      <c r="DF6">
        <f t="shared" si="0"/>
        <v>0</v>
      </c>
      <c r="DG6">
        <f>ROUND(ROUND(AF6*AJ6,2)*CX6,2)</f>
        <v>37.06</v>
      </c>
      <c r="DH6">
        <f t="shared" si="1"/>
        <v>0</v>
      </c>
      <c r="DI6">
        <f t="shared" si="2"/>
        <v>0</v>
      </c>
      <c r="DJ6">
        <f>DG6+DH6</f>
        <v>37.06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ROW(Source!A32)</f>
        <v>32</v>
      </c>
      <c r="B7">
        <v>75284898</v>
      </c>
      <c r="C7">
        <v>75285006</v>
      </c>
      <c r="D7">
        <v>73521330</v>
      </c>
      <c r="E7">
        <v>118</v>
      </c>
      <c r="F7">
        <v>1</v>
      </c>
      <c r="G7">
        <v>1</v>
      </c>
      <c r="H7">
        <v>1</v>
      </c>
      <c r="I7" t="s">
        <v>294</v>
      </c>
      <c r="J7" t="s">
        <v>3</v>
      </c>
      <c r="K7" t="s">
        <v>295</v>
      </c>
      <c r="L7">
        <v>1191</v>
      </c>
      <c r="N7">
        <v>1013</v>
      </c>
      <c r="O7" t="s">
        <v>282</v>
      </c>
      <c r="P7" t="s">
        <v>282</v>
      </c>
      <c r="Q7">
        <v>1</v>
      </c>
      <c r="W7">
        <v>0</v>
      </c>
      <c r="X7">
        <v>-1833565283</v>
      </c>
      <c r="Y7">
        <f t="shared" si="3"/>
        <v>157.90937499999998</v>
      </c>
      <c r="AA7">
        <v>0</v>
      </c>
      <c r="AB7">
        <v>0</v>
      </c>
      <c r="AC7">
        <v>0</v>
      </c>
      <c r="AD7">
        <v>649.24</v>
      </c>
      <c r="AE7">
        <v>0</v>
      </c>
      <c r="AF7">
        <v>0</v>
      </c>
      <c r="AG7">
        <v>0</v>
      </c>
      <c r="AH7">
        <v>649.24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109.85</v>
      </c>
      <c r="AU7" t="s">
        <v>22</v>
      </c>
      <c r="AV7">
        <v>1</v>
      </c>
      <c r="AW7">
        <v>2</v>
      </c>
      <c r="AX7">
        <v>75285007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71319.013999999996</v>
      </c>
      <c r="BN7">
        <v>109.85</v>
      </c>
      <c r="BO7">
        <v>0</v>
      </c>
      <c r="BP7">
        <v>1</v>
      </c>
      <c r="BQ7">
        <v>0</v>
      </c>
      <c r="BR7">
        <v>0</v>
      </c>
      <c r="BS7">
        <v>0</v>
      </c>
      <c r="BT7">
        <v>102521.082625</v>
      </c>
      <c r="BU7">
        <v>157.90937499999998</v>
      </c>
      <c r="BV7">
        <v>0</v>
      </c>
      <c r="BW7">
        <v>1</v>
      </c>
      <c r="CU7">
        <f>ROUND(AT7*Source!I32*AH7*AL7,2)</f>
        <v>1355.06</v>
      </c>
      <c r="CV7">
        <f>ROUND(Y7*Source!I32,7)</f>
        <v>3.0002781000000001</v>
      </c>
      <c r="CW7">
        <v>0</v>
      </c>
      <c r="CX7">
        <f>ROUND(Y7*Source!I32,7)</f>
        <v>3.0002781000000001</v>
      </c>
      <c r="CY7">
        <f>AD7</f>
        <v>649.24</v>
      </c>
      <c r="CZ7">
        <f>AH7</f>
        <v>649.24</v>
      </c>
      <c r="DA7">
        <f>AL7</f>
        <v>1</v>
      </c>
      <c r="DB7">
        <f t="shared" si="4"/>
        <v>102521.076875</v>
      </c>
      <c r="DC7">
        <f t="shared" si="5"/>
        <v>0</v>
      </c>
      <c r="DD7" t="s">
        <v>3</v>
      </c>
      <c r="DE7" t="s">
        <v>3</v>
      </c>
      <c r="DF7">
        <f t="shared" si="0"/>
        <v>0</v>
      </c>
      <c r="DG7">
        <f>ROUND(ROUND(AF7,2)*CX7,2)</f>
        <v>0</v>
      </c>
      <c r="DH7">
        <f t="shared" si="1"/>
        <v>0</v>
      </c>
      <c r="DI7">
        <f t="shared" si="2"/>
        <v>1947.9</v>
      </c>
      <c r="DJ7">
        <f>DI7</f>
        <v>1947.9</v>
      </c>
      <c r="DK7">
        <v>1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ROW(Source!A32)</f>
        <v>32</v>
      </c>
      <c r="B8">
        <v>75284898</v>
      </c>
      <c r="C8">
        <v>75285006</v>
      </c>
      <c r="D8">
        <v>73521531</v>
      </c>
      <c r="E8">
        <v>118</v>
      </c>
      <c r="F8">
        <v>1</v>
      </c>
      <c r="G8">
        <v>1</v>
      </c>
      <c r="H8">
        <v>1</v>
      </c>
      <c r="I8" t="s">
        <v>296</v>
      </c>
      <c r="J8" t="s">
        <v>3</v>
      </c>
      <c r="K8" t="s">
        <v>297</v>
      </c>
      <c r="L8">
        <v>1191</v>
      </c>
      <c r="N8">
        <v>1013</v>
      </c>
      <c r="O8" t="s">
        <v>282</v>
      </c>
      <c r="P8" t="s">
        <v>282</v>
      </c>
      <c r="Q8">
        <v>1</v>
      </c>
      <c r="W8">
        <v>0</v>
      </c>
      <c r="X8">
        <v>-1417349443</v>
      </c>
      <c r="Y8">
        <f t="shared" si="3"/>
        <v>7.90625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5.5</v>
      </c>
      <c r="AU8" t="s">
        <v>22</v>
      </c>
      <c r="AV8">
        <v>2</v>
      </c>
      <c r="AW8">
        <v>2</v>
      </c>
      <c r="AX8">
        <v>75285008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ROUND(Y8*Source!I32,7)</f>
        <v>0.15021880000000001</v>
      </c>
      <c r="CY8">
        <f>AD8</f>
        <v>0</v>
      </c>
      <c r="CZ8">
        <f>AH8</f>
        <v>0</v>
      </c>
      <c r="DA8">
        <f>AL8</f>
        <v>1</v>
      </c>
      <c r="DB8">
        <f t="shared" si="4"/>
        <v>0</v>
      </c>
      <c r="DC8">
        <f t="shared" si="5"/>
        <v>0</v>
      </c>
      <c r="DD8" t="s">
        <v>3</v>
      </c>
      <c r="DE8" t="s">
        <v>3</v>
      </c>
      <c r="DF8">
        <f t="shared" si="0"/>
        <v>0</v>
      </c>
      <c r="DG8">
        <f>ROUND(ROUND(AF8,2)*CX8,2)</f>
        <v>0</v>
      </c>
      <c r="DH8">
        <f t="shared" si="1"/>
        <v>0</v>
      </c>
      <c r="DI8">
        <f t="shared" si="2"/>
        <v>0</v>
      </c>
      <c r="DJ8">
        <f>DI8</f>
        <v>0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ROW(Source!A32)</f>
        <v>32</v>
      </c>
      <c r="B9">
        <v>75284898</v>
      </c>
      <c r="C9">
        <v>75285006</v>
      </c>
      <c r="D9">
        <v>73648148</v>
      </c>
      <c r="E9">
        <v>1</v>
      </c>
      <c r="F9">
        <v>1</v>
      </c>
      <c r="G9">
        <v>1</v>
      </c>
      <c r="H9">
        <v>2</v>
      </c>
      <c r="I9" t="s">
        <v>298</v>
      </c>
      <c r="J9" t="s">
        <v>299</v>
      </c>
      <c r="K9" t="s">
        <v>300</v>
      </c>
      <c r="L9">
        <v>1368</v>
      </c>
      <c r="N9">
        <v>1011</v>
      </c>
      <c r="O9" t="s">
        <v>286</v>
      </c>
      <c r="P9" t="s">
        <v>286</v>
      </c>
      <c r="Q9">
        <v>1</v>
      </c>
      <c r="W9">
        <v>0</v>
      </c>
      <c r="X9">
        <v>1269444236</v>
      </c>
      <c r="Y9">
        <f t="shared" si="3"/>
        <v>3.953125</v>
      </c>
      <c r="AA9">
        <v>0</v>
      </c>
      <c r="AB9">
        <v>900.04</v>
      </c>
      <c r="AC9">
        <v>731.08</v>
      </c>
      <c r="AD9">
        <v>0</v>
      </c>
      <c r="AE9">
        <v>0</v>
      </c>
      <c r="AF9">
        <v>900.04</v>
      </c>
      <c r="AG9">
        <v>731.08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2.75</v>
      </c>
      <c r="AU9" t="s">
        <v>22</v>
      </c>
      <c r="AV9">
        <v>1</v>
      </c>
      <c r="AW9">
        <v>2</v>
      </c>
      <c r="AX9">
        <v>75285009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2475.1099999999997</v>
      </c>
      <c r="BL9">
        <v>2010.47</v>
      </c>
      <c r="BM9">
        <v>0</v>
      </c>
      <c r="BN9">
        <v>0</v>
      </c>
      <c r="BO9">
        <v>2.75</v>
      </c>
      <c r="BP9">
        <v>1</v>
      </c>
      <c r="BQ9">
        <v>0</v>
      </c>
      <c r="BR9">
        <v>3557.9706249999995</v>
      </c>
      <c r="BS9">
        <v>2890.0506249999999</v>
      </c>
      <c r="BT9">
        <v>0</v>
      </c>
      <c r="BU9">
        <v>0</v>
      </c>
      <c r="BV9">
        <v>3.9531249999999996</v>
      </c>
      <c r="BW9">
        <v>1</v>
      </c>
      <c r="CV9">
        <v>0</v>
      </c>
      <c r="CW9">
        <f>ROUND(Y9*Source!I32*DO9,7)</f>
        <v>7.5109400000000007E-2</v>
      </c>
      <c r="CX9">
        <f>ROUND(Y9*Source!I32,7)</f>
        <v>7.5109400000000007E-2</v>
      </c>
      <c r="CY9">
        <f>AB9</f>
        <v>900.04</v>
      </c>
      <c r="CZ9">
        <f>AF9</f>
        <v>900.04</v>
      </c>
      <c r="DA9">
        <f>AJ9</f>
        <v>1</v>
      </c>
      <c r="DB9">
        <f t="shared" si="4"/>
        <v>3557.9706249999999</v>
      </c>
      <c r="DC9">
        <f t="shared" si="5"/>
        <v>2890.0506249999999</v>
      </c>
      <c r="DD9" t="s">
        <v>3</v>
      </c>
      <c r="DE9" t="s">
        <v>3</v>
      </c>
      <c r="DF9">
        <f t="shared" si="0"/>
        <v>0</v>
      </c>
      <c r="DG9">
        <f>ROUND(ROUND(AF9,2)*CX9,2)</f>
        <v>67.599999999999994</v>
      </c>
      <c r="DH9">
        <f t="shared" si="1"/>
        <v>54.91</v>
      </c>
      <c r="DI9">
        <f t="shared" si="2"/>
        <v>0</v>
      </c>
      <c r="DJ9">
        <f>DG9+DH9</f>
        <v>122.50999999999999</v>
      </c>
      <c r="DK9">
        <v>1</v>
      </c>
      <c r="DL9" t="s">
        <v>301</v>
      </c>
      <c r="DM9">
        <v>4</v>
      </c>
      <c r="DN9" t="s">
        <v>282</v>
      </c>
      <c r="DO9">
        <v>1</v>
      </c>
    </row>
    <row r="10" spans="1:119" x14ac:dyDescent="0.2">
      <c r="A10">
        <f>ROW(Source!A32)</f>
        <v>32</v>
      </c>
      <c r="B10">
        <v>75284898</v>
      </c>
      <c r="C10">
        <v>75285006</v>
      </c>
      <c r="D10">
        <v>73648169</v>
      </c>
      <c r="E10">
        <v>1</v>
      </c>
      <c r="F10">
        <v>1</v>
      </c>
      <c r="G10">
        <v>1</v>
      </c>
      <c r="H10">
        <v>2</v>
      </c>
      <c r="I10" t="s">
        <v>302</v>
      </c>
      <c r="J10" t="s">
        <v>303</v>
      </c>
      <c r="K10" t="s">
        <v>304</v>
      </c>
      <c r="L10">
        <v>1368</v>
      </c>
      <c r="N10">
        <v>1011</v>
      </c>
      <c r="O10" t="s">
        <v>286</v>
      </c>
      <c r="P10" t="s">
        <v>286</v>
      </c>
      <c r="Q10">
        <v>1</v>
      </c>
      <c r="W10">
        <v>0</v>
      </c>
      <c r="X10">
        <v>-566469117</v>
      </c>
      <c r="Y10">
        <f t="shared" si="3"/>
        <v>3.953125</v>
      </c>
      <c r="AA10">
        <v>0</v>
      </c>
      <c r="AB10">
        <v>58.59</v>
      </c>
      <c r="AC10">
        <v>649.24</v>
      </c>
      <c r="AD10">
        <v>0</v>
      </c>
      <c r="AE10">
        <v>0</v>
      </c>
      <c r="AF10">
        <v>37.32</v>
      </c>
      <c r="AG10">
        <v>649.24</v>
      </c>
      <c r="AH10">
        <v>0</v>
      </c>
      <c r="AI10">
        <v>1</v>
      </c>
      <c r="AJ10">
        <v>1.57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2.75</v>
      </c>
      <c r="AU10" t="s">
        <v>22</v>
      </c>
      <c r="AV10">
        <v>1</v>
      </c>
      <c r="AW10">
        <v>2</v>
      </c>
      <c r="AX10">
        <v>75285010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102.63</v>
      </c>
      <c r="BL10">
        <v>1785.41</v>
      </c>
      <c r="BM10">
        <v>0</v>
      </c>
      <c r="BN10">
        <v>0</v>
      </c>
      <c r="BO10">
        <v>2.75</v>
      </c>
      <c r="BP10">
        <v>1</v>
      </c>
      <c r="BQ10">
        <v>0</v>
      </c>
      <c r="BR10">
        <v>147.53062499999999</v>
      </c>
      <c r="BS10">
        <v>2566.5268749999996</v>
      </c>
      <c r="BT10">
        <v>0</v>
      </c>
      <c r="BU10">
        <v>0</v>
      </c>
      <c r="BV10">
        <v>3.9531249999999996</v>
      </c>
      <c r="BW10">
        <v>1</v>
      </c>
      <c r="CV10">
        <v>0</v>
      </c>
      <c r="CW10">
        <f>ROUND(Y10*Source!I32*DO10,7)</f>
        <v>7.5109400000000007E-2</v>
      </c>
      <c r="CX10">
        <f>ROUND(Y10*Source!I32,7)</f>
        <v>7.5109400000000007E-2</v>
      </c>
      <c r="CY10">
        <f>AB10</f>
        <v>58.59</v>
      </c>
      <c r="CZ10">
        <f>AF10</f>
        <v>37.32</v>
      </c>
      <c r="DA10">
        <f>AJ10</f>
        <v>1.57</v>
      </c>
      <c r="DB10">
        <f t="shared" si="4"/>
        <v>147.53062499999999</v>
      </c>
      <c r="DC10">
        <f t="shared" si="5"/>
        <v>2566.526875</v>
      </c>
      <c r="DD10" t="s">
        <v>3</v>
      </c>
      <c r="DE10" t="s">
        <v>3</v>
      </c>
      <c r="DF10">
        <f t="shared" si="0"/>
        <v>0</v>
      </c>
      <c r="DG10">
        <f>ROUND(ROUND(AF10*AJ10,2)*CX10,2)</f>
        <v>4.4000000000000004</v>
      </c>
      <c r="DH10">
        <f t="shared" si="1"/>
        <v>48.76</v>
      </c>
      <c r="DI10">
        <f t="shared" si="2"/>
        <v>0</v>
      </c>
      <c r="DJ10">
        <f>DG10+DH10</f>
        <v>53.16</v>
      </c>
      <c r="DK10">
        <v>0</v>
      </c>
      <c r="DL10" t="s">
        <v>305</v>
      </c>
      <c r="DM10">
        <v>3</v>
      </c>
      <c r="DN10" t="s">
        <v>282</v>
      </c>
      <c r="DO10">
        <v>1</v>
      </c>
    </row>
    <row r="11" spans="1:119" x14ac:dyDescent="0.2">
      <c r="A11">
        <f>ROW(Source!A32)</f>
        <v>32</v>
      </c>
      <c r="B11">
        <v>75284898</v>
      </c>
      <c r="C11">
        <v>75285006</v>
      </c>
      <c r="D11">
        <v>73649097</v>
      </c>
      <c r="E11">
        <v>1</v>
      </c>
      <c r="F11">
        <v>1</v>
      </c>
      <c r="G11">
        <v>1</v>
      </c>
      <c r="H11">
        <v>2</v>
      </c>
      <c r="I11" t="s">
        <v>306</v>
      </c>
      <c r="J11" t="s">
        <v>307</v>
      </c>
      <c r="K11" t="s">
        <v>308</v>
      </c>
      <c r="L11">
        <v>1368</v>
      </c>
      <c r="N11">
        <v>1011</v>
      </c>
      <c r="O11" t="s">
        <v>286</v>
      </c>
      <c r="P11" t="s">
        <v>286</v>
      </c>
      <c r="Q11">
        <v>1</v>
      </c>
      <c r="W11">
        <v>0</v>
      </c>
      <c r="X11">
        <v>1040998856</v>
      </c>
      <c r="Y11">
        <f t="shared" si="3"/>
        <v>21.131249999999998</v>
      </c>
      <c r="AA11">
        <v>0</v>
      </c>
      <c r="AB11">
        <v>91.39</v>
      </c>
      <c r="AC11">
        <v>0</v>
      </c>
      <c r="AD11">
        <v>0</v>
      </c>
      <c r="AE11">
        <v>0</v>
      </c>
      <c r="AF11">
        <v>67.2</v>
      </c>
      <c r="AG11">
        <v>0</v>
      </c>
      <c r="AH11">
        <v>0</v>
      </c>
      <c r="AI11">
        <v>1</v>
      </c>
      <c r="AJ11">
        <v>1.36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14.7</v>
      </c>
      <c r="AU11" t="s">
        <v>22</v>
      </c>
      <c r="AV11">
        <v>1</v>
      </c>
      <c r="AW11">
        <v>2</v>
      </c>
      <c r="AX11">
        <v>75285011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987.84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0</v>
      </c>
      <c r="BR11">
        <v>1420.02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f>ROUND(Y11*Source!I32*DO11,7)</f>
        <v>0</v>
      </c>
      <c r="CX11">
        <f>ROUND(Y11*Source!I32,7)</f>
        <v>0.40149380000000001</v>
      </c>
      <c r="CY11">
        <f>AB11</f>
        <v>91.39</v>
      </c>
      <c r="CZ11">
        <f>AF11</f>
        <v>67.2</v>
      </c>
      <c r="DA11">
        <f>AJ11</f>
        <v>1.36</v>
      </c>
      <c r="DB11">
        <f t="shared" si="4"/>
        <v>1420.02</v>
      </c>
      <c r="DC11">
        <f t="shared" si="5"/>
        <v>0</v>
      </c>
      <c r="DD11" t="s">
        <v>3</v>
      </c>
      <c r="DE11" t="s">
        <v>3</v>
      </c>
      <c r="DF11">
        <f t="shared" si="0"/>
        <v>0</v>
      </c>
      <c r="DG11">
        <f>ROUND(ROUND(AF11*AJ11,2)*CX11,2)</f>
        <v>36.69</v>
      </c>
      <c r="DH11">
        <f t="shared" si="1"/>
        <v>0</v>
      </c>
      <c r="DI11">
        <f t="shared" si="2"/>
        <v>0</v>
      </c>
      <c r="DJ11">
        <f>DG11+DH11</f>
        <v>36.69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ROW(Source!A32)</f>
        <v>32</v>
      </c>
      <c r="B12">
        <v>75284898</v>
      </c>
      <c r="C12">
        <v>75285006</v>
      </c>
      <c r="D12">
        <v>73649497</v>
      </c>
      <c r="E12">
        <v>1</v>
      </c>
      <c r="F12">
        <v>1</v>
      </c>
      <c r="G12">
        <v>1</v>
      </c>
      <c r="H12">
        <v>2</v>
      </c>
      <c r="I12" t="s">
        <v>309</v>
      </c>
      <c r="J12" t="s">
        <v>310</v>
      </c>
      <c r="K12" t="s">
        <v>311</v>
      </c>
      <c r="L12">
        <v>1368</v>
      </c>
      <c r="N12">
        <v>1011</v>
      </c>
      <c r="O12" t="s">
        <v>286</v>
      </c>
      <c r="P12" t="s">
        <v>286</v>
      </c>
      <c r="Q12">
        <v>1</v>
      </c>
      <c r="W12">
        <v>0</v>
      </c>
      <c r="X12">
        <v>726085555</v>
      </c>
      <c r="Y12">
        <f t="shared" si="3"/>
        <v>42.262499999999996</v>
      </c>
      <c r="AA12">
        <v>0</v>
      </c>
      <c r="AB12">
        <v>3.44</v>
      </c>
      <c r="AC12">
        <v>0</v>
      </c>
      <c r="AD12">
        <v>0</v>
      </c>
      <c r="AE12">
        <v>0</v>
      </c>
      <c r="AF12">
        <v>2.11</v>
      </c>
      <c r="AG12">
        <v>0</v>
      </c>
      <c r="AH12">
        <v>0</v>
      </c>
      <c r="AI12">
        <v>1</v>
      </c>
      <c r="AJ12">
        <v>1.63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29.4</v>
      </c>
      <c r="AU12" t="s">
        <v>22</v>
      </c>
      <c r="AV12">
        <v>1</v>
      </c>
      <c r="AW12">
        <v>2</v>
      </c>
      <c r="AX12">
        <v>75285012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62.033999999999992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0</v>
      </c>
      <c r="BR12">
        <v>89.173874999999981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f>ROUND(Y12*Source!I32*DO12,7)</f>
        <v>0</v>
      </c>
      <c r="CX12">
        <f>ROUND(Y12*Source!I32,7)</f>
        <v>0.80298749999999997</v>
      </c>
      <c r="CY12">
        <f>AB12</f>
        <v>3.44</v>
      </c>
      <c r="CZ12">
        <f>AF12</f>
        <v>2.11</v>
      </c>
      <c r="DA12">
        <f>AJ12</f>
        <v>1.63</v>
      </c>
      <c r="DB12">
        <f t="shared" si="4"/>
        <v>89.168125000000003</v>
      </c>
      <c r="DC12">
        <f t="shared" si="5"/>
        <v>0</v>
      </c>
      <c r="DD12" t="s">
        <v>3</v>
      </c>
      <c r="DE12" t="s">
        <v>3</v>
      </c>
      <c r="DF12">
        <f t="shared" si="0"/>
        <v>0</v>
      </c>
      <c r="DG12">
        <f>ROUND(ROUND(AF12*AJ12,2)*CX12,2)</f>
        <v>2.76</v>
      </c>
      <c r="DH12">
        <f t="shared" si="1"/>
        <v>0</v>
      </c>
      <c r="DI12">
        <f t="shared" si="2"/>
        <v>0</v>
      </c>
      <c r="DJ12">
        <f>DG12+DH12</f>
        <v>2.76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ROW(Source!A32)</f>
        <v>32</v>
      </c>
      <c r="B13">
        <v>75284898</v>
      </c>
      <c r="C13">
        <v>75285006</v>
      </c>
      <c r="D13">
        <v>73527584</v>
      </c>
      <c r="E13">
        <v>118</v>
      </c>
      <c r="F13">
        <v>1</v>
      </c>
      <c r="G13">
        <v>1</v>
      </c>
      <c r="H13">
        <v>3</v>
      </c>
      <c r="I13" t="s">
        <v>31</v>
      </c>
      <c r="J13" t="s">
        <v>3</v>
      </c>
      <c r="K13" t="s">
        <v>32</v>
      </c>
      <c r="L13">
        <v>1348</v>
      </c>
      <c r="N13">
        <v>1009</v>
      </c>
      <c r="O13" t="s">
        <v>33</v>
      </c>
      <c r="P13" t="s">
        <v>33</v>
      </c>
      <c r="Q13">
        <v>1000</v>
      </c>
      <c r="W13">
        <v>0</v>
      </c>
      <c r="X13">
        <v>2102561428</v>
      </c>
      <c r="Y13">
        <f>AT13</f>
        <v>10.84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0</v>
      </c>
      <c r="AP13">
        <v>1</v>
      </c>
      <c r="AQ13">
        <v>0</v>
      </c>
      <c r="AR13">
        <v>0</v>
      </c>
      <c r="AS13" t="s">
        <v>3</v>
      </c>
      <c r="AT13">
        <v>10.84</v>
      </c>
      <c r="AU13" t="s">
        <v>3</v>
      </c>
      <c r="AV13">
        <v>0</v>
      </c>
      <c r="AW13">
        <v>2</v>
      </c>
      <c r="AX13">
        <v>75285013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ROUND(Y13*Source!I32,7)</f>
        <v>0.20596</v>
      </c>
      <c r="CY13">
        <f>AA13</f>
        <v>0</v>
      </c>
      <c r="CZ13">
        <f>AE13</f>
        <v>0</v>
      </c>
      <c r="DA13">
        <f>AI13</f>
        <v>1</v>
      </c>
      <c r="DB13">
        <f>ROUND(ROUND(AT13*CZ13,2),6)</f>
        <v>0</v>
      </c>
      <c r="DC13">
        <f>ROUND(ROUND(AT13*AG13,2),6)</f>
        <v>0</v>
      </c>
      <c r="DD13" t="s">
        <v>3</v>
      </c>
      <c r="DE13" t="s">
        <v>3</v>
      </c>
      <c r="DF13">
        <f t="shared" si="0"/>
        <v>0</v>
      </c>
      <c r="DG13">
        <f t="shared" ref="DG13:DG31" si="6">ROUND(ROUND(AF13,2)*CX13,2)</f>
        <v>0</v>
      </c>
      <c r="DH13">
        <f t="shared" si="1"/>
        <v>0</v>
      </c>
      <c r="DI13">
        <f t="shared" si="2"/>
        <v>0</v>
      </c>
      <c r="DJ13">
        <f>DF13</f>
        <v>0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ROW(Source!A34)</f>
        <v>34</v>
      </c>
      <c r="B14">
        <v>75284898</v>
      </c>
      <c r="C14">
        <v>75285015</v>
      </c>
      <c r="D14">
        <v>73521299</v>
      </c>
      <c r="E14">
        <v>118</v>
      </c>
      <c r="F14">
        <v>1</v>
      </c>
      <c r="G14">
        <v>1</v>
      </c>
      <c r="H14">
        <v>1</v>
      </c>
      <c r="I14" t="s">
        <v>312</v>
      </c>
      <c r="J14" t="s">
        <v>3</v>
      </c>
      <c r="K14" t="s">
        <v>313</v>
      </c>
      <c r="L14">
        <v>1191</v>
      </c>
      <c r="N14">
        <v>1013</v>
      </c>
      <c r="O14" t="s">
        <v>282</v>
      </c>
      <c r="P14" t="s">
        <v>282</v>
      </c>
      <c r="Q14">
        <v>1</v>
      </c>
      <c r="W14">
        <v>0</v>
      </c>
      <c r="X14">
        <v>1048598872</v>
      </c>
      <c r="Y14">
        <f>(AT14*ROUND(((0.15+1)*1.25),7))</f>
        <v>7.6187499999999995</v>
      </c>
      <c r="AA14">
        <v>0</v>
      </c>
      <c r="AB14">
        <v>0</v>
      </c>
      <c r="AC14">
        <v>0</v>
      </c>
      <c r="AD14">
        <v>605.59</v>
      </c>
      <c r="AE14">
        <v>0</v>
      </c>
      <c r="AF14">
        <v>0</v>
      </c>
      <c r="AG14">
        <v>0</v>
      </c>
      <c r="AH14">
        <v>605.59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5.3</v>
      </c>
      <c r="AU14" t="s">
        <v>22</v>
      </c>
      <c r="AV14">
        <v>1</v>
      </c>
      <c r="AW14">
        <v>2</v>
      </c>
      <c r="AX14">
        <v>75285016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3209.627</v>
      </c>
      <c r="BN14">
        <v>5.3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4613.8388125000001</v>
      </c>
      <c r="BU14">
        <v>7.6187499999999995</v>
      </c>
      <c r="BV14">
        <v>0</v>
      </c>
      <c r="BW14">
        <v>1</v>
      </c>
      <c r="CU14">
        <f>ROUND(AT14*Source!I34*AH14*AL14,2)</f>
        <v>917.63</v>
      </c>
      <c r="CV14">
        <f>ROUND(Y14*Source!I34,7)</f>
        <v>2.1782005999999998</v>
      </c>
      <c r="CW14">
        <v>0</v>
      </c>
      <c r="CX14">
        <f>ROUND(Y14*Source!I34,7)</f>
        <v>2.1782005999999998</v>
      </c>
      <c r="CY14">
        <f>AD14</f>
        <v>605.59</v>
      </c>
      <c r="CZ14">
        <f>AH14</f>
        <v>605.59</v>
      </c>
      <c r="DA14">
        <f>AL14</f>
        <v>1</v>
      </c>
      <c r="DB14">
        <f>ROUND((ROUND(AT14*CZ14,2)*ROUND(((0.15+1)*1.25),7)),6)</f>
        <v>4613.8431250000003</v>
      </c>
      <c r="DC14">
        <f>ROUND((ROUND(AT14*AG14,2)*ROUND(((0.15+1)*1.25),7)),6)</f>
        <v>0</v>
      </c>
      <c r="DD14" t="s">
        <v>3</v>
      </c>
      <c r="DE14" t="s">
        <v>3</v>
      </c>
      <c r="DF14">
        <f t="shared" si="0"/>
        <v>0</v>
      </c>
      <c r="DG14">
        <f t="shared" si="6"/>
        <v>0</v>
      </c>
      <c r="DH14">
        <f t="shared" si="1"/>
        <v>0</v>
      </c>
      <c r="DI14">
        <f t="shared" si="2"/>
        <v>1319.1</v>
      </c>
      <c r="DJ14">
        <f>DI14</f>
        <v>1319.1</v>
      </c>
      <c r="DK14">
        <v>1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ROW(Source!A34)</f>
        <v>34</v>
      </c>
      <c r="B15">
        <v>75284898</v>
      </c>
      <c r="C15">
        <v>75285015</v>
      </c>
      <c r="D15">
        <v>73598089</v>
      </c>
      <c r="E15">
        <v>1</v>
      </c>
      <c r="F15">
        <v>1</v>
      </c>
      <c r="G15">
        <v>1</v>
      </c>
      <c r="H15">
        <v>3</v>
      </c>
      <c r="I15" t="s">
        <v>314</v>
      </c>
      <c r="J15" t="s">
        <v>315</v>
      </c>
      <c r="K15" t="s">
        <v>316</v>
      </c>
      <c r="L15">
        <v>1339</v>
      </c>
      <c r="N15">
        <v>1007</v>
      </c>
      <c r="O15" t="s">
        <v>317</v>
      </c>
      <c r="P15" t="s">
        <v>317</v>
      </c>
      <c r="Q15">
        <v>1</v>
      </c>
      <c r="W15">
        <v>0</v>
      </c>
      <c r="X15">
        <v>727623859</v>
      </c>
      <c r="Y15">
        <f>AT15</f>
        <v>7.0000000000000007E-2</v>
      </c>
      <c r="AA15">
        <v>54.64</v>
      </c>
      <c r="AB15">
        <v>0</v>
      </c>
      <c r="AC15">
        <v>0</v>
      </c>
      <c r="AD15">
        <v>0</v>
      </c>
      <c r="AE15">
        <v>35.71</v>
      </c>
      <c r="AF15">
        <v>0</v>
      </c>
      <c r="AG15">
        <v>0</v>
      </c>
      <c r="AH15">
        <v>0</v>
      </c>
      <c r="AI15">
        <v>1.53</v>
      </c>
      <c r="AJ15">
        <v>1</v>
      </c>
      <c r="AK15">
        <v>1</v>
      </c>
      <c r="AL15">
        <v>1</v>
      </c>
      <c r="AM15">
        <v>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7.0000000000000007E-2</v>
      </c>
      <c r="AU15" t="s">
        <v>3</v>
      </c>
      <c r="AV15">
        <v>0</v>
      </c>
      <c r="AW15">
        <v>2</v>
      </c>
      <c r="AX15">
        <v>75285017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2.4997000000000003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1</v>
      </c>
      <c r="BQ15">
        <v>2.4997000000000003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1</v>
      </c>
      <c r="CV15">
        <v>0</v>
      </c>
      <c r="CW15">
        <v>0</v>
      </c>
      <c r="CX15">
        <f>ROUND(Y15*Source!I34,7)</f>
        <v>2.0013E-2</v>
      </c>
      <c r="CY15">
        <f>AA15</f>
        <v>54.64</v>
      </c>
      <c r="CZ15">
        <f>AE15</f>
        <v>35.71</v>
      </c>
      <c r="DA15">
        <f>AI15</f>
        <v>1.53</v>
      </c>
      <c r="DB15">
        <f>ROUND(ROUND(AT15*CZ15,2),6)</f>
        <v>2.5</v>
      </c>
      <c r="DC15">
        <f>ROUND(ROUND(AT15*AG15,2),6)</f>
        <v>0</v>
      </c>
      <c r="DD15" t="s">
        <v>3</v>
      </c>
      <c r="DE15" t="s">
        <v>3</v>
      </c>
      <c r="DF15">
        <f>ROUND(ROUND(AE15*AI15,2)*CX15,2)</f>
        <v>1.0900000000000001</v>
      </c>
      <c r="DG15">
        <f t="shared" si="6"/>
        <v>0</v>
      </c>
      <c r="DH15">
        <f t="shared" si="1"/>
        <v>0</v>
      </c>
      <c r="DI15">
        <f t="shared" si="2"/>
        <v>0</v>
      </c>
      <c r="DJ15">
        <f>DF15</f>
        <v>1.0900000000000001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ROW(Source!A34)</f>
        <v>34</v>
      </c>
      <c r="B16">
        <v>75284898</v>
      </c>
      <c r="C16">
        <v>75285015</v>
      </c>
      <c r="D16">
        <v>73598381</v>
      </c>
      <c r="E16">
        <v>1</v>
      </c>
      <c r="F16">
        <v>1</v>
      </c>
      <c r="G16">
        <v>1</v>
      </c>
      <c r="H16">
        <v>3</v>
      </c>
      <c r="I16" t="s">
        <v>318</v>
      </c>
      <c r="J16" t="s">
        <v>319</v>
      </c>
      <c r="K16" t="s">
        <v>320</v>
      </c>
      <c r="L16">
        <v>1371</v>
      </c>
      <c r="N16">
        <v>1013</v>
      </c>
      <c r="O16" t="s">
        <v>37</v>
      </c>
      <c r="P16" t="s">
        <v>37</v>
      </c>
      <c r="Q16">
        <v>1</v>
      </c>
      <c r="W16">
        <v>0</v>
      </c>
      <c r="X16">
        <v>-1706699022</v>
      </c>
      <c r="Y16">
        <f>AT16</f>
        <v>1.6</v>
      </c>
      <c r="AA16">
        <v>25.1</v>
      </c>
      <c r="AB16">
        <v>0</v>
      </c>
      <c r="AC16">
        <v>0</v>
      </c>
      <c r="AD16">
        <v>0</v>
      </c>
      <c r="AE16">
        <v>18.59</v>
      </c>
      <c r="AF16">
        <v>0</v>
      </c>
      <c r="AG16">
        <v>0</v>
      </c>
      <c r="AH16">
        <v>0</v>
      </c>
      <c r="AI16">
        <v>1.35</v>
      </c>
      <c r="AJ16">
        <v>1</v>
      </c>
      <c r="AK16">
        <v>1</v>
      </c>
      <c r="AL16">
        <v>1</v>
      </c>
      <c r="AM16">
        <v>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1.6</v>
      </c>
      <c r="AU16" t="s">
        <v>3</v>
      </c>
      <c r="AV16">
        <v>0</v>
      </c>
      <c r="AW16">
        <v>2</v>
      </c>
      <c r="AX16">
        <v>75285018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29.744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29.744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1</v>
      </c>
      <c r="CV16">
        <v>0</v>
      </c>
      <c r="CW16">
        <v>0</v>
      </c>
      <c r="CX16">
        <f>ROUND(Y16*Source!I34,7)</f>
        <v>0.45744000000000001</v>
      </c>
      <c r="CY16">
        <f>AA16</f>
        <v>25.1</v>
      </c>
      <c r="CZ16">
        <f>AE16</f>
        <v>18.59</v>
      </c>
      <c r="DA16">
        <f>AI16</f>
        <v>1.35</v>
      </c>
      <c r="DB16">
        <f>ROUND(ROUND(AT16*CZ16,2),6)</f>
        <v>29.74</v>
      </c>
      <c r="DC16">
        <f>ROUND(ROUND(AT16*AG16,2),6)</f>
        <v>0</v>
      </c>
      <c r="DD16" t="s">
        <v>3</v>
      </c>
      <c r="DE16" t="s">
        <v>3</v>
      </c>
      <c r="DF16">
        <f>ROUND(ROUND(AE16*AI16,2)*CX16,2)</f>
        <v>11.48</v>
      </c>
      <c r="DG16">
        <f t="shared" si="6"/>
        <v>0</v>
      </c>
      <c r="DH16">
        <f t="shared" si="1"/>
        <v>0</v>
      </c>
      <c r="DI16">
        <f t="shared" si="2"/>
        <v>0</v>
      </c>
      <c r="DJ16">
        <f>DF16</f>
        <v>11.48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ROW(Source!A34)</f>
        <v>34</v>
      </c>
      <c r="B17">
        <v>75284898</v>
      </c>
      <c r="C17">
        <v>75285015</v>
      </c>
      <c r="D17">
        <v>73600737</v>
      </c>
      <c r="E17">
        <v>1</v>
      </c>
      <c r="F17">
        <v>1</v>
      </c>
      <c r="G17">
        <v>1</v>
      </c>
      <c r="H17">
        <v>3</v>
      </c>
      <c r="I17" t="s">
        <v>321</v>
      </c>
      <c r="J17" t="s">
        <v>322</v>
      </c>
      <c r="K17" t="s">
        <v>323</v>
      </c>
      <c r="L17">
        <v>1346</v>
      </c>
      <c r="N17">
        <v>1009</v>
      </c>
      <c r="O17" t="s">
        <v>324</v>
      </c>
      <c r="P17" t="s">
        <v>324</v>
      </c>
      <c r="Q17">
        <v>1</v>
      </c>
      <c r="W17">
        <v>0</v>
      </c>
      <c r="X17">
        <v>651944166</v>
      </c>
      <c r="Y17">
        <f>AT17</f>
        <v>0.1</v>
      </c>
      <c r="AA17">
        <v>89.78</v>
      </c>
      <c r="AB17">
        <v>0</v>
      </c>
      <c r="AC17">
        <v>0</v>
      </c>
      <c r="AD17">
        <v>0</v>
      </c>
      <c r="AE17">
        <v>56.11</v>
      </c>
      <c r="AF17">
        <v>0</v>
      </c>
      <c r="AG17">
        <v>0</v>
      </c>
      <c r="AH17">
        <v>0</v>
      </c>
      <c r="AI17">
        <v>1.6</v>
      </c>
      <c r="AJ17">
        <v>1</v>
      </c>
      <c r="AK17">
        <v>1</v>
      </c>
      <c r="AL17">
        <v>1</v>
      </c>
      <c r="AM17">
        <v>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0.1</v>
      </c>
      <c r="AU17" t="s">
        <v>3</v>
      </c>
      <c r="AV17">
        <v>0</v>
      </c>
      <c r="AW17">
        <v>2</v>
      </c>
      <c r="AX17">
        <v>75285019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5.6110000000000007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5.6110000000000007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v>0</v>
      </c>
      <c r="CX17">
        <f>ROUND(Y17*Source!I34,7)</f>
        <v>2.8590000000000001E-2</v>
      </c>
      <c r="CY17">
        <f>AA17</f>
        <v>89.78</v>
      </c>
      <c r="CZ17">
        <f>AE17</f>
        <v>56.11</v>
      </c>
      <c r="DA17">
        <f>AI17</f>
        <v>1.6</v>
      </c>
      <c r="DB17">
        <f>ROUND(ROUND(AT17*CZ17,2),6)</f>
        <v>5.61</v>
      </c>
      <c r="DC17">
        <f>ROUND(ROUND(AT17*AG17,2),6)</f>
        <v>0</v>
      </c>
      <c r="DD17" t="s">
        <v>3</v>
      </c>
      <c r="DE17" t="s">
        <v>3</v>
      </c>
      <c r="DF17">
        <f>ROUND(ROUND(AE17*AI17,2)*CX17,2)</f>
        <v>2.57</v>
      </c>
      <c r="DG17">
        <f t="shared" si="6"/>
        <v>0</v>
      </c>
      <c r="DH17">
        <f t="shared" si="1"/>
        <v>0</v>
      </c>
      <c r="DI17">
        <f t="shared" si="2"/>
        <v>0</v>
      </c>
      <c r="DJ17">
        <f>DF17</f>
        <v>2.57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ROW(Source!A35)</f>
        <v>35</v>
      </c>
      <c r="B18">
        <v>75284898</v>
      </c>
      <c r="C18">
        <v>75285020</v>
      </c>
      <c r="D18">
        <v>73521330</v>
      </c>
      <c r="E18">
        <v>118</v>
      </c>
      <c r="F18">
        <v>1</v>
      </c>
      <c r="G18">
        <v>1</v>
      </c>
      <c r="H18">
        <v>1</v>
      </c>
      <c r="I18" t="s">
        <v>294</v>
      </c>
      <c r="J18" t="s">
        <v>3</v>
      </c>
      <c r="K18" t="s">
        <v>295</v>
      </c>
      <c r="L18">
        <v>1191</v>
      </c>
      <c r="N18">
        <v>1013</v>
      </c>
      <c r="O18" t="s">
        <v>282</v>
      </c>
      <c r="P18" t="s">
        <v>282</v>
      </c>
      <c r="Q18">
        <v>1</v>
      </c>
      <c r="W18">
        <v>0</v>
      </c>
      <c r="X18">
        <v>-1833565283</v>
      </c>
      <c r="Y18">
        <f>(AT18*ROUND(((0.15+1)*1.25*1.15),7))</f>
        <v>13.423374999999998</v>
      </c>
      <c r="AA18">
        <v>0</v>
      </c>
      <c r="AB18">
        <v>0</v>
      </c>
      <c r="AC18">
        <v>0</v>
      </c>
      <c r="AD18">
        <v>649.24</v>
      </c>
      <c r="AE18">
        <v>0</v>
      </c>
      <c r="AF18">
        <v>0</v>
      </c>
      <c r="AG18">
        <v>0</v>
      </c>
      <c r="AH18">
        <v>649.24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8.1199999999999992</v>
      </c>
      <c r="AU18" t="s">
        <v>76</v>
      </c>
      <c r="AV18">
        <v>1</v>
      </c>
      <c r="AW18">
        <v>2</v>
      </c>
      <c r="AX18">
        <v>75285021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5271.8287999999993</v>
      </c>
      <c r="BN18">
        <v>8.1199999999999992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8714.9919849999987</v>
      </c>
      <c r="BU18">
        <v>13.423374999999998</v>
      </c>
      <c r="BV18">
        <v>0</v>
      </c>
      <c r="BW18">
        <v>1</v>
      </c>
      <c r="CU18">
        <f>ROUND(AT18*Source!I35*AH18*AL18,2)</f>
        <v>84.35</v>
      </c>
      <c r="CV18">
        <f>ROUND(Y18*Source!I35,7)</f>
        <v>0.21477399999999999</v>
      </c>
      <c r="CW18">
        <v>0</v>
      </c>
      <c r="CX18">
        <f>ROUND(Y18*Source!I35,7)</f>
        <v>0.21477399999999999</v>
      </c>
      <c r="CY18">
        <f>AD18</f>
        <v>649.24</v>
      </c>
      <c r="CZ18">
        <f>AH18</f>
        <v>649.24</v>
      </c>
      <c r="DA18">
        <f>AL18</f>
        <v>1</v>
      </c>
      <c r="DB18">
        <f>ROUND((ROUND(AT18*CZ18,2)*ROUND(((0.15+1)*1.25*1.15),7)),6)</f>
        <v>8714.9939689999992</v>
      </c>
      <c r="DC18">
        <f>ROUND((ROUND(AT18*AG18,2)*ROUND(((0.15+1)*1.25*1.15),7)),6)</f>
        <v>0</v>
      </c>
      <c r="DD18" t="s">
        <v>3</v>
      </c>
      <c r="DE18" t="s">
        <v>3</v>
      </c>
      <c r="DF18">
        <f t="shared" ref="DF18:DF23" si="7">ROUND(ROUND(AE18,2)*CX18,2)</f>
        <v>0</v>
      </c>
      <c r="DG18">
        <f t="shared" si="6"/>
        <v>0</v>
      </c>
      <c r="DH18">
        <f t="shared" si="1"/>
        <v>0</v>
      </c>
      <c r="DI18">
        <f t="shared" si="2"/>
        <v>139.44</v>
      </c>
      <c r="DJ18">
        <f>DI18</f>
        <v>139.44</v>
      </c>
      <c r="DK18">
        <v>1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ROW(Source!A35)</f>
        <v>35</v>
      </c>
      <c r="B19">
        <v>75284898</v>
      </c>
      <c r="C19">
        <v>75285020</v>
      </c>
      <c r="D19">
        <v>73525571</v>
      </c>
      <c r="E19">
        <v>118</v>
      </c>
      <c r="F19">
        <v>1</v>
      </c>
      <c r="G19">
        <v>1</v>
      </c>
      <c r="H19">
        <v>3</v>
      </c>
      <c r="I19" t="s">
        <v>84</v>
      </c>
      <c r="J19" t="s">
        <v>3</v>
      </c>
      <c r="K19" t="s">
        <v>85</v>
      </c>
      <c r="L19">
        <v>1348</v>
      </c>
      <c r="N19">
        <v>1009</v>
      </c>
      <c r="O19" t="s">
        <v>33</v>
      </c>
      <c r="P19" t="s">
        <v>33</v>
      </c>
      <c r="Q19">
        <v>1000</v>
      </c>
      <c r="W19">
        <v>0</v>
      </c>
      <c r="X19">
        <v>2135888249</v>
      </c>
      <c r="Y19">
        <f>AT19</f>
        <v>1.2E-2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0</v>
      </c>
      <c r="AN19">
        <v>0</v>
      </c>
      <c r="AO19">
        <v>0</v>
      </c>
      <c r="AP19">
        <v>1</v>
      </c>
      <c r="AQ19">
        <v>0</v>
      </c>
      <c r="AR19">
        <v>0</v>
      </c>
      <c r="AS19" t="s">
        <v>3</v>
      </c>
      <c r="AT19">
        <v>1.2E-2</v>
      </c>
      <c r="AU19" t="s">
        <v>3</v>
      </c>
      <c r="AV19">
        <v>0</v>
      </c>
      <c r="AW19">
        <v>2</v>
      </c>
      <c r="AX19">
        <v>75285022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v>0</v>
      </c>
      <c r="CX19">
        <f>ROUND(Y19*Source!I35,7)</f>
        <v>1.92E-4</v>
      </c>
      <c r="CY19">
        <f>AA19</f>
        <v>0</v>
      </c>
      <c r="CZ19">
        <f>AE19</f>
        <v>0</v>
      </c>
      <c r="DA19">
        <f>AI19</f>
        <v>1</v>
      </c>
      <c r="DB19">
        <f>ROUND(ROUND(AT19*CZ19,2),6)</f>
        <v>0</v>
      </c>
      <c r="DC19">
        <f>ROUND(ROUND(AT19*AG19,2),6)</f>
        <v>0</v>
      </c>
      <c r="DD19" t="s">
        <v>3</v>
      </c>
      <c r="DE19" t="s">
        <v>3</v>
      </c>
      <c r="DF19">
        <f t="shared" si="7"/>
        <v>0</v>
      </c>
      <c r="DG19">
        <f t="shared" si="6"/>
        <v>0</v>
      </c>
      <c r="DH19">
        <f t="shared" si="1"/>
        <v>0</v>
      </c>
      <c r="DI19">
        <f t="shared" si="2"/>
        <v>0</v>
      </c>
      <c r="DJ19">
        <f>DF19</f>
        <v>0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ROW(Source!A38)</f>
        <v>38</v>
      </c>
      <c r="B20">
        <v>75284898</v>
      </c>
      <c r="C20">
        <v>75285026</v>
      </c>
      <c r="D20">
        <v>73521330</v>
      </c>
      <c r="E20">
        <v>118</v>
      </c>
      <c r="F20">
        <v>1</v>
      </c>
      <c r="G20">
        <v>1</v>
      </c>
      <c r="H20">
        <v>1</v>
      </c>
      <c r="I20" t="s">
        <v>294</v>
      </c>
      <c r="J20" t="s">
        <v>3</v>
      </c>
      <c r="K20" t="s">
        <v>295</v>
      </c>
      <c r="L20">
        <v>1191</v>
      </c>
      <c r="N20">
        <v>1013</v>
      </c>
      <c r="O20" t="s">
        <v>282</v>
      </c>
      <c r="P20" t="s">
        <v>282</v>
      </c>
      <c r="Q20">
        <v>1</v>
      </c>
      <c r="W20">
        <v>0</v>
      </c>
      <c r="X20">
        <v>-1833565283</v>
      </c>
      <c r="Y20">
        <f>(AT20*ROUND(((0.15+1)*1.25*1.15),7))</f>
        <v>160.68375</v>
      </c>
      <c r="AA20">
        <v>0</v>
      </c>
      <c r="AB20">
        <v>0</v>
      </c>
      <c r="AC20">
        <v>0</v>
      </c>
      <c r="AD20">
        <v>649.24</v>
      </c>
      <c r="AE20">
        <v>0</v>
      </c>
      <c r="AF20">
        <v>0</v>
      </c>
      <c r="AG20">
        <v>0</v>
      </c>
      <c r="AH20">
        <v>649.24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97.2</v>
      </c>
      <c r="AU20" t="s">
        <v>76</v>
      </c>
      <c r="AV20">
        <v>1</v>
      </c>
      <c r="AW20">
        <v>2</v>
      </c>
      <c r="AX20">
        <v>75285027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63106.128000000004</v>
      </c>
      <c r="BN20">
        <v>97.2</v>
      </c>
      <c r="BO20">
        <v>0</v>
      </c>
      <c r="BP20">
        <v>1</v>
      </c>
      <c r="BQ20">
        <v>0</v>
      </c>
      <c r="BR20">
        <v>0</v>
      </c>
      <c r="BS20">
        <v>0</v>
      </c>
      <c r="BT20">
        <v>104322.31784999999</v>
      </c>
      <c r="BU20">
        <v>160.68374999999997</v>
      </c>
      <c r="BV20">
        <v>0</v>
      </c>
      <c r="BW20">
        <v>1</v>
      </c>
      <c r="CU20">
        <f>ROUND(AT20*Source!I38*AH20*AL20,2)</f>
        <v>1823.77</v>
      </c>
      <c r="CV20">
        <f>ROUND(Y20*Source!I38,7)</f>
        <v>4.6437603999999997</v>
      </c>
      <c r="CW20">
        <v>0</v>
      </c>
      <c r="CX20">
        <f>ROUND(Y20*Source!I38,7)</f>
        <v>4.6437603999999997</v>
      </c>
      <c r="CY20">
        <f>AD20</f>
        <v>649.24</v>
      </c>
      <c r="CZ20">
        <f>AH20</f>
        <v>649.24</v>
      </c>
      <c r="DA20">
        <f>AL20</f>
        <v>1</v>
      </c>
      <c r="DB20">
        <f>ROUND((ROUND(AT20*CZ20,2)*ROUND(((0.15+1)*1.25*1.15),7)),6)</f>
        <v>104322.32115600001</v>
      </c>
      <c r="DC20">
        <f>ROUND((ROUND(AT20*AG20,2)*ROUND(((0.15+1)*1.25*1.15),7)),6)</f>
        <v>0</v>
      </c>
      <c r="DD20" t="s">
        <v>3</v>
      </c>
      <c r="DE20" t="s">
        <v>3</v>
      </c>
      <c r="DF20">
        <f t="shared" si="7"/>
        <v>0</v>
      </c>
      <c r="DG20">
        <f t="shared" si="6"/>
        <v>0</v>
      </c>
      <c r="DH20">
        <f t="shared" si="1"/>
        <v>0</v>
      </c>
      <c r="DI20">
        <f t="shared" si="2"/>
        <v>3014.92</v>
      </c>
      <c r="DJ20">
        <f>DI20</f>
        <v>3014.92</v>
      </c>
      <c r="DK20">
        <v>1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ROW(Source!A38)</f>
        <v>38</v>
      </c>
      <c r="B21">
        <v>75284898</v>
      </c>
      <c r="C21">
        <v>75285026</v>
      </c>
      <c r="D21">
        <v>73521531</v>
      </c>
      <c r="E21">
        <v>118</v>
      </c>
      <c r="F21">
        <v>1</v>
      </c>
      <c r="G21">
        <v>1</v>
      </c>
      <c r="H21">
        <v>1</v>
      </c>
      <c r="I21" t="s">
        <v>296</v>
      </c>
      <c r="J21" t="s">
        <v>3</v>
      </c>
      <c r="K21" t="s">
        <v>297</v>
      </c>
      <c r="L21">
        <v>1191</v>
      </c>
      <c r="N21">
        <v>1013</v>
      </c>
      <c r="O21" t="s">
        <v>282</v>
      </c>
      <c r="P21" t="s">
        <v>282</v>
      </c>
      <c r="Q21">
        <v>1</v>
      </c>
      <c r="W21">
        <v>0</v>
      </c>
      <c r="X21">
        <v>-1417349443</v>
      </c>
      <c r="Y21">
        <f>(AT21*ROUND(((0.15+1)*1.25*1.25),7))</f>
        <v>0.48515625000000001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0.27</v>
      </c>
      <c r="AU21" t="s">
        <v>75</v>
      </c>
      <c r="AV21">
        <v>2</v>
      </c>
      <c r="AW21">
        <v>2</v>
      </c>
      <c r="AX21">
        <v>75285028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ROUND(Y21*Source!I38,7)</f>
        <v>1.4021E-2</v>
      </c>
      <c r="CY21">
        <f>AD21</f>
        <v>0</v>
      </c>
      <c r="CZ21">
        <f>AH21</f>
        <v>0</v>
      </c>
      <c r="DA21">
        <f>AL21</f>
        <v>1</v>
      </c>
      <c r="DB21">
        <f>ROUND((ROUND(AT21*CZ21,2)*ROUND(((0.15+1)*1.25*1.25),7)),6)</f>
        <v>0</v>
      </c>
      <c r="DC21">
        <f>ROUND((ROUND(AT21*AG21,2)*ROUND(((0.15+1)*1.25*1.25),7)),6)</f>
        <v>0</v>
      </c>
      <c r="DD21" t="s">
        <v>3</v>
      </c>
      <c r="DE21" t="s">
        <v>3</v>
      </c>
      <c r="DF21">
        <f t="shared" si="7"/>
        <v>0</v>
      </c>
      <c r="DG21">
        <f t="shared" si="6"/>
        <v>0</v>
      </c>
      <c r="DH21">
        <f t="shared" si="1"/>
        <v>0</v>
      </c>
      <c r="DI21">
        <f t="shared" si="2"/>
        <v>0</v>
      </c>
      <c r="DJ21">
        <f>DI21</f>
        <v>0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ROW(Source!A38)</f>
        <v>38</v>
      </c>
      <c r="B22">
        <v>75284898</v>
      </c>
      <c r="C22">
        <v>75285026</v>
      </c>
      <c r="D22">
        <v>73647928</v>
      </c>
      <c r="E22">
        <v>1</v>
      </c>
      <c r="F22">
        <v>1</v>
      </c>
      <c r="G22">
        <v>1</v>
      </c>
      <c r="H22">
        <v>2</v>
      </c>
      <c r="I22" t="s">
        <v>325</v>
      </c>
      <c r="J22" t="s">
        <v>326</v>
      </c>
      <c r="K22" t="s">
        <v>327</v>
      </c>
      <c r="L22">
        <v>1368</v>
      </c>
      <c r="N22">
        <v>1011</v>
      </c>
      <c r="O22" t="s">
        <v>286</v>
      </c>
      <c r="P22" t="s">
        <v>286</v>
      </c>
      <c r="Q22">
        <v>1</v>
      </c>
      <c r="W22">
        <v>0</v>
      </c>
      <c r="X22">
        <v>-1073301144</v>
      </c>
      <c r="Y22">
        <f>(AT22*ROUND(((0.15+1)*1.25*1.25),7))</f>
        <v>0.359375</v>
      </c>
      <c r="AA22">
        <v>0</v>
      </c>
      <c r="AB22">
        <v>1036.96</v>
      </c>
      <c r="AC22">
        <v>982.04</v>
      </c>
      <c r="AD22">
        <v>0</v>
      </c>
      <c r="AE22">
        <v>0</v>
      </c>
      <c r="AF22">
        <v>1036.96</v>
      </c>
      <c r="AG22">
        <v>982.04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0.2</v>
      </c>
      <c r="AU22" t="s">
        <v>75</v>
      </c>
      <c r="AV22">
        <v>1</v>
      </c>
      <c r="AW22">
        <v>2</v>
      </c>
      <c r="AX22">
        <v>75285029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207.39200000000002</v>
      </c>
      <c r="BL22">
        <v>196.40800000000002</v>
      </c>
      <c r="BM22">
        <v>0</v>
      </c>
      <c r="BN22">
        <v>0</v>
      </c>
      <c r="BO22">
        <v>0.2</v>
      </c>
      <c r="BP22">
        <v>1</v>
      </c>
      <c r="BQ22">
        <v>0</v>
      </c>
      <c r="BR22">
        <v>372.65750000000003</v>
      </c>
      <c r="BS22">
        <v>352.92062499999997</v>
      </c>
      <c r="BT22">
        <v>0</v>
      </c>
      <c r="BU22">
        <v>0</v>
      </c>
      <c r="BV22">
        <v>0.359375</v>
      </c>
      <c r="BW22">
        <v>1</v>
      </c>
      <c r="CV22">
        <v>0</v>
      </c>
      <c r="CW22">
        <f>ROUND(Y22*Source!I38*DO22,7)</f>
        <v>1.03859E-2</v>
      </c>
      <c r="CX22">
        <f>ROUND(Y22*Source!I38,7)</f>
        <v>1.03859E-2</v>
      </c>
      <c r="CY22">
        <f>AB22</f>
        <v>1036.96</v>
      </c>
      <c r="CZ22">
        <f>AF22</f>
        <v>1036.96</v>
      </c>
      <c r="DA22">
        <f>AJ22</f>
        <v>1</v>
      </c>
      <c r="DB22">
        <f>ROUND((ROUND(AT22*CZ22,2)*ROUND(((0.15+1)*1.25*1.25),7)),6)</f>
        <v>372.65390600000001</v>
      </c>
      <c r="DC22">
        <f>ROUND((ROUND(AT22*AG22,2)*ROUND(((0.15+1)*1.25*1.25),7)),6)</f>
        <v>352.92421899999999</v>
      </c>
      <c r="DD22" t="s">
        <v>3</v>
      </c>
      <c r="DE22" t="s">
        <v>3</v>
      </c>
      <c r="DF22">
        <f t="shared" si="7"/>
        <v>0</v>
      </c>
      <c r="DG22">
        <f t="shared" si="6"/>
        <v>10.77</v>
      </c>
      <c r="DH22">
        <f t="shared" si="1"/>
        <v>10.199999999999999</v>
      </c>
      <c r="DI22">
        <f t="shared" si="2"/>
        <v>0</v>
      </c>
      <c r="DJ22">
        <f>DG22+DH22</f>
        <v>20.97</v>
      </c>
      <c r="DK22">
        <v>1</v>
      </c>
      <c r="DL22" t="s">
        <v>328</v>
      </c>
      <c r="DM22">
        <v>6</v>
      </c>
      <c r="DN22" t="s">
        <v>282</v>
      </c>
      <c r="DO22">
        <v>1</v>
      </c>
    </row>
    <row r="23" spans="1:119" x14ac:dyDescent="0.2">
      <c r="A23">
        <f>ROW(Source!A38)</f>
        <v>38</v>
      </c>
      <c r="B23">
        <v>75284898</v>
      </c>
      <c r="C23">
        <v>75285026</v>
      </c>
      <c r="D23">
        <v>73648884</v>
      </c>
      <c r="E23">
        <v>1</v>
      </c>
      <c r="F23">
        <v>1</v>
      </c>
      <c r="G23">
        <v>1</v>
      </c>
      <c r="H23">
        <v>2</v>
      </c>
      <c r="I23" t="s">
        <v>329</v>
      </c>
      <c r="J23" t="s">
        <v>330</v>
      </c>
      <c r="K23" t="s">
        <v>331</v>
      </c>
      <c r="L23">
        <v>1368</v>
      </c>
      <c r="N23">
        <v>1011</v>
      </c>
      <c r="O23" t="s">
        <v>286</v>
      </c>
      <c r="P23" t="s">
        <v>286</v>
      </c>
      <c r="Q23">
        <v>1</v>
      </c>
      <c r="W23">
        <v>0</v>
      </c>
      <c r="X23">
        <v>-312038840</v>
      </c>
      <c r="Y23">
        <f>(AT23*ROUND(((0.15+1)*1.25*1.25),7))</f>
        <v>0.12578125000000001</v>
      </c>
      <c r="AA23">
        <v>0</v>
      </c>
      <c r="AB23">
        <v>544.91999999999996</v>
      </c>
      <c r="AC23">
        <v>731.08</v>
      </c>
      <c r="AD23">
        <v>0</v>
      </c>
      <c r="AE23">
        <v>0</v>
      </c>
      <c r="AF23">
        <v>544.91999999999996</v>
      </c>
      <c r="AG23">
        <v>731.08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7.0000000000000007E-2</v>
      </c>
      <c r="AU23" t="s">
        <v>75</v>
      </c>
      <c r="AV23">
        <v>1</v>
      </c>
      <c r="AW23">
        <v>2</v>
      </c>
      <c r="AX23">
        <v>75285030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38.144399999999997</v>
      </c>
      <c r="BL23">
        <v>51.17560000000001</v>
      </c>
      <c r="BM23">
        <v>0</v>
      </c>
      <c r="BN23">
        <v>0</v>
      </c>
      <c r="BO23">
        <v>7.0000000000000007E-2</v>
      </c>
      <c r="BP23">
        <v>1</v>
      </c>
      <c r="BQ23">
        <v>0</v>
      </c>
      <c r="BR23">
        <v>68.540718749999996</v>
      </c>
      <c r="BS23">
        <v>91.956156250000006</v>
      </c>
      <c r="BT23">
        <v>0</v>
      </c>
      <c r="BU23">
        <v>0</v>
      </c>
      <c r="BV23">
        <v>0.12578125000000001</v>
      </c>
      <c r="BW23">
        <v>1</v>
      </c>
      <c r="CV23">
        <v>0</v>
      </c>
      <c r="CW23">
        <f>ROUND(Y23*Source!I38*DO23,7)</f>
        <v>3.6351E-3</v>
      </c>
      <c r="CX23">
        <f>ROUND(Y23*Source!I38,7)</f>
        <v>3.6351E-3</v>
      </c>
      <c r="CY23">
        <f>AB23</f>
        <v>544.91999999999996</v>
      </c>
      <c r="CZ23">
        <f>AF23</f>
        <v>544.91999999999996</v>
      </c>
      <c r="DA23">
        <f>AJ23</f>
        <v>1</v>
      </c>
      <c r="DB23">
        <f>ROUND((ROUND(AT23*CZ23,2)*ROUND(((0.15+1)*1.25*1.25),7)),6)</f>
        <v>68.532813000000004</v>
      </c>
      <c r="DC23">
        <f>ROUND((ROUND(AT23*AG23,2)*ROUND(((0.15+1)*1.25*1.25),7)),6)</f>
        <v>91.964062999999996</v>
      </c>
      <c r="DD23" t="s">
        <v>3</v>
      </c>
      <c r="DE23" t="s">
        <v>3</v>
      </c>
      <c r="DF23">
        <f t="shared" si="7"/>
        <v>0</v>
      </c>
      <c r="DG23">
        <f t="shared" si="6"/>
        <v>1.98</v>
      </c>
      <c r="DH23">
        <f t="shared" si="1"/>
        <v>2.66</v>
      </c>
      <c r="DI23">
        <f t="shared" si="2"/>
        <v>0</v>
      </c>
      <c r="DJ23">
        <f>DG23+DH23</f>
        <v>4.6400000000000006</v>
      </c>
      <c r="DK23">
        <v>1</v>
      </c>
      <c r="DL23" t="s">
        <v>301</v>
      </c>
      <c r="DM23">
        <v>4</v>
      </c>
      <c r="DN23" t="s">
        <v>282</v>
      </c>
      <c r="DO23">
        <v>1</v>
      </c>
    </row>
    <row r="24" spans="1:119" x14ac:dyDescent="0.2">
      <c r="A24">
        <f>ROW(Source!A38)</f>
        <v>38</v>
      </c>
      <c r="B24">
        <v>75284898</v>
      </c>
      <c r="C24">
        <v>75285026</v>
      </c>
      <c r="D24">
        <v>73599633</v>
      </c>
      <c r="E24">
        <v>1</v>
      </c>
      <c r="F24">
        <v>1</v>
      </c>
      <c r="G24">
        <v>1</v>
      </c>
      <c r="H24">
        <v>3</v>
      </c>
      <c r="I24" t="s">
        <v>332</v>
      </c>
      <c r="J24" t="s">
        <v>333</v>
      </c>
      <c r="K24" t="s">
        <v>334</v>
      </c>
      <c r="L24">
        <v>1346</v>
      </c>
      <c r="N24">
        <v>1009</v>
      </c>
      <c r="O24" t="s">
        <v>324</v>
      </c>
      <c r="P24" t="s">
        <v>324</v>
      </c>
      <c r="Q24">
        <v>1</v>
      </c>
      <c r="W24">
        <v>0</v>
      </c>
      <c r="X24">
        <v>-421262176</v>
      </c>
      <c r="Y24">
        <f>AT24</f>
        <v>4</v>
      </c>
      <c r="AA24">
        <v>95.59</v>
      </c>
      <c r="AB24">
        <v>0</v>
      </c>
      <c r="AC24">
        <v>0</v>
      </c>
      <c r="AD24">
        <v>0</v>
      </c>
      <c r="AE24">
        <v>72.97</v>
      </c>
      <c r="AF24">
        <v>0</v>
      </c>
      <c r="AG24">
        <v>0</v>
      </c>
      <c r="AH24">
        <v>0</v>
      </c>
      <c r="AI24">
        <v>1.31</v>
      </c>
      <c r="AJ24">
        <v>1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4</v>
      </c>
      <c r="AU24" t="s">
        <v>3</v>
      </c>
      <c r="AV24">
        <v>0</v>
      </c>
      <c r="AW24">
        <v>2</v>
      </c>
      <c r="AX24">
        <v>75285031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291.88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291.88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v>0</v>
      </c>
      <c r="CX24">
        <f>ROUND(Y24*Source!I38,7)</f>
        <v>0.11559999999999999</v>
      </c>
      <c r="CY24">
        <f>AA24</f>
        <v>95.59</v>
      </c>
      <c r="CZ24">
        <f>AE24</f>
        <v>72.97</v>
      </c>
      <c r="DA24">
        <f>AI24</f>
        <v>1.31</v>
      </c>
      <c r="DB24">
        <f>ROUND(ROUND(AT24*CZ24,2),6)</f>
        <v>291.88</v>
      </c>
      <c r="DC24">
        <f>ROUND(ROUND(AT24*AG24,2),6)</f>
        <v>0</v>
      </c>
      <c r="DD24" t="s">
        <v>3</v>
      </c>
      <c r="DE24" t="s">
        <v>3</v>
      </c>
      <c r="DF24">
        <f>ROUND(ROUND(AE24*AI24,2)*CX24,2)</f>
        <v>11.05</v>
      </c>
      <c r="DG24">
        <f t="shared" si="6"/>
        <v>0</v>
      </c>
      <c r="DH24">
        <f t="shared" si="1"/>
        <v>0</v>
      </c>
      <c r="DI24">
        <f t="shared" si="2"/>
        <v>0</v>
      </c>
      <c r="DJ24">
        <f>DF24</f>
        <v>11.05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ROW(Source!A38)</f>
        <v>38</v>
      </c>
      <c r="B25">
        <v>75284898</v>
      </c>
      <c r="C25">
        <v>75285026</v>
      </c>
      <c r="D25">
        <v>73606806</v>
      </c>
      <c r="E25">
        <v>1</v>
      </c>
      <c r="F25">
        <v>1</v>
      </c>
      <c r="G25">
        <v>1</v>
      </c>
      <c r="H25">
        <v>3</v>
      </c>
      <c r="I25" t="s">
        <v>335</v>
      </c>
      <c r="J25" t="s">
        <v>336</v>
      </c>
      <c r="K25" t="s">
        <v>337</v>
      </c>
      <c r="L25">
        <v>1348</v>
      </c>
      <c r="N25">
        <v>1009</v>
      </c>
      <c r="O25" t="s">
        <v>33</v>
      </c>
      <c r="P25" t="s">
        <v>33</v>
      </c>
      <c r="Q25">
        <v>1000</v>
      </c>
      <c r="W25">
        <v>0</v>
      </c>
      <c r="X25">
        <v>326744042</v>
      </c>
      <c r="Y25">
        <f>AT25</f>
        <v>1.2E-2</v>
      </c>
      <c r="AA25">
        <v>125941.34</v>
      </c>
      <c r="AB25">
        <v>0</v>
      </c>
      <c r="AC25">
        <v>0</v>
      </c>
      <c r="AD25">
        <v>0</v>
      </c>
      <c r="AE25">
        <v>149930.17000000001</v>
      </c>
      <c r="AF25">
        <v>0</v>
      </c>
      <c r="AG25">
        <v>0</v>
      </c>
      <c r="AH25">
        <v>0</v>
      </c>
      <c r="AI25">
        <v>0.84</v>
      </c>
      <c r="AJ25">
        <v>1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1.2E-2</v>
      </c>
      <c r="AU25" t="s">
        <v>3</v>
      </c>
      <c r="AV25">
        <v>0</v>
      </c>
      <c r="AW25">
        <v>2</v>
      </c>
      <c r="AX25">
        <v>75285032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1799.1620400000002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1799.1620400000002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v>0</v>
      </c>
      <c r="CX25">
        <f>ROUND(Y25*Source!I38,7)</f>
        <v>3.4680000000000003E-4</v>
      </c>
      <c r="CY25">
        <f>AA25</f>
        <v>125941.34</v>
      </c>
      <c r="CZ25">
        <f>AE25</f>
        <v>149930.17000000001</v>
      </c>
      <c r="DA25">
        <f>AI25</f>
        <v>0.84</v>
      </c>
      <c r="DB25">
        <f>ROUND(ROUND(AT25*CZ25,2),6)</f>
        <v>1799.16</v>
      </c>
      <c r="DC25">
        <f>ROUND(ROUND(AT25*AG25,2),6)</f>
        <v>0</v>
      </c>
      <c r="DD25" t="s">
        <v>3</v>
      </c>
      <c r="DE25" t="s">
        <v>3</v>
      </c>
      <c r="DF25">
        <f>ROUND(ROUND(AE25*AI25,2)*CX25,2)</f>
        <v>43.68</v>
      </c>
      <c r="DG25">
        <f t="shared" si="6"/>
        <v>0</v>
      </c>
      <c r="DH25">
        <f t="shared" si="1"/>
        <v>0</v>
      </c>
      <c r="DI25">
        <f t="shared" si="2"/>
        <v>0</v>
      </c>
      <c r="DJ25">
        <f>DF25</f>
        <v>43.68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ROW(Source!A38)</f>
        <v>38</v>
      </c>
      <c r="B26">
        <v>75284898</v>
      </c>
      <c r="C26">
        <v>75285026</v>
      </c>
      <c r="D26">
        <v>73606964</v>
      </c>
      <c r="E26">
        <v>1</v>
      </c>
      <c r="F26">
        <v>1</v>
      </c>
      <c r="G26">
        <v>1</v>
      </c>
      <c r="H26">
        <v>3</v>
      </c>
      <c r="I26" t="s">
        <v>338</v>
      </c>
      <c r="J26" t="s">
        <v>339</v>
      </c>
      <c r="K26" t="s">
        <v>340</v>
      </c>
      <c r="L26">
        <v>1348</v>
      </c>
      <c r="N26">
        <v>1009</v>
      </c>
      <c r="O26" t="s">
        <v>33</v>
      </c>
      <c r="P26" t="s">
        <v>33</v>
      </c>
      <c r="Q26">
        <v>1000</v>
      </c>
      <c r="W26">
        <v>0</v>
      </c>
      <c r="X26">
        <v>13654676</v>
      </c>
      <c r="Y26">
        <f>AT26</f>
        <v>0.56999999999999995</v>
      </c>
      <c r="AA26">
        <v>76125.37</v>
      </c>
      <c r="AB26">
        <v>0</v>
      </c>
      <c r="AC26">
        <v>0</v>
      </c>
      <c r="AD26">
        <v>0</v>
      </c>
      <c r="AE26">
        <v>76125.37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0.56999999999999995</v>
      </c>
      <c r="AU26" t="s">
        <v>3</v>
      </c>
      <c r="AV26">
        <v>0</v>
      </c>
      <c r="AW26">
        <v>2</v>
      </c>
      <c r="AX26">
        <v>75285033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43391.460899999991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1</v>
      </c>
      <c r="BQ26">
        <v>43391.460899999991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1</v>
      </c>
      <c r="CV26">
        <v>0</v>
      </c>
      <c r="CW26">
        <v>0</v>
      </c>
      <c r="CX26">
        <f>ROUND(Y26*Source!I38,7)</f>
        <v>1.6473000000000002E-2</v>
      </c>
      <c r="CY26">
        <f>AA26</f>
        <v>76125.37</v>
      </c>
      <c r="CZ26">
        <f>AE26</f>
        <v>76125.37</v>
      </c>
      <c r="DA26">
        <f>AI26</f>
        <v>1</v>
      </c>
      <c r="DB26">
        <f>ROUND(ROUND(AT26*CZ26,2),6)</f>
        <v>43391.46</v>
      </c>
      <c r="DC26">
        <f>ROUND(ROUND(AT26*AG26,2),6)</f>
        <v>0</v>
      </c>
      <c r="DD26" t="s">
        <v>3</v>
      </c>
      <c r="DE26" t="s">
        <v>3</v>
      </c>
      <c r="DF26">
        <f t="shared" ref="DF26:DF31" si="8">ROUND(ROUND(AE26,2)*CX26,2)</f>
        <v>1254.01</v>
      </c>
      <c r="DG26">
        <f t="shared" si="6"/>
        <v>0</v>
      </c>
      <c r="DH26">
        <f t="shared" si="1"/>
        <v>0</v>
      </c>
      <c r="DI26">
        <f t="shared" si="2"/>
        <v>0</v>
      </c>
      <c r="DJ26">
        <f>DF26</f>
        <v>1254.01</v>
      </c>
      <c r="DK26">
        <v>1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ROW(Source!A39)</f>
        <v>39</v>
      </c>
      <c r="B27">
        <v>75284898</v>
      </c>
      <c r="C27">
        <v>75285034</v>
      </c>
      <c r="D27">
        <v>73521330</v>
      </c>
      <c r="E27">
        <v>118</v>
      </c>
      <c r="F27">
        <v>1</v>
      </c>
      <c r="G27">
        <v>1</v>
      </c>
      <c r="H27">
        <v>1</v>
      </c>
      <c r="I27" t="s">
        <v>294</v>
      </c>
      <c r="J27" t="s">
        <v>3</v>
      </c>
      <c r="K27" t="s">
        <v>295</v>
      </c>
      <c r="L27">
        <v>1191</v>
      </c>
      <c r="N27">
        <v>1013</v>
      </c>
      <c r="O27" t="s">
        <v>282</v>
      </c>
      <c r="P27" t="s">
        <v>282</v>
      </c>
      <c r="Q27">
        <v>1</v>
      </c>
      <c r="W27">
        <v>0</v>
      </c>
      <c r="X27">
        <v>-1833565283</v>
      </c>
      <c r="Y27">
        <f>(AT27*ROUND(((0.15+1)*1.25*1.15),7))</f>
        <v>2.1490624999999999</v>
      </c>
      <c r="AA27">
        <v>0</v>
      </c>
      <c r="AB27">
        <v>0</v>
      </c>
      <c r="AC27">
        <v>0</v>
      </c>
      <c r="AD27">
        <v>649.24</v>
      </c>
      <c r="AE27">
        <v>0</v>
      </c>
      <c r="AF27">
        <v>0</v>
      </c>
      <c r="AG27">
        <v>0</v>
      </c>
      <c r="AH27">
        <v>649.24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1.3</v>
      </c>
      <c r="AU27" t="s">
        <v>76</v>
      </c>
      <c r="AV27">
        <v>1</v>
      </c>
      <c r="AW27">
        <v>2</v>
      </c>
      <c r="AX27">
        <v>75285035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844.01200000000006</v>
      </c>
      <c r="BN27">
        <v>1.3</v>
      </c>
      <c r="BO27">
        <v>0</v>
      </c>
      <c r="BP27">
        <v>1</v>
      </c>
      <c r="BQ27">
        <v>0</v>
      </c>
      <c r="BR27">
        <v>0</v>
      </c>
      <c r="BS27">
        <v>0</v>
      </c>
      <c r="BT27">
        <v>1395.2573374999999</v>
      </c>
      <c r="BU27">
        <v>2.1490624999999999</v>
      </c>
      <c r="BV27">
        <v>0</v>
      </c>
      <c r="BW27">
        <v>1</v>
      </c>
      <c r="CU27">
        <f>ROUND(AT27*Source!I39*AH27*AL27,2)</f>
        <v>1054.3399999999999</v>
      </c>
      <c r="CV27">
        <f>ROUND(Y27*Source!I39,7)</f>
        <v>2.6846089000000002</v>
      </c>
      <c r="CW27">
        <v>0</v>
      </c>
      <c r="CX27">
        <f>ROUND(Y27*Source!I39,7)</f>
        <v>2.6846089000000002</v>
      </c>
      <c r="CY27">
        <f>AD27</f>
        <v>649.24</v>
      </c>
      <c r="CZ27">
        <f>AH27</f>
        <v>649.24</v>
      </c>
      <c r="DA27">
        <f>AL27</f>
        <v>1</v>
      </c>
      <c r="DB27">
        <f>ROUND((ROUND(AT27*CZ27,2)*ROUND(((0.15+1)*1.25*1.15),7)),6)</f>
        <v>1395.2540309999999</v>
      </c>
      <c r="DC27">
        <f>ROUND((ROUND(AT27*AG27,2)*ROUND(((0.15+1)*1.25*1.15),7)),6)</f>
        <v>0</v>
      </c>
      <c r="DD27" t="s">
        <v>3</v>
      </c>
      <c r="DE27" t="s">
        <v>3</v>
      </c>
      <c r="DF27">
        <f t="shared" si="8"/>
        <v>0</v>
      </c>
      <c r="DG27">
        <f t="shared" si="6"/>
        <v>0</v>
      </c>
      <c r="DH27">
        <f t="shared" si="1"/>
        <v>0</v>
      </c>
      <c r="DI27">
        <f t="shared" si="2"/>
        <v>1742.96</v>
      </c>
      <c r="DJ27">
        <f>DI27</f>
        <v>1742.96</v>
      </c>
      <c r="DK27">
        <v>1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ROW(Source!A39)</f>
        <v>39</v>
      </c>
      <c r="B28">
        <v>75284898</v>
      </c>
      <c r="C28">
        <v>75285034</v>
      </c>
      <c r="D28">
        <v>73524053</v>
      </c>
      <c r="E28">
        <v>118</v>
      </c>
      <c r="F28">
        <v>1</v>
      </c>
      <c r="G28">
        <v>1</v>
      </c>
      <c r="H28">
        <v>3</v>
      </c>
      <c r="I28" t="s">
        <v>109</v>
      </c>
      <c r="J28" t="s">
        <v>3</v>
      </c>
      <c r="K28" t="s">
        <v>110</v>
      </c>
      <c r="L28">
        <v>1327</v>
      </c>
      <c r="N28">
        <v>1005</v>
      </c>
      <c r="O28" t="s">
        <v>111</v>
      </c>
      <c r="P28" t="s">
        <v>111</v>
      </c>
      <c r="Q28">
        <v>1</v>
      </c>
      <c r="W28">
        <v>0</v>
      </c>
      <c r="X28">
        <v>-1880808210</v>
      </c>
      <c r="Y28">
        <f>AT28</f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0</v>
      </c>
      <c r="AN28">
        <v>1</v>
      </c>
      <c r="AO28">
        <v>0</v>
      </c>
      <c r="AP28">
        <v>1</v>
      </c>
      <c r="AQ28">
        <v>0</v>
      </c>
      <c r="AR28">
        <v>0</v>
      </c>
      <c r="AS28" t="s">
        <v>3</v>
      </c>
      <c r="AT28">
        <v>0</v>
      </c>
      <c r="AU28" t="s">
        <v>3</v>
      </c>
      <c r="AV28">
        <v>0</v>
      </c>
      <c r="AW28">
        <v>2</v>
      </c>
      <c r="AX28">
        <v>75285036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ROUND(Y28*Source!I39,7)</f>
        <v>0</v>
      </c>
      <c r="CY28">
        <f>AA28</f>
        <v>0</v>
      </c>
      <c r="CZ28">
        <f>AE28</f>
        <v>0</v>
      </c>
      <c r="DA28">
        <f>AI28</f>
        <v>1</v>
      </c>
      <c r="DB28">
        <f>ROUND(ROUND(AT28*CZ28,2),6)</f>
        <v>0</v>
      </c>
      <c r="DC28">
        <f>ROUND(ROUND(AT28*AG28,2),6)</f>
        <v>0</v>
      </c>
      <c r="DD28" t="s">
        <v>3</v>
      </c>
      <c r="DE28" t="s">
        <v>3</v>
      </c>
      <c r="DF28">
        <f t="shared" si="8"/>
        <v>0</v>
      </c>
      <c r="DG28">
        <f t="shared" si="6"/>
        <v>0</v>
      </c>
      <c r="DH28">
        <f t="shared" si="1"/>
        <v>0</v>
      </c>
      <c r="DI28">
        <f t="shared" si="2"/>
        <v>0</v>
      </c>
      <c r="DJ28">
        <f>DF28</f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ROW(Source!A42)</f>
        <v>42</v>
      </c>
      <c r="B29">
        <v>75284898</v>
      </c>
      <c r="C29">
        <v>75285039</v>
      </c>
      <c r="D29">
        <v>73521330</v>
      </c>
      <c r="E29">
        <v>118</v>
      </c>
      <c r="F29">
        <v>1</v>
      </c>
      <c r="G29">
        <v>1</v>
      </c>
      <c r="H29">
        <v>1</v>
      </c>
      <c r="I29" t="s">
        <v>294</v>
      </c>
      <c r="J29" t="s">
        <v>3</v>
      </c>
      <c r="K29" t="s">
        <v>295</v>
      </c>
      <c r="L29">
        <v>1191</v>
      </c>
      <c r="N29">
        <v>1013</v>
      </c>
      <c r="O29" t="s">
        <v>282</v>
      </c>
      <c r="P29" t="s">
        <v>282</v>
      </c>
      <c r="Q29">
        <v>1</v>
      </c>
      <c r="W29">
        <v>0</v>
      </c>
      <c r="X29">
        <v>-1833565283</v>
      </c>
      <c r="Y29">
        <f>(AT29*ROUND(((0.15+1)*1.25),7))</f>
        <v>7.9637500000000001</v>
      </c>
      <c r="AA29">
        <v>0</v>
      </c>
      <c r="AB29">
        <v>0</v>
      </c>
      <c r="AC29">
        <v>0</v>
      </c>
      <c r="AD29">
        <v>649.24</v>
      </c>
      <c r="AE29">
        <v>0</v>
      </c>
      <c r="AF29">
        <v>0</v>
      </c>
      <c r="AG29">
        <v>0</v>
      </c>
      <c r="AH29">
        <v>649.24</v>
      </c>
      <c r="AI29">
        <v>1</v>
      </c>
      <c r="AJ29">
        <v>1</v>
      </c>
      <c r="AK29">
        <v>1</v>
      </c>
      <c r="AL29">
        <v>1</v>
      </c>
      <c r="AM29">
        <v>-2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5.54</v>
      </c>
      <c r="AU29" t="s">
        <v>22</v>
      </c>
      <c r="AV29">
        <v>1</v>
      </c>
      <c r="AW29">
        <v>2</v>
      </c>
      <c r="AX29">
        <v>75285040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3596.7896000000001</v>
      </c>
      <c r="BN29">
        <v>5.54</v>
      </c>
      <c r="BO29">
        <v>0</v>
      </c>
      <c r="BP29">
        <v>1</v>
      </c>
      <c r="BQ29">
        <v>0</v>
      </c>
      <c r="BR29">
        <v>0</v>
      </c>
      <c r="BS29">
        <v>0</v>
      </c>
      <c r="BT29">
        <v>5170.3850499999999</v>
      </c>
      <c r="BU29">
        <v>7.9637499999999992</v>
      </c>
      <c r="BV29">
        <v>0</v>
      </c>
      <c r="BW29">
        <v>1</v>
      </c>
      <c r="CU29">
        <f>ROUND(AT29*Source!I42*AH29*AL29,2)</f>
        <v>3812.6</v>
      </c>
      <c r="CV29">
        <f>ROUND(Y29*Source!I42,7)</f>
        <v>8.4415750000000003</v>
      </c>
      <c r="CW29">
        <v>0</v>
      </c>
      <c r="CX29">
        <f>ROUND(Y29*Source!I42,7)</f>
        <v>8.4415750000000003</v>
      </c>
      <c r="CY29">
        <f>AD29</f>
        <v>649.24</v>
      </c>
      <c r="CZ29">
        <f>AH29</f>
        <v>649.24</v>
      </c>
      <c r="DA29">
        <f>AL29</f>
        <v>1</v>
      </c>
      <c r="DB29">
        <f>ROUND((ROUND(AT29*CZ29,2)*ROUND(((0.15+1)*1.25),7)),6)</f>
        <v>5170.3856249999999</v>
      </c>
      <c r="DC29">
        <f>ROUND((ROUND(AT29*AG29,2)*ROUND(((0.15+1)*1.25),7)),6)</f>
        <v>0</v>
      </c>
      <c r="DD29" t="s">
        <v>3</v>
      </c>
      <c r="DE29" t="s">
        <v>3</v>
      </c>
      <c r="DF29">
        <f t="shared" si="8"/>
        <v>0</v>
      </c>
      <c r="DG29">
        <f t="shared" si="6"/>
        <v>0</v>
      </c>
      <c r="DH29">
        <f t="shared" si="1"/>
        <v>0</v>
      </c>
      <c r="DI29">
        <f t="shared" si="2"/>
        <v>5480.61</v>
      </c>
      <c r="DJ29">
        <f>DI29</f>
        <v>5480.61</v>
      </c>
      <c r="DK29">
        <v>1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ROW(Source!A42)</f>
        <v>42</v>
      </c>
      <c r="B30">
        <v>75284898</v>
      </c>
      <c r="C30">
        <v>75285039</v>
      </c>
      <c r="D30">
        <v>73598101</v>
      </c>
      <c r="E30">
        <v>1</v>
      </c>
      <c r="F30">
        <v>1</v>
      </c>
      <c r="G30">
        <v>1</v>
      </c>
      <c r="H30">
        <v>3</v>
      </c>
      <c r="I30" t="s">
        <v>341</v>
      </c>
      <c r="J30" t="s">
        <v>342</v>
      </c>
      <c r="K30" t="s">
        <v>343</v>
      </c>
      <c r="L30">
        <v>1383</v>
      </c>
      <c r="N30">
        <v>1013</v>
      </c>
      <c r="O30" t="s">
        <v>344</v>
      </c>
      <c r="P30" t="s">
        <v>344</v>
      </c>
      <c r="Q30">
        <v>1</v>
      </c>
      <c r="W30">
        <v>0</v>
      </c>
      <c r="X30">
        <v>-182421198</v>
      </c>
      <c r="Y30">
        <f>AT30</f>
        <v>5.91</v>
      </c>
      <c r="AA30">
        <v>6.92</v>
      </c>
      <c r="AB30">
        <v>0</v>
      </c>
      <c r="AC30">
        <v>0</v>
      </c>
      <c r="AD30">
        <v>0</v>
      </c>
      <c r="AE30">
        <v>6.92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5.91</v>
      </c>
      <c r="AU30" t="s">
        <v>3</v>
      </c>
      <c r="AV30">
        <v>0</v>
      </c>
      <c r="AW30">
        <v>2</v>
      </c>
      <c r="AX30">
        <v>75285041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40.897199999999998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1</v>
      </c>
      <c r="BQ30">
        <v>40.897199999999998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1</v>
      </c>
      <c r="CV30">
        <v>0</v>
      </c>
      <c r="CW30">
        <v>0</v>
      </c>
      <c r="CX30">
        <f>ROUND(Y30*Source!I42,7)</f>
        <v>6.2645999999999997</v>
      </c>
      <c r="CY30">
        <f>AA30</f>
        <v>6.92</v>
      </c>
      <c r="CZ30">
        <f>AE30</f>
        <v>6.92</v>
      </c>
      <c r="DA30">
        <f>AI30</f>
        <v>1</v>
      </c>
      <c r="DB30">
        <f>ROUND(ROUND(AT30*CZ30,2),6)</f>
        <v>40.9</v>
      </c>
      <c r="DC30">
        <f>ROUND(ROUND(AT30*AG30,2),6)</f>
        <v>0</v>
      </c>
      <c r="DD30" t="s">
        <v>3</v>
      </c>
      <c r="DE30" t="s">
        <v>3</v>
      </c>
      <c r="DF30">
        <f t="shared" si="8"/>
        <v>43.35</v>
      </c>
      <c r="DG30">
        <f t="shared" si="6"/>
        <v>0</v>
      </c>
      <c r="DH30">
        <f t="shared" si="1"/>
        <v>0</v>
      </c>
      <c r="DI30">
        <f t="shared" si="2"/>
        <v>0</v>
      </c>
      <c r="DJ30">
        <f>DF30</f>
        <v>43.35</v>
      </c>
      <c r="DK30">
        <v>1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ROW(Source!A42)</f>
        <v>42</v>
      </c>
      <c r="B31">
        <v>75284898</v>
      </c>
      <c r="C31">
        <v>75285039</v>
      </c>
      <c r="D31">
        <v>73522417</v>
      </c>
      <c r="E31">
        <v>118</v>
      </c>
      <c r="F31">
        <v>1</v>
      </c>
      <c r="G31">
        <v>1</v>
      </c>
      <c r="H31">
        <v>3</v>
      </c>
      <c r="I31" t="s">
        <v>126</v>
      </c>
      <c r="J31" t="s">
        <v>3</v>
      </c>
      <c r="K31" t="s">
        <v>127</v>
      </c>
      <c r="L31">
        <v>1371</v>
      </c>
      <c r="N31">
        <v>1013</v>
      </c>
      <c r="O31" t="s">
        <v>37</v>
      </c>
      <c r="P31" t="s">
        <v>37</v>
      </c>
      <c r="Q31">
        <v>1</v>
      </c>
      <c r="W31">
        <v>0</v>
      </c>
      <c r="X31">
        <v>-529615532</v>
      </c>
      <c r="Y31">
        <f>AT31</f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0</v>
      </c>
      <c r="AN31">
        <v>1</v>
      </c>
      <c r="AO31">
        <v>0</v>
      </c>
      <c r="AP31">
        <v>1</v>
      </c>
      <c r="AQ31">
        <v>0</v>
      </c>
      <c r="AR31">
        <v>0</v>
      </c>
      <c r="AS31" t="s">
        <v>3</v>
      </c>
      <c r="AT31">
        <v>0</v>
      </c>
      <c r="AU31" t="s">
        <v>3</v>
      </c>
      <c r="AV31">
        <v>0</v>
      </c>
      <c r="AW31">
        <v>2</v>
      </c>
      <c r="AX31">
        <v>75285042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ROUND(Y31*Source!I42,7)</f>
        <v>0</v>
      </c>
      <c r="CY31">
        <f>AA31</f>
        <v>0</v>
      </c>
      <c r="CZ31">
        <f>AE31</f>
        <v>0</v>
      </c>
      <c r="DA31">
        <f>AI31</f>
        <v>1</v>
      </c>
      <c r="DB31">
        <f>ROUND(ROUND(AT31*CZ31,2),6)</f>
        <v>0</v>
      </c>
      <c r="DC31">
        <f>ROUND(ROUND(AT31*AG31,2),6)</f>
        <v>0</v>
      </c>
      <c r="DD31" t="s">
        <v>3</v>
      </c>
      <c r="DE31" t="s">
        <v>3</v>
      </c>
      <c r="DF31">
        <f t="shared" si="8"/>
        <v>0</v>
      </c>
      <c r="DG31">
        <f t="shared" si="6"/>
        <v>0</v>
      </c>
      <c r="DH31">
        <f t="shared" si="1"/>
        <v>0</v>
      </c>
      <c r="DI31">
        <f t="shared" si="2"/>
        <v>0</v>
      </c>
      <c r="DJ31">
        <f>DF31</f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3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75284971</v>
      </c>
      <c r="C1">
        <v>75284970</v>
      </c>
      <c r="D1">
        <v>73521290</v>
      </c>
      <c r="E1">
        <v>118</v>
      </c>
      <c r="F1">
        <v>1</v>
      </c>
      <c r="G1">
        <v>1</v>
      </c>
      <c r="H1">
        <v>1</v>
      </c>
      <c r="I1" t="s">
        <v>280</v>
      </c>
      <c r="J1" t="s">
        <v>3</v>
      </c>
      <c r="K1" t="s">
        <v>281</v>
      </c>
      <c r="L1">
        <v>1191</v>
      </c>
      <c r="N1">
        <v>1013</v>
      </c>
      <c r="O1" t="s">
        <v>282</v>
      </c>
      <c r="P1" t="s">
        <v>282</v>
      </c>
      <c r="Q1">
        <v>1</v>
      </c>
      <c r="X1">
        <v>9.1</v>
      </c>
      <c r="Y1">
        <v>0</v>
      </c>
      <c r="Z1">
        <v>0</v>
      </c>
      <c r="AA1">
        <v>0</v>
      </c>
      <c r="AB1">
        <v>594.67999999999995</v>
      </c>
      <c r="AC1">
        <v>0</v>
      </c>
      <c r="AD1">
        <v>1</v>
      </c>
      <c r="AE1">
        <v>1</v>
      </c>
      <c r="AF1" t="s">
        <v>22</v>
      </c>
      <c r="AG1">
        <v>13.081249999999997</v>
      </c>
      <c r="AH1">
        <v>2</v>
      </c>
      <c r="AI1">
        <v>75284971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75284972</v>
      </c>
      <c r="C2">
        <v>75284970</v>
      </c>
      <c r="D2">
        <v>73648121</v>
      </c>
      <c r="E2">
        <v>1</v>
      </c>
      <c r="F2">
        <v>1</v>
      </c>
      <c r="G2">
        <v>1</v>
      </c>
      <c r="H2">
        <v>2</v>
      </c>
      <c r="I2" t="s">
        <v>283</v>
      </c>
      <c r="J2" t="s">
        <v>284</v>
      </c>
      <c r="K2" t="s">
        <v>285</v>
      </c>
      <c r="L2">
        <v>1368</v>
      </c>
      <c r="N2">
        <v>1011</v>
      </c>
      <c r="O2" t="s">
        <v>286</v>
      </c>
      <c r="P2" t="s">
        <v>286</v>
      </c>
      <c r="Q2">
        <v>1</v>
      </c>
      <c r="X2">
        <v>0.12</v>
      </c>
      <c r="Y2">
        <v>0</v>
      </c>
      <c r="Z2">
        <v>6.62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22</v>
      </c>
      <c r="AG2">
        <v>0.17249999999999999</v>
      </c>
      <c r="AH2">
        <v>2</v>
      </c>
      <c r="AI2">
        <v>75284972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75284973</v>
      </c>
      <c r="C3">
        <v>75284970</v>
      </c>
      <c r="D3">
        <v>73527584</v>
      </c>
      <c r="E3">
        <v>118</v>
      </c>
      <c r="F3">
        <v>1</v>
      </c>
      <c r="G3">
        <v>1</v>
      </c>
      <c r="H3">
        <v>3</v>
      </c>
      <c r="I3" t="s">
        <v>31</v>
      </c>
      <c r="J3" t="s">
        <v>3</v>
      </c>
      <c r="K3" t="s">
        <v>32</v>
      </c>
      <c r="L3">
        <v>1348</v>
      </c>
      <c r="N3">
        <v>1009</v>
      </c>
      <c r="O3" t="s">
        <v>33</v>
      </c>
      <c r="P3" t="s">
        <v>33</v>
      </c>
      <c r="Q3">
        <v>1000</v>
      </c>
      <c r="X3">
        <v>0.12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 t="s">
        <v>3</v>
      </c>
      <c r="AG3">
        <v>0.12</v>
      </c>
      <c r="AH3">
        <v>2</v>
      </c>
      <c r="AI3">
        <v>75284973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75285002</v>
      </c>
      <c r="C4">
        <v>75285001</v>
      </c>
      <c r="D4">
        <v>73521282</v>
      </c>
      <c r="E4">
        <v>118</v>
      </c>
      <c r="F4">
        <v>1</v>
      </c>
      <c r="G4">
        <v>1</v>
      </c>
      <c r="H4">
        <v>1</v>
      </c>
      <c r="I4" t="s">
        <v>287</v>
      </c>
      <c r="J4" t="s">
        <v>3</v>
      </c>
      <c r="K4" t="s">
        <v>288</v>
      </c>
      <c r="L4">
        <v>1191</v>
      </c>
      <c r="N4">
        <v>1013</v>
      </c>
      <c r="O4" t="s">
        <v>282</v>
      </c>
      <c r="P4" t="s">
        <v>282</v>
      </c>
      <c r="Q4">
        <v>1</v>
      </c>
      <c r="X4">
        <v>0.8</v>
      </c>
      <c r="Y4">
        <v>0</v>
      </c>
      <c r="Z4">
        <v>0</v>
      </c>
      <c r="AA4">
        <v>0</v>
      </c>
      <c r="AB4">
        <v>575.04</v>
      </c>
      <c r="AC4">
        <v>0</v>
      </c>
      <c r="AD4">
        <v>1</v>
      </c>
      <c r="AE4">
        <v>1</v>
      </c>
      <c r="AF4" t="s">
        <v>22</v>
      </c>
      <c r="AG4">
        <v>1.1499999999999999</v>
      </c>
      <c r="AH4">
        <v>2</v>
      </c>
      <c r="AI4">
        <v>75285002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ROW(Source!A31)</f>
        <v>31</v>
      </c>
      <c r="B5">
        <v>75285004</v>
      </c>
      <c r="C5">
        <v>75285003</v>
      </c>
      <c r="D5">
        <v>73521326</v>
      </c>
      <c r="E5">
        <v>118</v>
      </c>
      <c r="F5">
        <v>1</v>
      </c>
      <c r="G5">
        <v>1</v>
      </c>
      <c r="H5">
        <v>1</v>
      </c>
      <c r="I5" t="s">
        <v>289</v>
      </c>
      <c r="J5" t="s">
        <v>3</v>
      </c>
      <c r="K5" t="s">
        <v>290</v>
      </c>
      <c r="L5">
        <v>1191</v>
      </c>
      <c r="N5">
        <v>1013</v>
      </c>
      <c r="O5" t="s">
        <v>282</v>
      </c>
      <c r="P5" t="s">
        <v>282</v>
      </c>
      <c r="Q5">
        <v>1</v>
      </c>
      <c r="X5">
        <v>5.1100000000000003</v>
      </c>
      <c r="Y5">
        <v>0</v>
      </c>
      <c r="Z5">
        <v>0</v>
      </c>
      <c r="AA5">
        <v>0</v>
      </c>
      <c r="AB5">
        <v>643.78</v>
      </c>
      <c r="AC5">
        <v>0</v>
      </c>
      <c r="AD5">
        <v>1</v>
      </c>
      <c r="AE5">
        <v>1</v>
      </c>
      <c r="AF5" t="s">
        <v>22</v>
      </c>
      <c r="AG5">
        <v>7.3456250000000001</v>
      </c>
      <c r="AH5">
        <v>2</v>
      </c>
      <c r="AI5">
        <v>75285004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ROW(Source!A31)</f>
        <v>31</v>
      </c>
      <c r="B6">
        <v>75285005</v>
      </c>
      <c r="C6">
        <v>75285003</v>
      </c>
      <c r="D6">
        <v>73648197</v>
      </c>
      <c r="E6">
        <v>1</v>
      </c>
      <c r="F6">
        <v>1</v>
      </c>
      <c r="G6">
        <v>1</v>
      </c>
      <c r="H6">
        <v>2</v>
      </c>
      <c r="I6" t="s">
        <v>291</v>
      </c>
      <c r="J6" t="s">
        <v>292</v>
      </c>
      <c r="K6" t="s">
        <v>293</v>
      </c>
      <c r="L6">
        <v>1368</v>
      </c>
      <c r="N6">
        <v>1011</v>
      </c>
      <c r="O6" t="s">
        <v>286</v>
      </c>
      <c r="P6" t="s">
        <v>286</v>
      </c>
      <c r="Q6">
        <v>1</v>
      </c>
      <c r="X6">
        <v>4.8</v>
      </c>
      <c r="Y6">
        <v>0</v>
      </c>
      <c r="Z6">
        <v>17.3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22</v>
      </c>
      <c r="AG6">
        <v>6.8999999999999995</v>
      </c>
      <c r="AH6">
        <v>2</v>
      </c>
      <c r="AI6">
        <v>75285005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ROW(Source!A32)</f>
        <v>32</v>
      </c>
      <c r="B7">
        <v>75285007</v>
      </c>
      <c r="C7">
        <v>75285006</v>
      </c>
      <c r="D7">
        <v>73521330</v>
      </c>
      <c r="E7">
        <v>118</v>
      </c>
      <c r="F7">
        <v>1</v>
      </c>
      <c r="G7">
        <v>1</v>
      </c>
      <c r="H7">
        <v>1</v>
      </c>
      <c r="I7" t="s">
        <v>294</v>
      </c>
      <c r="J7" t="s">
        <v>3</v>
      </c>
      <c r="K7" t="s">
        <v>295</v>
      </c>
      <c r="L7">
        <v>1191</v>
      </c>
      <c r="N7">
        <v>1013</v>
      </c>
      <c r="O7" t="s">
        <v>282</v>
      </c>
      <c r="P7" t="s">
        <v>282</v>
      </c>
      <c r="Q7">
        <v>1</v>
      </c>
      <c r="X7">
        <v>109.85</v>
      </c>
      <c r="Y7">
        <v>0</v>
      </c>
      <c r="Z7">
        <v>0</v>
      </c>
      <c r="AA7">
        <v>0</v>
      </c>
      <c r="AB7">
        <v>649.24</v>
      </c>
      <c r="AC7">
        <v>0</v>
      </c>
      <c r="AD7">
        <v>1</v>
      </c>
      <c r="AE7">
        <v>1</v>
      </c>
      <c r="AF7" t="s">
        <v>22</v>
      </c>
      <c r="AG7">
        <v>157.90937499999998</v>
      </c>
      <c r="AH7">
        <v>2</v>
      </c>
      <c r="AI7">
        <v>75285007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ROW(Source!A32)</f>
        <v>32</v>
      </c>
      <c r="B8">
        <v>75285008</v>
      </c>
      <c r="C8">
        <v>75285006</v>
      </c>
      <c r="D8">
        <v>73521531</v>
      </c>
      <c r="E8">
        <v>118</v>
      </c>
      <c r="F8">
        <v>1</v>
      </c>
      <c r="G8">
        <v>1</v>
      </c>
      <c r="H8">
        <v>1</v>
      </c>
      <c r="I8" t="s">
        <v>296</v>
      </c>
      <c r="J8" t="s">
        <v>3</v>
      </c>
      <c r="K8" t="s">
        <v>297</v>
      </c>
      <c r="L8">
        <v>1191</v>
      </c>
      <c r="N8">
        <v>1013</v>
      </c>
      <c r="O8" t="s">
        <v>282</v>
      </c>
      <c r="P8" t="s">
        <v>282</v>
      </c>
      <c r="Q8">
        <v>1</v>
      </c>
      <c r="X8">
        <v>5.5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22</v>
      </c>
      <c r="AG8">
        <v>7.9062499999999991</v>
      </c>
      <c r="AH8">
        <v>2</v>
      </c>
      <c r="AI8">
        <v>75285008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ROW(Source!A32)</f>
        <v>32</v>
      </c>
      <c r="B9">
        <v>75285009</v>
      </c>
      <c r="C9">
        <v>75285006</v>
      </c>
      <c r="D9">
        <v>73648148</v>
      </c>
      <c r="E9">
        <v>1</v>
      </c>
      <c r="F9">
        <v>1</v>
      </c>
      <c r="G9">
        <v>1</v>
      </c>
      <c r="H9">
        <v>2</v>
      </c>
      <c r="I9" t="s">
        <v>298</v>
      </c>
      <c r="J9" t="s">
        <v>299</v>
      </c>
      <c r="K9" t="s">
        <v>300</v>
      </c>
      <c r="L9">
        <v>1368</v>
      </c>
      <c r="N9">
        <v>1011</v>
      </c>
      <c r="O9" t="s">
        <v>286</v>
      </c>
      <c r="P9" t="s">
        <v>286</v>
      </c>
      <c r="Q9">
        <v>1</v>
      </c>
      <c r="X9">
        <v>2.75</v>
      </c>
      <c r="Y9">
        <v>0</v>
      </c>
      <c r="Z9">
        <v>900.04</v>
      </c>
      <c r="AA9">
        <v>731.08</v>
      </c>
      <c r="AB9">
        <v>0</v>
      </c>
      <c r="AC9">
        <v>0</v>
      </c>
      <c r="AD9">
        <v>1</v>
      </c>
      <c r="AE9">
        <v>0</v>
      </c>
      <c r="AF9" t="s">
        <v>22</v>
      </c>
      <c r="AG9">
        <v>3.9531249999999996</v>
      </c>
      <c r="AH9">
        <v>2</v>
      </c>
      <c r="AI9">
        <v>75285009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ROW(Source!A32)</f>
        <v>32</v>
      </c>
      <c r="B10">
        <v>75285010</v>
      </c>
      <c r="C10">
        <v>75285006</v>
      </c>
      <c r="D10">
        <v>73648169</v>
      </c>
      <c r="E10">
        <v>1</v>
      </c>
      <c r="F10">
        <v>1</v>
      </c>
      <c r="G10">
        <v>1</v>
      </c>
      <c r="H10">
        <v>2</v>
      </c>
      <c r="I10" t="s">
        <v>302</v>
      </c>
      <c r="J10" t="s">
        <v>303</v>
      </c>
      <c r="K10" t="s">
        <v>304</v>
      </c>
      <c r="L10">
        <v>1368</v>
      </c>
      <c r="N10">
        <v>1011</v>
      </c>
      <c r="O10" t="s">
        <v>286</v>
      </c>
      <c r="P10" t="s">
        <v>286</v>
      </c>
      <c r="Q10">
        <v>1</v>
      </c>
      <c r="X10">
        <v>2.75</v>
      </c>
      <c r="Y10">
        <v>0</v>
      </c>
      <c r="Z10">
        <v>37.32</v>
      </c>
      <c r="AA10">
        <v>649.24</v>
      </c>
      <c r="AB10">
        <v>0</v>
      </c>
      <c r="AC10">
        <v>0</v>
      </c>
      <c r="AD10">
        <v>1</v>
      </c>
      <c r="AE10">
        <v>0</v>
      </c>
      <c r="AF10" t="s">
        <v>22</v>
      </c>
      <c r="AG10">
        <v>3.9531249999999996</v>
      </c>
      <c r="AH10">
        <v>2</v>
      </c>
      <c r="AI10">
        <v>75285010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75285011</v>
      </c>
      <c r="C11">
        <v>75285006</v>
      </c>
      <c r="D11">
        <v>73649097</v>
      </c>
      <c r="E11">
        <v>1</v>
      </c>
      <c r="F11">
        <v>1</v>
      </c>
      <c r="G11">
        <v>1</v>
      </c>
      <c r="H11">
        <v>2</v>
      </c>
      <c r="I11" t="s">
        <v>306</v>
      </c>
      <c r="J11" t="s">
        <v>307</v>
      </c>
      <c r="K11" t="s">
        <v>308</v>
      </c>
      <c r="L11">
        <v>1368</v>
      </c>
      <c r="N11">
        <v>1011</v>
      </c>
      <c r="O11" t="s">
        <v>286</v>
      </c>
      <c r="P11" t="s">
        <v>286</v>
      </c>
      <c r="Q11">
        <v>1</v>
      </c>
      <c r="X11">
        <v>14.7</v>
      </c>
      <c r="Y11">
        <v>0</v>
      </c>
      <c r="Z11">
        <v>67.2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22</v>
      </c>
      <c r="AG11">
        <v>21.131249999999998</v>
      </c>
      <c r="AH11">
        <v>2</v>
      </c>
      <c r="AI11">
        <v>75285011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75285012</v>
      </c>
      <c r="C12">
        <v>75285006</v>
      </c>
      <c r="D12">
        <v>73649497</v>
      </c>
      <c r="E12">
        <v>1</v>
      </c>
      <c r="F12">
        <v>1</v>
      </c>
      <c r="G12">
        <v>1</v>
      </c>
      <c r="H12">
        <v>2</v>
      </c>
      <c r="I12" t="s">
        <v>309</v>
      </c>
      <c r="J12" t="s">
        <v>310</v>
      </c>
      <c r="K12" t="s">
        <v>311</v>
      </c>
      <c r="L12">
        <v>1368</v>
      </c>
      <c r="N12">
        <v>1011</v>
      </c>
      <c r="O12" t="s">
        <v>286</v>
      </c>
      <c r="P12" t="s">
        <v>286</v>
      </c>
      <c r="Q12">
        <v>1</v>
      </c>
      <c r="X12">
        <v>29.4</v>
      </c>
      <c r="Y12">
        <v>0</v>
      </c>
      <c r="Z12">
        <v>2.11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22</v>
      </c>
      <c r="AG12">
        <v>42.262499999999996</v>
      </c>
      <c r="AH12">
        <v>2</v>
      </c>
      <c r="AI12">
        <v>75285012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75285013</v>
      </c>
      <c r="C13">
        <v>75285006</v>
      </c>
      <c r="D13">
        <v>73527584</v>
      </c>
      <c r="E13">
        <v>118</v>
      </c>
      <c r="F13">
        <v>1</v>
      </c>
      <c r="G13">
        <v>1</v>
      </c>
      <c r="H13">
        <v>3</v>
      </c>
      <c r="I13" t="s">
        <v>31</v>
      </c>
      <c r="J13" t="s">
        <v>3</v>
      </c>
      <c r="K13" t="s">
        <v>32</v>
      </c>
      <c r="L13">
        <v>1348</v>
      </c>
      <c r="N13">
        <v>1009</v>
      </c>
      <c r="O13" t="s">
        <v>33</v>
      </c>
      <c r="P13" t="s">
        <v>33</v>
      </c>
      <c r="Q13">
        <v>1000</v>
      </c>
      <c r="X13">
        <v>10.84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3</v>
      </c>
      <c r="AG13">
        <v>10.84</v>
      </c>
      <c r="AH13">
        <v>2</v>
      </c>
      <c r="AI13">
        <v>75285013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ROW(Source!A34)</f>
        <v>34</v>
      </c>
      <c r="B14">
        <v>75285016</v>
      </c>
      <c r="C14">
        <v>75285015</v>
      </c>
      <c r="D14">
        <v>73521299</v>
      </c>
      <c r="E14">
        <v>118</v>
      </c>
      <c r="F14">
        <v>1</v>
      </c>
      <c r="G14">
        <v>1</v>
      </c>
      <c r="H14">
        <v>1</v>
      </c>
      <c r="I14" t="s">
        <v>312</v>
      </c>
      <c r="J14" t="s">
        <v>3</v>
      </c>
      <c r="K14" t="s">
        <v>313</v>
      </c>
      <c r="L14">
        <v>1191</v>
      </c>
      <c r="N14">
        <v>1013</v>
      </c>
      <c r="O14" t="s">
        <v>282</v>
      </c>
      <c r="P14" t="s">
        <v>282</v>
      </c>
      <c r="Q14">
        <v>1</v>
      </c>
      <c r="X14">
        <v>5.3</v>
      </c>
      <c r="Y14">
        <v>0</v>
      </c>
      <c r="Z14">
        <v>0</v>
      </c>
      <c r="AA14">
        <v>0</v>
      </c>
      <c r="AB14">
        <v>605.59</v>
      </c>
      <c r="AC14">
        <v>0</v>
      </c>
      <c r="AD14">
        <v>1</v>
      </c>
      <c r="AE14">
        <v>1</v>
      </c>
      <c r="AF14" t="s">
        <v>22</v>
      </c>
      <c r="AG14">
        <v>7.6187499999999995</v>
      </c>
      <c r="AH14">
        <v>2</v>
      </c>
      <c r="AI14">
        <v>75285016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ROW(Source!A34)</f>
        <v>34</v>
      </c>
      <c r="B15">
        <v>75285017</v>
      </c>
      <c r="C15">
        <v>75285015</v>
      </c>
      <c r="D15">
        <v>73598089</v>
      </c>
      <c r="E15">
        <v>1</v>
      </c>
      <c r="F15">
        <v>1</v>
      </c>
      <c r="G15">
        <v>1</v>
      </c>
      <c r="H15">
        <v>3</v>
      </c>
      <c r="I15" t="s">
        <v>314</v>
      </c>
      <c r="J15" t="s">
        <v>315</v>
      </c>
      <c r="K15" t="s">
        <v>316</v>
      </c>
      <c r="L15">
        <v>1339</v>
      </c>
      <c r="N15">
        <v>1007</v>
      </c>
      <c r="O15" t="s">
        <v>317</v>
      </c>
      <c r="P15" t="s">
        <v>317</v>
      </c>
      <c r="Q15">
        <v>1</v>
      </c>
      <c r="X15">
        <v>7.0000000000000007E-2</v>
      </c>
      <c r="Y15">
        <v>35.71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7.0000000000000007E-2</v>
      </c>
      <c r="AH15">
        <v>2</v>
      </c>
      <c r="AI15">
        <v>75285017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ROW(Source!A34)</f>
        <v>34</v>
      </c>
      <c r="B16">
        <v>75285018</v>
      </c>
      <c r="C16">
        <v>75285015</v>
      </c>
      <c r="D16">
        <v>73598381</v>
      </c>
      <c r="E16">
        <v>1</v>
      </c>
      <c r="F16">
        <v>1</v>
      </c>
      <c r="G16">
        <v>1</v>
      </c>
      <c r="H16">
        <v>3</v>
      </c>
      <c r="I16" t="s">
        <v>318</v>
      </c>
      <c r="J16" t="s">
        <v>319</v>
      </c>
      <c r="K16" t="s">
        <v>320</v>
      </c>
      <c r="L16">
        <v>1371</v>
      </c>
      <c r="N16">
        <v>1013</v>
      </c>
      <c r="O16" t="s">
        <v>37</v>
      </c>
      <c r="P16" t="s">
        <v>37</v>
      </c>
      <c r="Q16">
        <v>1</v>
      </c>
      <c r="X16">
        <v>1.6</v>
      </c>
      <c r="Y16">
        <v>18.59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1.6</v>
      </c>
      <c r="AH16">
        <v>2</v>
      </c>
      <c r="AI16">
        <v>75285018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ROW(Source!A34)</f>
        <v>34</v>
      </c>
      <c r="B17">
        <v>75285019</v>
      </c>
      <c r="C17">
        <v>75285015</v>
      </c>
      <c r="D17">
        <v>73600737</v>
      </c>
      <c r="E17">
        <v>1</v>
      </c>
      <c r="F17">
        <v>1</v>
      </c>
      <c r="G17">
        <v>1</v>
      </c>
      <c r="H17">
        <v>3</v>
      </c>
      <c r="I17" t="s">
        <v>321</v>
      </c>
      <c r="J17" t="s">
        <v>322</v>
      </c>
      <c r="K17" t="s">
        <v>323</v>
      </c>
      <c r="L17">
        <v>1346</v>
      </c>
      <c r="N17">
        <v>1009</v>
      </c>
      <c r="O17" t="s">
        <v>324</v>
      </c>
      <c r="P17" t="s">
        <v>324</v>
      </c>
      <c r="Q17">
        <v>1</v>
      </c>
      <c r="X17">
        <v>0.1</v>
      </c>
      <c r="Y17">
        <v>56.11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</v>
      </c>
      <c r="AH17">
        <v>2</v>
      </c>
      <c r="AI17">
        <v>75285019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ROW(Source!A35)</f>
        <v>35</v>
      </c>
      <c r="B18">
        <v>75285021</v>
      </c>
      <c r="C18">
        <v>75285020</v>
      </c>
      <c r="D18">
        <v>73521330</v>
      </c>
      <c r="E18">
        <v>118</v>
      </c>
      <c r="F18">
        <v>1</v>
      </c>
      <c r="G18">
        <v>1</v>
      </c>
      <c r="H18">
        <v>1</v>
      </c>
      <c r="I18" t="s">
        <v>294</v>
      </c>
      <c r="J18" t="s">
        <v>3</v>
      </c>
      <c r="K18" t="s">
        <v>295</v>
      </c>
      <c r="L18">
        <v>1191</v>
      </c>
      <c r="N18">
        <v>1013</v>
      </c>
      <c r="O18" t="s">
        <v>282</v>
      </c>
      <c r="P18" t="s">
        <v>282</v>
      </c>
      <c r="Q18">
        <v>1</v>
      </c>
      <c r="X18">
        <v>8.1199999999999992</v>
      </c>
      <c r="Y18">
        <v>0</v>
      </c>
      <c r="Z18">
        <v>0</v>
      </c>
      <c r="AA18">
        <v>0</v>
      </c>
      <c r="AB18">
        <v>649.24</v>
      </c>
      <c r="AC18">
        <v>0</v>
      </c>
      <c r="AD18">
        <v>1</v>
      </c>
      <c r="AE18">
        <v>1</v>
      </c>
      <c r="AF18" t="s">
        <v>76</v>
      </c>
      <c r="AG18">
        <v>13.423374999999998</v>
      </c>
      <c r="AH18">
        <v>2</v>
      </c>
      <c r="AI18">
        <v>75285021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ROW(Source!A35)</f>
        <v>35</v>
      </c>
      <c r="B19">
        <v>75285022</v>
      </c>
      <c r="C19">
        <v>75285020</v>
      </c>
      <c r="D19">
        <v>73525571</v>
      </c>
      <c r="E19">
        <v>118</v>
      </c>
      <c r="F19">
        <v>1</v>
      </c>
      <c r="G19">
        <v>1</v>
      </c>
      <c r="H19">
        <v>3</v>
      </c>
      <c r="I19" t="s">
        <v>84</v>
      </c>
      <c r="J19" t="s">
        <v>3</v>
      </c>
      <c r="K19" t="s">
        <v>85</v>
      </c>
      <c r="L19">
        <v>1348</v>
      </c>
      <c r="N19">
        <v>1009</v>
      </c>
      <c r="O19" t="s">
        <v>33</v>
      </c>
      <c r="P19" t="s">
        <v>33</v>
      </c>
      <c r="Q19">
        <v>1000</v>
      </c>
      <c r="X19">
        <v>1.2E-2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3</v>
      </c>
      <c r="AG19">
        <v>1.2E-2</v>
      </c>
      <c r="AH19">
        <v>2</v>
      </c>
      <c r="AI19">
        <v>75285022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ROW(Source!A38)</f>
        <v>38</v>
      </c>
      <c r="B20">
        <v>75285027</v>
      </c>
      <c r="C20">
        <v>75285026</v>
      </c>
      <c r="D20">
        <v>73521330</v>
      </c>
      <c r="E20">
        <v>118</v>
      </c>
      <c r="F20">
        <v>1</v>
      </c>
      <c r="G20">
        <v>1</v>
      </c>
      <c r="H20">
        <v>1</v>
      </c>
      <c r="I20" t="s">
        <v>294</v>
      </c>
      <c r="J20" t="s">
        <v>3</v>
      </c>
      <c r="K20" t="s">
        <v>295</v>
      </c>
      <c r="L20">
        <v>1191</v>
      </c>
      <c r="N20">
        <v>1013</v>
      </c>
      <c r="O20" t="s">
        <v>282</v>
      </c>
      <c r="P20" t="s">
        <v>282</v>
      </c>
      <c r="Q20">
        <v>1</v>
      </c>
      <c r="X20">
        <v>97.2</v>
      </c>
      <c r="Y20">
        <v>0</v>
      </c>
      <c r="Z20">
        <v>0</v>
      </c>
      <c r="AA20">
        <v>0</v>
      </c>
      <c r="AB20">
        <v>649.24</v>
      </c>
      <c r="AC20">
        <v>0</v>
      </c>
      <c r="AD20">
        <v>1</v>
      </c>
      <c r="AE20">
        <v>1</v>
      </c>
      <c r="AF20" t="s">
        <v>76</v>
      </c>
      <c r="AG20">
        <v>160.68374999999997</v>
      </c>
      <c r="AH20">
        <v>2</v>
      </c>
      <c r="AI20">
        <v>75285027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ROW(Source!A38)</f>
        <v>38</v>
      </c>
      <c r="B21">
        <v>75285028</v>
      </c>
      <c r="C21">
        <v>75285026</v>
      </c>
      <c r="D21">
        <v>73521531</v>
      </c>
      <c r="E21">
        <v>118</v>
      </c>
      <c r="F21">
        <v>1</v>
      </c>
      <c r="G21">
        <v>1</v>
      </c>
      <c r="H21">
        <v>1</v>
      </c>
      <c r="I21" t="s">
        <v>296</v>
      </c>
      <c r="J21" t="s">
        <v>3</v>
      </c>
      <c r="K21" t="s">
        <v>297</v>
      </c>
      <c r="L21">
        <v>1191</v>
      </c>
      <c r="N21">
        <v>1013</v>
      </c>
      <c r="O21" t="s">
        <v>282</v>
      </c>
      <c r="P21" t="s">
        <v>282</v>
      </c>
      <c r="Q21">
        <v>1</v>
      </c>
      <c r="X21">
        <v>0.27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2</v>
      </c>
      <c r="AF21" t="s">
        <v>75</v>
      </c>
      <c r="AG21">
        <v>0.48515625000000001</v>
      </c>
      <c r="AH21">
        <v>2</v>
      </c>
      <c r="AI21">
        <v>75285028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ROW(Source!A38)</f>
        <v>38</v>
      </c>
      <c r="B22">
        <v>75285029</v>
      </c>
      <c r="C22">
        <v>75285026</v>
      </c>
      <c r="D22">
        <v>73647928</v>
      </c>
      <c r="E22">
        <v>1</v>
      </c>
      <c r="F22">
        <v>1</v>
      </c>
      <c r="G22">
        <v>1</v>
      </c>
      <c r="H22">
        <v>2</v>
      </c>
      <c r="I22" t="s">
        <v>325</v>
      </c>
      <c r="J22" t="s">
        <v>326</v>
      </c>
      <c r="K22" t="s">
        <v>327</v>
      </c>
      <c r="L22">
        <v>1368</v>
      </c>
      <c r="N22">
        <v>1011</v>
      </c>
      <c r="O22" t="s">
        <v>286</v>
      </c>
      <c r="P22" t="s">
        <v>286</v>
      </c>
      <c r="Q22">
        <v>1</v>
      </c>
      <c r="X22">
        <v>0.2</v>
      </c>
      <c r="Y22">
        <v>0</v>
      </c>
      <c r="Z22">
        <v>1036.96</v>
      </c>
      <c r="AA22">
        <v>982.04</v>
      </c>
      <c r="AB22">
        <v>0</v>
      </c>
      <c r="AC22">
        <v>0</v>
      </c>
      <c r="AD22">
        <v>1</v>
      </c>
      <c r="AE22">
        <v>0</v>
      </c>
      <c r="AF22" t="s">
        <v>75</v>
      </c>
      <c r="AG22">
        <v>0.359375</v>
      </c>
      <c r="AH22">
        <v>2</v>
      </c>
      <c r="AI22">
        <v>75285029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ROW(Source!A38)</f>
        <v>38</v>
      </c>
      <c r="B23">
        <v>75285030</v>
      </c>
      <c r="C23">
        <v>75285026</v>
      </c>
      <c r="D23">
        <v>73648884</v>
      </c>
      <c r="E23">
        <v>1</v>
      </c>
      <c r="F23">
        <v>1</v>
      </c>
      <c r="G23">
        <v>1</v>
      </c>
      <c r="H23">
        <v>2</v>
      </c>
      <c r="I23" t="s">
        <v>329</v>
      </c>
      <c r="J23" t="s">
        <v>330</v>
      </c>
      <c r="K23" t="s">
        <v>331</v>
      </c>
      <c r="L23">
        <v>1368</v>
      </c>
      <c r="N23">
        <v>1011</v>
      </c>
      <c r="O23" t="s">
        <v>286</v>
      </c>
      <c r="P23" t="s">
        <v>286</v>
      </c>
      <c r="Q23">
        <v>1</v>
      </c>
      <c r="X23">
        <v>7.0000000000000007E-2</v>
      </c>
      <c r="Y23">
        <v>0</v>
      </c>
      <c r="Z23">
        <v>544.91999999999996</v>
      </c>
      <c r="AA23">
        <v>731.08</v>
      </c>
      <c r="AB23">
        <v>0</v>
      </c>
      <c r="AC23">
        <v>0</v>
      </c>
      <c r="AD23">
        <v>1</v>
      </c>
      <c r="AE23">
        <v>0</v>
      </c>
      <c r="AF23" t="s">
        <v>75</v>
      </c>
      <c r="AG23">
        <v>0.12578125000000001</v>
      </c>
      <c r="AH23">
        <v>2</v>
      </c>
      <c r="AI23">
        <v>75285030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ROW(Source!A38)</f>
        <v>38</v>
      </c>
      <c r="B24">
        <v>75285031</v>
      </c>
      <c r="C24">
        <v>75285026</v>
      </c>
      <c r="D24">
        <v>73599633</v>
      </c>
      <c r="E24">
        <v>1</v>
      </c>
      <c r="F24">
        <v>1</v>
      </c>
      <c r="G24">
        <v>1</v>
      </c>
      <c r="H24">
        <v>3</v>
      </c>
      <c r="I24" t="s">
        <v>332</v>
      </c>
      <c r="J24" t="s">
        <v>333</v>
      </c>
      <c r="K24" t="s">
        <v>334</v>
      </c>
      <c r="L24">
        <v>1346</v>
      </c>
      <c r="N24">
        <v>1009</v>
      </c>
      <c r="O24" t="s">
        <v>324</v>
      </c>
      <c r="P24" t="s">
        <v>324</v>
      </c>
      <c r="Q24">
        <v>1</v>
      </c>
      <c r="X24">
        <v>4</v>
      </c>
      <c r="Y24">
        <v>72.97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4</v>
      </c>
      <c r="AH24">
        <v>2</v>
      </c>
      <c r="AI24">
        <v>75285031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ROW(Source!A38)</f>
        <v>38</v>
      </c>
      <c r="B25">
        <v>75285032</v>
      </c>
      <c r="C25">
        <v>75285026</v>
      </c>
      <c r="D25">
        <v>73606806</v>
      </c>
      <c r="E25">
        <v>1</v>
      </c>
      <c r="F25">
        <v>1</v>
      </c>
      <c r="G25">
        <v>1</v>
      </c>
      <c r="H25">
        <v>3</v>
      </c>
      <c r="I25" t="s">
        <v>335</v>
      </c>
      <c r="J25" t="s">
        <v>336</v>
      </c>
      <c r="K25" t="s">
        <v>337</v>
      </c>
      <c r="L25">
        <v>1348</v>
      </c>
      <c r="N25">
        <v>1009</v>
      </c>
      <c r="O25" t="s">
        <v>33</v>
      </c>
      <c r="P25" t="s">
        <v>33</v>
      </c>
      <c r="Q25">
        <v>1000</v>
      </c>
      <c r="X25">
        <v>1.2E-2</v>
      </c>
      <c r="Y25">
        <v>149930.17000000001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1.2E-2</v>
      </c>
      <c r="AH25">
        <v>2</v>
      </c>
      <c r="AI25">
        <v>75285032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ROW(Source!A38)</f>
        <v>38</v>
      </c>
      <c r="B26">
        <v>75285033</v>
      </c>
      <c r="C26">
        <v>75285026</v>
      </c>
      <c r="D26">
        <v>73606964</v>
      </c>
      <c r="E26">
        <v>1</v>
      </c>
      <c r="F26">
        <v>1</v>
      </c>
      <c r="G26">
        <v>1</v>
      </c>
      <c r="H26">
        <v>3</v>
      </c>
      <c r="I26" t="s">
        <v>338</v>
      </c>
      <c r="J26" t="s">
        <v>339</v>
      </c>
      <c r="K26" t="s">
        <v>340</v>
      </c>
      <c r="L26">
        <v>1348</v>
      </c>
      <c r="N26">
        <v>1009</v>
      </c>
      <c r="O26" t="s">
        <v>33</v>
      </c>
      <c r="P26" t="s">
        <v>33</v>
      </c>
      <c r="Q26">
        <v>1000</v>
      </c>
      <c r="X26">
        <v>0.56999999999999995</v>
      </c>
      <c r="Y26">
        <v>76125.37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0.56999999999999995</v>
      </c>
      <c r="AH26">
        <v>2</v>
      </c>
      <c r="AI26">
        <v>75285033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ROW(Source!A39)</f>
        <v>39</v>
      </c>
      <c r="B27">
        <v>75285035</v>
      </c>
      <c r="C27">
        <v>75285034</v>
      </c>
      <c r="D27">
        <v>73521330</v>
      </c>
      <c r="E27">
        <v>118</v>
      </c>
      <c r="F27">
        <v>1</v>
      </c>
      <c r="G27">
        <v>1</v>
      </c>
      <c r="H27">
        <v>1</v>
      </c>
      <c r="I27" t="s">
        <v>294</v>
      </c>
      <c r="J27" t="s">
        <v>3</v>
      </c>
      <c r="K27" t="s">
        <v>295</v>
      </c>
      <c r="L27">
        <v>1191</v>
      </c>
      <c r="N27">
        <v>1013</v>
      </c>
      <c r="O27" t="s">
        <v>282</v>
      </c>
      <c r="P27" t="s">
        <v>282</v>
      </c>
      <c r="Q27">
        <v>1</v>
      </c>
      <c r="X27">
        <v>1.3</v>
      </c>
      <c r="Y27">
        <v>0</v>
      </c>
      <c r="Z27">
        <v>0</v>
      </c>
      <c r="AA27">
        <v>0</v>
      </c>
      <c r="AB27">
        <v>649.24</v>
      </c>
      <c r="AC27">
        <v>0</v>
      </c>
      <c r="AD27">
        <v>1</v>
      </c>
      <c r="AE27">
        <v>1</v>
      </c>
      <c r="AF27" t="s">
        <v>76</v>
      </c>
      <c r="AG27">
        <v>2.1490624999999999</v>
      </c>
      <c r="AH27">
        <v>2</v>
      </c>
      <c r="AI27">
        <v>75285035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ROW(Source!A39)</f>
        <v>39</v>
      </c>
      <c r="B28">
        <v>75285036</v>
      </c>
      <c r="C28">
        <v>75285034</v>
      </c>
      <c r="D28">
        <v>73524053</v>
      </c>
      <c r="E28">
        <v>118</v>
      </c>
      <c r="F28">
        <v>1</v>
      </c>
      <c r="G28">
        <v>1</v>
      </c>
      <c r="H28">
        <v>3</v>
      </c>
      <c r="I28" t="s">
        <v>109</v>
      </c>
      <c r="J28" t="s">
        <v>3</v>
      </c>
      <c r="K28" t="s">
        <v>110</v>
      </c>
      <c r="L28">
        <v>1327</v>
      </c>
      <c r="N28">
        <v>1005</v>
      </c>
      <c r="O28" t="s">
        <v>111</v>
      </c>
      <c r="P28" t="s">
        <v>111</v>
      </c>
      <c r="Q28">
        <v>1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0</v>
      </c>
      <c r="AF28" t="s">
        <v>3</v>
      </c>
      <c r="AG28">
        <v>0</v>
      </c>
      <c r="AH28">
        <v>2</v>
      </c>
      <c r="AI28">
        <v>75285036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ROW(Source!A42)</f>
        <v>42</v>
      </c>
      <c r="B29">
        <v>75285040</v>
      </c>
      <c r="C29">
        <v>75285039</v>
      </c>
      <c r="D29">
        <v>73521330</v>
      </c>
      <c r="E29">
        <v>118</v>
      </c>
      <c r="F29">
        <v>1</v>
      </c>
      <c r="G29">
        <v>1</v>
      </c>
      <c r="H29">
        <v>1</v>
      </c>
      <c r="I29" t="s">
        <v>294</v>
      </c>
      <c r="J29" t="s">
        <v>3</v>
      </c>
      <c r="K29" t="s">
        <v>295</v>
      </c>
      <c r="L29">
        <v>1191</v>
      </c>
      <c r="N29">
        <v>1013</v>
      </c>
      <c r="O29" t="s">
        <v>282</v>
      </c>
      <c r="P29" t="s">
        <v>282</v>
      </c>
      <c r="Q29">
        <v>1</v>
      </c>
      <c r="X29">
        <v>5.54</v>
      </c>
      <c r="Y29">
        <v>0</v>
      </c>
      <c r="Z29">
        <v>0</v>
      </c>
      <c r="AA29">
        <v>0</v>
      </c>
      <c r="AB29">
        <v>649.24</v>
      </c>
      <c r="AC29">
        <v>0</v>
      </c>
      <c r="AD29">
        <v>1</v>
      </c>
      <c r="AE29">
        <v>1</v>
      </c>
      <c r="AF29" t="s">
        <v>22</v>
      </c>
      <c r="AG29">
        <v>7.9637499999999992</v>
      </c>
      <c r="AH29">
        <v>2</v>
      </c>
      <c r="AI29">
        <v>75285040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ROW(Source!A42)</f>
        <v>42</v>
      </c>
      <c r="B30">
        <v>75285041</v>
      </c>
      <c r="C30">
        <v>75285039</v>
      </c>
      <c r="D30">
        <v>73598101</v>
      </c>
      <c r="E30">
        <v>1</v>
      </c>
      <c r="F30">
        <v>1</v>
      </c>
      <c r="G30">
        <v>1</v>
      </c>
      <c r="H30">
        <v>3</v>
      </c>
      <c r="I30" t="s">
        <v>341</v>
      </c>
      <c r="J30" t="s">
        <v>342</v>
      </c>
      <c r="K30" t="s">
        <v>343</v>
      </c>
      <c r="L30">
        <v>1383</v>
      </c>
      <c r="N30">
        <v>1013</v>
      </c>
      <c r="O30" t="s">
        <v>344</v>
      </c>
      <c r="P30" t="s">
        <v>344</v>
      </c>
      <c r="Q30">
        <v>1</v>
      </c>
      <c r="X30">
        <v>5.91</v>
      </c>
      <c r="Y30">
        <v>6.92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5.91</v>
      </c>
      <c r="AH30">
        <v>2</v>
      </c>
      <c r="AI30">
        <v>75285041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ROW(Source!A42)</f>
        <v>42</v>
      </c>
      <c r="B31">
        <v>75285042</v>
      </c>
      <c r="C31">
        <v>75285039</v>
      </c>
      <c r="D31">
        <v>73522417</v>
      </c>
      <c r="E31">
        <v>118</v>
      </c>
      <c r="F31">
        <v>1</v>
      </c>
      <c r="G31">
        <v>1</v>
      </c>
      <c r="H31">
        <v>3</v>
      </c>
      <c r="I31" t="s">
        <v>126</v>
      </c>
      <c r="J31" t="s">
        <v>3</v>
      </c>
      <c r="K31" t="s">
        <v>127</v>
      </c>
      <c r="L31">
        <v>1371</v>
      </c>
      <c r="N31">
        <v>1013</v>
      </c>
      <c r="O31" t="s">
        <v>37</v>
      </c>
      <c r="P31" t="s">
        <v>37</v>
      </c>
      <c r="Q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1</v>
      </c>
      <c r="AD31">
        <v>0</v>
      </c>
      <c r="AE31">
        <v>0</v>
      </c>
      <c r="AF31" t="s">
        <v>3</v>
      </c>
      <c r="AG31">
        <v>0</v>
      </c>
      <c r="AH31">
        <v>2</v>
      </c>
      <c r="AI31">
        <v>75285042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10</vt:i4>
      </vt:variant>
    </vt:vector>
  </HeadingPairs>
  <TitlesOfParts>
    <vt:vector size="21" baseType="lpstr">
      <vt:lpstr>Конъюнктурный анализ</vt:lpstr>
      <vt:lpstr>Смета по ФСНБ 421+557прРИМ</vt:lpstr>
      <vt:lpstr>Ведомость объемов работ</vt:lpstr>
      <vt:lpstr>Акт КС-2 по ФСНБ 421+557пр</vt:lpstr>
      <vt:lpstr>Конъюнктурный анализ_1</vt:lpstr>
      <vt:lpstr>Source</vt:lpstr>
      <vt:lpstr>SourceObSm</vt:lpstr>
      <vt:lpstr>SmtRes</vt:lpstr>
      <vt:lpstr>EtalonRes</vt:lpstr>
      <vt:lpstr>SrcPoprs</vt:lpstr>
      <vt:lpstr>SrcKA</vt:lpstr>
      <vt:lpstr>'Акт КС-2 по ФСНБ 421+557пр'!Заголовки_для_печати</vt:lpstr>
      <vt:lpstr>'Ведомость объемов работ'!Заголовки_для_печати</vt:lpstr>
      <vt:lpstr>'Конъюнктурный анализ'!Заголовки_для_печати</vt:lpstr>
      <vt:lpstr>'Конъюнктурный анализ_1'!Заголовки_для_печати</vt:lpstr>
      <vt:lpstr>'Смета по ФСНБ 421+557прРИМ'!Заголовки_для_печати</vt:lpstr>
      <vt:lpstr>'Акт КС-2 по ФСНБ 421+557пр'!Область_печати</vt:lpstr>
      <vt:lpstr>'Ведомость объемов работ'!Область_печати</vt:lpstr>
      <vt:lpstr>'Конъюнктурный анализ'!Область_печати</vt:lpstr>
      <vt:lpstr>'Конъюнктурный анализ_1'!Область_печати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2026-06-11T11:56:45Z</dcterms:created>
  <dcterms:modified xsi:type="dcterms:W3CDTF">2026-06-22T11:14:18Z</dcterms:modified>
</cp:coreProperties>
</file>