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131 Поставка автоматического титратора и програмного обеспечения (ПО)\"/>
    </mc:Choice>
  </mc:AlternateContent>
  <xr:revisionPtr revIDLastSave="0" documentId="8_{3DCB22FB-4358-43FE-8A86-54CDD2CC0345}" xr6:coauthVersionLast="47" xr6:coauthVersionMax="47" xr10:uidLastSave="{00000000-0000-0000-0000-000000000000}"/>
  <bookViews>
    <workbookView xWindow="-120" yWindow="-120" windowWidth="29040" windowHeight="15840" xr2:uid="{BF476F7C-2384-4EB5-87BD-3E242C7825FD}"/>
  </bookViews>
  <sheets>
    <sheet name="НМЦ" sheetId="1" r:id="rId1"/>
  </sheets>
  <externalReferences>
    <externalReference r:id="rId2"/>
  </externalReferences>
  <definedNames>
    <definedName name="ДаНет">#N/A</definedName>
    <definedName name="_xlnm.Print_Area" localSheetId="0">НМЦ!$A$3:$L$31</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 l="1"/>
  <c r="B28" i="1"/>
  <c r="J25" i="1"/>
  <c r="B25" i="1"/>
  <c r="I20" i="1"/>
  <c r="J20" i="1" s="1"/>
  <c r="K20" i="1" s="1"/>
  <c r="L20" i="1" s="1"/>
  <c r="H20" i="1"/>
  <c r="R19" i="1"/>
  <c r="Q19" i="1"/>
  <c r="I19" i="1"/>
  <c r="J19" i="1" s="1"/>
  <c r="K19" i="1" s="1"/>
  <c r="L19" i="1" s="1"/>
  <c r="L21" i="1" s="1"/>
  <c r="F11" i="1" s="1"/>
  <c r="H19" i="1"/>
  <c r="D19" i="1"/>
  <c r="G21" i="1" s="1"/>
  <c r="C19" i="1"/>
  <c r="B19" i="1"/>
  <c r="R18" i="1"/>
  <c r="Q18" i="1"/>
  <c r="I18" i="1"/>
  <c r="J18" i="1" s="1"/>
  <c r="K18" i="1" s="1"/>
  <c r="L18" i="1" s="1"/>
  <c r="E18" i="1"/>
  <c r="F18" i="1" s="1"/>
  <c r="G18" i="1" s="1"/>
  <c r="R17" i="1"/>
  <c r="Q17" i="1"/>
  <c r="F8" i="1"/>
  <c r="F7" i="1"/>
  <c r="F6" i="1"/>
  <c r="E21" i="1" l="1"/>
  <c r="F21" i="1"/>
  <c r="I21" i="1" l="1"/>
  <c r="H21" i="1"/>
  <c r="C30" i="1" l="1"/>
  <c r="F12" i="1"/>
</calcChain>
</file>

<file path=xl/sharedStrings.xml><?xml version="1.0" encoding="utf-8"?>
<sst xmlns="http://schemas.openxmlformats.org/spreadsheetml/2006/main" count="55" uniqueCount="50">
  <si>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</si>
  <si>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</si>
  <si>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</si>
  <si>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</si>
  <si>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</si>
  <si>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</si>
  <si>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</si>
  <si>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</si>
  <si>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</si>
  <si>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</si>
  <si>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</si>
  <si>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Исх. № 49-1841 от 03.03.2026</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</si>
  <si>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</si>
  <si>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</si>
  <si>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КП № 4120 от 03.03.2026 г. (вх. № 1395 от 16.03.2026 г.); КП № QC010217-60H1 от 05.03.2026 г. (вх. № 1396 от 16.03.2026 г.); КП от 31.03.2026 г. (вх. № 1925 от 07.04.2026 г.)</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</si>
  <si>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</si>
  <si>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</si>
  <si>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</si>
  <si>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</si>
  <si>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</si>
  <si>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</si>
  <si>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</si>
  <si>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</si>
  <si>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</si>
  <si>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</si>
  <si>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</si>
  <si>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</si>
  <si>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</si>
  <si>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</si>
  <si>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</si>
  <si>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</si>
  <si>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</si>
  <si>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</si>
  <si>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</si>
  <si>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</si>
  <si>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</si>
  <si>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</si>
  <si>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</si>
  <si>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</si>
  <si>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t>пример</t>
  </si>
  <si>
    <t>Доставка</t>
  </si>
  <si>
    <t>усл. ед.</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</si>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</sst>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6"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color rgb="FFFF0000"/>
      <name val="Times New Roman"/>
      <family val="1"/>
      <charset val="204"/>
    </font>
    <font>
      <sz val="12"/>
      <color rgb="FFC00000"/>
      <name val="Times New Roman"/>
      <family val="1"/>
      <charset val="204"/>
    </font>
    <font>
      <b/>
      <i/>
      <sz val="12"/>
      <color theme="8" tint="0.79998168889431442"/>
      <name val="Times New Roman"/>
      <family val="1"/>
      <charset val="204"/>
    </font>
    <font>
      <sz val="12"/>
      <color rgb="FF0070C0"/>
      <name val="Times New Roman"/>
      <family val="1"/>
      <charset val="204"/>
    </font>
    <font>
      <sz val="12"/>
      <color rgb="FFFF000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2" fillId="0" borderId="0" applyAlignment="0"/>
  </cellStyleXfs>
  <cellXfs count="80">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0" borderId="1" xfId="0" applyFont="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top" wrapText="1"/>
    </xf>
    <xf numFmtId="0" fontId="5" fillId="0" borderId="6"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9"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49" fontId="3" fillId="0" borderId="0" xfId="0" applyNumberFormat="1" applyFont="1"/>
    <xf numFmtId="0" fontId="11" fillId="0" borderId="1" xfId="0" applyFont="1" applyBorder="1" applyAlignment="1">
      <alignment horizontal="left" vertical="center" wrapText="1" indent="3"/>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165" fontId="13" fillId="0" borderId="1" xfId="1" applyFont="1" applyFill="1" applyBorder="1" applyAlignment="1">
      <alignment vertical="center" wrapText="1"/>
    </xf>
    <xf numFmtId="2" fontId="14" fillId="0" borderId="0" xfId="3" applyNumberFormat="1" applyFont="1" applyAlignment="1">
      <alignment horizontal="left" vertical="center"/>
    </xf>
    <xf numFmtId="0" fontId="11" fillId="0" borderId="0" xfId="0" applyFont="1" applyAlignment="1">
      <alignment horizontal="left" vertical="top" wrapText="1"/>
    </xf>
    <xf numFmtId="0" fontId="11"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0"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4" fillId="0" borderId="0" xfId="0" applyFont="1" applyAlignment="1">
      <alignment horizontal="left"/>
    </xf>
    <xf numFmtId="0" fontId="4" fillId="0" borderId="7" xfId="0" applyFont="1" applyBorder="1"/>
    <xf numFmtId="0" fontId="2" fillId="0" borderId="7"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14" fontId="4" fillId="0" borderId="0" xfId="0" applyNumberFormat="1" applyFont="1" applyAlignment="1">
      <alignment horizontal="left"/>
    </xf>
    <xf numFmtId="0" fontId="15"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83A029B5-CE69-4DFF-B43F-0959078A0DD5}"/>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0;&#1086;&#1084;&#1087;&#1083;&#1077;&#1082;&#1090;%2002.02.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46189</v>
          </cell>
        </row>
        <row r="4">
          <cell r="C4" t="str">
            <v>Начальник отдела 70 - руководитель АИЦ</v>
          </cell>
          <cell r="D4" t="str">
            <v>А.В. Григоренко</v>
          </cell>
        </row>
        <row r="66">
          <cell r="C66" t="str">
            <v>Поставка автоматического титратора и программного обеспечения (ПО) к нему</v>
          </cell>
        </row>
        <row r="67">
          <cell r="C67" t="str">
            <v xml:space="preserve">метод сопоставимых рыночных цен (анализа рынка) </v>
          </cell>
        </row>
        <row r="68">
          <cell r="C68" t="str">
            <v>в течение 30 рабочих дней с даты заключения договора</v>
          </cell>
        </row>
        <row r="77">
          <cell r="C77" t="str">
            <v>начальник отдела 70-руководитель АИЦ А.В. Григоренко</v>
          </cell>
        </row>
        <row r="78">
          <cell r="C78" t="str">
            <v>8-963-572-13-77</v>
          </cell>
        </row>
      </sheetData>
      <sheetData sheetId="8"/>
      <sheetData sheetId="9"/>
      <sheetData sheetId="10"/>
      <sheetData sheetId="11"/>
      <sheetData sheetId="12">
        <row r="10">
          <cell r="B10" t="str">
            <v>Поставка автоматического титратора и программного обеспечения (ПО) к нему</v>
          </cell>
          <cell r="D10" t="str">
            <v>комплект</v>
          </cell>
          <cell r="E10">
            <v>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353EE-5721-411C-9C81-B1852DDA47F3}">
  <sheetPr>
    <tabColor rgb="FF00B050"/>
    <pageSetUpPr fitToPage="1"/>
  </sheetPr>
  <dimension ref="A1:V38"/>
  <sheetViews>
    <sheetView tabSelected="1" view="pageBreakPreview" topLeftCell="A3" zoomScaleNormal="100" zoomScaleSheetLayoutView="100" workbookViewId="0">
      <selection activeCell="A11" sqref="A11:E11"/>
    </sheetView>
  </sheetViews>
  <sheetFormatPr defaultColWidth="9.140625" defaultRowHeight="15.75" outlineLevelRow="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7" width="12.140625" style="2" customWidth="1"/>
    <col min="8" max="8" width="15.5703125" style="2" customWidth="1"/>
    <col min="9" max="9" width="12.85546875" style="2" customWidth="1"/>
    <col min="10" max="10" width="12.7109375" style="2" customWidth="1"/>
    <col min="11" max="11" width="18.5703125" style="2" customWidth="1"/>
    <col min="12" max="12" width="16.5703125" style="2" customWidth="1"/>
    <col min="13" max="13" width="6.140625" style="2" customWidth="1"/>
    <col min="14" max="15" width="8.5703125" style="2" customWidth="1"/>
    <col min="16" max="16" width="25.42578125" style="2" customWidth="1"/>
    <col min="17" max="17" width="28.140625" style="2" customWidth="1"/>
    <col min="18" max="18" width="12" style="2" customWidth="1"/>
    <col min="19" max="19" width="8.5703125" style="2" customWidth="1"/>
    <col min="20" max="20" width="10.28515625" style="2" customWidth="1"/>
    <col min="21" max="1019" width="8.7109375" style="2" customWidth="1"/>
    <col min="1020" max="16384" width="9.140625" style="2"/>
  </cols>
  <sheetData>
    <row r="1" spans="1:22" ht="18.75" hidden="1" outlineLevel="1" x14ac:dyDescent="0.3">
      <c r="A1" s="1" t="s">
        <v>0</v>
      </c>
      <c r="B1" s="1"/>
      <c r="C1" s="1"/>
      <c r="D1" s="1"/>
      <c r="E1" s="1"/>
      <c r="F1" s="1"/>
      <c r="G1" s="1"/>
      <c r="H1" s="1"/>
      <c r="I1" s="1"/>
      <c r="J1" s="1"/>
      <c r="K1" s="1"/>
      <c r="L1" s="1"/>
    </row>
    <row r="2" spans="1:22" ht="18.75" hidden="1" outlineLevel="1" x14ac:dyDescent="0.3">
      <c r="C2" s="3"/>
      <c r="D2" s="3"/>
      <c r="L2" s="4" t="s">
        <v>1</v>
      </c>
    </row>
    <row r="3" spans="1:22" ht="18.75" collapsed="1" x14ac:dyDescent="0.25">
      <c r="A3" s="5" t="s">
        <v>2</v>
      </c>
      <c r="B3" s="5"/>
      <c r="C3" s="5"/>
      <c r="D3" s="5"/>
      <c r="E3" s="5"/>
      <c r="F3" s="5"/>
      <c r="G3" s="5"/>
      <c r="H3" s="5"/>
      <c r="I3" s="5"/>
      <c r="J3" s="5"/>
      <c r="K3" s="5"/>
      <c r="L3" s="5"/>
      <c r="R3" s="6" t="s">
        <v>3</v>
      </c>
      <c r="S3" s="7" t="s">
        <v>4</v>
      </c>
      <c r="T3" s="8" t="s">
        <v>5</v>
      </c>
      <c r="U3" s="8"/>
      <c r="V3" s="8"/>
    </row>
    <row r="4" spans="1:22" ht="18.75" x14ac:dyDescent="0.25">
      <c r="A4" s="9" t="s">
        <v>6</v>
      </c>
      <c r="B4" s="9"/>
      <c r="C4" s="9"/>
      <c r="D4" s="9"/>
      <c r="E4" s="9"/>
      <c r="F4" s="9"/>
      <c r="G4" s="9"/>
      <c r="H4" s="9"/>
      <c r="I4" s="9"/>
      <c r="J4" s="9"/>
      <c r="K4" s="9"/>
      <c r="L4" s="9"/>
      <c r="M4" s="10"/>
      <c r="N4" s="10"/>
      <c r="O4" s="11"/>
      <c r="P4" s="11"/>
      <c r="Q4" s="11"/>
      <c r="R4" s="12">
        <v>2023</v>
      </c>
      <c r="S4" s="13"/>
      <c r="T4" s="14"/>
      <c r="U4" s="14"/>
      <c r="V4" s="14"/>
    </row>
    <row r="5" spans="1:22" ht="15.75" customHeight="1" x14ac:dyDescent="0.25">
      <c r="A5" s="15"/>
      <c r="M5" s="16"/>
      <c r="N5" s="17"/>
      <c r="O5" s="17"/>
      <c r="P5" s="17"/>
      <c r="Q5" s="17"/>
      <c r="R5" s="12">
        <v>2024</v>
      </c>
      <c r="S5" s="13">
        <v>108.5</v>
      </c>
      <c r="T5" s="18">
        <v>1.085</v>
      </c>
      <c r="U5" s="14"/>
      <c r="V5" s="14"/>
    </row>
    <row r="6" spans="1:22" ht="20.25" customHeight="1" x14ac:dyDescent="0.25">
      <c r="A6" s="19" t="s">
        <v>7</v>
      </c>
      <c r="B6" s="19"/>
      <c r="C6" s="19"/>
      <c r="D6" s="19"/>
      <c r="E6" s="19"/>
      <c r="F6" s="19" t="str">
        <f>[1]ЗАКУПКА!C66</f>
        <v>Поставка автоматического титратора и программного обеспечения (ПО) к нему</v>
      </c>
      <c r="G6" s="19"/>
      <c r="H6" s="19"/>
      <c r="I6" s="19"/>
      <c r="J6" s="19"/>
      <c r="K6" s="19"/>
      <c r="L6" s="19"/>
      <c r="M6" s="16"/>
      <c r="N6" s="17"/>
      <c r="O6" s="17"/>
      <c r="P6" s="17"/>
      <c r="Q6" s="17"/>
      <c r="R6" s="12">
        <v>2025</v>
      </c>
      <c r="S6" s="13">
        <v>109</v>
      </c>
      <c r="T6" s="18">
        <v>1.0900000000000001</v>
      </c>
      <c r="U6" s="14"/>
      <c r="V6" s="14"/>
    </row>
    <row r="7" spans="1:22" ht="26.25" customHeight="1" x14ac:dyDescent="0.25">
      <c r="A7" s="19" t="s">
        <v>8</v>
      </c>
      <c r="B7" s="19"/>
      <c r="C7" s="19"/>
      <c r="D7" s="19"/>
      <c r="E7" s="19"/>
      <c r="F7" s="19" t="str">
        <f>[1]ЗАКУПКА!C67</f>
        <v xml:space="preserve">метод сопоставимых рыночных цен (анализа рынка) </v>
      </c>
      <c r="G7" s="19"/>
      <c r="H7" s="19"/>
      <c r="I7" s="19"/>
      <c r="J7" s="19"/>
      <c r="K7" s="19"/>
      <c r="L7" s="19"/>
      <c r="M7" s="16"/>
      <c r="N7" s="17"/>
      <c r="O7" s="17"/>
      <c r="P7" s="17"/>
      <c r="Q7" s="17"/>
      <c r="R7" s="12">
        <v>2026</v>
      </c>
      <c r="S7" s="13">
        <v>105.1</v>
      </c>
      <c r="T7" s="18">
        <v>1.0509999999999999</v>
      </c>
      <c r="U7" s="14"/>
      <c r="V7" s="14"/>
    </row>
    <row r="8" spans="1:22" ht="36.6" customHeight="1" x14ac:dyDescent="0.25">
      <c r="A8" s="19" t="s">
        <v>9</v>
      </c>
      <c r="B8" s="19"/>
      <c r="C8" s="19"/>
      <c r="D8" s="19"/>
      <c r="E8" s="19"/>
      <c r="F8" s="19" t="str">
        <f>[1]ЗАКУПКА!C68</f>
        <v>в течение 30 рабочих дней с даты заключения договора</v>
      </c>
      <c r="G8" s="19"/>
      <c r="H8" s="19"/>
      <c r="I8" s="19"/>
      <c r="J8" s="19"/>
      <c r="K8" s="19"/>
      <c r="L8" s="19"/>
      <c r="M8" s="20"/>
      <c r="N8" s="17"/>
      <c r="O8" s="17"/>
      <c r="P8" s="17"/>
      <c r="Q8" s="17"/>
      <c r="R8" s="21">
        <v>2027</v>
      </c>
      <c r="S8" s="22">
        <v>104</v>
      </c>
      <c r="T8" s="18">
        <v>1.04</v>
      </c>
      <c r="U8" s="14"/>
      <c r="V8" s="14"/>
    </row>
    <row r="9" spans="1:22" ht="40.5" customHeight="1" x14ac:dyDescent="0.25">
      <c r="A9" s="19" t="s">
        <v>10</v>
      </c>
      <c r="B9" s="19"/>
      <c r="C9" s="19"/>
      <c r="D9" s="19"/>
      <c r="E9" s="19"/>
      <c r="F9" s="19" t="s">
        <v>11</v>
      </c>
      <c r="G9" s="19"/>
      <c r="H9" s="19"/>
      <c r="I9" s="19"/>
      <c r="J9" s="19"/>
      <c r="K9" s="19"/>
      <c r="L9" s="19"/>
      <c r="M9" s="23" t="s">
        <v>12</v>
      </c>
      <c r="N9" s="24"/>
      <c r="O9" s="24"/>
      <c r="P9" s="24"/>
      <c r="Q9" s="17"/>
      <c r="R9" s="21">
        <v>2028</v>
      </c>
      <c r="S9" s="22">
        <v>104</v>
      </c>
      <c r="T9" s="18">
        <v>1.04</v>
      </c>
      <c r="U9" s="14"/>
      <c r="V9" s="14"/>
    </row>
    <row r="10" spans="1:22" ht="40.5" customHeight="1" x14ac:dyDescent="0.25">
      <c r="A10" s="19" t="s">
        <v>13</v>
      </c>
      <c r="B10" s="19"/>
      <c r="C10" s="19"/>
      <c r="D10" s="19"/>
      <c r="E10" s="19"/>
      <c r="F10" s="19" t="s">
        <v>14</v>
      </c>
      <c r="G10" s="19"/>
      <c r="H10" s="19"/>
      <c r="I10" s="19"/>
      <c r="J10" s="19"/>
      <c r="K10" s="19"/>
      <c r="L10" s="19"/>
      <c r="M10" s="23" t="s">
        <v>15</v>
      </c>
      <c r="N10" s="24"/>
      <c r="O10" s="24"/>
      <c r="P10" s="24"/>
      <c r="Q10" s="17"/>
    </row>
    <row r="11" spans="1:22" ht="93.75" customHeight="1" x14ac:dyDescent="0.25">
      <c r="A11" s="19" t="s">
        <v>16</v>
      </c>
      <c r="B11" s="19"/>
      <c r="C11" s="19"/>
      <c r="D11" s="19"/>
      <c r="E11" s="19"/>
      <c r="F11" s="25" t="str">
        <f>CONCATENATE(L21," (один миллион девяносто восемь тысяч пятьсот) рублей 00 копеек, с учетом НДС 22 %")</f>
        <v>1098500 (один миллион девяносто восемь тысяч пятьсот) рублей 00 копеек, с учетом НДС 22 %</v>
      </c>
      <c r="G11" s="25"/>
      <c r="H11" s="25"/>
      <c r="I11" s="25"/>
      <c r="J11" s="25"/>
      <c r="K11" s="25"/>
      <c r="L11" s="25"/>
      <c r="M11" s="26" t="s">
        <v>17</v>
      </c>
      <c r="N11" s="17"/>
      <c r="O11" s="17"/>
      <c r="Q11" s="17"/>
      <c r="R11" s="17"/>
      <c r="S11" s="17"/>
    </row>
    <row r="12" spans="1:22" ht="21" customHeight="1" x14ac:dyDescent="0.25">
      <c r="A12" s="19" t="s">
        <v>18</v>
      </c>
      <c r="B12" s="19"/>
      <c r="C12" s="19"/>
      <c r="D12" s="19"/>
      <c r="E12" s="19"/>
      <c r="F12" s="27">
        <f ca="1">[1]ЗАКУПКА!B1</f>
        <v>46189</v>
      </c>
      <c r="G12" s="27"/>
      <c r="H12" s="27"/>
      <c r="I12" s="27"/>
      <c r="J12" s="27"/>
      <c r="K12" s="27"/>
      <c r="L12" s="27"/>
      <c r="M12" s="28" t="s">
        <v>19</v>
      </c>
      <c r="N12" s="17"/>
      <c r="O12" s="17"/>
      <c r="P12" s="17"/>
      <c r="Q12" s="17"/>
      <c r="R12" s="17"/>
      <c r="S12" s="17"/>
    </row>
    <row r="13" spans="1:22" ht="15" customHeight="1" x14ac:dyDescent="0.25">
      <c r="A13" s="29"/>
      <c r="B13" s="29"/>
      <c r="C13" s="29"/>
      <c r="D13" s="29"/>
      <c r="E13" s="29"/>
      <c r="F13" s="29"/>
      <c r="G13" s="29"/>
      <c r="H13" s="29"/>
      <c r="I13" s="29"/>
      <c r="J13" s="29"/>
      <c r="K13" s="29"/>
      <c r="L13" s="29"/>
      <c r="M13" s="17"/>
      <c r="N13" s="17"/>
      <c r="O13" s="17"/>
      <c r="P13" s="17"/>
      <c r="Q13" s="17"/>
      <c r="R13" s="17"/>
      <c r="S13" s="17"/>
    </row>
    <row r="14" spans="1:22" ht="15" customHeight="1" x14ac:dyDescent="0.25">
      <c r="A14" s="30" t="s">
        <v>20</v>
      </c>
      <c r="B14" s="30"/>
      <c r="C14" s="30"/>
      <c r="D14" s="30"/>
      <c r="E14" s="30"/>
      <c r="F14" s="30"/>
      <c r="G14" s="30"/>
      <c r="H14" s="30"/>
      <c r="I14" s="30"/>
      <c r="J14" s="30"/>
      <c r="K14" s="30"/>
      <c r="L14" s="30"/>
      <c r="M14" s="17"/>
      <c r="N14" s="17"/>
      <c r="O14" s="17"/>
      <c r="P14" s="17"/>
      <c r="Q14" s="17"/>
      <c r="R14" s="17"/>
      <c r="S14" s="17"/>
    </row>
    <row r="15" spans="1:22" x14ac:dyDescent="0.25">
      <c r="P15" s="31" t="s">
        <v>21</v>
      </c>
    </row>
    <row r="16" spans="1:22" s="36" customFormat="1" ht="30.75" customHeight="1" x14ac:dyDescent="0.25">
      <c r="A16" s="32" t="s">
        <v>22</v>
      </c>
      <c r="B16" s="32" t="s">
        <v>23</v>
      </c>
      <c r="C16" s="32" t="s">
        <v>24</v>
      </c>
      <c r="D16" s="32" t="s">
        <v>25</v>
      </c>
      <c r="E16" s="33" t="s">
        <v>26</v>
      </c>
      <c r="F16" s="34"/>
      <c r="G16" s="34"/>
      <c r="H16" s="32" t="s">
        <v>27</v>
      </c>
      <c r="I16" s="32" t="s">
        <v>28</v>
      </c>
      <c r="J16" s="32" t="s">
        <v>29</v>
      </c>
      <c r="K16" s="35" t="s">
        <v>30</v>
      </c>
      <c r="L16" s="32" t="s">
        <v>31</v>
      </c>
      <c r="N16" s="37"/>
      <c r="O16" s="38" t="s">
        <v>32</v>
      </c>
      <c r="P16" s="38" t="s">
        <v>33</v>
      </c>
      <c r="Q16" s="6" t="s">
        <v>34</v>
      </c>
      <c r="R16" s="6" t="s">
        <v>35</v>
      </c>
    </row>
    <row r="17" spans="1:19" s="36" customFormat="1" ht="128.25" customHeight="1" x14ac:dyDescent="0.25">
      <c r="A17" s="39"/>
      <c r="B17" s="39"/>
      <c r="C17" s="39"/>
      <c r="D17" s="39"/>
      <c r="E17" s="6" t="s">
        <v>36</v>
      </c>
      <c r="F17" s="6" t="s">
        <v>37</v>
      </c>
      <c r="G17" s="6" t="s">
        <v>38</v>
      </c>
      <c r="H17" s="39"/>
      <c r="I17" s="39"/>
      <c r="J17" s="39"/>
      <c r="K17" s="40"/>
      <c r="L17" s="39"/>
      <c r="N17" s="17"/>
      <c r="O17" s="41" t="s">
        <v>36</v>
      </c>
      <c r="P17" s="42">
        <v>2723123664</v>
      </c>
      <c r="Q17" s="42" t="str">
        <f>VLOOKUP(P17,[1]Контрагенты!$A$3:$H$3248,4,FALSE)</f>
        <v>ООО "ЦЛХ"</v>
      </c>
      <c r="R17" s="43">
        <f>VLOOKUP(P17,[1]Контрагенты!$A$3:$H$3248,7,FALSE)</f>
        <v>0</v>
      </c>
      <c r="S17" s="44" t="s">
        <v>39</v>
      </c>
    </row>
    <row r="18" spans="1:19" ht="14.25" customHeight="1" x14ac:dyDescent="0.25">
      <c r="A18" s="45">
        <v>1</v>
      </c>
      <c r="B18" s="45">
        <v>2</v>
      </c>
      <c r="C18" s="45">
        <v>3</v>
      </c>
      <c r="D18" s="45">
        <v>4</v>
      </c>
      <c r="E18" s="45">
        <f>D18+1</f>
        <v>5</v>
      </c>
      <c r="F18" s="45">
        <f t="shared" ref="F18:L18" si="0">E18+1</f>
        <v>6</v>
      </c>
      <c r="G18" s="45">
        <f t="shared" si="0"/>
        <v>7</v>
      </c>
      <c r="H18" s="45">
        <v>8</v>
      </c>
      <c r="I18" s="45">
        <f t="shared" si="0"/>
        <v>9</v>
      </c>
      <c r="J18" s="45">
        <f t="shared" si="0"/>
        <v>10</v>
      </c>
      <c r="K18" s="45">
        <f t="shared" si="0"/>
        <v>11</v>
      </c>
      <c r="L18" s="45">
        <f t="shared" si="0"/>
        <v>12</v>
      </c>
      <c r="N18" s="17"/>
      <c r="O18" s="6" t="s">
        <v>37</v>
      </c>
      <c r="P18" s="46"/>
      <c r="Q18" s="8" t="str">
        <f>VLOOKUP(P18,[1]Контрагенты!$A$3:$H$3248,4,FALSE)</f>
        <v>ООО "Сантехресурс+"</v>
      </c>
      <c r="R18" s="47" t="str">
        <f>VLOOKUP(P18,[1]Контрагенты!$A$3:$H$3248,7,FALSE)</f>
        <v/>
      </c>
    </row>
    <row r="19" spans="1:19" ht="100.5" customHeight="1" x14ac:dyDescent="0.25">
      <c r="A19" s="45">
        <v>1</v>
      </c>
      <c r="B19" s="45" t="str">
        <f>'[1]Спец-я'!B10</f>
        <v>Поставка автоматического титратора и программного обеспечения (ПО) к нему</v>
      </c>
      <c r="C19" s="45" t="str">
        <f>'[1]Спец-я'!D10</f>
        <v>комплект</v>
      </c>
      <c r="D19" s="48">
        <f>'[1]Спец-я'!E10</f>
        <v>1</v>
      </c>
      <c r="E19" s="49">
        <v>1091000</v>
      </c>
      <c r="F19" s="50">
        <v>1539103.21</v>
      </c>
      <c r="G19" s="50">
        <v>1786986.67</v>
      </c>
      <c r="H19" s="51">
        <f>IFERROR(ROUND(AVERAGEIF(E19:G19,"&gt;0"),2),"")</f>
        <v>1472363.29</v>
      </c>
      <c r="I19" s="52">
        <f>IFERROR(_xlfn.STDEV.P($E19:$G19),"")</f>
        <v>288027.80370643281</v>
      </c>
      <c r="J19" s="52">
        <f>IFERROR(I19/H19,"")</f>
        <v>0.19562278254467538</v>
      </c>
      <c r="K19" s="52">
        <f>IF(J19&lt;0.06,H19,IF(J19&gt;0.32,$M$21,MIN(E19:G19)))</f>
        <v>1091000</v>
      </c>
      <c r="L19" s="52">
        <f>IFERROR(K19*D19,"")</f>
        <v>1091000</v>
      </c>
      <c r="N19" s="17"/>
      <c r="O19" s="6" t="s">
        <v>38</v>
      </c>
      <c r="P19" s="46"/>
      <c r="Q19" s="8" t="str">
        <f>VLOOKUP(P19,[1]Контрагенты!$A$3:$H$3248,4,FALSE)</f>
        <v>ООО "Сантехресурс+"</v>
      </c>
      <c r="R19" s="47" t="str">
        <f>VLOOKUP(P19,[1]Контрагенты!$A$3:$H$3248,7,FALSE)</f>
        <v/>
      </c>
    </row>
    <row r="20" spans="1:19" ht="47.25" customHeight="1" outlineLevel="1" x14ac:dyDescent="0.25">
      <c r="A20" s="45">
        <v>2</v>
      </c>
      <c r="B20" s="45" t="s">
        <v>40</v>
      </c>
      <c r="C20" s="45" t="s">
        <v>41</v>
      </c>
      <c r="D20" s="48">
        <v>1</v>
      </c>
      <c r="E20" s="49">
        <v>7500</v>
      </c>
      <c r="F20" s="49"/>
      <c r="G20" s="49"/>
      <c r="H20" s="51">
        <f>IFERROR(ROUND(AVERAGEIF(E20:G20,"&gt;0"),2),"")</f>
        <v>7500</v>
      </c>
      <c r="I20" s="52">
        <f t="shared" ref="I20" si="1">IFERROR(_xlfn.STDEV.P($E20:$G20),"")</f>
        <v>0</v>
      </c>
      <c r="J20" s="52">
        <f t="shared" ref="J20" si="2">IFERROR(I20/H20,"")</f>
        <v>0</v>
      </c>
      <c r="K20" s="52">
        <f>IF(J20&lt;0.06,H20,IF(J20&gt;0.32,$M$21,MIN(E20:G20)))</f>
        <v>7500</v>
      </c>
      <c r="L20" s="52">
        <f>IFERROR(K20*D20,"")</f>
        <v>7500</v>
      </c>
      <c r="M20" s="53"/>
      <c r="N20" s="17"/>
      <c r="O20" s="17"/>
      <c r="P20" s="17"/>
      <c r="Q20" s="17"/>
      <c r="R20" s="17"/>
    </row>
    <row r="21" spans="1:19" s="61" customFormat="1" ht="48" customHeight="1" x14ac:dyDescent="0.25">
      <c r="A21" s="54"/>
      <c r="B21" s="55" t="s">
        <v>42</v>
      </c>
      <c r="C21" s="56" t="s">
        <v>43</v>
      </c>
      <c r="D21" s="56" t="s">
        <v>43</v>
      </c>
      <c r="E21" s="57">
        <f>IFERROR(SUMPRODUCT($D$19:$D$20,E19:E20),"Х")</f>
        <v>1098500</v>
      </c>
      <c r="F21" s="57">
        <f>IFERROR(SUMPRODUCT($D$19:$D$20,F19:F20),"Х")</f>
        <v>1539103.21</v>
      </c>
      <c r="G21" s="57">
        <f>IFERROR(SUMPRODUCT($D$19:$D$20,G19:G20),"Х")</f>
        <v>1786986.67</v>
      </c>
      <c r="H21" s="51">
        <f t="shared" ref="H21" si="3">IFERROR(ROUND(AVERAGEIF(E21:G21,"&gt;0"),2),"")</f>
        <v>1474863.29</v>
      </c>
      <c r="I21" s="52">
        <f>_xlfn.STDEV.P($E21:$G21)</f>
        <v>284720.38782160426</v>
      </c>
      <c r="J21" s="56" t="s">
        <v>44</v>
      </c>
      <c r="K21" s="56" t="s">
        <v>44</v>
      </c>
      <c r="L21" s="58">
        <f>SUM(L19:L20)</f>
        <v>1098500</v>
      </c>
      <c r="M21" s="59" t="s">
        <v>45</v>
      </c>
      <c r="N21" s="17"/>
      <c r="O21" s="60"/>
      <c r="P21" s="17"/>
      <c r="Q21" s="17"/>
      <c r="R21" s="60"/>
    </row>
    <row r="22" spans="1:19" ht="31.5" x14ac:dyDescent="0.25">
      <c r="A22" s="62"/>
      <c r="B22" s="63" t="s">
        <v>46</v>
      </c>
      <c r="C22" s="64"/>
      <c r="D22" s="64"/>
      <c r="E22" s="65">
        <v>46097</v>
      </c>
      <c r="F22" s="65">
        <v>46097</v>
      </c>
      <c r="G22" s="65">
        <v>46119</v>
      </c>
      <c r="H22" s="64"/>
      <c r="I22" s="66"/>
      <c r="J22" s="67"/>
      <c r="K22" s="67"/>
      <c r="L22" s="66"/>
      <c r="N22" s="17"/>
      <c r="O22" s="17"/>
      <c r="Q22" s="17"/>
      <c r="R22" s="17"/>
    </row>
    <row r="23" spans="1:19" x14ac:dyDescent="0.25">
      <c r="A23" s="68"/>
      <c r="B23" s="68"/>
      <c r="C23" s="68"/>
      <c r="D23" s="68"/>
      <c r="E23" s="68"/>
      <c r="F23" s="68"/>
      <c r="G23" s="68"/>
      <c r="H23" s="68"/>
      <c r="I23" s="68"/>
      <c r="J23" s="68"/>
      <c r="K23" s="68"/>
      <c r="L23" s="68"/>
      <c r="N23" s="17"/>
      <c r="O23" s="17"/>
      <c r="P23" s="17"/>
      <c r="Q23" s="17"/>
      <c r="R23" s="17"/>
    </row>
    <row r="24" spans="1:19" x14ac:dyDescent="0.25">
      <c r="A24" s="69"/>
      <c r="B24" s="69"/>
      <c r="C24" s="69"/>
      <c r="D24" s="69"/>
      <c r="E24" s="69"/>
      <c r="F24" s="69"/>
      <c r="G24" s="69"/>
      <c r="H24" s="69"/>
      <c r="I24" s="69"/>
      <c r="J24" s="69"/>
      <c r="K24" s="69"/>
      <c r="L24" s="69"/>
      <c r="N24" s="17"/>
    </row>
    <row r="25" spans="1:19" ht="18.75" x14ac:dyDescent="0.3">
      <c r="B25" s="70" t="str">
        <f>[1]ЗАКУПКА!C4</f>
        <v>Начальник отдела 70 - руководитель АИЦ</v>
      </c>
      <c r="C25" s="3"/>
      <c r="D25" s="3"/>
      <c r="E25" s="3"/>
      <c r="F25" s="3"/>
      <c r="G25" s="3"/>
      <c r="H25" s="71"/>
      <c r="I25" s="72"/>
      <c r="J25" s="73" t="str">
        <f>[1]ЗАКУПКА!D4</f>
        <v>А.В. Григоренко</v>
      </c>
      <c r="K25" s="36"/>
    </row>
    <row r="26" spans="1:19" ht="18.75" x14ac:dyDescent="0.3">
      <c r="B26" s="3"/>
      <c r="C26" s="3"/>
      <c r="D26" s="3"/>
      <c r="E26" s="3"/>
      <c r="F26" s="3"/>
      <c r="G26" s="3"/>
      <c r="H26" s="3"/>
      <c r="I26" s="3"/>
      <c r="J26" s="3"/>
    </row>
    <row r="27" spans="1:19" ht="18.75" x14ac:dyDescent="0.3">
      <c r="B27" s="3"/>
      <c r="C27" s="3"/>
      <c r="D27" s="3"/>
      <c r="E27" s="3"/>
      <c r="F27" s="3"/>
      <c r="G27" s="3"/>
      <c r="H27" s="3"/>
      <c r="I27" s="3"/>
      <c r="J27" s="3"/>
    </row>
    <row r="28" spans="1:19" ht="18.75" x14ac:dyDescent="0.3">
      <c r="B28" s="74" t="str">
        <f>[1]ЗАКУПКА!C77</f>
        <v>начальник отдела 70-руководитель АИЦ А.В. Григоренко</v>
      </c>
      <c r="C28" s="3"/>
      <c r="D28" s="3"/>
      <c r="E28" s="3"/>
      <c r="F28" s="3"/>
      <c r="G28" s="3"/>
      <c r="H28" s="3"/>
      <c r="I28" s="3"/>
      <c r="J28" s="3"/>
    </row>
    <row r="29" spans="1:19" ht="18.75" x14ac:dyDescent="0.3">
      <c r="B29" s="75" t="str">
        <f>[1]ЗАКУПКА!C78</f>
        <v>8-963-572-13-77</v>
      </c>
      <c r="C29" s="3"/>
      <c r="D29" s="3"/>
      <c r="E29" s="3"/>
      <c r="F29" s="3"/>
      <c r="G29" s="3"/>
      <c r="H29" s="3"/>
      <c r="I29" s="3"/>
      <c r="J29" s="3"/>
    </row>
    <row r="30" spans="1:19" ht="18.75" x14ac:dyDescent="0.3">
      <c r="B30" s="70" t="s">
        <v>47</v>
      </c>
      <c r="C30" s="76">
        <f ca="1">[1]ЗАКУПКА!B1</f>
        <v>46189</v>
      </c>
      <c r="D30" s="76"/>
      <c r="E30" s="3"/>
      <c r="F30" s="3"/>
      <c r="G30" s="3"/>
      <c r="H30" s="3"/>
      <c r="I30" s="3"/>
      <c r="J30" s="3"/>
    </row>
    <row r="31" spans="1:19" ht="18.75" x14ac:dyDescent="0.3">
      <c r="B31" s="3"/>
      <c r="C31" s="3"/>
      <c r="D31" s="3"/>
      <c r="E31" s="3"/>
      <c r="F31" s="3"/>
      <c r="G31" s="3"/>
      <c r="H31" s="3"/>
      <c r="I31" s="3"/>
      <c r="J31" s="3"/>
    </row>
    <row r="32" spans="1:19" ht="15.75" customHeight="1" x14ac:dyDescent="0.25"/>
    <row r="34" spans="1:12" outlineLevel="1" x14ac:dyDescent="0.25">
      <c r="A34" s="77" t="s">
        <v>48</v>
      </c>
    </row>
    <row r="35" spans="1:12" ht="170.25" customHeight="1" outlineLevel="1" x14ac:dyDescent="0.25">
      <c r="A35" s="78" t="s">
        <v>49</v>
      </c>
      <c r="B35" s="78"/>
      <c r="C35" s="78"/>
      <c r="D35" s="78"/>
      <c r="E35" s="78"/>
      <c r="F35" s="78"/>
      <c r="G35" s="78"/>
      <c r="H35" s="78"/>
      <c r="I35" s="78"/>
      <c r="J35" s="78"/>
      <c r="K35" s="78"/>
      <c r="L35" s="78"/>
    </row>
    <row r="38" spans="1:12" x14ac:dyDescent="0.25">
      <c r="L38" s="79"/>
    </row>
  </sheetData>
  <mergeCells count="32">
    <mergeCell ref="A35:L35"/>
    <mergeCell ref="H16:H17"/>
    <mergeCell ref="I16:I17"/>
    <mergeCell ref="J16:J17"/>
    <mergeCell ref="K16:K17"/>
    <mergeCell ref="L16:L17"/>
    <mergeCell ref="C30:D30"/>
    <mergeCell ref="A11:E11"/>
    <mergeCell ref="F11:L11"/>
    <mergeCell ref="A12:E12"/>
    <mergeCell ref="F12:L12"/>
    <mergeCell ref="A14:L14"/>
    <mergeCell ref="A16:A17"/>
    <mergeCell ref="B16:B17"/>
    <mergeCell ref="C16:C17"/>
    <mergeCell ref="D16:D17"/>
    <mergeCell ref="E16:G16"/>
    <mergeCell ref="A8:E8"/>
    <mergeCell ref="F8:L8"/>
    <mergeCell ref="A9:E9"/>
    <mergeCell ref="F9:L9"/>
    <mergeCell ref="M9:P9"/>
    <mergeCell ref="A10:E10"/>
    <mergeCell ref="F10:L10"/>
    <mergeCell ref="M10:P10"/>
    <mergeCell ref="A1:L1"/>
    <mergeCell ref="A3:L3"/>
    <mergeCell ref="A4:L4"/>
    <mergeCell ref="A6:E6"/>
    <mergeCell ref="F6:L6"/>
    <mergeCell ref="A7:E7"/>
    <mergeCell ref="F7:L7"/>
  </mergeCells>
  <pageMargins left="0.59" right="0.24" top="0.6" bottom="0.75" header="0.51180555555555496" footer="0.51180555555555496"/>
  <pageSetup paperSize="9" scale="86" firstPageNumber="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2026-06-16T02:04:05Z</dcterms:created>
  <dcterms:modified xsi:type="dcterms:W3CDTF">2026-06-16T02:04:20Z</dcterms:modified>
</cp:coreProperties>
</file>