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 (2)" sheetId="1" state="visible" r:id="rId1"/>
    <sheet name="Лист1 (3)" sheetId="2" state="visible" r:id="rId2"/>
  </sheets>
  <definedNames>
    <definedName name="_xlnm._FilterDatabase" localSheetId="0" hidden="1">'Лист1 (2)'!$A$1:$I$5</definedName>
    <definedName name="_xlnm._FilterDatabase" localSheetId="0" hidden="1">'Лист1 (2)'!$A$1:$I$5</definedName>
  </definedNames>
  <calcPr iterateDelta="0.0001"/>
</workbook>
</file>

<file path=xl/sharedStrings.xml><?xml version="1.0" encoding="utf-8"?>
<sst xmlns="http://schemas.openxmlformats.org/spreadsheetml/2006/main" count="26" uniqueCount="26">
  <si>
    <t xml:space="preserve">Определение цены контракта, 
заключаемого с единственным поставщиком
Приобретение материальных запасов, необходимых для обеспечения эксплуатации зданий и сооружений (смеситель)
Начальная (максимальная) цена контракта, начальная сумма цен единицы товара, работ, услуг (далее - НМЦК) определена в соответствии с Федеральным законом от 05.04.2013 № 44-ФЗ «О контрактной системе в сфере закупок товаров, работ, услуг для обеспечения государственных и муниципальных нужд».
 Метод определения НМЦК: метод сопоставимых рыночных цен (анализ рынка).
В целях определения НМЦК был осуществлен сбор ценовой информации среди 3 поставщиков, осуществляющих поставку товара, являющегося объектом закупки.
</t>
  </si>
  <si>
    <t xml:space="preserve">Наименование товара</t>
  </si>
  <si>
    <t xml:space="preserve">количество, 
штук</t>
  </si>
  <si>
    <t xml:space="preserve">Источники информации и цена за единицу, руб.</t>
  </si>
  <si>
    <t xml:space="preserve">Определение однородности и средних значений цен</t>
  </si>
  <si>
    <t>www.vseinstrumenti.ru</t>
  </si>
  <si>
    <t>market.yandex.ru</t>
  </si>
  <si>
    <t>vladimir.santehnika-online.ru</t>
  </si>
  <si>
    <t xml:space="preserve">Коэфф. вариации (V), %</t>
  </si>
  <si>
    <t xml:space="preserve">Совокупн. значений</t>
  </si>
  <si>
    <t xml:space="preserve">Сред. цена за ед, руб.</t>
  </si>
  <si>
    <t xml:space="preserve">Сумма, руб</t>
  </si>
  <si>
    <t>Смеситель</t>
  </si>
  <si>
    <t>Итого:</t>
  </si>
  <si>
    <t xml:space="preserve">Проведенные исследования позволяют определить начальную (максимальную) контракта единицы  в размере: 30536,00 руб ( тридцать тысяч пятьсот тридцать шесть рублей 00 копеек) </t>
  </si>
  <si>
    <t xml:space="preserve">Валюта, используемая для формирования цены контракта и расчетов с поставщиком (подрядчиком, исполнителем) – российский рубль.</t>
  </si>
  <si>
    <t xml:space="preserve">Заместитель начальника ФЭО</t>
  </si>
  <si>
    <t xml:space="preserve">И.С. Чорнаморян</t>
  </si>
  <si>
    <t xml:space="preserve">вх № 41830 от 17.11.2021</t>
  </si>
  <si>
    <t xml:space="preserve">вх № 41834 от 17.11.2021</t>
  </si>
  <si>
    <t xml:space="preserve">вх № 41844 от 17.11.2021</t>
  </si>
  <si>
    <t xml:space="preserve">Услуги по уборке
 (помещений) 
</t>
  </si>
  <si>
    <t xml:space="preserve">Услуги по уборке
(прилегающей территории)
</t>
  </si>
  <si>
    <t xml:space="preserve">вх № 41842 от 17.11.2021</t>
  </si>
  <si>
    <t xml:space="preserve">вх № 41826 от 17.11.2021</t>
  </si>
  <si>
    <t xml:space="preserve">вх № 41833 от 17.11.2021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</si>
</sst>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\ _₽_-;\-* #,##0.00\ _₽_-;_-* \-??\ _₽_-;_-@_-"/>
    <numFmt numFmtId="161" formatCode="_-* #,##0.00_р_._-;\-* #,##0.00_р_._-;_-* \-??_р_._-;_-@_-"/>
    <numFmt numFmtId="162" formatCode="0.000"/>
    <numFmt numFmtId="163" formatCode="_-* #,##0.000\ _₽_-;\-* #,##0.000\ _₽_-;_-* \-??\ _₽_-;_-@_-"/>
    <numFmt numFmtId="164" formatCode="_-* #,##0.000\ _₽_-;\-* #,##0.000\ _₽_-;_-* \-???\ _₽_-;_-@_-"/>
  </numFmts>
  <fonts count="11">
    <font>
      <sz val="11.000000"/>
      <color theme="1"/>
      <name val="Calibri"/>
    </font>
    <font>
      <sz val="10.000000"/>
      <name val="Arial Cyr"/>
    </font>
    <font>
      <sz val="10.000000"/>
      <name val="Arial"/>
    </font>
    <font>
      <sz val="11.000000"/>
      <name val="Times New Roman"/>
    </font>
    <font>
      <b/>
      <sz val="11.000000"/>
      <name val="Times New Roman"/>
    </font>
    <font>
      <sz val="10.000000"/>
      <name val="Times New Roman"/>
    </font>
    <font>
      <u/>
      <sz val="11.000000"/>
      <color theme="10"/>
      <name val="Calibri"/>
    </font>
    <font>
      <sz val="11.000000"/>
      <color indexed="64"/>
      <name val="Times New Roman"/>
    </font>
    <font>
      <b/>
      <i/>
      <sz val="8.000000"/>
      <name val="Times New Roman"/>
    </font>
    <font>
      <sz val="11.000000"/>
      <color theme="1"/>
      <name val="Times New Roman"/>
    </font>
    <font>
      <sz val="12.000000"/>
      <name val="Times New Roman"/>
    </font>
  </fonts>
  <fills count="2">
    <fill>
      <patternFill patternType="none"/>
    </fill>
    <fill>
      <patternFill patternType="gray125"/>
    </fill>
  </fills>
  <borders count="7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</borders>
  <cellStyleXfs count="7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160" applyNumberFormat="1" applyFont="1" applyFill="1" applyBorder="0" applyProtection="0"/>
    <xf fontId="0" fillId="0" borderId="0" numFmtId="161" applyNumberFormat="1" applyFont="1" applyFill="1" applyBorder="0" applyProtection="0"/>
  </cellStyleXfs>
  <cellXfs count="45">
    <xf fontId="0" fillId="0" borderId="0" numFmtId="0" xfId="0"/>
    <xf fontId="3" fillId="0" borderId="0" numFmtId="0" xfId="0" applyFont="1" applyProtection="1"/>
    <xf fontId="3" fillId="0" borderId="0" numFmtId="0" xfId="0" applyFont="1" applyAlignment="1" applyProtection="1">
      <alignment horizontal="center" vertical="center"/>
    </xf>
    <xf fontId="3" fillId="0" borderId="0" numFmtId="2" xfId="0" applyNumberFormat="1" applyFont="1" applyProtection="1"/>
    <xf fontId="4" fillId="0" borderId="0" numFmtId="0" xfId="0" applyFont="1" applyAlignment="1" applyProtection="1">
      <alignment horizontal="center" wrapText="1"/>
    </xf>
    <xf fontId="3" fillId="0" borderId="1" numFmtId="0" xfId="0" applyFont="1" applyBorder="1" applyAlignment="1" applyProtection="1">
      <alignment horizontal="center"/>
    </xf>
    <xf fontId="5" fillId="0" borderId="1" numFmtId="0" xfId="0" applyFont="1" applyBorder="1" applyAlignment="1" applyProtection="1">
      <alignment horizontal="center" vertical="center" wrapText="1"/>
    </xf>
    <xf fontId="6" fillId="0" borderId="1" numFmtId="0" xfId="0" applyFont="1" applyBorder="1" applyAlignment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8" fillId="0" borderId="0" numFmtId="0" xfId="0" applyFont="1" applyProtection="1"/>
    <xf fontId="3" fillId="0" borderId="1" numFmtId="0" xfId="0" applyFont="1" applyBorder="1" applyAlignment="1" applyProtection="1">
      <alignment vertical="center" wrapText="1"/>
    </xf>
    <xf fontId="9" fillId="0" borderId="1" numFmtId="2" xfId="0" applyNumberFormat="1" applyFont="1" applyBorder="1" applyAlignment="1">
      <alignment horizontal="center" vertical="center" wrapText="1"/>
    </xf>
    <xf fontId="3" fillId="0" borderId="1" numFmtId="10" xfId="3" applyNumberFormat="1" applyFont="1" applyBorder="1" applyAlignment="1" applyProtection="1">
      <alignment horizontal="center" vertical="center" wrapText="1"/>
    </xf>
    <xf fontId="3" fillId="0" borderId="1" numFmtId="2" xfId="0" applyNumberFormat="1" applyFont="1" applyBorder="1" applyAlignment="1" applyProtection="1">
      <alignment horizontal="center" vertical="center" wrapText="1"/>
    </xf>
    <xf fontId="3" fillId="0" borderId="1" numFmtId="2" xfId="0" applyNumberFormat="1" applyFont="1" applyBorder="1" applyAlignment="1" applyProtection="1">
      <alignment horizontal="center" vertical="center"/>
    </xf>
    <xf fontId="3" fillId="0" borderId="2" numFmtId="0" xfId="0" applyFont="1" applyBorder="1" applyAlignment="1" applyProtection="1">
      <alignment horizontal="center"/>
    </xf>
    <xf fontId="3" fillId="0" borderId="3" numFmtId="0" xfId="0" applyFont="1" applyBorder="1" applyAlignment="1" applyProtection="1">
      <alignment horizontal="center"/>
    </xf>
    <xf fontId="10" fillId="0" borderId="0" numFmtId="0" xfId="0" applyFont="1" applyAlignment="1" applyProtection="1">
      <alignment horizontal="left" vertical="center" wrapText="1"/>
    </xf>
    <xf fontId="10" fillId="0" borderId="0" numFmtId="0" xfId="0" applyFont="1" applyAlignment="1" applyProtection="1">
      <alignment horizontal="left" vertical="center"/>
    </xf>
    <xf fontId="3" fillId="0" borderId="0" numFmtId="0" xfId="0" applyFont="1" applyAlignment="1" applyProtection="1">
      <alignment horizontal="left" vertical="center"/>
    </xf>
    <xf fontId="3" fillId="0" borderId="0" numFmtId="2" xfId="0" applyNumberFormat="1" applyFont="1" applyAlignment="1" applyProtection="1">
      <alignment horizontal="left"/>
    </xf>
    <xf fontId="3" fillId="0" borderId="0" numFmtId="0" xfId="0" applyFont="1" applyAlignment="1" applyProtection="1">
      <alignment horizontal="left"/>
    </xf>
    <xf fontId="10" fillId="0" borderId="0" numFmtId="0" xfId="0" applyFont="1" applyProtection="1"/>
    <xf fontId="10" fillId="0" borderId="0" numFmtId="0" xfId="0" applyFont="1" applyAlignment="1" applyProtection="1">
      <alignment horizontal="center" vertical="center"/>
    </xf>
    <xf fontId="10" fillId="0" borderId="0" numFmtId="2" xfId="0" applyNumberFormat="1" applyFont="1" applyProtection="1"/>
    <xf fontId="0" fillId="0" borderId="0" numFmtId="0" xfId="0" applyProtection="1"/>
    <xf fontId="0" fillId="0" borderId="0" numFmtId="0" xfId="0" applyAlignment="1" applyProtection="1">
      <alignment horizontal="center" vertical="center"/>
    </xf>
    <xf fontId="0" fillId="0" borderId="0" numFmtId="2" xfId="0" applyNumberFormat="1" applyProtection="1"/>
    <xf fontId="0" fillId="0" borderId="4" numFmtId="0" xfId="0" applyBorder="1" applyProtection="1"/>
    <xf fontId="5" fillId="0" borderId="4" numFmtId="0" xfId="0" applyFont="1" applyBorder="1" applyAlignment="1" applyProtection="1">
      <alignment horizontal="center" vertical="center"/>
    </xf>
    <xf fontId="0" fillId="0" borderId="4" numFmtId="2" xfId="0" applyNumberFormat="1" applyBorder="1" applyAlignment="1" applyProtection="1">
      <alignment horizontal="center" vertical="center" wrapText="1"/>
    </xf>
    <xf fontId="5" fillId="0" borderId="5" numFmtId="0" xfId="0" applyFont="1" applyBorder="1" applyAlignment="1" applyProtection="1">
      <alignment horizontal="justify" vertical="center" wrapText="1"/>
    </xf>
    <xf fontId="5" fillId="0" borderId="5" numFmtId="0" xfId="0" applyFont="1" applyBorder="1" applyAlignment="1" applyProtection="1">
      <alignment horizontal="center" vertical="center" wrapText="1"/>
    </xf>
    <xf fontId="10" fillId="0" borderId="4" numFmtId="2" xfId="1" applyNumberFormat="1" applyFont="1" applyBorder="1" applyAlignment="1" applyProtection="1">
      <alignment horizontal="center"/>
    </xf>
    <xf fontId="10" fillId="0" borderId="4" numFmtId="10" xfId="4" applyNumberFormat="1" applyFont="1" applyBorder="1" applyAlignment="1" applyProtection="1">
      <alignment horizontal="center"/>
    </xf>
    <xf fontId="0" fillId="0" borderId="4" numFmtId="160" xfId="5" applyNumberFormat="1" applyBorder="1" applyProtection="1"/>
    <xf fontId="0" fillId="0" borderId="0" numFmtId="162" xfId="0" applyNumberFormat="1" applyProtection="1"/>
    <xf fontId="5" fillId="0" borderId="6" numFmtId="0" xfId="0" applyFont="1" applyBorder="1" applyAlignment="1" applyProtection="1">
      <alignment horizontal="justify" vertical="center" wrapText="1"/>
    </xf>
    <xf fontId="0" fillId="0" borderId="0" numFmtId="160" xfId="0" applyNumberFormat="1" applyProtection="1"/>
    <xf fontId="0" fillId="0" borderId="0" numFmtId="4" xfId="0" applyNumberFormat="1" applyProtection="1"/>
    <xf fontId="0" fillId="0" borderId="0" numFmtId="163" xfId="0" applyNumberFormat="1" applyProtection="1"/>
    <xf fontId="0" fillId="0" borderId="0" numFmtId="164" xfId="0" applyNumberFormat="1" applyProtection="1"/>
    <xf fontId="5" fillId="0" borderId="4" numFmtId="0" xfId="0" applyFont="1" applyBorder="1" applyAlignment="1" applyProtection="1">
      <alignment horizontal="justify" vertical="center" wrapText="1"/>
    </xf>
    <xf fontId="0" fillId="0" borderId="4" numFmtId="2" xfId="0" applyNumberFormat="1" applyBorder="1" applyProtection="1"/>
    <xf fontId="10" fillId="0" borderId="0" numFmtId="4" xfId="0" applyNumberFormat="1" applyFont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3" xfId="2"/>
    <cellStyle name="Процентный" xfId="3" builtinId="5"/>
    <cellStyle name="Процентный 2" xfId="4"/>
    <cellStyle name="Финансовый" xfId="5" builtinId="3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hyperlink" Target="http://www.vseinstrumenti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4" activeCellId="0" sqref="A4"/>
    </sheetView>
  </sheetViews>
  <sheetFormatPr defaultColWidth="9.140625" defaultRowHeight="14.25"/>
  <cols>
    <col customWidth="1" min="1" max="1" style="1" width="52.5703125"/>
    <col customWidth="1" min="2" max="2" style="2" width="13.5703125"/>
    <col customWidth="1" min="3" max="3" style="3" width="14"/>
    <col customWidth="1" min="4" max="4" style="3" width="16.5703125"/>
    <col customWidth="1" min="5" max="5" style="3" width="16.140625"/>
    <col customWidth="1" min="6" max="6" style="1" width="11.28515625"/>
    <col customWidth="1" min="7" max="7" style="1" width="17.57421875"/>
    <col customWidth="1" min="8" max="8" style="1" width="13.28515625"/>
    <col customWidth="1" min="9" max="9" style="1" width="12.421875"/>
    <col min="10" max="10" style="1" width="9.140625"/>
    <col customWidth="1" min="11" max="11" style="1" width="13.140625"/>
    <col min="12" max="16384" style="1" width="9.140625"/>
  </cols>
  <sheetData>
    <row r="1" ht="137.25" customHeight="1">
      <c r="A1" s="4" t="s">
        <v>0</v>
      </c>
      <c r="B1" s="4"/>
      <c r="C1" s="4"/>
      <c r="D1" s="4"/>
      <c r="E1" s="4"/>
      <c r="F1" s="4"/>
      <c r="G1" s="4"/>
      <c r="H1" s="4"/>
      <c r="I1" s="1"/>
    </row>
    <row r="2" ht="21" customHeight="1">
      <c r="A2" s="5" t="s">
        <v>1</v>
      </c>
      <c r="B2" s="6" t="s">
        <v>2</v>
      </c>
      <c r="C2" s="6" t="s">
        <v>3</v>
      </c>
      <c r="D2" s="6"/>
      <c r="E2" s="6"/>
      <c r="F2" s="6" t="s">
        <v>4</v>
      </c>
      <c r="G2" s="6"/>
      <c r="H2" s="6"/>
      <c r="I2" s="6"/>
    </row>
    <row r="3" ht="36">
      <c r="A3" s="5"/>
      <c r="B3" s="6"/>
      <c r="C3" s="7" t="s">
        <v>5</v>
      </c>
      <c r="D3" s="8" t="s">
        <v>6</v>
      </c>
      <c r="E3" s="8" t="s">
        <v>7</v>
      </c>
      <c r="F3" s="6" t="s">
        <v>8</v>
      </c>
      <c r="G3" s="6" t="s">
        <v>9</v>
      </c>
      <c r="H3" s="6" t="s">
        <v>10</v>
      </c>
      <c r="I3" s="5" t="s">
        <v>11</v>
      </c>
      <c r="J3" s="9"/>
    </row>
    <row r="4" ht="24.75" customHeight="1">
      <c r="A4" s="10" t="s">
        <v>12</v>
      </c>
      <c r="B4" s="6">
        <v>8</v>
      </c>
      <c r="C4" s="11">
        <v>3766</v>
      </c>
      <c r="D4" s="11">
        <v>3831</v>
      </c>
      <c r="E4" s="11">
        <v>3854</v>
      </c>
      <c r="F4" s="12">
        <f>ROUND(SQRT(((E4-H4)*(E4-H4)+(C4-H4)*(C4-H4)+(D4-H4)*(D4-H4))/2)/H4,4)</f>
        <v>0.011999999999999999</v>
      </c>
      <c r="G4" s="6" t="str">
        <f>IF(F4&lt;33%,"Однородная","Внимание")</f>
        <v>Однородная</v>
      </c>
      <c r="H4" s="13">
        <f>ROUND(AVERAGE(C4:E4),2)</f>
        <v>3817</v>
      </c>
      <c r="I4" s="14">
        <f>H4*B4</f>
        <v>30536</v>
      </c>
      <c r="J4" s="9"/>
    </row>
    <row r="5" ht="16.5" customHeight="1">
      <c r="A5" s="15" t="s">
        <v>13</v>
      </c>
      <c r="B5" s="15"/>
      <c r="C5" s="15"/>
      <c r="D5" s="15"/>
      <c r="E5" s="15"/>
      <c r="F5" s="15"/>
      <c r="G5" s="15"/>
      <c r="H5" s="16"/>
      <c r="I5" s="14">
        <f>SUM(I4:I4)</f>
        <v>30536</v>
      </c>
      <c r="J5" s="1"/>
    </row>
    <row r="6" ht="30.75" customHeight="1">
      <c r="A6" s="1"/>
      <c r="B6" s="2"/>
      <c r="C6" s="3"/>
      <c r="D6" s="3"/>
      <c r="E6" s="3"/>
      <c r="F6" s="1"/>
      <c r="G6" s="1"/>
      <c r="H6" s="1"/>
      <c r="I6" s="1"/>
      <c r="J6" s="1"/>
    </row>
    <row r="7" ht="13.5" customHeight="1">
      <c r="A7" s="1"/>
      <c r="B7" s="2"/>
      <c r="C7" s="3"/>
      <c r="D7" s="3"/>
      <c r="E7" s="3"/>
      <c r="F7" s="1"/>
      <c r="G7" s="1"/>
      <c r="H7" s="1"/>
      <c r="I7" s="1"/>
      <c r="J7" s="1"/>
    </row>
    <row r="8" ht="54" customHeight="1">
      <c r="A8" s="17" t="s">
        <v>14</v>
      </c>
      <c r="B8" s="17"/>
      <c r="C8" s="17"/>
      <c r="D8" s="17"/>
      <c r="E8" s="17"/>
      <c r="F8" s="17"/>
      <c r="G8" s="17"/>
      <c r="H8" s="17"/>
      <c r="I8" s="1"/>
      <c r="J8" s="1"/>
    </row>
    <row r="9" ht="15">
      <c r="A9" s="18"/>
      <c r="B9" s="19"/>
      <c r="C9" s="20"/>
      <c r="D9" s="20"/>
      <c r="E9" s="20"/>
      <c r="F9" s="21"/>
      <c r="G9" s="21"/>
      <c r="H9" s="21"/>
      <c r="I9" s="1"/>
      <c r="J9" s="1"/>
    </row>
    <row r="10" ht="14.25">
      <c r="A10" s="18" t="s">
        <v>15</v>
      </c>
      <c r="B10" s="18"/>
      <c r="C10" s="18"/>
      <c r="D10" s="18"/>
      <c r="E10" s="18"/>
      <c r="F10" s="18"/>
      <c r="G10" s="18"/>
      <c r="H10" s="18"/>
      <c r="I10" s="1"/>
    </row>
    <row r="11" ht="15">
      <c r="A11" s="18"/>
      <c r="B11" s="18"/>
      <c r="C11" s="18"/>
      <c r="D11" s="18"/>
      <c r="E11" s="18"/>
      <c r="F11" s="18"/>
      <c r="G11" s="18"/>
      <c r="H11" s="18"/>
      <c r="I11" s="1"/>
    </row>
    <row r="12" ht="15">
      <c r="A12" s="1"/>
      <c r="B12" s="2"/>
      <c r="C12" s="3"/>
      <c r="D12" s="3"/>
      <c r="E12" s="3"/>
      <c r="F12" s="1"/>
      <c r="G12" s="1"/>
      <c r="H12" s="1"/>
      <c r="I12" s="1"/>
    </row>
    <row r="13" ht="14.25">
      <c r="I13" s="1"/>
    </row>
    <row r="14" ht="15">
      <c r="A14" s="22" t="s">
        <v>16</v>
      </c>
      <c r="B14" s="23"/>
      <c r="C14" s="24"/>
      <c r="D14" s="24" t="s">
        <v>17</v>
      </c>
      <c r="E14" s="24"/>
    </row>
  </sheetData>
  <autoFilter ref="A1:I5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8">
    <mergeCell ref="A1:H1"/>
    <mergeCell ref="A2:A3"/>
    <mergeCell ref="B2:B3"/>
    <mergeCell ref="C2:E2"/>
    <mergeCell ref="F2:I2"/>
    <mergeCell ref="A5:H5"/>
    <mergeCell ref="A8:H8"/>
    <mergeCell ref="A10:H11"/>
  </mergeCells>
  <hyperlinks>
    <hyperlink r:id="rId1" ref="C3"/>
  </hyperlinks>
  <printOptions headings="0" gridLines="0"/>
  <pageMargins left="0.69999999999999996" right="0.69999999999999996" top="0.75" bottom="0.75" header="0.51181102362204689" footer="0.51181102362204689"/>
  <pageSetup paperSize="9" scale="87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B1" zoomScale="100" workbookViewId="0">
      <selection activeCell="H2" activeCellId="0" sqref="H2"/>
    </sheetView>
  </sheetViews>
  <sheetFormatPr defaultColWidth="8.7109375" defaultRowHeight="14.25"/>
  <cols>
    <col customWidth="1" min="1" max="1" style="25" width="52.5703125"/>
    <col customWidth="1" min="2" max="2" style="25" width="20.42578125"/>
    <col customWidth="1" min="3" max="3" style="25" width="15.28515625"/>
    <col customWidth="1" min="4" max="4" style="26" width="13.5703125"/>
    <col customWidth="1" min="5" max="5" style="27" width="17"/>
    <col customWidth="1" min="6" max="6" style="27" width="16.5703125"/>
    <col customWidth="1" min="7" max="7" style="27" width="16.140625"/>
    <col customWidth="1" min="8" max="8" style="25" width="11.28515625"/>
    <col customWidth="1" min="9" max="9" style="25" width="20.85546875"/>
    <col customWidth="1" min="11" max="11" style="25" width="14.5703125"/>
    <col customWidth="1" min="12" max="12" style="25" width="13.7109375"/>
    <col customWidth="1" min="13" max="14" style="25" width="13.140625"/>
    <col customWidth="1" min="15" max="16" style="25" width="14.140625"/>
    <col customWidth="1" min="17" max="17" style="25" width="13.140625"/>
  </cols>
  <sheetData>
    <row r="1" ht="28.5">
      <c r="A1" s="28"/>
      <c r="B1" s="28"/>
      <c r="C1" s="28"/>
      <c r="D1" s="29"/>
      <c r="E1" s="30" t="s">
        <v>18</v>
      </c>
      <c r="F1" s="30" t="s">
        <v>19</v>
      </c>
      <c r="G1" s="30" t="s">
        <v>20</v>
      </c>
      <c r="H1" s="28"/>
      <c r="I1" s="28"/>
      <c r="J1" s="28"/>
      <c r="K1" s="28"/>
    </row>
    <row r="2" ht="36">
      <c r="A2" s="31" t="s">
        <v>21</v>
      </c>
      <c r="B2" s="31">
        <v>5671.3699999999999</v>
      </c>
      <c r="C2" s="31">
        <v>6</v>
      </c>
      <c r="D2" s="32">
        <f t="shared" ref="D2:D3" si="0">C2*B2</f>
        <v>34028.220000000001</v>
      </c>
      <c r="E2" s="33">
        <v>24.850000000000001</v>
      </c>
      <c r="F2" s="33">
        <v>24.309999999999999</v>
      </c>
      <c r="G2" s="33">
        <v>24.690000000000001</v>
      </c>
      <c r="H2" s="34">
        <f t="shared" ref="H2:H3" si="1">ROUND(SQRT(((G2-J2)*(G2-J2)+(E2-J2)*(E2-J2)+(F2-J2)*(F2-J2))/2)/J2,4)</f>
        <v>0.011299999999999999</v>
      </c>
      <c r="I2" s="33" t="str">
        <f t="shared" ref="I2:I3" si="2">IF(H2&lt;33%,"Однородная","Внимание")</f>
        <v>Однородная</v>
      </c>
      <c r="J2" s="33">
        <f t="shared" ref="J2:J3" si="3">ROUND(AVERAGE(E2:G2),2)</f>
        <v>24.620000000000001</v>
      </c>
      <c r="K2" s="35">
        <f t="shared" ref="K2:K3" si="4">J2*D2</f>
        <v>837774.77640000009</v>
      </c>
      <c r="M2" s="27">
        <f>ROUND((J2*L5),2)</f>
        <v>16</v>
      </c>
      <c r="N2" s="27">
        <f t="shared" ref="N2:N3" si="5">M2*B2</f>
        <v>90741.919999999998</v>
      </c>
      <c r="O2" s="36">
        <f t="shared" ref="O2:O3" si="6">M2*B2</f>
        <v>90741.919999999998</v>
      </c>
      <c r="P2" s="25">
        <f t="shared" ref="P2:P3" si="7">O2*C2</f>
        <v>544451.52000000002</v>
      </c>
      <c r="Q2" s="36">
        <f>O2+O3</f>
        <v>130085.92</v>
      </c>
    </row>
    <row r="3" ht="36">
      <c r="A3" s="37" t="s">
        <v>22</v>
      </c>
      <c r="B3" s="37">
        <f>2599-140</f>
        <v>2459</v>
      </c>
      <c r="C3" s="37">
        <v>6</v>
      </c>
      <c r="D3" s="32">
        <f t="shared" si="0"/>
        <v>14754</v>
      </c>
      <c r="E3" s="33">
        <v>24.850000000000001</v>
      </c>
      <c r="F3" s="33">
        <v>24.309999999999999</v>
      </c>
      <c r="G3" s="33">
        <v>24.690000000000001</v>
      </c>
      <c r="H3" s="34">
        <f t="shared" si="1"/>
        <v>0.011299999999999999</v>
      </c>
      <c r="I3" s="33" t="str">
        <f t="shared" si="2"/>
        <v>Однородная</v>
      </c>
      <c r="J3" s="33">
        <f t="shared" si="3"/>
        <v>24.620000000000001</v>
      </c>
      <c r="K3" s="35">
        <f t="shared" si="4"/>
        <v>363243.48000000004</v>
      </c>
      <c r="M3" s="27">
        <f>ROUND((J3*L5),2)</f>
        <v>16</v>
      </c>
      <c r="N3" s="27">
        <f t="shared" si="5"/>
        <v>39344</v>
      </c>
      <c r="O3" s="36">
        <f t="shared" si="6"/>
        <v>39344</v>
      </c>
      <c r="P3" s="27">
        <f t="shared" si="7"/>
        <v>236064</v>
      </c>
    </row>
    <row r="4" s="25" customFormat="1">
      <c r="D4" s="26">
        <f>SUM(D2:D3)</f>
        <v>48782.220000000001</v>
      </c>
      <c r="E4" s="27"/>
      <c r="F4" s="27"/>
      <c r="G4" s="27"/>
      <c r="K4" s="38">
        <f>SUM(K2:K3)</f>
        <v>1201018.2564000001</v>
      </c>
      <c r="L4" s="39">
        <v>780661.26000000001</v>
      </c>
      <c r="M4" s="38"/>
      <c r="N4" s="25">
        <f>N2*6+N3*6</f>
        <v>780515.52000000002</v>
      </c>
    </row>
    <row r="5">
      <c r="D5" s="26"/>
      <c r="E5" s="27"/>
      <c r="F5" s="27"/>
      <c r="G5" s="27"/>
      <c r="H5" s="25"/>
      <c r="K5" s="27"/>
      <c r="L5" s="38">
        <f>L4/K4</f>
        <v>0.64999949487861919</v>
      </c>
      <c r="N5" s="39">
        <f>N4-L4</f>
        <v>-145.73999999999069</v>
      </c>
      <c r="O5" s="27">
        <f>N2+N3+N5</f>
        <v>129940.18000000001</v>
      </c>
    </row>
    <row r="6">
      <c r="D6" s="26">
        <f>(2459+140)*6</f>
        <v>15594</v>
      </c>
      <c r="K6" s="38"/>
    </row>
    <row r="7">
      <c r="K7" s="38"/>
      <c r="L7" s="38">
        <f>K4-L4</f>
        <v>420356.99640000006</v>
      </c>
      <c r="M7" s="38">
        <f>L7+L8</f>
        <v>682375.09640000004</v>
      </c>
    </row>
    <row r="8">
      <c r="L8" s="38">
        <f>K13-L13</f>
        <v>262018.09999999998</v>
      </c>
      <c r="M8" s="25">
        <v>883915.71799999999</v>
      </c>
      <c r="N8" s="38">
        <f>M8-M7</f>
        <v>201540.62159999995</v>
      </c>
    </row>
    <row r="9">
      <c r="N9" s="38">
        <f>ROUND((J9*M11),2)</f>
        <v>0</v>
      </c>
      <c r="P9" s="38">
        <f>B11*N11</f>
        <v>59055.125999999997</v>
      </c>
    </row>
    <row r="10" ht="28.5">
      <c r="A10" s="28"/>
      <c r="B10" s="28"/>
      <c r="C10" s="28"/>
      <c r="D10" s="29"/>
      <c r="E10" s="30" t="s">
        <v>23</v>
      </c>
      <c r="F10" s="30" t="s">
        <v>24</v>
      </c>
      <c r="G10" s="30" t="s">
        <v>25</v>
      </c>
      <c r="H10" s="28"/>
      <c r="I10" s="28"/>
      <c r="J10" s="28"/>
      <c r="K10" s="28"/>
      <c r="N10" s="38">
        <f>ROUND((J10*M11),2)</f>
        <v>0</v>
      </c>
      <c r="P10" s="38">
        <f>N12*663+94.11</f>
        <v>14872.379999999999</v>
      </c>
      <c r="Q10" s="38">
        <f>P9+P10</f>
        <v>73927.505999999994</v>
      </c>
    </row>
    <row r="11" ht="36">
      <c r="A11" s="31" t="s">
        <v>21</v>
      </c>
      <c r="B11" s="31">
        <v>2649.4000000000001</v>
      </c>
      <c r="C11" s="31">
        <v>5</v>
      </c>
      <c r="D11" s="32">
        <f t="shared" ref="D11:D12" si="8">C11*B11</f>
        <v>13247</v>
      </c>
      <c r="E11" s="33">
        <v>38.119999999999997</v>
      </c>
      <c r="F11" s="33">
        <v>38.380000000000003</v>
      </c>
      <c r="G11" s="33">
        <v>37.829999999999998</v>
      </c>
      <c r="H11" s="34">
        <f t="shared" ref="H11:H12" si="9">ROUND(SQRT(((G11-J11)*(G11-J11)+(E11-J11)*(E11-J11)+(F11-J11)*(F11-J11))/2)/J11,4)</f>
        <v>0.0071999999999999998</v>
      </c>
      <c r="I11" s="33" t="str">
        <f t="shared" ref="I11:I12" si="10">IF(H11&lt;33%,"Однородная","Внимание")</f>
        <v>Однородная</v>
      </c>
      <c r="J11" s="33">
        <f t="shared" ref="J11:J12" si="11">ROUND(AVERAGE(E11:G11),2)</f>
        <v>38.109999999999999</v>
      </c>
      <c r="K11" s="35">
        <f t="shared" ref="K11:K12" si="12">J11*D11</f>
        <v>504843.16999999998</v>
      </c>
      <c r="N11" s="38">
        <f>ROUND((J11*M13),2)</f>
        <v>22.289999999999999</v>
      </c>
      <c r="O11" s="40">
        <f t="shared" ref="O11:O12" si="13">N11*D11</f>
        <v>295275.63</v>
      </c>
      <c r="P11" s="38">
        <f t="shared" ref="P11:P12" si="14">ROUND((N11*B11),2)</f>
        <v>59055.129999999997</v>
      </c>
      <c r="Q11" s="38">
        <f>P11+P12</f>
        <v>73855.690000000002</v>
      </c>
    </row>
    <row r="12" ht="36">
      <c r="A12" s="37" t="s">
        <v>22</v>
      </c>
      <c r="B12" s="37">
        <v>664</v>
      </c>
      <c r="C12" s="37">
        <v>5</v>
      </c>
      <c r="D12" s="32">
        <f t="shared" si="8"/>
        <v>3320</v>
      </c>
      <c r="E12" s="33">
        <v>38.119999999999997</v>
      </c>
      <c r="F12" s="33">
        <v>38.380000000000003</v>
      </c>
      <c r="G12" s="33">
        <v>37.829999999999998</v>
      </c>
      <c r="H12" s="34">
        <f t="shared" si="9"/>
        <v>0.0071999999999999998</v>
      </c>
      <c r="I12" s="33" t="str">
        <f t="shared" si="10"/>
        <v>Однородная</v>
      </c>
      <c r="J12" s="33">
        <f t="shared" si="11"/>
        <v>38.109999999999999</v>
      </c>
      <c r="K12" s="35">
        <f t="shared" si="12"/>
        <v>126525.2</v>
      </c>
      <c r="N12" s="38">
        <f>ROUND((J12*M13),2)</f>
        <v>22.289999999999999</v>
      </c>
      <c r="O12" s="40">
        <f t="shared" si="13"/>
        <v>74002.800000000003</v>
      </c>
      <c r="P12" s="38">
        <f t="shared" si="14"/>
        <v>14800.559999999999</v>
      </c>
    </row>
    <row r="13">
      <c r="K13" s="38">
        <f>K12+K11</f>
        <v>631368.37</v>
      </c>
      <c r="L13" s="39">
        <v>369350.27000000002</v>
      </c>
      <c r="M13" s="38">
        <f>L13/K13</f>
        <v>0.5849996413345826</v>
      </c>
      <c r="O13" s="40">
        <f>SUM(O11:O12)</f>
        <v>369278.42999999999</v>
      </c>
      <c r="P13" s="38">
        <v>59055.129999999997</v>
      </c>
    </row>
    <row r="14">
      <c r="O14" s="41">
        <f>O13-L13</f>
        <v>-71.840000000025611</v>
      </c>
      <c r="P14" s="38">
        <v>14800.559999999999</v>
      </c>
    </row>
    <row r="15">
      <c r="K15" s="38">
        <f>K13+K4</f>
        <v>1832386.6264</v>
      </c>
      <c r="P15" s="38">
        <v>59055.129999999997</v>
      </c>
    </row>
    <row r="16">
      <c r="L16" s="25">
        <f>L13/5</f>
        <v>73870.054000000004</v>
      </c>
      <c r="P16" s="38">
        <v>14800.559999999999</v>
      </c>
    </row>
    <row r="17">
      <c r="K17" s="39">
        <f>1900000-L13-L4</f>
        <v>749988.46999999997</v>
      </c>
      <c r="L17" s="41">
        <f>O13/5</f>
        <v>73855.686000000002</v>
      </c>
      <c r="P17" s="38">
        <v>59055.129999999997</v>
      </c>
    </row>
    <row r="18">
      <c r="P18" s="38">
        <v>14800.559999999999</v>
      </c>
    </row>
    <row r="19">
      <c r="P19" s="38">
        <f>SUM(P8:P18)</f>
        <v>369350.266</v>
      </c>
      <c r="Q19" s="38">
        <f>P17+P15+P13+P11+P9</f>
        <v>295275.64600000001</v>
      </c>
    </row>
    <row r="20">
      <c r="P20" s="38">
        <f>P19-L13</f>
        <v>-0.0040000000153668225</v>
      </c>
      <c r="Q20" s="38">
        <f>P18+P16+P14+P12+P10</f>
        <v>74074.619999999995</v>
      </c>
    </row>
    <row r="21">
      <c r="I21" s="25"/>
      <c r="Q21" s="38">
        <f>SUM(Q19:Q20)</f>
        <v>369350.266</v>
      </c>
    </row>
    <row r="22">
      <c r="I22" s="25"/>
    </row>
    <row r="23" ht="15">
      <c r="E23" s="42">
        <v>5671.3699999999999</v>
      </c>
      <c r="F23" s="43">
        <v>16</v>
      </c>
      <c r="G23" s="27">
        <f t="shared" ref="G23:G25" si="15">ROUND((F23*E23),2)</f>
        <v>90741.919999999998</v>
      </c>
      <c r="I23" s="44">
        <f>G23*6</f>
        <v>544451.52000000002</v>
      </c>
    </row>
    <row r="24" ht="15">
      <c r="E24" s="42">
        <f>2599-140-2</f>
        <v>2457</v>
      </c>
      <c r="F24" s="43">
        <v>16</v>
      </c>
      <c r="G24" s="27">
        <f t="shared" si="15"/>
        <v>39312</v>
      </c>
      <c r="I24" s="44">
        <f>G24+G25+G29*5</f>
        <v>236209.73999999999</v>
      </c>
    </row>
    <row r="25" ht="15">
      <c r="E25" s="43">
        <v>2</v>
      </c>
      <c r="F25" s="43">
        <f>72.87+16</f>
        <v>88.870000000000005</v>
      </c>
      <c r="G25" s="27">
        <f t="shared" si="15"/>
        <v>177.74000000000001</v>
      </c>
      <c r="I25" s="44">
        <f>I23+I24</f>
        <v>780661.26000000001</v>
      </c>
    </row>
    <row r="26" ht="15">
      <c r="G26" s="27">
        <f>SUM(G23:G25)</f>
        <v>130231.66</v>
      </c>
      <c r="I26" s="44"/>
    </row>
    <row r="27" ht="15">
      <c r="I27" s="44"/>
    </row>
    <row r="28" ht="15">
      <c r="E28" s="31">
        <v>5671.3699999999999</v>
      </c>
      <c r="F28" s="43">
        <v>16</v>
      </c>
      <c r="G28" s="27">
        <f t="shared" ref="G28:G29" si="16">ROUND((F28*E28),2)</f>
        <v>90741.919999999998</v>
      </c>
      <c r="I28" s="44"/>
    </row>
    <row r="29" ht="15">
      <c r="E29" s="37">
        <v>2459</v>
      </c>
      <c r="F29" s="43">
        <v>16</v>
      </c>
      <c r="G29" s="27">
        <f t="shared" si="16"/>
        <v>39344</v>
      </c>
      <c r="I29" s="44"/>
    </row>
    <row r="30" ht="15">
      <c r="G30" s="27">
        <f>SUM(G28:G29)</f>
        <v>130085.92</v>
      </c>
      <c r="I30" s="44"/>
    </row>
    <row r="31" ht="15">
      <c r="G31" s="27">
        <f>G30*5+G26</f>
        <v>780661.26000000001</v>
      </c>
      <c r="I31" s="44"/>
    </row>
    <row r="32" ht="15">
      <c r="G32" s="27">
        <f>G23+G24+G25+G28*5+G29*5</f>
        <v>780661.26000000001</v>
      </c>
      <c r="I32" s="44"/>
    </row>
    <row r="33" ht="15">
      <c r="G33" s="39">
        <v>780661.26000000001</v>
      </c>
      <c r="I33" s="44"/>
    </row>
    <row r="34" ht="15">
      <c r="G34" s="27">
        <f>G32-G33</f>
        <v>0</v>
      </c>
      <c r="I34" s="44"/>
    </row>
    <row r="35" ht="15">
      <c r="I35" s="44"/>
    </row>
    <row r="36">
      <c r="I36" s="39">
        <f>SUM(I23:I35)</f>
        <v>1561322.52</v>
      </c>
    </row>
  </sheetData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Управление Росреестра по Владимирской области</Company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Чорнаморян Ирина Сережовна</dc:creator>
  <dc:description/>
  <dc:language>ru-RU</dc:language>
  <cp:revision>22</cp:revision>
  <dcterms:created xsi:type="dcterms:W3CDTF">2018-01-22T10:17:20Z</dcterms:created>
  <dcterms:modified xsi:type="dcterms:W3CDTF">2026-06-16T13:36:11Z</dcterms:modified>
</cp:coreProperties>
</file>