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utkovskajaTS\Desktop\Березка в работе\Подготовительные работы.  МОДУЛЬ КБ-172\"/>
    </mc:Choice>
  </mc:AlternateContent>
  <bookViews>
    <workbookView xWindow="0" yWindow="0" windowWidth="28800" windowHeight="12318"/>
  </bookViews>
  <sheets>
    <sheet name="Смета по ФСНБ 421+557прРИМ" sheetId="7" r:id="rId1"/>
    <sheet name="Source" sheetId="1" r:id="rId2"/>
    <sheet name="SourceObSm" sheetId="2" r:id="rId3"/>
    <sheet name="SmtRes" sheetId="3" r:id="rId4"/>
    <sheet name="EtalonRes" sheetId="4" r:id="rId5"/>
    <sheet name="SrcPoprs" sheetId="5" r:id="rId6"/>
    <sheet name="SrcKA" sheetId="6" r:id="rId7"/>
  </sheets>
  <definedNames>
    <definedName name="_xlnm.Print_Titles" localSheetId="0">'Смета по ФСНБ 421+557прРИМ'!$59:$59</definedName>
    <definedName name="_xlnm.Print_Area" localSheetId="0">'Смета по ФСНБ 421+557прРИМ'!$A$1:$L$354</definedName>
  </definedNames>
  <calcPr calcId="152511" iterate="1"/>
</workbook>
</file>

<file path=xl/calcChain.xml><?xml version="1.0" encoding="utf-8"?>
<calcChain xmlns="http://schemas.openxmlformats.org/spreadsheetml/2006/main">
  <c r="K202" i="7" l="1"/>
  <c r="G201" i="7"/>
  <c r="E201" i="7"/>
  <c r="I202" i="7" s="1"/>
  <c r="D201" i="7"/>
  <c r="BA172" i="7"/>
  <c r="AZ172" i="7"/>
  <c r="AT172" i="7"/>
  <c r="AR172" i="7"/>
  <c r="AO172" i="7"/>
  <c r="AE172" i="7"/>
  <c r="AD172" i="7"/>
  <c r="L171" i="7"/>
  <c r="AW172" i="7" s="1"/>
  <c r="H171" i="7"/>
  <c r="G171" i="7"/>
  <c r="H352" i="7"/>
  <c r="H349" i="7"/>
  <c r="C352" i="7"/>
  <c r="C349" i="7"/>
  <c r="C51" i="7"/>
  <c r="L335" i="7"/>
  <c r="L334" i="7"/>
  <c r="L331" i="7"/>
  <c r="L330" i="7"/>
  <c r="L328" i="7" s="1"/>
  <c r="L324" i="7"/>
  <c r="L323" i="7"/>
  <c r="L319" i="7"/>
  <c r="L307" i="7"/>
  <c r="L306" i="7"/>
  <c r="L305" i="7"/>
  <c r="L304" i="7"/>
  <c r="L303" i="7"/>
  <c r="L302" i="7"/>
  <c r="L299" i="7"/>
  <c r="L298" i="7"/>
  <c r="L296" i="7"/>
  <c r="L293" i="7"/>
  <c r="L288" i="7"/>
  <c r="L287" i="7"/>
  <c r="L286" i="7"/>
  <c r="L281" i="7"/>
  <c r="L280" i="7"/>
  <c r="L273" i="7"/>
  <c r="L272" i="7"/>
  <c r="L268" i="7"/>
  <c r="L253" i="7"/>
  <c r="L252" i="7"/>
  <c r="L248" i="7"/>
  <c r="L231" i="7"/>
  <c r="L230" i="7"/>
  <c r="L227" i="7"/>
  <c r="L226" i="7"/>
  <c r="L224" i="7"/>
  <c r="L223" i="7"/>
  <c r="L221" i="7" s="1"/>
  <c r="L217" i="7"/>
  <c r="L216" i="7"/>
  <c r="L212" i="7"/>
  <c r="AT200" i="7"/>
  <c r="AR200" i="7"/>
  <c r="AO200" i="7"/>
  <c r="BA200" i="7"/>
  <c r="AZ200" i="7"/>
  <c r="AE200" i="7"/>
  <c r="AD200" i="7"/>
  <c r="L199" i="7"/>
  <c r="AN200" i="7" s="1"/>
  <c r="I199" i="7"/>
  <c r="H199" i="7"/>
  <c r="E199" i="7"/>
  <c r="G199" i="7"/>
  <c r="D199" i="7"/>
  <c r="C199" i="7"/>
  <c r="B199" i="7"/>
  <c r="AT198" i="7"/>
  <c r="AR198" i="7"/>
  <c r="AO198" i="7"/>
  <c r="BA198" i="7"/>
  <c r="AZ198" i="7"/>
  <c r="AE198" i="7"/>
  <c r="AD198" i="7"/>
  <c r="L197" i="7"/>
  <c r="AW198" i="7" s="1"/>
  <c r="I197" i="7"/>
  <c r="H197" i="7"/>
  <c r="E197" i="7"/>
  <c r="G197" i="7"/>
  <c r="D197" i="7"/>
  <c r="C197" i="7"/>
  <c r="B197" i="7"/>
  <c r="AE196" i="7"/>
  <c r="AD196" i="7"/>
  <c r="G195" i="7"/>
  <c r="E195" i="7"/>
  <c r="G194" i="7"/>
  <c r="E194" i="7"/>
  <c r="L191" i="7"/>
  <c r="I191" i="7"/>
  <c r="H191" i="7"/>
  <c r="G191" i="7"/>
  <c r="L190" i="7"/>
  <c r="I190" i="7"/>
  <c r="H190" i="7"/>
  <c r="G190" i="7"/>
  <c r="L189" i="7"/>
  <c r="I189" i="7"/>
  <c r="H189" i="7"/>
  <c r="G189" i="7"/>
  <c r="L188" i="7"/>
  <c r="I188" i="7"/>
  <c r="H188" i="7"/>
  <c r="G188" i="7"/>
  <c r="L187" i="7"/>
  <c r="I187" i="7"/>
  <c r="H187" i="7"/>
  <c r="G187" i="7"/>
  <c r="L186" i="7"/>
  <c r="I186" i="7"/>
  <c r="H186" i="7"/>
  <c r="G186" i="7"/>
  <c r="L185" i="7"/>
  <c r="I185" i="7"/>
  <c r="H185" i="7"/>
  <c r="G185" i="7"/>
  <c r="L184" i="7"/>
  <c r="J184" i="7"/>
  <c r="G184" i="7"/>
  <c r="L182" i="7"/>
  <c r="J182" i="7"/>
  <c r="E182" i="7"/>
  <c r="L181" i="7"/>
  <c r="J181" i="7"/>
  <c r="G181" i="7"/>
  <c r="L180" i="7"/>
  <c r="I180" i="7"/>
  <c r="H180" i="7"/>
  <c r="G180" i="7"/>
  <c r="L179" i="7"/>
  <c r="J179" i="7"/>
  <c r="E179" i="7"/>
  <c r="L178" i="7"/>
  <c r="J178" i="7"/>
  <c r="G178" i="7"/>
  <c r="L175" i="7"/>
  <c r="L174" i="7" s="1"/>
  <c r="AR196" i="7" s="1"/>
  <c r="J175" i="7"/>
  <c r="G175" i="7"/>
  <c r="E173" i="7"/>
  <c r="G173" i="7"/>
  <c r="D173" i="7"/>
  <c r="C173" i="7"/>
  <c r="AE170" i="7"/>
  <c r="AD170" i="7"/>
  <c r="G169" i="7"/>
  <c r="E169" i="7"/>
  <c r="G168" i="7"/>
  <c r="E168" i="7"/>
  <c r="L165" i="7"/>
  <c r="I165" i="7"/>
  <c r="H165" i="7"/>
  <c r="G165" i="7"/>
  <c r="L164" i="7"/>
  <c r="I164" i="7"/>
  <c r="H164" i="7"/>
  <c r="G164" i="7"/>
  <c r="L163" i="7"/>
  <c r="I163" i="7"/>
  <c r="H163" i="7"/>
  <c r="G163" i="7"/>
  <c r="L162" i="7"/>
  <c r="I162" i="7"/>
  <c r="H162" i="7"/>
  <c r="G162" i="7"/>
  <c r="L161" i="7"/>
  <c r="I161" i="7"/>
  <c r="H161" i="7"/>
  <c r="G161" i="7"/>
  <c r="L160" i="7"/>
  <c r="I160" i="7"/>
  <c r="H160" i="7"/>
  <c r="G160" i="7"/>
  <c r="L159" i="7"/>
  <c r="J159" i="7"/>
  <c r="G159" i="7"/>
  <c r="L157" i="7"/>
  <c r="J157" i="7"/>
  <c r="E157" i="7"/>
  <c r="L156" i="7"/>
  <c r="J156" i="7"/>
  <c r="G156" i="7"/>
  <c r="L155" i="7"/>
  <c r="I155" i="7"/>
  <c r="H155" i="7"/>
  <c r="G155" i="7"/>
  <c r="L154" i="7"/>
  <c r="J154" i="7"/>
  <c r="E154" i="7"/>
  <c r="L153" i="7"/>
  <c r="J153" i="7"/>
  <c r="G153" i="7"/>
  <c r="L150" i="7"/>
  <c r="L149" i="7" s="1"/>
  <c r="J150" i="7"/>
  <c r="G150" i="7"/>
  <c r="E148" i="7"/>
  <c r="G148" i="7"/>
  <c r="D148" i="7"/>
  <c r="C148" i="7"/>
  <c r="AW147" i="7"/>
  <c r="AE147" i="7"/>
  <c r="AD147" i="7"/>
  <c r="G146" i="7"/>
  <c r="E146" i="7"/>
  <c r="G145" i="7"/>
  <c r="E145" i="7"/>
  <c r="L142" i="7"/>
  <c r="I142" i="7"/>
  <c r="H142" i="7"/>
  <c r="G142" i="7"/>
  <c r="L141" i="7"/>
  <c r="L139" i="7" s="1"/>
  <c r="J141" i="7"/>
  <c r="E141" i="7"/>
  <c r="L140" i="7"/>
  <c r="J140" i="7"/>
  <c r="G140" i="7"/>
  <c r="L137" i="7"/>
  <c r="L136" i="7" s="1"/>
  <c r="J137" i="7"/>
  <c r="G137" i="7"/>
  <c r="E135" i="7"/>
  <c r="G135" i="7"/>
  <c r="D135" i="7"/>
  <c r="C135" i="7"/>
  <c r="AW134" i="7"/>
  <c r="AE134" i="7"/>
  <c r="AD134" i="7"/>
  <c r="G133" i="7"/>
  <c r="E133" i="7"/>
  <c r="G132" i="7"/>
  <c r="E132" i="7"/>
  <c r="L129" i="7"/>
  <c r="I129" i="7"/>
  <c r="H129" i="7"/>
  <c r="G129" i="7"/>
  <c r="L128" i="7"/>
  <c r="L126" i="7" s="1"/>
  <c r="J128" i="7"/>
  <c r="E128" i="7"/>
  <c r="L127" i="7"/>
  <c r="J127" i="7"/>
  <c r="G127" i="7"/>
  <c r="L124" i="7"/>
  <c r="L123" i="7" s="1"/>
  <c r="J124" i="7"/>
  <c r="G124" i="7"/>
  <c r="E122" i="7"/>
  <c r="G122" i="7"/>
  <c r="D122" i="7"/>
  <c r="C122" i="7"/>
  <c r="AE121" i="7"/>
  <c r="AD121" i="7"/>
  <c r="G120" i="7"/>
  <c r="E120" i="7"/>
  <c r="G119" i="7"/>
  <c r="E119" i="7"/>
  <c r="BA117" i="7"/>
  <c r="AZ117" i="7"/>
  <c r="AE117" i="7"/>
  <c r="AD117" i="7"/>
  <c r="E117" i="7"/>
  <c r="G117" i="7"/>
  <c r="D117" i="7"/>
  <c r="C117" i="7"/>
  <c r="B117" i="7"/>
  <c r="L115" i="7"/>
  <c r="I115" i="7"/>
  <c r="H115" i="7"/>
  <c r="G115" i="7"/>
  <c r="L114" i="7"/>
  <c r="I114" i="7"/>
  <c r="H114" i="7"/>
  <c r="G114" i="7"/>
  <c r="L113" i="7"/>
  <c r="I113" i="7"/>
  <c r="H113" i="7"/>
  <c r="G113" i="7"/>
  <c r="L112" i="7"/>
  <c r="I112" i="7"/>
  <c r="H112" i="7"/>
  <c r="G112" i="7"/>
  <c r="L110" i="7"/>
  <c r="J110" i="7"/>
  <c r="E110" i="7"/>
  <c r="L109" i="7"/>
  <c r="J109" i="7"/>
  <c r="G109" i="7"/>
  <c r="L108" i="7"/>
  <c r="I108" i="7"/>
  <c r="H108" i="7"/>
  <c r="G108" i="7"/>
  <c r="L107" i="7"/>
  <c r="I107" i="7"/>
  <c r="H107" i="7"/>
  <c r="G107" i="7"/>
  <c r="L106" i="7"/>
  <c r="J106" i="7"/>
  <c r="E106" i="7"/>
  <c r="L105" i="7"/>
  <c r="J105" i="7"/>
  <c r="G105" i="7"/>
  <c r="L102" i="7"/>
  <c r="L101" i="7" s="1"/>
  <c r="J102" i="7"/>
  <c r="G102" i="7"/>
  <c r="E100" i="7"/>
  <c r="G100" i="7"/>
  <c r="D100" i="7"/>
  <c r="C100" i="7"/>
  <c r="AW99" i="7"/>
  <c r="AE99" i="7"/>
  <c r="AD99" i="7"/>
  <c r="G98" i="7"/>
  <c r="E98" i="7"/>
  <c r="G97" i="7"/>
  <c r="E97" i="7"/>
  <c r="L94" i="7"/>
  <c r="L92" i="7" s="1"/>
  <c r="AT99" i="7" s="1"/>
  <c r="J94" i="7"/>
  <c r="E94" i="7"/>
  <c r="L93" i="7"/>
  <c r="I93" i="7"/>
  <c r="H93" i="7"/>
  <c r="G93" i="7"/>
  <c r="L90" i="7"/>
  <c r="L89" i="7" s="1"/>
  <c r="J90" i="7"/>
  <c r="G90" i="7"/>
  <c r="E88" i="7"/>
  <c r="G88" i="7"/>
  <c r="D88" i="7"/>
  <c r="C88" i="7"/>
  <c r="AW87" i="7"/>
  <c r="AE87" i="7"/>
  <c r="AD87" i="7"/>
  <c r="G86" i="7"/>
  <c r="E86" i="7"/>
  <c r="G85" i="7"/>
  <c r="E85" i="7"/>
  <c r="L82" i="7"/>
  <c r="J82" i="7"/>
  <c r="E82" i="7"/>
  <c r="L81" i="7"/>
  <c r="J81" i="7"/>
  <c r="G81" i="7"/>
  <c r="L80" i="7"/>
  <c r="J80" i="7"/>
  <c r="E80" i="7"/>
  <c r="L79" i="7"/>
  <c r="I79" i="7"/>
  <c r="H79" i="7"/>
  <c r="G79" i="7"/>
  <c r="L76" i="7"/>
  <c r="L75" i="7" s="1"/>
  <c r="J76" i="7"/>
  <c r="G76" i="7"/>
  <c r="E74" i="7"/>
  <c r="G74" i="7"/>
  <c r="D74" i="7"/>
  <c r="C74" i="7"/>
  <c r="AW73" i="7"/>
  <c r="AR73" i="7"/>
  <c r="AE73" i="7"/>
  <c r="AD73" i="7"/>
  <c r="G72" i="7"/>
  <c r="E72" i="7"/>
  <c r="G71" i="7"/>
  <c r="E71" i="7"/>
  <c r="L68" i="7"/>
  <c r="J68" i="7"/>
  <c r="E68" i="7"/>
  <c r="L67" i="7"/>
  <c r="I67" i="7"/>
  <c r="H67" i="7"/>
  <c r="G67" i="7"/>
  <c r="L66" i="7"/>
  <c r="J66" i="7"/>
  <c r="E66" i="7"/>
  <c r="L65" i="7"/>
  <c r="I65" i="7"/>
  <c r="H65" i="7"/>
  <c r="G65" i="7"/>
  <c r="E62" i="7"/>
  <c r="G62" i="7"/>
  <c r="D62" i="7"/>
  <c r="C62" i="7"/>
  <c r="F24" i="7"/>
  <c r="F22" i="7"/>
  <c r="CO14" i="7"/>
  <c r="F14" i="7"/>
  <c r="CO12" i="7"/>
  <c r="F12" i="7"/>
  <c r="H6" i="7"/>
  <c r="B6" i="7"/>
  <c r="A1" i="7"/>
  <c r="J79" i="7" l="1"/>
  <c r="J67" i="7"/>
  <c r="J163" i="7"/>
  <c r="J165" i="7"/>
  <c r="J189" i="7"/>
  <c r="J191" i="7"/>
  <c r="J197" i="7"/>
  <c r="J113" i="7"/>
  <c r="J115" i="7"/>
  <c r="J142" i="7"/>
  <c r="J180" i="7"/>
  <c r="J162" i="7"/>
  <c r="L64" i="7"/>
  <c r="AT73" i="7" s="1"/>
  <c r="L70" i="7" s="1"/>
  <c r="AN172" i="7"/>
  <c r="J114" i="7"/>
  <c r="G141" i="7"/>
  <c r="J155" i="7"/>
  <c r="AN198" i="7"/>
  <c r="J171" i="7"/>
  <c r="J199" i="7"/>
  <c r="J65" i="7"/>
  <c r="G110" i="7"/>
  <c r="L177" i="7"/>
  <c r="AT196" i="7" s="1"/>
  <c r="L193" i="7" s="1"/>
  <c r="K172" i="7"/>
  <c r="I172" i="7" s="1"/>
  <c r="L78" i="7"/>
  <c r="AT87" i="7" s="1"/>
  <c r="J185" i="7"/>
  <c r="J129" i="7"/>
  <c r="J164" i="7"/>
  <c r="K198" i="7"/>
  <c r="I198" i="7" s="1"/>
  <c r="J93" i="7"/>
  <c r="J186" i="7"/>
  <c r="J188" i="7"/>
  <c r="L294" i="7"/>
  <c r="G106" i="7"/>
  <c r="J108" i="7"/>
  <c r="K200" i="7"/>
  <c r="I200" i="7" s="1"/>
  <c r="G66" i="7"/>
  <c r="G68" i="7"/>
  <c r="L104" i="7"/>
  <c r="L103" i="7" s="1"/>
  <c r="AO121" i="7" s="1"/>
  <c r="L265" i="7" s="1"/>
  <c r="G128" i="7"/>
  <c r="J161" i="7"/>
  <c r="G179" i="7"/>
  <c r="AW200" i="7"/>
  <c r="L183" i="7"/>
  <c r="AW196" i="7" s="1"/>
  <c r="G154" i="7"/>
  <c r="J190" i="7"/>
  <c r="G80" i="7"/>
  <c r="J107" i="7"/>
  <c r="J112" i="7"/>
  <c r="G182" i="7"/>
  <c r="L278" i="7"/>
  <c r="L158" i="7"/>
  <c r="AW170" i="7" s="1"/>
  <c r="L111" i="7"/>
  <c r="AW121" i="7" s="1"/>
  <c r="L152" i="7"/>
  <c r="AT170" i="7" s="1"/>
  <c r="G157" i="7"/>
  <c r="J160" i="7"/>
  <c r="L300" i="7"/>
  <c r="G82" i="7"/>
  <c r="G94" i="7"/>
  <c r="J187" i="7"/>
  <c r="AR99" i="7"/>
  <c r="L96" i="7" s="1"/>
  <c r="AR147" i="7"/>
  <c r="AR121" i="7"/>
  <c r="L125" i="7"/>
  <c r="AO134" i="7" s="1"/>
  <c r="AT134" i="7"/>
  <c r="AT147" i="7"/>
  <c r="L138" i="7"/>
  <c r="AO147" i="7" s="1"/>
  <c r="AR87" i="7"/>
  <c r="AR134" i="7"/>
  <c r="L91" i="7"/>
  <c r="AO99" i="7" s="1"/>
  <c r="AR170" i="7"/>
  <c r="A1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1" i="3"/>
  <c r="Y1" i="3"/>
  <c r="CY1" i="3"/>
  <c r="CZ1" i="3"/>
  <c r="DA1" i="3"/>
  <c r="DB1" i="3"/>
  <c r="DC1" i="3"/>
  <c r="A2" i="3"/>
  <c r="Y2" i="3"/>
  <c r="CW2" i="3" s="1"/>
  <c r="CY2" i="3"/>
  <c r="CZ2" i="3"/>
  <c r="DB2" i="3" s="1"/>
  <c r="DA2" i="3"/>
  <c r="DC2" i="3"/>
  <c r="A3" i="3"/>
  <c r="Y3" i="3"/>
  <c r="CY3" i="3"/>
  <c r="CZ3" i="3"/>
  <c r="DA3" i="3"/>
  <c r="DB3" i="3"/>
  <c r="DC3" i="3"/>
  <c r="A4" i="3"/>
  <c r="Y4" i="3"/>
  <c r="CV4" i="3" s="1"/>
  <c r="U29" i="1" s="1"/>
  <c r="G75" i="7" s="1"/>
  <c r="CU4" i="3"/>
  <c r="CY4" i="3"/>
  <c r="CZ4" i="3"/>
  <c r="DB4" i="3" s="1"/>
  <c r="DA4" i="3"/>
  <c r="DC4" i="3"/>
  <c r="A5" i="3"/>
  <c r="Y5" i="3"/>
  <c r="CX5" i="3"/>
  <c r="DF5" i="3" s="1"/>
  <c r="CY5" i="3"/>
  <c r="CZ5" i="3"/>
  <c r="DA5" i="3"/>
  <c r="DB5" i="3"/>
  <c r="DC5" i="3"/>
  <c r="DH5" i="3"/>
  <c r="A6" i="3"/>
  <c r="Y6" i="3"/>
  <c r="CW6" i="3" s="1"/>
  <c r="V29" i="1" s="1"/>
  <c r="G78" i="7" s="1"/>
  <c r="CY6" i="3"/>
  <c r="CZ6" i="3"/>
  <c r="DB6" i="3" s="1"/>
  <c r="DA6" i="3"/>
  <c r="DC6" i="3"/>
  <c r="A7" i="3"/>
  <c r="Y7" i="3"/>
  <c r="CW7" i="3"/>
  <c r="CX7" i="3"/>
  <c r="DI7" i="3" s="1"/>
  <c r="CY7" i="3"/>
  <c r="CZ7" i="3"/>
  <c r="DA7" i="3"/>
  <c r="DB7" i="3"/>
  <c r="DC7" i="3"/>
  <c r="DH7" i="3"/>
  <c r="A8" i="3"/>
  <c r="Y8" i="3"/>
  <c r="CV8" i="3" s="1"/>
  <c r="U30" i="1" s="1"/>
  <c r="G89" i="7" s="1"/>
  <c r="CY8" i="3"/>
  <c r="CZ8" i="3"/>
  <c r="DB8" i="3" s="1"/>
  <c r="DA8" i="3"/>
  <c r="DC8" i="3"/>
  <c r="A9" i="3"/>
  <c r="Y9" i="3"/>
  <c r="CY9" i="3"/>
  <c r="CZ9" i="3"/>
  <c r="DA9" i="3"/>
  <c r="DB9" i="3"/>
  <c r="DC9" i="3"/>
  <c r="A10" i="3"/>
  <c r="Y10" i="3"/>
  <c r="CW10" i="3" s="1"/>
  <c r="V30" i="1" s="1"/>
  <c r="G92" i="7" s="1"/>
  <c r="CY10" i="3"/>
  <c r="CZ10" i="3"/>
  <c r="DB10" i="3" s="1"/>
  <c r="DA10" i="3"/>
  <c r="DC10" i="3"/>
  <c r="A11" i="3"/>
  <c r="Y11" i="3"/>
  <c r="CY11" i="3"/>
  <c r="CZ11" i="3"/>
  <c r="DA11" i="3"/>
  <c r="DB11" i="3"/>
  <c r="DC11" i="3"/>
  <c r="A12" i="3"/>
  <c r="Y12" i="3"/>
  <c r="CX12" i="3" s="1"/>
  <c r="CY12" i="3"/>
  <c r="CZ12" i="3"/>
  <c r="DB12" i="3" s="1"/>
  <c r="DA12" i="3"/>
  <c r="DC12" i="3"/>
  <c r="A13" i="3"/>
  <c r="Y13" i="3"/>
  <c r="CY13" i="3"/>
  <c r="CZ13" i="3"/>
  <c r="DA13" i="3"/>
  <c r="DB13" i="3"/>
  <c r="DC13" i="3"/>
  <c r="A14" i="3"/>
  <c r="Y14" i="3"/>
  <c r="CW14" i="3" s="1"/>
  <c r="CY14" i="3"/>
  <c r="CZ14" i="3"/>
  <c r="DB14" i="3" s="1"/>
  <c r="DA14" i="3"/>
  <c r="DC14" i="3"/>
  <c r="A15" i="3"/>
  <c r="Y15" i="3"/>
  <c r="CY15" i="3"/>
  <c r="CZ15" i="3"/>
  <c r="DA15" i="3"/>
  <c r="DB15" i="3"/>
  <c r="DC15" i="3"/>
  <c r="A16" i="3"/>
  <c r="Y16" i="3"/>
  <c r="CW16" i="3" s="1"/>
  <c r="CY16" i="3"/>
  <c r="CZ16" i="3"/>
  <c r="DB16" i="3" s="1"/>
  <c r="DA16" i="3"/>
  <c r="DC16" i="3"/>
  <c r="A17" i="3"/>
  <c r="Y17" i="3"/>
  <c r="CY17" i="3"/>
  <c r="CZ17" i="3"/>
  <c r="DB17" i="3" s="1"/>
  <c r="DA17" i="3"/>
  <c r="DC17" i="3"/>
  <c r="A18" i="3"/>
  <c r="Y18" i="3"/>
  <c r="CY18" i="3"/>
  <c r="CZ18" i="3"/>
  <c r="DA18" i="3"/>
  <c r="DB18" i="3"/>
  <c r="DC18" i="3"/>
  <c r="A19" i="3"/>
  <c r="Y19" i="3"/>
  <c r="CX19" i="3" s="1"/>
  <c r="CY19" i="3"/>
  <c r="CZ19" i="3"/>
  <c r="DB19" i="3" s="1"/>
  <c r="DA19" i="3"/>
  <c r="DC19" i="3"/>
  <c r="A20" i="3"/>
  <c r="Y20" i="3"/>
  <c r="CX20" i="3" s="1"/>
  <c r="CY20" i="3"/>
  <c r="CZ20" i="3"/>
  <c r="DB20" i="3" s="1"/>
  <c r="DA20" i="3"/>
  <c r="DC20" i="3"/>
  <c r="A21" i="3"/>
  <c r="Y21" i="3"/>
  <c r="CY21" i="3"/>
  <c r="CZ21" i="3"/>
  <c r="DB21" i="3" s="1"/>
  <c r="DA21" i="3"/>
  <c r="DC21" i="3"/>
  <c r="A22" i="3"/>
  <c r="Y22" i="3"/>
  <c r="CY22" i="3"/>
  <c r="CZ22" i="3"/>
  <c r="DB22" i="3" s="1"/>
  <c r="DA22" i="3"/>
  <c r="DC22" i="3"/>
  <c r="A23" i="3"/>
  <c r="Y23" i="3"/>
  <c r="CY23" i="3"/>
  <c r="CZ23" i="3"/>
  <c r="DB23" i="3" s="1"/>
  <c r="DA23" i="3"/>
  <c r="DC23" i="3"/>
  <c r="A24" i="3"/>
  <c r="Y24" i="3"/>
  <c r="CY24" i="3"/>
  <c r="CZ24" i="3"/>
  <c r="DA24" i="3"/>
  <c r="DB24" i="3"/>
  <c r="DC24" i="3"/>
  <c r="A25" i="3"/>
  <c r="Y25" i="3"/>
  <c r="CY25" i="3"/>
  <c r="CZ25" i="3"/>
  <c r="DB25" i="3" s="1"/>
  <c r="DA25" i="3"/>
  <c r="DC25" i="3"/>
  <c r="A26" i="3"/>
  <c r="Y26" i="3"/>
  <c r="CY26" i="3"/>
  <c r="CZ26" i="3"/>
  <c r="DB26" i="3" s="1"/>
  <c r="DA26" i="3"/>
  <c r="DC26" i="3"/>
  <c r="A27" i="3"/>
  <c r="Y27" i="3"/>
  <c r="CY27" i="3"/>
  <c r="CZ27" i="3"/>
  <c r="DB27" i="3" s="1"/>
  <c r="DA27" i="3"/>
  <c r="DC27" i="3"/>
  <c r="A28" i="3"/>
  <c r="Y28" i="3"/>
  <c r="CY28" i="3"/>
  <c r="CZ28" i="3"/>
  <c r="DA28" i="3"/>
  <c r="DB28" i="3"/>
  <c r="DC28" i="3"/>
  <c r="A29" i="3"/>
  <c r="Y29" i="3"/>
  <c r="CY29" i="3"/>
  <c r="CZ29" i="3"/>
  <c r="DB29" i="3" s="1"/>
  <c r="DA29" i="3"/>
  <c r="DC29" i="3"/>
  <c r="A30" i="3"/>
  <c r="Y30" i="3"/>
  <c r="CY30" i="3"/>
  <c r="CZ30" i="3"/>
  <c r="DB30" i="3" s="1"/>
  <c r="DA30" i="3"/>
  <c r="DC30" i="3"/>
  <c r="A31" i="3"/>
  <c r="Y31" i="3"/>
  <c r="CY31" i="3"/>
  <c r="CZ31" i="3"/>
  <c r="DB31" i="3" s="1"/>
  <c r="DA31" i="3"/>
  <c r="DC31" i="3"/>
  <c r="A32" i="3"/>
  <c r="Y32" i="3"/>
  <c r="CY32" i="3"/>
  <c r="CZ32" i="3"/>
  <c r="DA32" i="3"/>
  <c r="DB32" i="3"/>
  <c r="DC32" i="3"/>
  <c r="A33" i="3"/>
  <c r="Y33" i="3"/>
  <c r="CY33" i="3"/>
  <c r="CZ33" i="3"/>
  <c r="DB33" i="3" s="1"/>
  <c r="DA33" i="3"/>
  <c r="DC33" i="3"/>
  <c r="A34" i="3"/>
  <c r="Y34" i="3"/>
  <c r="CY34" i="3"/>
  <c r="CZ34" i="3"/>
  <c r="DB34" i="3" s="1"/>
  <c r="DA34" i="3"/>
  <c r="DC34" i="3"/>
  <c r="A35" i="3"/>
  <c r="Y35" i="3"/>
  <c r="CY35" i="3"/>
  <c r="CZ35" i="3"/>
  <c r="DB35" i="3" s="1"/>
  <c r="DA35" i="3"/>
  <c r="DC35" i="3"/>
  <c r="A36" i="3"/>
  <c r="Y36" i="3"/>
  <c r="CY36" i="3"/>
  <c r="CZ36" i="3"/>
  <c r="DB36" i="3" s="1"/>
  <c r="DA36" i="3"/>
  <c r="DC36" i="3"/>
  <c r="A37" i="3"/>
  <c r="Y37" i="3"/>
  <c r="CY37" i="3"/>
  <c r="CZ37" i="3"/>
  <c r="DA37" i="3"/>
  <c r="DB37" i="3"/>
  <c r="DC37" i="3"/>
  <c r="A38" i="3"/>
  <c r="Y38" i="3"/>
  <c r="CY38" i="3"/>
  <c r="CZ38" i="3"/>
  <c r="DA38" i="3"/>
  <c r="DB38" i="3"/>
  <c r="DC38" i="3"/>
  <c r="A39" i="3"/>
  <c r="Y39" i="3"/>
  <c r="CY39" i="3"/>
  <c r="CZ39" i="3"/>
  <c r="DB39" i="3" s="1"/>
  <c r="DA39" i="3"/>
  <c r="DC39" i="3"/>
  <c r="A40" i="3"/>
  <c r="Y40" i="3"/>
  <c r="CY40" i="3"/>
  <c r="CZ40" i="3"/>
  <c r="DB40" i="3" s="1"/>
  <c r="DA40" i="3"/>
  <c r="DC40" i="3"/>
  <c r="A41" i="3"/>
  <c r="Y41" i="3"/>
  <c r="CY41" i="3"/>
  <c r="CZ41" i="3"/>
  <c r="DA41" i="3"/>
  <c r="DB41" i="3"/>
  <c r="DC41" i="3"/>
  <c r="A42" i="3"/>
  <c r="Y42" i="3"/>
  <c r="CY42" i="3"/>
  <c r="CZ42" i="3"/>
  <c r="DB42" i="3" s="1"/>
  <c r="DA42" i="3"/>
  <c r="DC42" i="3"/>
  <c r="A43" i="3"/>
  <c r="Y43" i="3"/>
  <c r="CY43" i="3"/>
  <c r="CZ43" i="3"/>
  <c r="DB43" i="3" s="1"/>
  <c r="DA43" i="3"/>
  <c r="DC43" i="3"/>
  <c r="A44" i="3"/>
  <c r="Y44" i="3"/>
  <c r="CY44" i="3"/>
  <c r="CZ44" i="3"/>
  <c r="DA44" i="3"/>
  <c r="DB44" i="3"/>
  <c r="DC44" i="3"/>
  <c r="A45" i="3"/>
  <c r="Y45" i="3"/>
  <c r="CY45" i="3"/>
  <c r="CZ45" i="3"/>
  <c r="DB45" i="3" s="1"/>
  <c r="DA45" i="3"/>
  <c r="DC45" i="3"/>
  <c r="A46" i="3"/>
  <c r="Y46" i="3"/>
  <c r="CY46" i="3"/>
  <c r="CZ46" i="3"/>
  <c r="DA46" i="3"/>
  <c r="DB46" i="3"/>
  <c r="DC46" i="3"/>
  <c r="A47" i="3"/>
  <c r="Y47" i="3"/>
  <c r="CY47" i="3"/>
  <c r="CZ47" i="3"/>
  <c r="DB47" i="3" s="1"/>
  <c r="DA47" i="3"/>
  <c r="DC47" i="3"/>
  <c r="A48" i="3"/>
  <c r="Y48" i="3"/>
  <c r="CY48" i="3"/>
  <c r="CZ48" i="3"/>
  <c r="DA48" i="3"/>
  <c r="DB48" i="3"/>
  <c r="DC48" i="3"/>
  <c r="A49" i="3"/>
  <c r="Y49" i="3"/>
  <c r="CY49" i="3"/>
  <c r="CZ49" i="3"/>
  <c r="DB49" i="3" s="1"/>
  <c r="DA49" i="3"/>
  <c r="DC49" i="3"/>
  <c r="A50" i="3"/>
  <c r="Y50" i="3"/>
  <c r="CY50" i="3"/>
  <c r="CZ50" i="3"/>
  <c r="DB50" i="3" s="1"/>
  <c r="DA50" i="3"/>
  <c r="DC50" i="3"/>
  <c r="A51" i="3"/>
  <c r="Y51" i="3"/>
  <c r="CY51" i="3"/>
  <c r="CZ51" i="3"/>
  <c r="DB51" i="3" s="1"/>
  <c r="DA51" i="3"/>
  <c r="DC51" i="3"/>
  <c r="A52" i="3"/>
  <c r="Y52" i="3"/>
  <c r="CY52" i="3"/>
  <c r="CZ52" i="3"/>
  <c r="DA52" i="3"/>
  <c r="DB52" i="3"/>
  <c r="DC52" i="3"/>
  <c r="A53" i="3"/>
  <c r="Y53" i="3"/>
  <c r="CY53" i="3"/>
  <c r="CZ53" i="3"/>
  <c r="DA53" i="3"/>
  <c r="DB53" i="3"/>
  <c r="DC53" i="3"/>
  <c r="A54" i="3"/>
  <c r="Y54" i="3"/>
  <c r="CY54" i="3"/>
  <c r="CZ54" i="3"/>
  <c r="DB54" i="3" s="1"/>
  <c r="DA54" i="3"/>
  <c r="DC54" i="3"/>
  <c r="A55" i="3"/>
  <c r="Y55" i="3"/>
  <c r="CY55" i="3"/>
  <c r="CZ55" i="3"/>
  <c r="DB55" i="3" s="1"/>
  <c r="DA55" i="3"/>
  <c r="DC55" i="3"/>
  <c r="A56" i="3"/>
  <c r="Y56" i="3"/>
  <c r="CY56" i="3"/>
  <c r="CZ56" i="3"/>
  <c r="DA56" i="3"/>
  <c r="DB56" i="3"/>
  <c r="DC56" i="3"/>
  <c r="A57" i="3"/>
  <c r="Y57" i="3"/>
  <c r="CY57" i="3"/>
  <c r="CZ57" i="3"/>
  <c r="DB57" i="3" s="1"/>
  <c r="DA57" i="3"/>
  <c r="DC57" i="3"/>
  <c r="A58" i="3"/>
  <c r="Y58" i="3"/>
  <c r="CY58" i="3"/>
  <c r="CZ58" i="3"/>
  <c r="DB58" i="3" s="1"/>
  <c r="DA58" i="3"/>
  <c r="DC58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D24" i="1"/>
  <c r="E26" i="1"/>
  <c r="Z26" i="1"/>
  <c r="AA26" i="1"/>
  <c r="AM26" i="1"/>
  <c r="AN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EF26" i="1"/>
  <c r="EG26" i="1"/>
  <c r="EH26" i="1"/>
  <c r="EI26" i="1"/>
  <c r="EJ26" i="1"/>
  <c r="EK26" i="1"/>
  <c r="EL26" i="1"/>
  <c r="EM26" i="1"/>
  <c r="EN26" i="1"/>
  <c r="EO26" i="1"/>
  <c r="EP26" i="1"/>
  <c r="EQ26" i="1"/>
  <c r="ER26" i="1"/>
  <c r="ES26" i="1"/>
  <c r="ET26" i="1"/>
  <c r="EU26" i="1"/>
  <c r="EV26" i="1"/>
  <c r="EW26" i="1"/>
  <c r="EX26" i="1"/>
  <c r="EY26" i="1"/>
  <c r="EZ26" i="1"/>
  <c r="FA26" i="1"/>
  <c r="FB26" i="1"/>
  <c r="FC26" i="1"/>
  <c r="FD26" i="1"/>
  <c r="FE26" i="1"/>
  <c r="FF26" i="1"/>
  <c r="FG26" i="1"/>
  <c r="FH26" i="1"/>
  <c r="FI26" i="1"/>
  <c r="FJ26" i="1"/>
  <c r="FK26" i="1"/>
  <c r="FL26" i="1"/>
  <c r="FM26" i="1"/>
  <c r="FN26" i="1"/>
  <c r="FO26" i="1"/>
  <c r="FP26" i="1"/>
  <c r="FQ26" i="1"/>
  <c r="FR26" i="1"/>
  <c r="FS26" i="1"/>
  <c r="FT26" i="1"/>
  <c r="FU26" i="1"/>
  <c r="FV26" i="1"/>
  <c r="FW26" i="1"/>
  <c r="FX26" i="1"/>
  <c r="FY26" i="1"/>
  <c r="FZ26" i="1"/>
  <c r="GA26" i="1"/>
  <c r="GB26" i="1"/>
  <c r="GC26" i="1"/>
  <c r="GD26" i="1"/>
  <c r="GE26" i="1"/>
  <c r="GF26" i="1"/>
  <c r="GG26" i="1"/>
  <c r="GH26" i="1"/>
  <c r="GI26" i="1"/>
  <c r="GJ26" i="1"/>
  <c r="GK26" i="1"/>
  <c r="GL26" i="1"/>
  <c r="GM26" i="1"/>
  <c r="GN26" i="1"/>
  <c r="GO26" i="1"/>
  <c r="GP26" i="1"/>
  <c r="GQ26" i="1"/>
  <c r="GR26" i="1"/>
  <c r="GS26" i="1"/>
  <c r="GT26" i="1"/>
  <c r="GU26" i="1"/>
  <c r="GV26" i="1"/>
  <c r="GW26" i="1"/>
  <c r="GX26" i="1"/>
  <c r="C28" i="1"/>
  <c r="D28" i="1"/>
  <c r="I28" i="1"/>
  <c r="CX3" i="3" s="1"/>
  <c r="K28" i="1"/>
  <c r="U28" i="1"/>
  <c r="AC28" i="1"/>
  <c r="AE28" i="1"/>
  <c r="AD28" i="1" s="1"/>
  <c r="AF28" i="1"/>
  <c r="AG28" i="1"/>
  <c r="AH28" i="1"/>
  <c r="AI28" i="1"/>
  <c r="AJ28" i="1"/>
  <c r="CQ28" i="1"/>
  <c r="CR28" i="1"/>
  <c r="CS28" i="1"/>
  <c r="CT28" i="1"/>
  <c r="CU28" i="1"/>
  <c r="T28" i="1" s="1"/>
  <c r="CV28" i="1"/>
  <c r="CW28" i="1"/>
  <c r="CX28" i="1"/>
  <c r="W28" i="1" s="1"/>
  <c r="GL28" i="1"/>
  <c r="GO28" i="1"/>
  <c r="GP28" i="1"/>
  <c r="GV28" i="1"/>
  <c r="HC28" i="1"/>
  <c r="GX28" i="1" s="1"/>
  <c r="C29" i="1"/>
  <c r="D29" i="1"/>
  <c r="AC29" i="1"/>
  <c r="AE29" i="1"/>
  <c r="AD29" i="1" s="1"/>
  <c r="AF29" i="1"/>
  <c r="AG29" i="1"/>
  <c r="CU29" i="1" s="1"/>
  <c r="T29" i="1" s="1"/>
  <c r="AH29" i="1"/>
  <c r="AI29" i="1"/>
  <c r="AJ29" i="1"/>
  <c r="CX29" i="1" s="1"/>
  <c r="W29" i="1" s="1"/>
  <c r="CQ29" i="1"/>
  <c r="CR29" i="1"/>
  <c r="CS29" i="1"/>
  <c r="CT29" i="1"/>
  <c r="CV29" i="1"/>
  <c r="CW29" i="1"/>
  <c r="GL29" i="1"/>
  <c r="GO29" i="1"/>
  <c r="GP29" i="1"/>
  <c r="GV29" i="1"/>
  <c r="HC29" i="1"/>
  <c r="GX29" i="1" s="1"/>
  <c r="C30" i="1"/>
  <c r="D30" i="1"/>
  <c r="I30" i="1"/>
  <c r="CX9" i="3" s="1"/>
  <c r="K30" i="1"/>
  <c r="AC30" i="1"/>
  <c r="AE30" i="1"/>
  <c r="AD30" i="1" s="1"/>
  <c r="AF30" i="1"/>
  <c r="AG30" i="1"/>
  <c r="CU30" i="1" s="1"/>
  <c r="T30" i="1" s="1"/>
  <c r="AH30" i="1"/>
  <c r="AI30" i="1"/>
  <c r="AJ30" i="1"/>
  <c r="CX30" i="1" s="1"/>
  <c r="W30" i="1" s="1"/>
  <c r="CQ30" i="1"/>
  <c r="CR30" i="1"/>
  <c r="CS30" i="1"/>
  <c r="CT30" i="1"/>
  <c r="CV30" i="1"/>
  <c r="CW30" i="1"/>
  <c r="GL30" i="1"/>
  <c r="GO30" i="1"/>
  <c r="GP30" i="1"/>
  <c r="GV30" i="1"/>
  <c r="HC30" i="1"/>
  <c r="GX30" i="1" s="1"/>
  <c r="C31" i="1"/>
  <c r="D31" i="1"/>
  <c r="I31" i="1"/>
  <c r="CV11" i="3" s="1"/>
  <c r="U31" i="1" s="1"/>
  <c r="G101" i="7" s="1"/>
  <c r="K31" i="1"/>
  <c r="W31" i="1"/>
  <c r="AC31" i="1"/>
  <c r="AE31" i="1"/>
  <c r="AD31" i="1" s="1"/>
  <c r="AF31" i="1"/>
  <c r="AG31" i="1"/>
  <c r="AH31" i="1"/>
  <c r="AI31" i="1"/>
  <c r="AJ31" i="1"/>
  <c r="CQ31" i="1"/>
  <c r="CR31" i="1"/>
  <c r="CS31" i="1"/>
  <c r="CT31" i="1"/>
  <c r="CU31" i="1"/>
  <c r="T31" i="1" s="1"/>
  <c r="CV31" i="1"/>
  <c r="CW31" i="1"/>
  <c r="CX31" i="1"/>
  <c r="GL31" i="1"/>
  <c r="GN31" i="1"/>
  <c r="GP31" i="1"/>
  <c r="GV31" i="1"/>
  <c r="HC31" i="1"/>
  <c r="GX31" i="1" s="1"/>
  <c r="I32" i="1"/>
  <c r="R32" i="1"/>
  <c r="S32" i="1"/>
  <c r="X32" i="1"/>
  <c r="AC32" i="1"/>
  <c r="AB32" i="1" s="1"/>
  <c r="AE32" i="1"/>
  <c r="AD32" i="1" s="1"/>
  <c r="AF32" i="1"/>
  <c r="AG32" i="1"/>
  <c r="AH32" i="1"/>
  <c r="AI32" i="1"/>
  <c r="AJ32" i="1"/>
  <c r="CP32" i="1"/>
  <c r="CQ32" i="1"/>
  <c r="CR32" i="1"/>
  <c r="Q32" i="1" s="1"/>
  <c r="CS32" i="1"/>
  <c r="CT32" i="1"/>
  <c r="CU32" i="1"/>
  <c r="T32" i="1" s="1"/>
  <c r="CV32" i="1"/>
  <c r="U32" i="1" s="1"/>
  <c r="CW32" i="1"/>
  <c r="V32" i="1" s="1"/>
  <c r="CX32" i="1"/>
  <c r="W32" i="1" s="1"/>
  <c r="CY32" i="1"/>
  <c r="CZ32" i="1"/>
  <c r="Y32" i="1" s="1"/>
  <c r="GL32" i="1"/>
  <c r="GN32" i="1"/>
  <c r="GP32" i="1"/>
  <c r="GV32" i="1"/>
  <c r="HC32" i="1"/>
  <c r="GX32" i="1" s="1"/>
  <c r="C33" i="1"/>
  <c r="D33" i="1"/>
  <c r="I33" i="1"/>
  <c r="K33" i="1"/>
  <c r="AC33" i="1"/>
  <c r="AE33" i="1"/>
  <c r="AD33" i="1" s="1"/>
  <c r="AF33" i="1"/>
  <c r="AG33" i="1"/>
  <c r="AH33" i="1"/>
  <c r="AI33" i="1"/>
  <c r="AJ33" i="1"/>
  <c r="CQ33" i="1"/>
  <c r="CR33" i="1"/>
  <c r="CS33" i="1"/>
  <c r="CT33" i="1"/>
  <c r="CU33" i="1"/>
  <c r="T33" i="1" s="1"/>
  <c r="CV33" i="1"/>
  <c r="CW33" i="1"/>
  <c r="CX33" i="1"/>
  <c r="W33" i="1" s="1"/>
  <c r="GL33" i="1"/>
  <c r="GO33" i="1"/>
  <c r="GP33" i="1"/>
  <c r="GV33" i="1"/>
  <c r="HC33" i="1" s="1"/>
  <c r="GX33" i="1" s="1"/>
  <c r="C34" i="1"/>
  <c r="D34" i="1"/>
  <c r="I34" i="1"/>
  <c r="K34" i="1"/>
  <c r="AC34" i="1"/>
  <c r="AE34" i="1"/>
  <c r="AD34" i="1" s="1"/>
  <c r="AF34" i="1"/>
  <c r="AG34" i="1"/>
  <c r="AH34" i="1"/>
  <c r="AI34" i="1"/>
  <c r="AJ34" i="1"/>
  <c r="CQ34" i="1"/>
  <c r="CR34" i="1"/>
  <c r="CS34" i="1"/>
  <c r="CT34" i="1"/>
  <c r="CU34" i="1"/>
  <c r="T34" i="1" s="1"/>
  <c r="CV34" i="1"/>
  <c r="CW34" i="1"/>
  <c r="CX34" i="1"/>
  <c r="W34" i="1" s="1"/>
  <c r="GL34" i="1"/>
  <c r="GO34" i="1"/>
  <c r="GP34" i="1"/>
  <c r="GV34" i="1"/>
  <c r="HC34" i="1"/>
  <c r="GX34" i="1" s="1"/>
  <c r="C35" i="1"/>
  <c r="D35" i="1"/>
  <c r="I35" i="1"/>
  <c r="K35" i="1"/>
  <c r="AC35" i="1"/>
  <c r="AE35" i="1"/>
  <c r="AD35" i="1" s="1"/>
  <c r="AF35" i="1"/>
  <c r="AG35" i="1"/>
  <c r="AH35" i="1"/>
  <c r="AI35" i="1"/>
  <c r="AJ35" i="1"/>
  <c r="CX35" i="1" s="1"/>
  <c r="W35" i="1" s="1"/>
  <c r="CQ35" i="1"/>
  <c r="CR35" i="1"/>
  <c r="CS35" i="1"/>
  <c r="CT35" i="1"/>
  <c r="CU35" i="1"/>
  <c r="T35" i="1" s="1"/>
  <c r="CV35" i="1"/>
  <c r="CW35" i="1"/>
  <c r="GL35" i="1"/>
  <c r="GO35" i="1"/>
  <c r="GP35" i="1"/>
  <c r="GV35" i="1"/>
  <c r="HC35" i="1"/>
  <c r="GX35" i="1" s="1"/>
  <c r="I36" i="1"/>
  <c r="P36" i="1" s="1"/>
  <c r="V36" i="1"/>
  <c r="AC36" i="1"/>
  <c r="AE36" i="1"/>
  <c r="AD36" i="1" s="1"/>
  <c r="AB36" i="1" s="1"/>
  <c r="AF36" i="1"/>
  <c r="AG36" i="1"/>
  <c r="AH36" i="1"/>
  <c r="CV36" i="1" s="1"/>
  <c r="U36" i="1" s="1"/>
  <c r="AI36" i="1"/>
  <c r="AJ36" i="1"/>
  <c r="CX36" i="1" s="1"/>
  <c r="W36" i="1" s="1"/>
  <c r="CQ36" i="1"/>
  <c r="CR36" i="1"/>
  <c r="Q36" i="1" s="1"/>
  <c r="CS36" i="1"/>
  <c r="R36" i="1" s="1"/>
  <c r="CT36" i="1"/>
  <c r="CU36" i="1"/>
  <c r="T36" i="1" s="1"/>
  <c r="CW36" i="1"/>
  <c r="GL36" i="1"/>
  <c r="GO36" i="1"/>
  <c r="GP36" i="1"/>
  <c r="GV36" i="1"/>
  <c r="HC36" i="1"/>
  <c r="GX36" i="1" s="1"/>
  <c r="I37" i="1"/>
  <c r="P37" i="1" s="1"/>
  <c r="V37" i="1"/>
  <c r="AC37" i="1"/>
  <c r="AE37" i="1"/>
  <c r="AD37" i="1" s="1"/>
  <c r="AB37" i="1" s="1"/>
  <c r="AF37" i="1"/>
  <c r="AG37" i="1"/>
  <c r="AH37" i="1"/>
  <c r="CV37" i="1" s="1"/>
  <c r="U37" i="1" s="1"/>
  <c r="AI37" i="1"/>
  <c r="AJ37" i="1"/>
  <c r="CX37" i="1" s="1"/>
  <c r="W37" i="1" s="1"/>
  <c r="CQ37" i="1"/>
  <c r="CR37" i="1"/>
  <c r="Q37" i="1" s="1"/>
  <c r="CS37" i="1"/>
  <c r="R37" i="1" s="1"/>
  <c r="CT37" i="1"/>
  <c r="CU37" i="1"/>
  <c r="T37" i="1" s="1"/>
  <c r="CW37" i="1"/>
  <c r="GL37" i="1"/>
  <c r="GO37" i="1"/>
  <c r="GP37" i="1"/>
  <c r="GV37" i="1"/>
  <c r="HC37" i="1"/>
  <c r="GX37" i="1" s="1"/>
  <c r="Q38" i="1"/>
  <c r="W38" i="1"/>
  <c r="Y38" i="1"/>
  <c r="AC38" i="1"/>
  <c r="AB38" i="1" s="1"/>
  <c r="AD38" i="1"/>
  <c r="AE38" i="1"/>
  <c r="AF38" i="1"/>
  <c r="AG38" i="1"/>
  <c r="CU38" i="1" s="1"/>
  <c r="T38" i="1" s="1"/>
  <c r="AH38" i="1"/>
  <c r="AI38" i="1"/>
  <c r="CW38" i="1" s="1"/>
  <c r="V38" i="1" s="1"/>
  <c r="AJ38" i="1"/>
  <c r="CQ38" i="1"/>
  <c r="P38" i="1" s="1"/>
  <c r="CR38" i="1"/>
  <c r="CS38" i="1"/>
  <c r="R38" i="1" s="1"/>
  <c r="CT38" i="1"/>
  <c r="S38" i="1" s="1"/>
  <c r="CV38" i="1"/>
  <c r="U38" i="1" s="1"/>
  <c r="CX38" i="1"/>
  <c r="CY38" i="1"/>
  <c r="X38" i="1" s="1"/>
  <c r="CZ38" i="1"/>
  <c r="GL38" i="1"/>
  <c r="GO38" i="1"/>
  <c r="GP38" i="1"/>
  <c r="GV38" i="1"/>
  <c r="HC38" i="1" s="1"/>
  <c r="GX38" i="1" s="1"/>
  <c r="C39" i="1"/>
  <c r="D39" i="1"/>
  <c r="I39" i="1"/>
  <c r="K39" i="1"/>
  <c r="T39" i="1"/>
  <c r="AC39" i="1"/>
  <c r="AE39" i="1"/>
  <c r="AD39" i="1" s="1"/>
  <c r="AF39" i="1"/>
  <c r="AG39" i="1"/>
  <c r="AH39" i="1"/>
  <c r="AI39" i="1"/>
  <c r="AJ39" i="1"/>
  <c r="CQ39" i="1"/>
  <c r="CR39" i="1"/>
  <c r="CS39" i="1"/>
  <c r="CT39" i="1"/>
  <c r="CU39" i="1"/>
  <c r="CV39" i="1"/>
  <c r="CW39" i="1"/>
  <c r="CX39" i="1"/>
  <c r="W39" i="1" s="1"/>
  <c r="GL39" i="1"/>
  <c r="GO39" i="1"/>
  <c r="GP39" i="1"/>
  <c r="GV39" i="1"/>
  <c r="HC39" i="1" s="1"/>
  <c r="GX39" i="1" s="1"/>
  <c r="I40" i="1"/>
  <c r="S40" i="1" s="1"/>
  <c r="T40" i="1"/>
  <c r="AC40" i="1"/>
  <c r="AB40" i="1" s="1"/>
  <c r="AD40" i="1"/>
  <c r="AE40" i="1"/>
  <c r="AF40" i="1"/>
  <c r="AG40" i="1"/>
  <c r="AH40" i="1"/>
  <c r="CV40" i="1" s="1"/>
  <c r="U40" i="1" s="1"/>
  <c r="AI40" i="1"/>
  <c r="CW40" i="1" s="1"/>
  <c r="V40" i="1" s="1"/>
  <c r="AJ40" i="1"/>
  <c r="CQ40" i="1"/>
  <c r="P40" i="1" s="1"/>
  <c r="CR40" i="1"/>
  <c r="Q40" i="1" s="1"/>
  <c r="CS40" i="1"/>
  <c r="R40" i="1" s="1"/>
  <c r="CT40" i="1"/>
  <c r="CU40" i="1"/>
  <c r="CX40" i="1"/>
  <c r="W40" i="1" s="1"/>
  <c r="GL40" i="1"/>
  <c r="GO40" i="1"/>
  <c r="GP40" i="1"/>
  <c r="GV40" i="1"/>
  <c r="HC40" i="1" s="1"/>
  <c r="GX40" i="1" s="1"/>
  <c r="I41" i="1"/>
  <c r="S41" i="1" s="1"/>
  <c r="T41" i="1"/>
  <c r="AC41" i="1"/>
  <c r="AB41" i="1" s="1"/>
  <c r="AD41" i="1"/>
  <c r="AE41" i="1"/>
  <c r="AF41" i="1"/>
  <c r="AG41" i="1"/>
  <c r="AH41" i="1"/>
  <c r="CV41" i="1" s="1"/>
  <c r="U41" i="1" s="1"/>
  <c r="AI41" i="1"/>
  <c r="CW41" i="1" s="1"/>
  <c r="V41" i="1" s="1"/>
  <c r="AJ41" i="1"/>
  <c r="CQ41" i="1"/>
  <c r="P41" i="1" s="1"/>
  <c r="CP41" i="1" s="1"/>
  <c r="O41" i="1" s="1"/>
  <c r="CR41" i="1"/>
  <c r="Q41" i="1" s="1"/>
  <c r="CS41" i="1"/>
  <c r="R41" i="1" s="1"/>
  <c r="CT41" i="1"/>
  <c r="CU41" i="1"/>
  <c r="CX41" i="1"/>
  <c r="W41" i="1" s="1"/>
  <c r="GL41" i="1"/>
  <c r="GO41" i="1"/>
  <c r="GP41" i="1"/>
  <c r="GV41" i="1"/>
  <c r="HC41" i="1" s="1"/>
  <c r="GX41" i="1" s="1"/>
  <c r="U42" i="1"/>
  <c r="W42" i="1"/>
  <c r="AC42" i="1"/>
  <c r="AE42" i="1"/>
  <c r="AD42" i="1" s="1"/>
  <c r="AF42" i="1"/>
  <c r="AG42" i="1"/>
  <c r="CU42" i="1" s="1"/>
  <c r="T42" i="1" s="1"/>
  <c r="AH42" i="1"/>
  <c r="AI42" i="1"/>
  <c r="CW42" i="1" s="1"/>
  <c r="V42" i="1" s="1"/>
  <c r="AJ42" i="1"/>
  <c r="CQ42" i="1"/>
  <c r="P42" i="1" s="1"/>
  <c r="CR42" i="1"/>
  <c r="Q42" i="1" s="1"/>
  <c r="CS42" i="1"/>
  <c r="R42" i="1" s="1"/>
  <c r="CT42" i="1"/>
  <c r="S42" i="1" s="1"/>
  <c r="CV42" i="1"/>
  <c r="CX42" i="1"/>
  <c r="CY42" i="1"/>
  <c r="X42" i="1" s="1"/>
  <c r="CZ42" i="1"/>
  <c r="Y42" i="1" s="1"/>
  <c r="GL42" i="1"/>
  <c r="GO42" i="1"/>
  <c r="GP42" i="1"/>
  <c r="GV42" i="1"/>
  <c r="HC42" i="1"/>
  <c r="GX42" i="1" s="1"/>
  <c r="P43" i="1"/>
  <c r="CP43" i="1" s="1"/>
  <c r="O43" i="1" s="1"/>
  <c r="GM43" i="1" s="1"/>
  <c r="GN43" i="1" s="1"/>
  <c r="V43" i="1"/>
  <c r="X43" i="1"/>
  <c r="AC43" i="1"/>
  <c r="AE43" i="1"/>
  <c r="AD43" i="1" s="1"/>
  <c r="AB43" i="1" s="1"/>
  <c r="AF43" i="1"/>
  <c r="AG43" i="1"/>
  <c r="AH43" i="1"/>
  <c r="CV43" i="1" s="1"/>
  <c r="U43" i="1" s="1"/>
  <c r="AI43" i="1"/>
  <c r="AJ43" i="1"/>
  <c r="CX43" i="1" s="1"/>
  <c r="W43" i="1" s="1"/>
  <c r="CQ43" i="1"/>
  <c r="CR43" i="1"/>
  <c r="Q43" i="1" s="1"/>
  <c r="CS43" i="1"/>
  <c r="R43" i="1" s="1"/>
  <c r="CT43" i="1"/>
  <c r="S43" i="1" s="1"/>
  <c r="CU43" i="1"/>
  <c r="T43" i="1" s="1"/>
  <c r="CW43" i="1"/>
  <c r="CY43" i="1"/>
  <c r="CZ43" i="1"/>
  <c r="Y43" i="1" s="1"/>
  <c r="GL43" i="1"/>
  <c r="GO43" i="1"/>
  <c r="GP43" i="1"/>
  <c r="GV43" i="1"/>
  <c r="HC43" i="1"/>
  <c r="GX43" i="1" s="1"/>
  <c r="B45" i="1"/>
  <c r="B26" i="1" s="1"/>
  <c r="C45" i="1"/>
  <c r="C26" i="1" s="1"/>
  <c r="D45" i="1"/>
  <c r="D26" i="1" s="1"/>
  <c r="F45" i="1"/>
  <c r="F26" i="1" s="1"/>
  <c r="G45" i="1"/>
  <c r="G26" i="1" s="1"/>
  <c r="BX45" i="1"/>
  <c r="BX26" i="1" s="1"/>
  <c r="BY45" i="1"/>
  <c r="BY26" i="1" s="1"/>
  <c r="CK45" i="1"/>
  <c r="CK26" i="1" s="1"/>
  <c r="CL45" i="1"/>
  <c r="CL26" i="1" s="1"/>
  <c r="CM45" i="1"/>
  <c r="CM26" i="1" s="1"/>
  <c r="B75" i="1"/>
  <c r="B22" i="1" s="1"/>
  <c r="C75" i="1"/>
  <c r="C22" i="1" s="1"/>
  <c r="D75" i="1"/>
  <c r="D22" i="1" s="1"/>
  <c r="F75" i="1"/>
  <c r="F22" i="1" s="1"/>
  <c r="G75" i="1"/>
  <c r="G22" i="1" s="1"/>
  <c r="B105" i="1"/>
  <c r="B18" i="1" s="1"/>
  <c r="C105" i="1"/>
  <c r="C18" i="1" s="1"/>
  <c r="D105" i="1"/>
  <c r="D18" i="1" s="1"/>
  <c r="F105" i="1"/>
  <c r="F18" i="1" s="1"/>
  <c r="G105" i="1"/>
  <c r="G18" i="1" s="1"/>
  <c r="B20" i="2"/>
  <c r="B24" i="2"/>
  <c r="B30" i="2"/>
  <c r="B32" i="2"/>
  <c r="B33" i="2"/>
  <c r="B44" i="2"/>
  <c r="B45" i="2"/>
  <c r="B46" i="2"/>
  <c r="F12" i="6"/>
  <c r="G12" i="6"/>
  <c r="AB30" i="1" l="1"/>
  <c r="AB29" i="1"/>
  <c r="BZ45" i="1"/>
  <c r="BZ26" i="1" s="1"/>
  <c r="AB35" i="1"/>
  <c r="L63" i="7"/>
  <c r="L251" i="7"/>
  <c r="L249" i="7" s="1"/>
  <c r="L176" i="7"/>
  <c r="L192" i="7" s="1"/>
  <c r="L291" i="7"/>
  <c r="L289" i="7" s="1"/>
  <c r="L77" i="7"/>
  <c r="L167" i="7"/>
  <c r="L151" i="7"/>
  <c r="AO170" i="7" s="1"/>
  <c r="AT121" i="7"/>
  <c r="L318" i="7" s="1"/>
  <c r="L131" i="7"/>
  <c r="L247" i="7"/>
  <c r="L84" i="7"/>
  <c r="K47" i="7"/>
  <c r="L313" i="7"/>
  <c r="L144" i="7"/>
  <c r="L254" i="7"/>
  <c r="L116" i="7"/>
  <c r="L206" i="7"/>
  <c r="L130" i="7"/>
  <c r="L274" i="7"/>
  <c r="L262" i="7"/>
  <c r="L95" i="7"/>
  <c r="L242" i="7"/>
  <c r="L143" i="7"/>
  <c r="CD45" i="1"/>
  <c r="CD26" i="1" s="1"/>
  <c r="AB33" i="1"/>
  <c r="AB31" i="1"/>
  <c r="AB39" i="1"/>
  <c r="AB34" i="1"/>
  <c r="CZ41" i="1"/>
  <c r="Y41" i="1" s="1"/>
  <c r="CY41" i="1"/>
  <c r="X41" i="1" s="1"/>
  <c r="GM41" i="1" s="1"/>
  <c r="GN41" i="1" s="1"/>
  <c r="CP38" i="1"/>
  <c r="O38" i="1" s="1"/>
  <c r="GM38" i="1" s="1"/>
  <c r="GN38" i="1" s="1"/>
  <c r="AB42" i="1"/>
  <c r="CP40" i="1"/>
  <c r="O40" i="1" s="1"/>
  <c r="GM40" i="1" s="1"/>
  <c r="GN40" i="1" s="1"/>
  <c r="CP42" i="1"/>
  <c r="O42" i="1" s="1"/>
  <c r="GM42" i="1" s="1"/>
  <c r="GN42" i="1" s="1"/>
  <c r="AG45" i="1"/>
  <c r="AJ45" i="1"/>
  <c r="CZ40" i="1"/>
  <c r="Y40" i="1" s="1"/>
  <c r="CY40" i="1"/>
  <c r="X40" i="1" s="1"/>
  <c r="CJ45" i="1"/>
  <c r="BB45" i="1"/>
  <c r="CW32" i="3"/>
  <c r="CX41" i="3"/>
  <c r="CX31" i="3"/>
  <c r="CX40" i="3"/>
  <c r="CU30" i="3"/>
  <c r="CW34" i="3"/>
  <c r="CX37" i="3"/>
  <c r="CV30" i="3"/>
  <c r="U35" i="1" s="1"/>
  <c r="G149" i="7" s="1"/>
  <c r="CX34" i="3"/>
  <c r="CX36" i="3"/>
  <c r="CX57" i="3"/>
  <c r="CW47" i="3"/>
  <c r="CX42" i="3"/>
  <c r="CX32" i="3"/>
  <c r="DF19" i="3"/>
  <c r="DJ19" i="3" s="1"/>
  <c r="DG19" i="3"/>
  <c r="DH19" i="3"/>
  <c r="DI19" i="3"/>
  <c r="DH3" i="3"/>
  <c r="DI3" i="3"/>
  <c r="DF3" i="3"/>
  <c r="DG3" i="3"/>
  <c r="DJ3" i="3" s="1"/>
  <c r="CW33" i="3"/>
  <c r="CX28" i="3"/>
  <c r="AQ45" i="1"/>
  <c r="S37" i="1"/>
  <c r="CP37" i="1" s="1"/>
  <c r="O37" i="1" s="1"/>
  <c r="S36" i="1"/>
  <c r="CP36" i="1" s="1"/>
  <c r="O36" i="1" s="1"/>
  <c r="CX58" i="3"/>
  <c r="CX53" i="3"/>
  <c r="CX43" i="3"/>
  <c r="CX38" i="3"/>
  <c r="CW29" i="3"/>
  <c r="CX24" i="3"/>
  <c r="DF20" i="3"/>
  <c r="DJ20" i="3" s="1"/>
  <c r="DG20" i="3"/>
  <c r="DH20" i="3"/>
  <c r="DI20" i="3"/>
  <c r="AP45" i="1"/>
  <c r="CW28" i="3"/>
  <c r="V34" i="1" s="1"/>
  <c r="G139" i="7" s="1"/>
  <c r="CX27" i="3"/>
  <c r="CU26" i="3"/>
  <c r="CV26" i="3"/>
  <c r="U34" i="1" s="1"/>
  <c r="G136" i="7" s="1"/>
  <c r="CX54" i="3"/>
  <c r="CX49" i="3"/>
  <c r="CX39" i="3"/>
  <c r="CW25" i="3"/>
  <c r="AO45" i="1"/>
  <c r="DF9" i="3"/>
  <c r="DG9" i="3"/>
  <c r="DH9" i="3"/>
  <c r="DI9" i="3"/>
  <c r="DJ9" i="3" s="1"/>
  <c r="CX30" i="3"/>
  <c r="V28" i="1"/>
  <c r="G64" i="7" s="1"/>
  <c r="BD45" i="1"/>
  <c r="CW24" i="3"/>
  <c r="V33" i="1" s="1"/>
  <c r="G126" i="7" s="1"/>
  <c r="CX23" i="3"/>
  <c r="CU22" i="3"/>
  <c r="CV22" i="3"/>
  <c r="U33" i="1" s="1"/>
  <c r="CX50" i="3"/>
  <c r="CX45" i="3"/>
  <c r="CX35" i="3"/>
  <c r="CX26" i="3"/>
  <c r="DF12" i="3"/>
  <c r="DG12" i="3"/>
  <c r="DH12" i="3"/>
  <c r="DI12" i="3"/>
  <c r="DJ12" i="3" s="1"/>
  <c r="BC45" i="1"/>
  <c r="CV44" i="3"/>
  <c r="U39" i="1" s="1"/>
  <c r="G174" i="7" s="1"/>
  <c r="CX48" i="3"/>
  <c r="CX56" i="3"/>
  <c r="CX44" i="3"/>
  <c r="CW46" i="3"/>
  <c r="V39" i="1" s="1"/>
  <c r="G177" i="7" s="1"/>
  <c r="CX55" i="3"/>
  <c r="CX46" i="3"/>
  <c r="CX52" i="3"/>
  <c r="CU44" i="3"/>
  <c r="CW48" i="3"/>
  <c r="CX51" i="3"/>
  <c r="AB28" i="1"/>
  <c r="CX22" i="3"/>
  <c r="CX33" i="3"/>
  <c r="CX29" i="3"/>
  <c r="CX25" i="3"/>
  <c r="CX21" i="3"/>
  <c r="CW15" i="3"/>
  <c r="CU11" i="3"/>
  <c r="P32" i="1" s="1"/>
  <c r="CX8" i="3"/>
  <c r="DG7" i="3"/>
  <c r="DJ7" i="3" s="1"/>
  <c r="CX4" i="3"/>
  <c r="CW3" i="3"/>
  <c r="CX16" i="3"/>
  <c r="DF7" i="3"/>
  <c r="CU8" i="3"/>
  <c r="DI5" i="3"/>
  <c r="DJ5" i="3" s="1"/>
  <c r="CX13" i="3"/>
  <c r="CX1" i="3"/>
  <c r="CX17" i="3"/>
  <c r="CW13" i="3"/>
  <c r="V31" i="1" s="1"/>
  <c r="G104" i="7" s="1"/>
  <c r="DG5" i="3"/>
  <c r="CX47" i="3"/>
  <c r="CX14" i="3"/>
  <c r="CX10" i="3"/>
  <c r="CX6" i="3"/>
  <c r="CX2" i="3"/>
  <c r="CX11" i="3"/>
  <c r="CX18" i="3"/>
  <c r="CX15" i="3"/>
  <c r="CI45" i="1" l="1"/>
  <c r="CG45" i="1"/>
  <c r="O32" i="1"/>
  <c r="GM32" i="1" s="1"/>
  <c r="GO32" i="1" s="1"/>
  <c r="L117" i="7"/>
  <c r="AH45" i="1"/>
  <c r="AH26" i="1" s="1"/>
  <c r="G123" i="7"/>
  <c r="L69" i="7"/>
  <c r="AO73" i="7"/>
  <c r="L118" i="7"/>
  <c r="L211" i="7"/>
  <c r="L166" i="7"/>
  <c r="AO196" i="7"/>
  <c r="L283" i="7"/>
  <c r="L332" i="7" s="1"/>
  <c r="AO87" i="7"/>
  <c r="L83" i="7"/>
  <c r="L325" i="7"/>
  <c r="L218" i="7"/>
  <c r="L267" i="7"/>
  <c r="L263" i="7" s="1"/>
  <c r="K48" i="7"/>
  <c r="AU45" i="1"/>
  <c r="AU26" i="1" s="1"/>
  <c r="DI21" i="3"/>
  <c r="DF21" i="3"/>
  <c r="DJ21" i="3" s="1"/>
  <c r="DG21" i="3"/>
  <c r="DH21" i="3"/>
  <c r="DF39" i="3"/>
  <c r="DJ39" i="3" s="1"/>
  <c r="DG39" i="3"/>
  <c r="DH39" i="3"/>
  <c r="DI39" i="3"/>
  <c r="DF43" i="3"/>
  <c r="DJ43" i="3" s="1"/>
  <c r="DG43" i="3"/>
  <c r="DH43" i="3"/>
  <c r="DI43" i="3"/>
  <c r="DF37" i="3"/>
  <c r="DJ37" i="3" s="1"/>
  <c r="DG37" i="3"/>
  <c r="DH37" i="3"/>
  <c r="DI37" i="3"/>
  <c r="DF16" i="3"/>
  <c r="DG16" i="3"/>
  <c r="DJ16" i="3" s="1"/>
  <c r="DH16" i="3"/>
  <c r="DI16" i="3"/>
  <c r="DI25" i="3"/>
  <c r="DF25" i="3"/>
  <c r="DG25" i="3"/>
  <c r="DJ25" i="3" s="1"/>
  <c r="DH25" i="3"/>
  <c r="DF52" i="3"/>
  <c r="DJ52" i="3" s="1"/>
  <c r="DG52" i="3"/>
  <c r="DH52" i="3"/>
  <c r="DI52" i="3"/>
  <c r="DF45" i="3"/>
  <c r="DG45" i="3"/>
  <c r="DH45" i="3"/>
  <c r="DI45" i="3"/>
  <c r="DJ45" i="3" s="1"/>
  <c r="DF30" i="3"/>
  <c r="DG30" i="3"/>
  <c r="DH30" i="3"/>
  <c r="DI30" i="3"/>
  <c r="DF49" i="3"/>
  <c r="DJ49" i="3" s="1"/>
  <c r="DG49" i="3"/>
  <c r="DH49" i="3"/>
  <c r="DI49" i="3"/>
  <c r="DG53" i="3"/>
  <c r="DH53" i="3"/>
  <c r="DI53" i="3"/>
  <c r="DF53" i="3"/>
  <c r="DJ53" i="3" s="1"/>
  <c r="DG32" i="3"/>
  <c r="DJ32" i="3" s="1"/>
  <c r="DH32" i="3"/>
  <c r="DI32" i="3"/>
  <c r="DF32" i="3"/>
  <c r="CJ26" i="1"/>
  <c r="BA45" i="1"/>
  <c r="DI29" i="3"/>
  <c r="DF29" i="3"/>
  <c r="DG29" i="3"/>
  <c r="DJ29" i="3" s="1"/>
  <c r="DH29" i="3"/>
  <c r="DF46" i="3"/>
  <c r="DG46" i="3"/>
  <c r="DH46" i="3"/>
  <c r="DI46" i="3"/>
  <c r="BC26" i="1"/>
  <c r="F61" i="1"/>
  <c r="BC75" i="1"/>
  <c r="DF50" i="3"/>
  <c r="DJ50" i="3" s="1"/>
  <c r="DG50" i="3"/>
  <c r="DH50" i="3"/>
  <c r="DI50" i="3"/>
  <c r="DF54" i="3"/>
  <c r="DJ54" i="3" s="1"/>
  <c r="DG54" i="3"/>
  <c r="DH54" i="3"/>
  <c r="DI54" i="3"/>
  <c r="DF58" i="3"/>
  <c r="DJ58" i="3" s="1"/>
  <c r="DG58" i="3"/>
  <c r="DH58" i="3"/>
  <c r="DI58" i="3"/>
  <c r="DF42" i="3"/>
  <c r="DJ42" i="3" s="1"/>
  <c r="DG42" i="3"/>
  <c r="DH42" i="3"/>
  <c r="DI42" i="3"/>
  <c r="DF47" i="3"/>
  <c r="DG47" i="3"/>
  <c r="DJ47" i="3" s="1"/>
  <c r="DH47" i="3"/>
  <c r="DI47" i="3"/>
  <c r="DH18" i="3"/>
  <c r="DI18" i="3"/>
  <c r="DF18" i="3"/>
  <c r="DJ18" i="3" s="1"/>
  <c r="DG18" i="3"/>
  <c r="DG11" i="3"/>
  <c r="DH11" i="3"/>
  <c r="DI11" i="3"/>
  <c r="DF11" i="3"/>
  <c r="DF17" i="3"/>
  <c r="DJ17" i="3" s="1"/>
  <c r="DG17" i="3"/>
  <c r="DH17" i="3"/>
  <c r="DI17" i="3"/>
  <c r="DI4" i="3"/>
  <c r="DF4" i="3"/>
  <c r="DG4" i="3"/>
  <c r="DH4" i="3"/>
  <c r="DI33" i="3"/>
  <c r="DF33" i="3"/>
  <c r="DG33" i="3"/>
  <c r="DJ33" i="3" s="1"/>
  <c r="DH33" i="3"/>
  <c r="DF55" i="3"/>
  <c r="DJ55" i="3" s="1"/>
  <c r="DG55" i="3"/>
  <c r="DH55" i="3"/>
  <c r="DI55" i="3"/>
  <c r="CY36" i="1"/>
  <c r="X36" i="1" s="1"/>
  <c r="GM36" i="1" s="1"/>
  <c r="GN36" i="1" s="1"/>
  <c r="CZ36" i="1"/>
  <c r="Y36" i="1" s="1"/>
  <c r="DF40" i="3"/>
  <c r="DJ40" i="3" s="1"/>
  <c r="DG40" i="3"/>
  <c r="DH40" i="3"/>
  <c r="DI40" i="3"/>
  <c r="DH15" i="3"/>
  <c r="DI15" i="3"/>
  <c r="DF15" i="3"/>
  <c r="DG15" i="3"/>
  <c r="DJ15" i="3" s="1"/>
  <c r="CY37" i="1"/>
  <c r="X37" i="1" s="1"/>
  <c r="GM37" i="1" s="1"/>
  <c r="GN37" i="1" s="1"/>
  <c r="CZ37" i="1"/>
  <c r="Y37" i="1" s="1"/>
  <c r="CI26" i="1"/>
  <c r="AZ45" i="1"/>
  <c r="DF57" i="3"/>
  <c r="DJ57" i="3" s="1"/>
  <c r="DG57" i="3"/>
  <c r="DH57" i="3"/>
  <c r="DI57" i="3"/>
  <c r="DF31" i="3"/>
  <c r="DG31" i="3"/>
  <c r="DH31" i="3"/>
  <c r="DI31" i="3"/>
  <c r="DJ31" i="3" s="1"/>
  <c r="DF35" i="3"/>
  <c r="DJ35" i="3" s="1"/>
  <c r="DG35" i="3"/>
  <c r="DH35" i="3"/>
  <c r="DI35" i="3"/>
  <c r="DF2" i="3"/>
  <c r="DG2" i="3"/>
  <c r="DJ2" i="3" s="1"/>
  <c r="DH2" i="3"/>
  <c r="DI2" i="3"/>
  <c r="DF1" i="3"/>
  <c r="DG1" i="3"/>
  <c r="DH1" i="3"/>
  <c r="R28" i="1" s="1"/>
  <c r="DI1" i="3"/>
  <c r="DF22" i="3"/>
  <c r="P33" i="1" s="1"/>
  <c r="DG22" i="3"/>
  <c r="DH22" i="3"/>
  <c r="DI22" i="3"/>
  <c r="DF6" i="3"/>
  <c r="DG6" i="3"/>
  <c r="DH6" i="3"/>
  <c r="DI6" i="3"/>
  <c r="DF13" i="3"/>
  <c r="DG13" i="3"/>
  <c r="DJ13" i="3" s="1"/>
  <c r="DH13" i="3"/>
  <c r="DI13" i="3"/>
  <c r="DI8" i="3"/>
  <c r="DF8" i="3"/>
  <c r="DG8" i="3"/>
  <c r="DH8" i="3"/>
  <c r="DG44" i="3"/>
  <c r="DH44" i="3"/>
  <c r="DI44" i="3"/>
  <c r="DF44" i="3"/>
  <c r="DF23" i="3"/>
  <c r="DG23" i="3"/>
  <c r="DH23" i="3"/>
  <c r="DI23" i="3"/>
  <c r="DJ23" i="3" s="1"/>
  <c r="DF27" i="3"/>
  <c r="DG27" i="3"/>
  <c r="DH27" i="3"/>
  <c r="DI27" i="3"/>
  <c r="DJ27" i="3" s="1"/>
  <c r="DG24" i="3"/>
  <c r="DH24" i="3"/>
  <c r="DI24" i="3"/>
  <c r="DF24" i="3"/>
  <c r="AQ26" i="1"/>
  <c r="F55" i="1"/>
  <c r="AQ75" i="1"/>
  <c r="DI36" i="3"/>
  <c r="DF36" i="3"/>
  <c r="DJ36" i="3" s="1"/>
  <c r="DG36" i="3"/>
  <c r="DH36" i="3"/>
  <c r="DH41" i="3"/>
  <c r="DI41" i="3"/>
  <c r="DF41" i="3"/>
  <c r="DJ41" i="3" s="1"/>
  <c r="DG41" i="3"/>
  <c r="AJ26" i="1"/>
  <c r="W45" i="1"/>
  <c r="DF10" i="3"/>
  <c r="DG10" i="3"/>
  <c r="DJ10" i="3" s="1"/>
  <c r="DH10" i="3"/>
  <c r="DI10" i="3"/>
  <c r="DI51" i="3"/>
  <c r="DF51" i="3"/>
  <c r="DJ51" i="3" s="1"/>
  <c r="DG51" i="3"/>
  <c r="DH51" i="3"/>
  <c r="DH56" i="3"/>
  <c r="DI56" i="3"/>
  <c r="DF56" i="3"/>
  <c r="DJ56" i="3" s="1"/>
  <c r="DG56" i="3"/>
  <c r="AO26" i="1"/>
  <c r="F49" i="1"/>
  <c r="AO75" i="1"/>
  <c r="DG28" i="3"/>
  <c r="DH28" i="3"/>
  <c r="DI28" i="3"/>
  <c r="DF28" i="3"/>
  <c r="DF34" i="3"/>
  <c r="DG34" i="3"/>
  <c r="DJ34" i="3" s="1"/>
  <c r="DH34" i="3"/>
  <c r="DI34" i="3"/>
  <c r="V35" i="1"/>
  <c r="AG26" i="1"/>
  <c r="T45" i="1"/>
  <c r="DF14" i="3"/>
  <c r="DG14" i="3"/>
  <c r="DJ14" i="3" s="1"/>
  <c r="DH14" i="3"/>
  <c r="DI14" i="3"/>
  <c r="DH48" i="3"/>
  <c r="DI48" i="3"/>
  <c r="DF48" i="3"/>
  <c r="DG48" i="3"/>
  <c r="DJ48" i="3" s="1"/>
  <c r="DF26" i="3"/>
  <c r="P34" i="1" s="1"/>
  <c r="DG26" i="3"/>
  <c r="Q34" i="1" s="1"/>
  <c r="DH26" i="3"/>
  <c r="R34" i="1" s="1"/>
  <c r="DI26" i="3"/>
  <c r="BD26" i="1"/>
  <c r="F70" i="1"/>
  <c r="BD75" i="1"/>
  <c r="AP26" i="1"/>
  <c r="F54" i="1"/>
  <c r="AP75" i="1"/>
  <c r="DG38" i="3"/>
  <c r="DH38" i="3"/>
  <c r="DI38" i="3"/>
  <c r="DF38" i="3"/>
  <c r="DJ38" i="3" s="1"/>
  <c r="BB26" i="1"/>
  <c r="BB75" i="1"/>
  <c r="F58" i="1"/>
  <c r="U45" i="1" l="1"/>
  <c r="AU75" i="1"/>
  <c r="F64" i="1"/>
  <c r="CG26" i="1"/>
  <c r="AX45" i="1"/>
  <c r="AI45" i="1"/>
  <c r="AI26" i="1" s="1"/>
  <c r="G152" i="7"/>
  <c r="AW117" i="7"/>
  <c r="AN117" i="7"/>
  <c r="L209" i="7"/>
  <c r="L207" i="7" s="1"/>
  <c r="L316" i="7"/>
  <c r="L314" i="7" s="1"/>
  <c r="L245" i="7"/>
  <c r="L243" i="7" s="1"/>
  <c r="L240" i="7" s="1"/>
  <c r="R39" i="1"/>
  <c r="Q33" i="1"/>
  <c r="BC22" i="1"/>
  <c r="F91" i="1"/>
  <c r="BC105" i="1"/>
  <c r="Q39" i="1"/>
  <c r="DJ30" i="3"/>
  <c r="S35" i="1"/>
  <c r="AU22" i="1"/>
  <c r="F94" i="1"/>
  <c r="C52" i="7" s="1"/>
  <c r="AU105" i="1"/>
  <c r="R30" i="1"/>
  <c r="S28" i="1"/>
  <c r="DJ1" i="3"/>
  <c r="R35" i="1"/>
  <c r="BB22" i="1"/>
  <c r="F88" i="1"/>
  <c r="BB105" i="1"/>
  <c r="Q30" i="1"/>
  <c r="BA26" i="1"/>
  <c r="BA75" i="1"/>
  <c r="F65" i="1"/>
  <c r="Q35" i="1"/>
  <c r="P30" i="1"/>
  <c r="DJ6" i="3"/>
  <c r="Q28" i="1"/>
  <c r="R29" i="1"/>
  <c r="P31" i="1"/>
  <c r="P35" i="1"/>
  <c r="DJ28" i="3"/>
  <c r="W26" i="1"/>
  <c r="F69" i="1"/>
  <c r="W75" i="1"/>
  <c r="DJ24" i="3"/>
  <c r="DJ8" i="3"/>
  <c r="S30" i="1"/>
  <c r="P28" i="1"/>
  <c r="Q29" i="1"/>
  <c r="DJ11" i="3"/>
  <c r="S31" i="1"/>
  <c r="DJ46" i="3"/>
  <c r="U26" i="1"/>
  <c r="U75" i="1"/>
  <c r="F67" i="1"/>
  <c r="G232" i="7" s="1"/>
  <c r="T26" i="1"/>
  <c r="F66" i="1"/>
  <c r="T75" i="1"/>
  <c r="BD22" i="1"/>
  <c r="F100" i="1"/>
  <c r="BD105" i="1"/>
  <c r="AO22" i="1"/>
  <c r="AO105" i="1"/>
  <c r="F79" i="1"/>
  <c r="P39" i="1"/>
  <c r="DJ22" i="3"/>
  <c r="S33" i="1"/>
  <c r="AZ26" i="1"/>
  <c r="AZ75" i="1"/>
  <c r="F56" i="1"/>
  <c r="P29" i="1"/>
  <c r="R31" i="1"/>
  <c r="AP22" i="1"/>
  <c r="AP105" i="1"/>
  <c r="F84" i="1"/>
  <c r="G16" i="2" s="1"/>
  <c r="DJ26" i="3"/>
  <c r="S34" i="1"/>
  <c r="CP34" i="1" s="1"/>
  <c r="O34" i="1" s="1"/>
  <c r="AQ22" i="1"/>
  <c r="AQ105" i="1"/>
  <c r="F85" i="1"/>
  <c r="DJ44" i="3"/>
  <c r="S39" i="1"/>
  <c r="R33" i="1"/>
  <c r="DJ4" i="3"/>
  <c r="S29" i="1"/>
  <c r="Q31" i="1"/>
  <c r="V45" i="1" l="1"/>
  <c r="AX26" i="1"/>
  <c r="F52" i="1"/>
  <c r="AX75" i="1"/>
  <c r="L322" i="7"/>
  <c r="L320" i="7" s="1"/>
  <c r="L311" i="7" s="1"/>
  <c r="L215" i="7"/>
  <c r="L213" i="7" s="1"/>
  <c r="L204" i="7" s="1"/>
  <c r="L271" i="7"/>
  <c r="L269" i="7" s="1"/>
  <c r="L260" i="7" s="1"/>
  <c r="AE45" i="1"/>
  <c r="AE26" i="1" s="1"/>
  <c r="CP30" i="1"/>
  <c r="O30" i="1" s="1"/>
  <c r="CP33" i="1"/>
  <c r="O33" i="1" s="1"/>
  <c r="CP29" i="1"/>
  <c r="O29" i="1" s="1"/>
  <c r="AP18" i="1"/>
  <c r="F114" i="1"/>
  <c r="T22" i="1"/>
  <c r="T105" i="1"/>
  <c r="F96" i="1"/>
  <c r="BC18" i="1"/>
  <c r="F121" i="1"/>
  <c r="CP39" i="1"/>
  <c r="O39" i="1" s="1"/>
  <c r="AU18" i="1"/>
  <c r="F124" i="1"/>
  <c r="CZ33" i="1"/>
  <c r="Y33" i="1" s="1"/>
  <c r="BA134" i="7" s="1"/>
  <c r="L133" i="7" s="1"/>
  <c r="CY33" i="1"/>
  <c r="X33" i="1" s="1"/>
  <c r="CP28" i="1"/>
  <c r="O28" i="1" s="1"/>
  <c r="AC45" i="1"/>
  <c r="CP35" i="1"/>
  <c r="O35" i="1" s="1"/>
  <c r="BA22" i="1"/>
  <c r="BA105" i="1"/>
  <c r="F95" i="1"/>
  <c r="H16" i="2"/>
  <c r="CY31" i="1"/>
  <c r="X31" i="1" s="1"/>
  <c r="AZ121" i="7" s="1"/>
  <c r="CZ31" i="1"/>
  <c r="Y31" i="1" s="1"/>
  <c r="BA121" i="7" s="1"/>
  <c r="CY30" i="1"/>
  <c r="X30" i="1" s="1"/>
  <c r="AZ99" i="7" s="1"/>
  <c r="L97" i="7" s="1"/>
  <c r="CZ30" i="1"/>
  <c r="Y30" i="1" s="1"/>
  <c r="BA99" i="7" s="1"/>
  <c r="L98" i="7" s="1"/>
  <c r="CP31" i="1"/>
  <c r="O31" i="1" s="1"/>
  <c r="CY28" i="1"/>
  <c r="X28" i="1" s="1"/>
  <c r="AZ73" i="7" s="1"/>
  <c r="CZ28" i="1"/>
  <c r="Y28" i="1" s="1"/>
  <c r="BA73" i="7" s="1"/>
  <c r="AF45" i="1"/>
  <c r="CY35" i="1"/>
  <c r="X35" i="1" s="1"/>
  <c r="AZ170" i="7" s="1"/>
  <c r="L168" i="7" s="1"/>
  <c r="CZ35" i="1"/>
  <c r="Y35" i="1" s="1"/>
  <c r="BA170" i="7" s="1"/>
  <c r="L169" i="7" s="1"/>
  <c r="CZ39" i="1"/>
  <c r="Y39" i="1" s="1"/>
  <c r="BA196" i="7" s="1"/>
  <c r="L195" i="7" s="1"/>
  <c r="CY39" i="1"/>
  <c r="X39" i="1" s="1"/>
  <c r="AZ196" i="7" s="1"/>
  <c r="L194" i="7" s="1"/>
  <c r="AQ18" i="1"/>
  <c r="F115" i="1"/>
  <c r="U22" i="1"/>
  <c r="F97" i="1"/>
  <c r="U105" i="1"/>
  <c r="CY29" i="1"/>
  <c r="X29" i="1" s="1"/>
  <c r="AZ87" i="7" s="1"/>
  <c r="L85" i="7" s="1"/>
  <c r="CZ29" i="1"/>
  <c r="Y29" i="1" s="1"/>
  <c r="BA87" i="7" s="1"/>
  <c r="L86" i="7" s="1"/>
  <c r="AD45" i="1"/>
  <c r="V26" i="1"/>
  <c r="V75" i="1"/>
  <c r="F68" i="1"/>
  <c r="G233" i="7" s="1"/>
  <c r="AO18" i="1"/>
  <c r="F109" i="1"/>
  <c r="CY34" i="1"/>
  <c r="X34" i="1" s="1"/>
  <c r="AZ147" i="7" s="1"/>
  <c r="L145" i="7" s="1"/>
  <c r="CZ34" i="1"/>
  <c r="Y34" i="1" s="1"/>
  <c r="BA147" i="7" s="1"/>
  <c r="L146" i="7" s="1"/>
  <c r="AZ22" i="1"/>
  <c r="AZ105" i="1"/>
  <c r="F86" i="1"/>
  <c r="BD18" i="1"/>
  <c r="F130" i="1"/>
  <c r="W22" i="1"/>
  <c r="F99" i="1"/>
  <c r="W105" i="1"/>
  <c r="BB18" i="1"/>
  <c r="F118" i="1"/>
  <c r="R45" i="1" l="1"/>
  <c r="F82" i="1"/>
  <c r="AX22" i="1"/>
  <c r="AX105" i="1"/>
  <c r="GM31" i="1"/>
  <c r="GO31" i="1" s="1"/>
  <c r="CC45" i="1" s="1"/>
  <c r="CC26" i="1" s="1"/>
  <c r="K87" i="7"/>
  <c r="I87" i="7" s="1"/>
  <c r="AN87" i="7"/>
  <c r="K196" i="7"/>
  <c r="I196" i="7" s="1"/>
  <c r="AN196" i="7"/>
  <c r="AN99" i="7"/>
  <c r="K99" i="7"/>
  <c r="I99" i="7" s="1"/>
  <c r="L276" i="7"/>
  <c r="L120" i="7"/>
  <c r="AN170" i="7"/>
  <c r="K170" i="7"/>
  <c r="I170" i="7" s="1"/>
  <c r="K147" i="7"/>
  <c r="I147" i="7" s="1"/>
  <c r="AN147" i="7"/>
  <c r="L275" i="7"/>
  <c r="L119" i="7"/>
  <c r="GM33" i="1"/>
  <c r="GN33" i="1" s="1"/>
  <c r="AZ134" i="7"/>
  <c r="L132" i="7" s="1"/>
  <c r="K49" i="7"/>
  <c r="G336" i="7"/>
  <c r="L256" i="7"/>
  <c r="L327" i="7"/>
  <c r="L220" i="7"/>
  <c r="L72" i="7"/>
  <c r="L71" i="7"/>
  <c r="GM35" i="1"/>
  <c r="GN35" i="1" s="1"/>
  <c r="GM29" i="1"/>
  <c r="GN29" i="1" s="1"/>
  <c r="GM30" i="1"/>
  <c r="GN30" i="1" s="1"/>
  <c r="GM34" i="1"/>
  <c r="GN34" i="1" s="1"/>
  <c r="AK45" i="1"/>
  <c r="AK26" i="1" s="1"/>
  <c r="BA18" i="1"/>
  <c r="F125" i="1"/>
  <c r="GM39" i="1"/>
  <c r="GN39" i="1" s="1"/>
  <c r="V22" i="1"/>
  <c r="F98" i="1"/>
  <c r="V105" i="1"/>
  <c r="AC26" i="1"/>
  <c r="CE45" i="1"/>
  <c r="CF45" i="1"/>
  <c r="CH45" i="1"/>
  <c r="P45" i="1"/>
  <c r="GM28" i="1"/>
  <c r="AB45" i="1"/>
  <c r="AD26" i="1"/>
  <c r="Q45" i="1"/>
  <c r="U18" i="1"/>
  <c r="F127" i="1"/>
  <c r="T18" i="1"/>
  <c r="F126" i="1"/>
  <c r="R26" i="1"/>
  <c r="R75" i="1"/>
  <c r="F59" i="1"/>
  <c r="W18" i="1"/>
  <c r="F129" i="1"/>
  <c r="AF26" i="1"/>
  <c r="S45" i="1"/>
  <c r="AZ18" i="1"/>
  <c r="F116" i="1"/>
  <c r="AL45" i="1"/>
  <c r="AT45" i="1" l="1"/>
  <c r="AT75" i="1" s="1"/>
  <c r="L255" i="7"/>
  <c r="L238" i="7" s="1"/>
  <c r="L309" i="7" s="1"/>
  <c r="L258" i="7"/>
  <c r="L219" i="7"/>
  <c r="L228" i="7" s="1"/>
  <c r="L326" i="7"/>
  <c r="AX18" i="1"/>
  <c r="F112" i="1"/>
  <c r="K73" i="7"/>
  <c r="I73" i="7" s="1"/>
  <c r="AN73" i="7"/>
  <c r="G337" i="7"/>
  <c r="K50" i="7"/>
  <c r="K121" i="7"/>
  <c r="I121" i="7" s="1"/>
  <c r="AN121" i="7"/>
  <c r="AN134" i="7"/>
  <c r="K134" i="7"/>
  <c r="I134" i="7" s="1"/>
  <c r="X45" i="1"/>
  <c r="F71" i="1" s="1"/>
  <c r="GN28" i="1"/>
  <c r="CB45" i="1" s="1"/>
  <c r="CA45" i="1"/>
  <c r="S26" i="1"/>
  <c r="S75" i="1"/>
  <c r="F60" i="1"/>
  <c r="P26" i="1"/>
  <c r="F48" i="1"/>
  <c r="P75" i="1"/>
  <c r="F63" i="1"/>
  <c r="CE26" i="1"/>
  <c r="AV45" i="1"/>
  <c r="Q26" i="1"/>
  <c r="F57" i="1"/>
  <c r="Q75" i="1"/>
  <c r="CH26" i="1"/>
  <c r="AY45" i="1"/>
  <c r="CF26" i="1"/>
  <c r="AW45" i="1"/>
  <c r="V18" i="1"/>
  <c r="F128" i="1"/>
  <c r="AL26" i="1"/>
  <c r="Y45" i="1"/>
  <c r="R22" i="1"/>
  <c r="F89" i="1"/>
  <c r="R105" i="1"/>
  <c r="AB26" i="1"/>
  <c r="O45" i="1"/>
  <c r="AT26" i="1" l="1"/>
  <c r="X26" i="1"/>
  <c r="X75" i="1"/>
  <c r="L339" i="7"/>
  <c r="L340" i="7" s="1"/>
  <c r="Q22" i="1"/>
  <c r="Q105" i="1"/>
  <c r="F87" i="1"/>
  <c r="R18" i="1"/>
  <c r="F119" i="1"/>
  <c r="O26" i="1"/>
  <c r="F47" i="1"/>
  <c r="O75" i="1"/>
  <c r="S22" i="1"/>
  <c r="S105" i="1"/>
  <c r="F90" i="1"/>
  <c r="J16" i="2" s="1"/>
  <c r="P22" i="1"/>
  <c r="F78" i="1"/>
  <c r="P105" i="1"/>
  <c r="AW26" i="1"/>
  <c r="AW75" i="1"/>
  <c r="F51" i="1"/>
  <c r="Y26" i="1"/>
  <c r="F72" i="1"/>
  <c r="Y75" i="1"/>
  <c r="AT22" i="1"/>
  <c r="F93" i="1"/>
  <c r="AT105" i="1"/>
  <c r="AY26" i="1"/>
  <c r="F53" i="1"/>
  <c r="AY75" i="1"/>
  <c r="CA26" i="1"/>
  <c r="AR45" i="1"/>
  <c r="AV26" i="1"/>
  <c r="AV75" i="1"/>
  <c r="F50" i="1"/>
  <c r="X22" i="1"/>
  <c r="F101" i="1"/>
  <c r="X105" i="1"/>
  <c r="CB26" i="1"/>
  <c r="AS45" i="1"/>
  <c r="L342" i="7" l="1"/>
  <c r="L343" i="7" s="1"/>
  <c r="L346" i="7" s="1"/>
  <c r="F16" i="2"/>
  <c r="C50" i="7"/>
  <c r="AT18" i="1"/>
  <c r="F123" i="1"/>
  <c r="O22" i="1"/>
  <c r="F77" i="1"/>
  <c r="O105" i="1"/>
  <c r="P18" i="1"/>
  <c r="F108" i="1"/>
  <c r="Y22" i="1"/>
  <c r="F102" i="1"/>
  <c r="Y105" i="1"/>
  <c r="AR26" i="1"/>
  <c r="AR75" i="1"/>
  <c r="F73" i="1"/>
  <c r="X18" i="1"/>
  <c r="F131" i="1"/>
  <c r="AY22" i="1"/>
  <c r="AY105" i="1"/>
  <c r="F83" i="1"/>
  <c r="S18" i="1"/>
  <c r="F120" i="1"/>
  <c r="Q18" i="1"/>
  <c r="F117" i="1"/>
  <c r="AW22" i="1"/>
  <c r="F81" i="1"/>
  <c r="AW105" i="1"/>
  <c r="AV22" i="1"/>
  <c r="F80" i="1"/>
  <c r="AV105" i="1"/>
  <c r="AS26" i="1"/>
  <c r="F62" i="1"/>
  <c r="AS75" i="1"/>
  <c r="AS22" i="1" l="1"/>
  <c r="F92" i="1"/>
  <c r="AS105" i="1"/>
  <c r="AV18" i="1"/>
  <c r="F110" i="1"/>
  <c r="O18" i="1"/>
  <c r="F107" i="1"/>
  <c r="Y18" i="1"/>
  <c r="F132" i="1"/>
  <c r="AR22" i="1"/>
  <c r="AR105" i="1"/>
  <c r="F103" i="1"/>
  <c r="AW18" i="1"/>
  <c r="F111" i="1"/>
  <c r="AY18" i="1"/>
  <c r="F113" i="1"/>
  <c r="E16" i="2" l="1"/>
  <c r="I16" i="2" s="1"/>
  <c r="N16" i="2" s="1"/>
  <c r="C49" i="7"/>
  <c r="C46" i="7" s="1"/>
  <c r="AS18" i="1"/>
  <c r="F122" i="1"/>
  <c r="AR18" i="1"/>
  <c r="F133" i="1"/>
</calcChain>
</file>

<file path=xl/sharedStrings.xml><?xml version="1.0" encoding="utf-8"?>
<sst xmlns="http://schemas.openxmlformats.org/spreadsheetml/2006/main" count="2905" uniqueCount="479">
  <si>
    <t>Smeta.RU  (495) 974-1589</t>
  </si>
  <si>
    <t>_PS_</t>
  </si>
  <si>
    <t>Smeta.RU</t>
  </si>
  <si>
    <t/>
  </si>
  <si>
    <t>Новый объект_(Копия)</t>
  </si>
  <si>
    <t>МОДУЛЬ  КБ-172  пересчет 01.06.2026</t>
  </si>
  <si>
    <t>Сметные нормы списания</t>
  </si>
  <si>
    <t>Коды ценников</t>
  </si>
  <si>
    <t>ФСНБ-2022_И17</t>
  </si>
  <si>
    <t>Версия 1.17.0 для ФСНБ-2022 И17</t>
  </si>
  <si>
    <t>ФСНБ-2022 - Изменения И17</t>
  </si>
  <si>
    <t>Поправки для ФСНБ-2022 от 25.02.2026 г И17 (55/пр) Строительство</t>
  </si>
  <si>
    <t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t>
  </si>
  <si>
    <t>ГСН</t>
  </si>
  <si>
    <t>Новая локальная смета</t>
  </si>
  <si>
    <t>Новый раздел</t>
  </si>
  <si>
    <t>1. Подготовительные работы</t>
  </si>
  <si>
    <t>1</t>
  </si>
  <si>
    <t>01-02-027-01</t>
  </si>
  <si>
    <t>Планировка площадей: механизированным способом, группа грунтов 1</t>
  </si>
  <si>
    <t>1000 м2</t>
  </si>
  <si>
    <t>ГЭСН-2022 доп.17, 01-02-027-01, приказ Минстроя России от 17.02.2026 г. № 91/пр</t>
  </si>
  <si>
    <t>Общестроительные работы</t>
  </si>
  <si>
    <t>Земляные работы</t>
  </si>
  <si>
    <t>Земляные работы, выполняемые: по другим видам работ ( подготовительные, сопутствующие, укрепительные )</t>
  </si>
  <si>
    <t>ФЕР-01</t>
  </si>
  <si>
    <t>Пр/812-001.4-1</t>
  </si>
  <si>
    <t>Пр/774-001.4</t>
  </si>
  <si>
    <t>Земляные работы, выполняемые: по другим видам работ (подготовительные, сопутствующие, укрепительные)</t>
  </si>
  <si>
    <t>2</t>
  </si>
  <si>
    <t>33-04-042-01</t>
  </si>
  <si>
    <t>Демонтаж опор ВЛ 0,38-10 кВ: без приставок одностоечных</t>
  </si>
  <si>
    <t>ШТ</t>
  </si>
  <si>
    <t>ГЭСН-2022 доп.11, 33-04-042-01, приказ Минстроя России от 09.08.2024 г. № 524/пр</t>
  </si>
  <si>
    <t>Линии электропередачи</t>
  </si>
  <si>
    <t>ФЕР-33</t>
  </si>
  <si>
    <t>Пр/812-027.0-1</t>
  </si>
  <si>
    <t>Пр/774-027.0</t>
  </si>
  <si>
    <t>3</t>
  </si>
  <si>
    <t>67-01-003-01</t>
  </si>
  <si>
    <t>Демонтаж кабеля</t>
  </si>
  <si>
    <t>100 м</t>
  </si>
  <si>
    <t>ГЭСНр-2022, 67-01-003-01, приказ Минстроя России от 18.05.2022 г. № 378/пр</t>
  </si>
  <si>
    <t>Ремонтно-строительные работы</t>
  </si>
  <si>
    <t>Электромонтажные работы</t>
  </si>
  <si>
    <t>рФЕР-67</t>
  </si>
  <si>
    <t>Пр/812-101.0-1</t>
  </si>
  <si>
    <t>Пр/774-101.0</t>
  </si>
  <si>
    <t>4</t>
  </si>
  <si>
    <t>м08-02-147-01</t>
  </si>
  <si>
    <t>Кабель до 35 кВ по установленным конструкциям и лоткам с креплением на поворотах и в конце трассы, масса 1 м кабеля: до 1 кг</t>
  </si>
  <si>
    <t>ГЭСНм-2022 доп.7, м08-02-147-01, приказ Минстроя России от 02.08.2023 г. № 551/пр</t>
  </si>
  <si>
    <t>Монтажные работы</t>
  </si>
  <si>
    <t>Электротехнические установки: на других объектах</t>
  </si>
  <si>
    <t>мФЕР-08</t>
  </si>
  <si>
    <t>Пр/812-049.3-1</t>
  </si>
  <si>
    <t>Пр/774-049.3</t>
  </si>
  <si>
    <t>4,1</t>
  </si>
  <si>
    <t>421/пр_2020_п.75_пп.а</t>
  </si>
  <si>
    <t>Сметная стоимость вспомогательных ненормируемых материальных ресурсов, не учтенная в сметной норме, 2%</t>
  </si>
  <si>
    <t>%</t>
  </si>
  <si>
    <t>5</t>
  </si>
  <si>
    <t>68-02-005-02</t>
  </si>
  <si>
    <t>Разборка асфальтобетонных покрытий тротуаров толщиной до 4 см: с помощью молотков отбойных пневматических</t>
  </si>
  <si>
    <t>ГЭСНр-2022, 68-02-005-02, приказ Минстроя России от 18.05.2022 г. № 378/пр</t>
  </si>
  <si>
    <t>Благоустройство</t>
  </si>
  <si>
    <t>рФЕР-68</t>
  </si>
  <si>
    <t>Пр/812-102.0-1</t>
  </si>
  <si>
    <t>Пр/774-102.0</t>
  </si>
  <si>
    <t>6</t>
  </si>
  <si>
    <t>68-02-006-01</t>
  </si>
  <si>
    <t>Разборка бортовых камней: на бетонном основании</t>
  </si>
  <si>
    <t>ГЭСНр-2022, 68-02-006-01, приказ Минстроя России от 18.05.2022 г. № 378/пр</t>
  </si>
  <si>
    <t>7</t>
  </si>
  <si>
    <t>10-01-073-01</t>
  </si>
  <si>
    <t>Устройство заборов из щитов (с установкой столбов): глухих</t>
  </si>
  <si>
    <t>100 м2</t>
  </si>
  <si>
    <t>ГЭСН-2022 доп.14, 10-01-073-01, приказ Минстроя России от 19.05.2025 г. № 299/пр</t>
  </si>
  <si>
    <t>Деревянные конструкции</t>
  </si>
  <si>
    <t>ФЕР-10</t>
  </si>
  <si>
    <t>Пр/812-010.0-1</t>
  </si>
  <si>
    <t>Пр/774-010.0</t>
  </si>
  <si>
    <t>7,1</t>
  </si>
  <si>
    <t>11.1.03.01</t>
  </si>
  <si>
    <t>Бруски обрезные хвойных пород (ель, сосна), естественной влажности, длина 2-6,5 м, ширина 20-90 мм, толщина 20-90 мм</t>
  </si>
  <si>
    <t>м3</t>
  </si>
  <si>
    <t>7,2</t>
  </si>
  <si>
    <t>11.2.13.03</t>
  </si>
  <si>
    <t>Щиты забора, глухие</t>
  </si>
  <si>
    <t>м2</t>
  </si>
  <si>
    <t>8</t>
  </si>
  <si>
    <t>Профнастил оцинкованный С10-1100-0,5</t>
  </si>
  <si>
    <t>ФСБЦ-2022, 08.3.09.01-0118, приказ Минстроя России от 18.05.2022 г. № 378/пр</t>
  </si>
  <si>
    <t>08.3.09.01-0118</t>
  </si>
  <si>
    <t>Материалы строительные</t>
  </si>
  <si>
    <t>Материалы и конструкции ( строительные ) по ценникам и каталогом</t>
  </si>
  <si>
    <t>ФССЦст</t>
  </si>
  <si>
    <t>9</t>
  </si>
  <si>
    <t>10-01-072-01</t>
  </si>
  <si>
    <t>Устройство ворот (с установкой столбов): глухих (5*2 - 2шт)</t>
  </si>
  <si>
    <t>ГЭСН-2022 доп.14, 10-01-072-01, приказ Минстроя России от 19.05.2025 г. № 299/пр</t>
  </si>
  <si>
    <t>9,1</t>
  </si>
  <si>
    <t>08.1.02.11-0001</t>
  </si>
  <si>
    <t>Поковки из квадратных заготовок, масса 1,5-4,5 кг</t>
  </si>
  <si>
    <t>т</t>
  </si>
  <si>
    <t>ФСБЦ-2022, 08.1.02.11-0001, приказ Минстроя России от 18.05.2022 г. № 378/пр</t>
  </si>
  <si>
    <t>9,2</t>
  </si>
  <si>
    <t>10</t>
  </si>
  <si>
    <t>11.1.03.01-0066</t>
  </si>
  <si>
    <t>Брус обрезной хвойных пород (ель, сосна), естественной влажности, длина 2-6,5 м, ширина 100 и более мм, толщина 100 и более мм, сорт II</t>
  </si>
  <si>
    <t>ФСБЦ-2022, 11.1.03.01-0066, приказ Минстроя России от 18.05.2022 г. № 378/пр</t>
  </si>
  <si>
    <t>11</t>
  </si>
  <si>
    <t>01.7.04.11-0092</t>
  </si>
  <si>
    <t>Комплект монтажный для установки дверных блоков массой до 80 кг</t>
  </si>
  <si>
    <t>КОМПЛ</t>
  </si>
  <si>
    <t>ФСБЦ-2022 доп.8, 01.7.04.11-0092, приказ Минстроя России от 14.11.2023 г. № 817/пр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</si>
  <si>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</si>
  <si>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</si>
  <si>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</si>
  <si>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</si>
  <si>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</si>
  <si>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</si>
  <si>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</si>
  <si>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</si>
  <si>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</si>
  <si>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</si>
  <si>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</si>
  <si>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</si>
  <si>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</si>
  <si>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</si>
  <si>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</si>
  <si>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</si>
  <si>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</si>
  <si>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</si>
  <si>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</si>
  <si>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</si>
  <si>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</si>
  <si>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</si>
  <si>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</si>
  <si>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</si>
  <si>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</si>
  <si>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</si>
  <si>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</si>
  <si>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</si>
  <si>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</si>
  <si>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</si>
  <si>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</si>
  <si>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</si>
  <si>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</si>
  <si>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</si>
  <si>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</si>
  <si>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</si>
  <si>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</si>
  <si>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</si>
  <si>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</si>
  <si>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</si>
  <si>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</si>
  <si>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</si>
  <si>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</si>
  <si>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</si>
  <si>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</si>
  <si>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</si>
  <si>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</si>
  <si>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</si>
  <si>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</si>
  <si>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</si>
  <si>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</si>
  <si>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</si>
  <si>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</si>
  <si>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</si>
  <si>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Переменная</t>
  </si>
  <si>
    <t>Новая переменная</t>
  </si>
  <si>
    <t>Переменная_1</t>
  </si>
  <si>
    <t>СТР_РЕК</t>
  </si>
  <si>
    <t>СТРОИТЕЛЬСТВО и РЕКОНСТРУКЦИЯ  зданий и сооружений всех назначений</t>
  </si>
  <si>
    <t>Строительство и реконструкция</t>
  </si>
  <si>
    <t>РЕМ_ЖИЛ</t>
  </si>
  <si>
    <t>КАП. РЕМ. ЖИЛЫХ И ОБЩЕСТВЕННЫХ ЗДАНИЙ</t>
  </si>
  <si>
    <t>Капитальный ремонт жилых и общественных зданий</t>
  </si>
  <si>
    <t>РЕМ_ПР</t>
  </si>
  <si>
    <t>КАП. РЕМ. ПРОИЗВОДСТВЕННЫХ ЗД. и СООРУЖЕНИЙ,  НАРУЖНЫХ ИНЖЕНЕРНЫХ СЕТЕЙ, УЛИЦ И ДОРОГ МЕСТНОГО ЗНАЧЕНИЯ, ИНЖ,СООРУЖЕНИЙ ( ГИДРОТЕХ,СООРУЖ, МОСТОВ И ПУТЕПРОВОДОВ И Т.П.)</t>
  </si>
  <si>
    <t>Капитальный ремонт прозводственных зданий</t>
  </si>
  <si>
    <t>Территория</t>
  </si>
  <si>
    <t>для территории Российской Федерации, не относящейся к районам Крайнего Севера и приравненным к ним местностям</t>
  </si>
  <si>
    <t>МПРКС</t>
  </si>
  <si>
    <t>для территории Российской Федерации, относящейся к местностям, приравненным к районам Крайнего Севера</t>
  </si>
  <si>
    <t>РКС</t>
  </si>
  <si>
    <t>для территории Российской Федерации, относящейся к районам Крайнего Севера</t>
  </si>
  <si>
    <t>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</si>
  <si>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АЭС.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</si>
  <si>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</si>
  <si>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Сложные объекты</t>
  </si>
  <si>
    <t>СТНДРТ</t>
  </si>
  <si>
    <t>При определении сметной стоимости строительства объектов капитального строительства (за исключением АЭС).</t>
  </si>
  <si>
    <t>АЭС_ПНР</t>
  </si>
  <si>
    <t>При определении сметной стоимости строительства объектов капитального строительства АЭС. Пусконаладочные работы (за исключением технологического оборудования АЭС).</t>
  </si>
  <si>
    <t>АЭС</t>
  </si>
  <si>
    <t>АЭС_ПНР_ТЕХ</t>
  </si>
  <si>
    <t>При определении сметной стоимости строительства объектов капитального строительства АЭС. Пусконаладочные работы технологического оборудования АЭС.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</si>
  <si>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</si>
  <si>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АЭС, ПНР технологического оборудования АЭС.</t>
  </si>
  <si>
    <t>ОПТ/В</t>
  </si>
  <si>
    <t>{вкл}    - Прокладка  МЕЖДУГОРОДНЫХ  ВОЛОКОННО-ОПТИЧЕСКИХ ЛИНИЙ (для ФЕРм10, отд. 6 разд.3)  {выкл} - Прокладка  ГОРОДСКИХ               ВОЛОКОННО-ОПТИЧЕСКИХ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</si>
  <si>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</si>
  <si>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Прокладка междугородных в/опт. кабелей</t>
  </si>
  <si>
    <t>АВИ</t>
  </si>
  <si>
    <t>(вкл)   -  При работах по ДИСПЕТЧЕРИЗАЦИИ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</si>
  <si>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</si>
  <si>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Диспетчеризация авиатранспорта</t>
  </si>
  <si>
    <t>ЗАКР</t>
  </si>
  <si>
    <t>{вкл}   -  Обслуживающие и сопутствующие работы в тоннелях при  производстве работ ЗАКРЫТЫМ СПОСОБОМ   {выкл} - Обслуживающие и сопутствующие работы в тоннелях при  производстве работ  ОТКРЫТЫМ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</si>
  <si>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</si>
  <si>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Производство работ закрытым способом (обслуживающие процессы)</t>
  </si>
  <si>
    <t>АВТО_ДРГ</t>
  </si>
  <si>
    <t>{вкл} - НР и СП по п.021.0 "Автомобильные дороги" (раздел 2 нормы 27-02-010-01:07)  {выкл} - НР и СП по п.021.1 Устройство покрытий дорожек, тротуаров, мостовых и площадок и прочее (раздел 2 нормы 27-02-010-01:07)</t>
  </si>
  <si>
    <t>ГОР</t>
  </si>
  <si>
    <t>(вкл) - ФЕРм-08, выполнение работ на горнорудных объектах  (выкл) - ФЕРм-08, выполнение работ на других объектах</t>
  </si>
  <si>
    <t>Выполнение работ на горнорудных объектах</t>
  </si>
  <si>
    <t>ОБ_ПР</t>
  </si>
  <si>
    <t>Объект производственного назначения</t>
  </si>
  <si>
    <t>ОБ_НПР</t>
  </si>
  <si>
    <t>Объект непроизводственного назначения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</si>
  <si>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</si>
  <si>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</si>
  <si>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</si>
  <si>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п.25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</si>
  <si>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</si>
  <si>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</si>
  <si>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</si>
  <si>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п.16</t>
  </si>
  <si>
    <t>К_НР_СЛЖ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</si>
  <si>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объектов атомных электрических станций.  ( если {СЛЖ} = [вкл] )</t>
  </si>
  <si>
    <t>п.27 СЛОЖН</t>
  </si>
  <si>
    <t>К_НР_АЭС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</si>
  <si>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Для объектов атомных электрических станций.  ( если {АЭС} = [вкл] )</t>
  </si>
  <si>
    <t>п.27 АЭС</t>
  </si>
  <si>
    <t>Р_ОКР</t>
  </si>
  <si>
    <t>Разрядность округления результата расчета НР и СП  (с 05.04.2020 - до семи знаков после запятой)</t>
  </si>
  <si>
    <t>Лист_НРиСП</t>
  </si>
  <si>
    <t>Уровень цен</t>
  </si>
  <si>
    <t>Вид цен</t>
  </si>
  <si>
    <t>+Ульяновская область, КТЦ к ФСНБ-2022, 1 квартал 2026 г</t>
  </si>
  <si>
    <t>Сборник индексов</t>
  </si>
  <si>
    <t>Ульяновск</t>
  </si>
  <si>
    <t>_OBSM_</t>
  </si>
  <si>
    <t>4-100-00</t>
  </si>
  <si>
    <t>Затраты труда машинистов</t>
  </si>
  <si>
    <t>чел.-ч.</t>
  </si>
  <si>
    <t>91.01.01-035</t>
  </si>
  <si>
    <t>ФСЭМ-2022, 91.01.01-035, приказ Минстроя России от 18.05.2022 г. № 378/пр</t>
  </si>
  <si>
    <t>Бульдозеры, мощность 79 кВт (108 л.с.)</t>
  </si>
  <si>
    <t>маш.-ч</t>
  </si>
  <si>
    <t>4-100-060</t>
  </si>
  <si>
    <t>91.01.02-004</t>
  </si>
  <si>
    <t>ФСЭМ-2022 доп.11, 91.01.02-004, приказ Минстроя России от 09.08.2024 г. № 524/пр</t>
  </si>
  <si>
    <t>Автогрейдеры среднего типа, мощность 99 кВт (135 л.с.)</t>
  </si>
  <si>
    <t>1-100-35</t>
  </si>
  <si>
    <t>Средний разряд работы 3,5</t>
  </si>
  <si>
    <t>91.04.01-031</t>
  </si>
  <si>
    <t>ФСЭМ-2022 доп.11, 91.04.01-031, приказ Минстроя России от 07.11.2024 г. № 747/пр</t>
  </si>
  <si>
    <t>Машины бурильно-крановые на автомобильном ходу, диаметр бурения до 800 мм, глубина бурения до 5 м</t>
  </si>
  <si>
    <t>4-100-050</t>
  </si>
  <si>
    <t>91.14.02-001</t>
  </si>
  <si>
    <t>ФСЭМ-2022 доп.7, 91.14.02-001, приказ Минстроя России от 02.08.2023 г. № 551/пр</t>
  </si>
  <si>
    <t>Автомобили бортовые, грузоподъемность до 5 т</t>
  </si>
  <si>
    <t>4-100-040</t>
  </si>
  <si>
    <t>1-100-20</t>
  </si>
  <si>
    <t>Средний разряд работы 2,0</t>
  </si>
  <si>
    <t>91.06.06-048</t>
  </si>
  <si>
    <t>ФСЭМ-2022, 91.06.06-048, приказ Минстроя России от 18.05.2022 г. № 378/пр</t>
  </si>
  <si>
    <t>Подъемники одномачтовые, грузоподъемность до 500 кг, высота подъема 45 м</t>
  </si>
  <si>
    <t>4-100-030</t>
  </si>
  <si>
    <t>1-100-38</t>
  </si>
  <si>
    <t>Средний разряд работы 3,8</t>
  </si>
  <si>
    <t>91.05.05-015</t>
  </si>
  <si>
    <t>ФСЭМ-2022, 91.05.05-015, приказ Минстроя России от 18.05.2022 г. № 378/пр</t>
  </si>
  <si>
    <t>Краны на автомобильном ходу, грузоподъемность 16 т</t>
  </si>
  <si>
    <t>91.06.01-003</t>
  </si>
  <si>
    <t>ФСЭМ-2022, 91.06.01-003, приказ Минстроя России от 18.05.2022 г. № 378/пр</t>
  </si>
  <si>
    <t>Домкраты гидравлические, грузоподъемность 63-100 т</t>
  </si>
  <si>
    <t>91.06.03-061</t>
  </si>
  <si>
    <t>ФСЭМ-2022, 91.06.03-061, приказ Минстроя России от 18.05.2022 г. № 378/пр</t>
  </si>
  <si>
    <t>Лебедки электрические тяговым усилием до 12,26 кН (1,25 т)</t>
  </si>
  <si>
    <t>01.7.06.07-0002</t>
  </si>
  <si>
    <t>ФСБЦ-2022, 01.7.06.07-0002, приказ Минстроя России от 18.05.2022 г. № 378/пр</t>
  </si>
  <si>
    <t>Ленты монтажные из пластмассы для бандажирования проводов, скрепляются пластмассовыми кнопками, ширина 10 мм</t>
  </si>
  <si>
    <t>10 м</t>
  </si>
  <si>
    <t>01.7.15.14-0165</t>
  </si>
  <si>
    <t>ФСБЦ-2022 доп.2, 01.7.15.14-0165, приказ Минстроя России от 26.08.2022 г. № 703/пр</t>
  </si>
  <si>
    <t>Шурупы самонарезающие стальные с полукруглой головкой и прямым шлицем, остроконечные, диаметр 4 мм, длина 40 мм</t>
  </si>
  <si>
    <t>10.3.02.03-0011</t>
  </si>
  <si>
    <t>ФСБЦ-2022, 10.3.02.03-0011, приказ Минстроя России от 18.05.2022 г. № 378/пр</t>
  </si>
  <si>
    <t>Припои оловянно-свинцовые бессурьмянистые, марка ПОС30</t>
  </si>
  <si>
    <t>кг</t>
  </si>
  <si>
    <t>14.4.03.03-0002</t>
  </si>
  <si>
    <t>ФСБЦ-2022 доп.4, 14.4.03.03-0002, приказ Минстроя России от 27.12.2022 г. № 1133/пр</t>
  </si>
  <si>
    <t>Лак битумный БТ-123</t>
  </si>
  <si>
    <t>1-100-27</t>
  </si>
  <si>
    <t>Средний разряд работы 2,7</t>
  </si>
  <si>
    <t>91.18.01-007</t>
  </si>
  <si>
    <t>ФСЭМ-2022 доп.13, 91.18.01-007, приказ Минстроя России от 07.02.2025 г. № 69/пр</t>
  </si>
  <si>
    <t>Компрессоры винтовые передвижные с двигателем внутреннего сгорания, давление до 0,7 МПа (7 атм), производительность до 5,4 м3/мин</t>
  </si>
  <si>
    <t>91.21.10-002</t>
  </si>
  <si>
    <t>ФСЭМ-2022, 91.21.10-002, приказ Минстроя России от 18.05.2022 г. № 378/пр</t>
  </si>
  <si>
    <t>Молотки отбойные пневматические при работе от передвижных компрессоров</t>
  </si>
  <si>
    <t>1-100-31</t>
  </si>
  <si>
    <t>Средний разряд работы 3,1</t>
  </si>
  <si>
    <t>1-100-28</t>
  </si>
  <si>
    <t>Средний разряд работы 2,8</t>
  </si>
  <si>
    <t>91.08.04-021</t>
  </si>
  <si>
    <t>ФСЭМ-2022, 91.08.04-021, приказ Минстроя России от 18.05.2022 г. № 378/пр</t>
  </si>
  <si>
    <t>Котлы битумные передвижные электрические с центробежной мешалкой, объем загрузочной емкости 400 л</t>
  </si>
  <si>
    <t>01.7.03.04-0001</t>
  </si>
  <si>
    <t>ФСБЦ-2022, 01.7.03.04-0001, приказ Минстроя России от 18.05.2022 г. № 378/пр</t>
  </si>
  <si>
    <t>Электроэнергия</t>
  </si>
  <si>
    <t>КВТ-Ч</t>
  </si>
  <si>
    <t>01.7.15.03-0042</t>
  </si>
  <si>
    <t>ФСБЦ-2022, 01.7.15.03-0042, приказ Минстроя России от 18.05.2022 г. № 378/пр</t>
  </si>
  <si>
    <t>Болты с гайками и шайбами строительные</t>
  </si>
  <si>
    <t>01.7.15.06-0111</t>
  </si>
  <si>
    <t>ФСБЦ-2022, 01.7.15.06-0111, приказ Минстроя России от 18.05.2022 г. № 378/пр</t>
  </si>
  <si>
    <t>Гвозди строительные</t>
  </si>
  <si>
    <t>06.1.01.05-0035</t>
  </si>
  <si>
    <t>ФСБЦ-2022 доп.14, 06.1.01.05-0035, приказ Минстроя России от 19.05.2025 г. № 299/пр</t>
  </si>
  <si>
    <t>Кирпич керамический рядовой полнотелый одинарный, размеры 250х120х65 мм, марка М100</t>
  </si>
  <si>
    <t>1000 ШТ</t>
  </si>
  <si>
    <t>11.1.02.04-0031</t>
  </si>
  <si>
    <t>ФСБЦ-2022, 11.1.02.04-0031, приказ Минстроя России от 18.05.2022 г. № 378/пр</t>
  </si>
  <si>
    <t>Лесоматериалы круглые хвойных пород неокоренные, длина 3-6,5 м, диаметр 14-24 см, сорт II-III</t>
  </si>
  <si>
    <t>14.2.04.01-0001</t>
  </si>
  <si>
    <t>ФСБЦ-2022, 14.2.04.01-0001, приказ Минстроя России от 18.05.2022 г. № 378/пр</t>
  </si>
  <si>
    <t>Смола каменноугольная для дорожного строительства</t>
  </si>
  <si>
    <t>14.5.06.03-0002</t>
  </si>
  <si>
    <t>ФСБЦ-2022, 14.5.06.03-0002, приказ Минстроя России от 18.05.2022 г. № 378/пр</t>
  </si>
  <si>
    <t>Паста антисептическая</t>
  </si>
  <si>
    <t>1-100-29</t>
  </si>
  <si>
    <t>Средний разряд работы 2,9</t>
  </si>
  <si>
    <t>11.1.03.06-0083</t>
  </si>
  <si>
    <t>ФСБЦ-2022 доп.4, 11.1.03.06-0083, приказ Минстроя России от 27.12.2022 г. № 1133/пр</t>
  </si>
  <si>
    <t>Доска обрезная хвойных пород, естественной влажности, длина 2-6,5 м, ширина 100-250 мм, толщина 20-22 мм, сорт III</t>
  </si>
  <si>
    <t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t>
  </si>
  <si>
    <t>Поправка: 421/пр_2020_прил.10_т.1_п.2_гр.3 Наименование: Производство работ осуществляется на территории предприятия с наличием в зоне производства работ одного или нескольких из перечисленных ниже факторов: разветвленной сети транспортных и инженерных коммуникаций; стесненных условий для складирования материалов; действующего технологического оборудования; движения технологического транспорта</t>
  </si>
  <si>
    <t>Поправка: 421/пр_2020_прил.10_т.1_п.2_гр.5 Наименование: Производство работ осуществляется на территории предприятия с наличием в зоне производства работ одного или нескольких из перечисленных ниже факторов: разветвленной сети транспортных и инженерных коммуникаций; стесненных условий для складирования материалов; действующего технологического оборудования; движения технологического транспорта</t>
  </si>
  <si>
    <t>Поправка: 421/пр_2020_прил.10_т.1_п.2_гр.4 Наименование: Производство работ осуществляется на территории предприятия с наличием в зоне производства работ одного или нескольких из перечисленных ниже факторов: разветвленной сети транспортных и инженерных коммуникаций; стесненных условий для складирования материалов; действующего технологического оборудования; движения технологического транспорта</t>
  </si>
  <si>
    <t>"СОГЛАСОВАНО"</t>
  </si>
  <si>
    <t>"УТВЕРЖДАЮ"</t>
  </si>
  <si>
    <t>"_____"________________ 2026 г.</t>
  </si>
  <si>
    <t>Наименование программного продукта</t>
  </si>
  <si>
    <t>Наименование редакции сметных нормативов</t>
  </si>
  <si>
    <t>Реквизиты приказа Минстроя России об утверждении дополнений и изменений к сметным нормативам</t>
  </si>
  <si>
    <t xml:space="preserve"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в соответствии с пунктом 85 Методики расчета индексов изменения сметной стоимости строительства, утвержденной приказом Министерства строительства и жилищно-коммунального хозяйства Российской Федерации от 5 июня 2019 г. N 326/пр </t>
  </si>
  <si>
    <t>Реквизиты нормативного правового акта об утверждении оплаты труда, утверждаемый в соответствии с пунктом 22(1) Правилами мониторинга цен, утвержденными постановлением Правительства Российской Федерации от 23 декабря 2016 г. N 1452</t>
  </si>
  <si>
    <t>Обоснование принятых текущих цен на строительные ресурсы</t>
  </si>
  <si>
    <t>Наименование субъекта Российской Федерации</t>
  </si>
  <si>
    <t>Наименование зоны субъекта Российской Федерации</t>
  </si>
  <si>
    <t>(наименование стройки)</t>
  </si>
  <si>
    <t>(наименование объекта капитального строительства)</t>
  </si>
  <si>
    <t>(наименование работ и затрат)</t>
  </si>
  <si>
    <t>Составлен</t>
  </si>
  <si>
    <t>методом</t>
  </si>
  <si>
    <t>Основание</t>
  </si>
  <si>
    <t>(проектная и (или) иная техническая документация)</t>
  </si>
  <si>
    <t>Сметная стоимость</t>
  </si>
  <si>
    <t>тыс. руб.</t>
  </si>
  <si>
    <t>Средства на оплату труда рабочих</t>
  </si>
  <si>
    <t>в том числе:</t>
  </si>
  <si>
    <t>Средства на оплату труда машинистов</t>
  </si>
  <si>
    <t>строительных работ</t>
  </si>
  <si>
    <t xml:space="preserve">Нормативные затраты труда рабочих </t>
  </si>
  <si>
    <t xml:space="preserve">монтажных работ    </t>
  </si>
  <si>
    <t xml:space="preserve">Нормативные затраты труда машинистов </t>
  </si>
  <si>
    <t xml:space="preserve">оборудования         </t>
  </si>
  <si>
    <t xml:space="preserve">прочих затрат       </t>
  </si>
  <si>
    <t>№ п/п</t>
  </si>
  <si>
    <t>Обоснование</t>
  </si>
  <si>
    <t>Наименование работ и затрат</t>
  </si>
  <si>
    <t>Единица измерения</t>
  </si>
  <si>
    <t>Количество</t>
  </si>
  <si>
    <t>Сметная стоимость, руб.</t>
  </si>
  <si>
    <t>на единицу измерения</t>
  </si>
  <si>
    <t>коэффициенты</t>
  </si>
  <si>
    <t>всего с учетом коэффициентов</t>
  </si>
  <si>
    <t>на единицу измерения в базисном уровне цен</t>
  </si>
  <si>
    <t>индекс</t>
  </si>
  <si>
    <t>на единицу измерения в текущем уровне цен</t>
  </si>
  <si>
    <t>всего в текущем уровне цен</t>
  </si>
  <si>
    <t>Программа для ЭВМ «Программа: «Smeta.RU» версия 12»</t>
  </si>
  <si>
    <t>ФГИС ЦС, конъюнктурный анализ</t>
  </si>
  <si>
    <t>Ресурсно-индексным</t>
  </si>
  <si>
    <t>Составлен(а) в текущем уровне цен на февраль 2026 года</t>
  </si>
  <si>
    <t>Раздел: 1. Подготовительные работы</t>
  </si>
  <si>
    <t>ГЭСН 01-02-027-01</t>
  </si>
  <si>
    <t>ЭМ</t>
  </si>
  <si>
    <t>ОТм(ЗТм) Средний разряд машинистов 6</t>
  </si>
  <si>
    <t>ОТм(ЗТм)</t>
  </si>
  <si>
    <t>Итого прямые затраты</t>
  </si>
  <si>
    <t>ФОТ</t>
  </si>
  <si>
    <t>НР Земляные работы, выполняемые: по другим видам работ (подготовительные, сопутствующие, укрепительные)</t>
  </si>
  <si>
    <t>СП Земляные работы, выполняемые: по другим видам работ (подготовительные, сопутствующие, укрепительные)</t>
  </si>
  <si>
    <t>Всего по позиции</t>
  </si>
  <si>
    <t>=</t>
  </si>
  <si>
    <t>ГЭСН 33-04-042-01</t>
  </si>
  <si>
    <t>ОТ (ЗТ)</t>
  </si>
  <si>
    <t>ОТм(ЗТм) Средний разряд машинистов 5</t>
  </si>
  <si>
    <t>ОТм(ЗТм) Средний разряд машинистов 4</t>
  </si>
  <si>
    <t>НР Линии электропередачи</t>
  </si>
  <si>
    <t>СП Линии электропередачи</t>
  </si>
  <si>
    <t>ГЭСНр 67-01-003-01</t>
  </si>
  <si>
    <t>ОТм(ЗТм) Средний разряд машинистов 3</t>
  </si>
  <si>
    <t>НР Электромонтажные работы</t>
  </si>
  <si>
    <t>СП Электромонтажные работы</t>
  </si>
  <si>
    <t>ГЭСНм 08-02-147-01</t>
  </si>
  <si>
    <t>М</t>
  </si>
  <si>
    <t>НР Электротехнические установки: на других объектах</t>
  </si>
  <si>
    <t>СП Электротехнические установки: на других объектах</t>
  </si>
  <si>
    <t>ГЭСНр 68-02-005-02</t>
  </si>
  <si>
    <t>НР Благоустройство</t>
  </si>
  <si>
    <t>СП Благоустройство</t>
  </si>
  <si>
    <t>ГЭСНр 68-02-006-01</t>
  </si>
  <si>
    <t>ГЭСН 10-01-073-01</t>
  </si>
  <si>
    <t>НР Деревянные конструкции</t>
  </si>
  <si>
    <t>СП Деревянные конструкции</t>
  </si>
  <si>
    <t>ГЭСН 10-01-072-01</t>
  </si>
  <si>
    <t>Итого прямые затраты по разделу</t>
  </si>
  <si>
    <t>в том числе</t>
  </si>
  <si>
    <t xml:space="preserve">  оплата труда</t>
  </si>
  <si>
    <t xml:space="preserve">  эксплуатация машин и механизмов</t>
  </si>
  <si>
    <t xml:space="preserve">  в том числе</t>
  </si>
  <si>
    <t xml:space="preserve">    в том числе</t>
  </si>
  <si>
    <t xml:space="preserve">    доплаты к оплате труда машинистов</t>
  </si>
  <si>
    <t xml:space="preserve">  материальные ресурсы</t>
  </si>
  <si>
    <t xml:space="preserve">    материальные ресурсы без учета дополнительной перевозки</t>
  </si>
  <si>
    <t xml:space="preserve">    дополнительная перевозка материальных ресурсов</t>
  </si>
  <si>
    <t xml:space="preserve">  перевозка</t>
  </si>
  <si>
    <t>Всего ФОТ (справочно)</t>
  </si>
  <si>
    <t>Всего накладные расходы</t>
  </si>
  <si>
    <t>Всего сметная прибыль</t>
  </si>
  <si>
    <t>Итого оборудование</t>
  </si>
  <si>
    <t xml:space="preserve">  оборудование без учета дополнительной перевозки</t>
  </si>
  <si>
    <t xml:space="preserve">  дополнительная перевозка оборудования</t>
  </si>
  <si>
    <t>Итого прочие затраты</t>
  </si>
  <si>
    <t>Итого хозяйственный инвентарь</t>
  </si>
  <si>
    <t>Итого по разделу</t>
  </si>
  <si>
    <t>Справочно</t>
  </si>
  <si>
    <t xml:space="preserve">  материальные ресурсы, отсутствующие в ФРСН</t>
  </si>
  <si>
    <t xml:space="preserve">  оборудование, отсутствующие в ФРСН</t>
  </si>
  <si>
    <t xml:space="preserve">  затраты труда рабочих</t>
  </si>
  <si>
    <t xml:space="preserve">  затраты труда машинистов</t>
  </si>
  <si>
    <t xml:space="preserve">  оплата труда машинистов (ОТм)</t>
  </si>
  <si>
    <t>ИТОГИ ПО СМЕТЕ</t>
  </si>
  <si>
    <t>ВСЕГО строительные работы</t>
  </si>
  <si>
    <t>Всего прямые затраты</t>
  </si>
  <si>
    <t xml:space="preserve">  оплата труда (ОТ)</t>
  </si>
  <si>
    <t>ФОТ (справочно)</t>
  </si>
  <si>
    <t>накладные расходы</t>
  </si>
  <si>
    <t>сметная прибыль</t>
  </si>
  <si>
    <t>ВСЕГО монтажные работы</t>
  </si>
  <si>
    <t>ВСЕГО оборудование</t>
  </si>
  <si>
    <t>ВСЕГО прочие затраты</t>
  </si>
  <si>
    <t xml:space="preserve">   прочие затраты</t>
  </si>
  <si>
    <t xml:space="preserve">   прочие перевозки</t>
  </si>
  <si>
    <t xml:space="preserve">   Хозяйственный инвентарь</t>
  </si>
  <si>
    <t>Пусконаладочные работы</t>
  </si>
  <si>
    <t>ВСЕГО по смете</t>
  </si>
  <si>
    <t>Всего оборудование</t>
  </si>
  <si>
    <t>Всего прочие затраты</t>
  </si>
  <si>
    <t xml:space="preserve">Составил   </t>
  </si>
  <si>
    <t>[должность,подпись(инициалы,фамилия)]</t>
  </si>
  <si>
    <t xml:space="preserve">Проверил   </t>
  </si>
  <si>
    <t xml:space="preserve">ЛОКАЛЬНАЯ СМЕТА № </t>
  </si>
  <si>
    <t>Подготовительные работы. МОДУЛЬ КБ-172</t>
  </si>
  <si>
    <t>Профнанастил Н75-1100-0,7 (материал б/у)</t>
  </si>
  <si>
    <t>Профнастил Н75-1100-0,7 (материал б/у)</t>
  </si>
  <si>
    <t>Временные здания и сооружения - Объекты здравоохранения - 1.8%</t>
  </si>
  <si>
    <t>ВСЕГО</t>
  </si>
  <si>
    <t>НДС 22%</t>
  </si>
  <si>
    <t>ВСЕГО с НДС</t>
  </si>
  <si>
    <t>В соответствии с выделенными лимитами бюджетных обязательств, принимается понижающий коэффициент - 0,97421352649</t>
  </si>
  <si>
    <t>ВСЕГО, с учетом коэффициента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</si>
</sst>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"/>
    <numFmt numFmtId="165" formatCode="#,##0.00;[Red]\-\ #,##0.00"/>
    <numFmt numFmtId="166" formatCode="#,##0.00#####;[Red]\-\ #,##0.00#####"/>
    <numFmt numFmtId="167" formatCode="#,##0.00_ ;[Red]\-#,##0.00\ "/>
    <numFmt numFmtId="168" formatCode="#,##0_ ;[Red]\-#,##0\ "/>
  </numFmts>
  <fonts count="27" x14ac:knownFonts="1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b/>
      <sz val="10"/>
      <color indexed="14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 Cyr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3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i/>
      <sz val="9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3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1"/>
      <name val="Arial"/>
      <family val="2"/>
      <charset val="204"/>
    </font>
    <font>
      <sz val="9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2" fillId="0" borderId="0" xfId="0" applyNumberFormat="1" applyFont="1" applyAlignment="1"/>
    <xf numFmtId="0" fontId="15" fillId="0" borderId="0" xfId="0" applyNumberFormat="1" applyFont="1" applyAlignment="1"/>
    <xf numFmtId="0" fontId="17" fillId="0" borderId="0" xfId="0" applyNumberFormat="1" applyFont="1" applyAlignment="1"/>
    <xf numFmtId="0" fontId="17" fillId="0" borderId="0" xfId="0" applyNumberFormat="1" applyFont="1" applyAlignment="1">
      <alignment horizontal="left"/>
    </xf>
    <xf numFmtId="0" fontId="17" fillId="0" borderId="0" xfId="0" applyNumberFormat="1" applyFont="1" applyAlignment="1">
      <alignment wrapText="1"/>
    </xf>
    <xf numFmtId="0" fontId="11" fillId="0" borderId="0" xfId="0" applyNumberFormat="1" applyFont="1" applyAlignment="1"/>
    <xf numFmtId="0" fontId="11" fillId="0" borderId="0" xfId="0" applyNumberFormat="1" applyFont="1" applyAlignment="1">
      <alignment vertical="top" wrapText="1"/>
    </xf>
    <xf numFmtId="0" fontId="11" fillId="0" borderId="2" xfId="0" applyNumberFormat="1" applyFont="1" applyBorder="1" applyAlignment="1">
      <alignment vertical="top"/>
    </xf>
    <xf numFmtId="0" fontId="11" fillId="0" borderId="0" xfId="0" applyNumberFormat="1" applyFont="1" applyAlignment="1">
      <alignment horizontal="left" vertical="top" wrapText="1"/>
    </xf>
    <xf numFmtId="0" fontId="11" fillId="0" borderId="2" xfId="0" applyNumberFormat="1" applyFont="1" applyBorder="1" applyAlignment="1">
      <alignment horizontal="left" vertical="top" wrapText="1"/>
    </xf>
    <xf numFmtId="0" fontId="12" fillId="0" borderId="2" xfId="0" applyNumberFormat="1" applyFont="1" applyBorder="1" applyAlignment="1"/>
    <xf numFmtId="0" fontId="20" fillId="0" borderId="0" xfId="0" applyNumberFormat="1" applyFont="1" applyAlignment="1">
      <alignment vertical="center" wrapText="1"/>
    </xf>
    <xf numFmtId="0" fontId="20" fillId="0" borderId="0" xfId="0" applyNumberFormat="1" applyFont="1" applyAlignment="1">
      <alignment horizontal="center" wrapText="1"/>
    </xf>
    <xf numFmtId="0" fontId="11" fillId="0" borderId="0" xfId="0" applyNumberFormat="1" applyFont="1" applyAlignment="1">
      <alignment horizontal="center"/>
    </xf>
    <xf numFmtId="0" fontId="11" fillId="0" borderId="1" xfId="0" applyNumberFormat="1" applyFont="1" applyBorder="1" applyAlignment="1">
      <alignment horizontal="center"/>
    </xf>
    <xf numFmtId="0" fontId="11" fillId="0" borderId="2" xfId="0" applyNumberFormat="1" applyFont="1" applyBorder="1" applyAlignment="1"/>
    <xf numFmtId="0" fontId="11" fillId="0" borderId="0" xfId="0" applyNumberFormat="1" applyFont="1" applyAlignment="1">
      <alignment horizontal="left" wrapText="1"/>
    </xf>
    <xf numFmtId="0" fontId="11" fillId="0" borderId="0" xfId="0" applyNumberFormat="1" applyFont="1" applyAlignment="1">
      <alignment wrapText="1"/>
    </xf>
    <xf numFmtId="0" fontId="14" fillId="0" borderId="0" xfId="0" applyNumberFormat="1" applyFont="1" applyAlignment="1"/>
    <xf numFmtId="14" fontId="17" fillId="0" borderId="0" xfId="0" applyNumberFormat="1" applyFont="1" applyAlignment="1"/>
    <xf numFmtId="0" fontId="11" fillId="0" borderId="0" xfId="0" applyNumberFormat="1" applyFont="1" applyAlignment="1">
      <alignment horizontal="right"/>
    </xf>
    <xf numFmtId="0" fontId="18" fillId="0" borderId="0" xfId="0" applyNumberFormat="1" applyFont="1" applyAlignment="1"/>
    <xf numFmtId="164" fontId="11" fillId="0" borderId="0" xfId="0" applyNumberFormat="1" applyFont="1" applyAlignment="1">
      <alignment horizontal="right"/>
    </xf>
    <xf numFmtId="0" fontId="17" fillId="0" borderId="1" xfId="0" applyNumberFormat="1" applyFont="1" applyBorder="1" applyAlignment="1"/>
    <xf numFmtId="0" fontId="11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/>
    </xf>
    <xf numFmtId="0" fontId="17" fillId="0" borderId="0" xfId="0" applyNumberFormat="1" applyFont="1" applyAlignment="1">
      <alignment horizontal="center"/>
    </xf>
    <xf numFmtId="0" fontId="17" fillId="0" borderId="7" xfId="0" applyNumberFormat="1" applyFont="1" applyBorder="1" applyAlignment="1">
      <alignment horizontal="center"/>
    </xf>
    <xf numFmtId="0" fontId="11" fillId="0" borderId="1" xfId="0" applyNumberFormat="1" applyFont="1" applyBorder="1" applyAlignment="1">
      <alignment horizontal="left" vertical="top" wrapText="1"/>
    </xf>
    <xf numFmtId="0" fontId="23" fillId="0" borderId="0" xfId="0" applyFont="1"/>
    <xf numFmtId="0" fontId="23" fillId="0" borderId="0" xfId="0" quotePrefix="1" applyFont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 wrapText="1"/>
    </xf>
    <xf numFmtId="0" fontId="24" fillId="0" borderId="0" xfId="0" applyFont="1" applyAlignment="1">
      <alignment horizontal="right" vertical="top" wrapText="1"/>
    </xf>
    <xf numFmtId="0" fontId="23" fillId="0" borderId="0" xfId="0" applyFont="1" applyAlignment="1">
      <alignment horizontal="right" vertical="top"/>
    </xf>
    <xf numFmtId="0" fontId="23" fillId="0" borderId="0" xfId="0" applyFont="1" applyAlignment="1">
      <alignment horizontal="right" vertical="top" wrapText="1"/>
    </xf>
    <xf numFmtId="165" fontId="23" fillId="0" borderId="0" xfId="0" applyNumberFormat="1" applyFont="1" applyAlignment="1">
      <alignment horizontal="right" vertical="top"/>
    </xf>
    <xf numFmtId="166" fontId="23" fillId="0" borderId="0" xfId="0" applyNumberFormat="1" applyFont="1" applyAlignment="1">
      <alignment horizontal="right" vertical="top"/>
    </xf>
    <xf numFmtId="165" fontId="25" fillId="0" borderId="0" xfId="0" applyNumberFormat="1" applyFont="1" applyAlignment="1">
      <alignment horizontal="right" vertical="top"/>
    </xf>
    <xf numFmtId="0" fontId="23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right" vertical="top" wrapText="1"/>
    </xf>
    <xf numFmtId="0" fontId="23" fillId="0" borderId="1" xfId="0" applyFont="1" applyBorder="1" applyAlignment="1">
      <alignment horizontal="right" vertical="top"/>
    </xf>
    <xf numFmtId="165" fontId="23" fillId="0" borderId="1" xfId="0" applyNumberFormat="1" applyFont="1" applyBorder="1" applyAlignment="1">
      <alignment horizontal="right" vertical="top"/>
    </xf>
    <xf numFmtId="0" fontId="23" fillId="0" borderId="1" xfId="0" applyFont="1" applyBorder="1" applyAlignment="1">
      <alignment horizontal="right" vertical="top" wrapText="1"/>
    </xf>
    <xf numFmtId="165" fontId="0" fillId="0" borderId="0" xfId="0" applyNumberFormat="1"/>
    <xf numFmtId="0" fontId="25" fillId="0" borderId="0" xfId="0" applyFont="1" applyAlignment="1">
      <alignment horizontal="left" vertical="top" wrapText="1"/>
    </xf>
    <xf numFmtId="0" fontId="23" fillId="0" borderId="0" xfId="0" applyFont="1" applyAlignment="1">
      <alignment vertical="top"/>
    </xf>
    <xf numFmtId="0" fontId="23" fillId="0" borderId="1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25" fillId="0" borderId="0" xfId="0" applyFont="1" applyAlignment="1">
      <alignment vertical="top"/>
    </xf>
    <xf numFmtId="0" fontId="13" fillId="0" borderId="0" xfId="0" applyFont="1" applyAlignment="1">
      <alignment horizontal="left" vertical="top" wrapText="1"/>
    </xf>
    <xf numFmtId="0" fontId="25" fillId="0" borderId="0" xfId="0" applyFont="1" applyAlignment="1">
      <alignment horizontal="right" vertical="top"/>
    </xf>
    <xf numFmtId="0" fontId="25" fillId="0" borderId="2" xfId="0" applyFont="1" applyBorder="1" applyAlignment="1">
      <alignment vertical="top"/>
    </xf>
    <xf numFmtId="0" fontId="13" fillId="0" borderId="2" xfId="0" applyFont="1" applyBorder="1" applyAlignment="1">
      <alignment horizontal="left" vertical="top" wrapText="1"/>
    </xf>
    <xf numFmtId="165" fontId="25" fillId="0" borderId="2" xfId="0" applyNumberFormat="1" applyFont="1" applyBorder="1" applyAlignment="1">
      <alignment horizontal="right" vertical="top"/>
    </xf>
    <xf numFmtId="0" fontId="25" fillId="0" borderId="2" xfId="0" applyFont="1" applyBorder="1" applyAlignment="1">
      <alignment horizontal="right" vertical="top"/>
    </xf>
    <xf numFmtId="165" fontId="11" fillId="0" borderId="0" xfId="0" applyNumberFormat="1" applyFont="1" applyAlignment="1">
      <alignment horizontal="right"/>
    </xf>
    <xf numFmtId="165" fontId="11" fillId="0" borderId="0" xfId="0" applyNumberFormat="1" applyFont="1" applyAlignment="1"/>
    <xf numFmtId="165" fontId="12" fillId="0" borderId="0" xfId="0" applyNumberFormat="1" applyFont="1" applyAlignment="1"/>
    <xf numFmtId="166" fontId="12" fillId="0" borderId="0" xfId="0" applyNumberFormat="1" applyFont="1" applyAlignment="1"/>
    <xf numFmtId="0" fontId="12" fillId="0" borderId="0" xfId="0" applyNumberFormat="1" applyFont="1" applyAlignment="1">
      <alignment horizontal="right"/>
    </xf>
    <xf numFmtId="0" fontId="11" fillId="0" borderId="0" xfId="0" applyNumberFormat="1" applyFont="1" applyAlignment="1">
      <alignment horizontal="right" vertical="center"/>
    </xf>
    <xf numFmtId="0" fontId="17" fillId="0" borderId="1" xfId="0" applyNumberFormat="1" applyFont="1" applyBorder="1" applyAlignment="1">
      <alignment horizontal="left"/>
    </xf>
    <xf numFmtId="0" fontId="17" fillId="0" borderId="0" xfId="0" applyNumberFormat="1" applyFont="1" applyAlignment="1">
      <alignment horizontal="right"/>
    </xf>
    <xf numFmtId="2" fontId="23" fillId="0" borderId="0" xfId="0" applyNumberFormat="1" applyFont="1" applyAlignment="1">
      <alignment vertical="top"/>
    </xf>
    <xf numFmtId="167" fontId="25" fillId="0" borderId="0" xfId="0" applyNumberFormat="1" applyFont="1" applyAlignment="1">
      <alignment vertical="top"/>
    </xf>
    <xf numFmtId="0" fontId="25" fillId="0" borderId="0" xfId="0" applyFont="1"/>
    <xf numFmtId="168" fontId="25" fillId="0" borderId="0" xfId="0" applyNumberFormat="1" applyFont="1"/>
    <xf numFmtId="1" fontId="25" fillId="0" borderId="0" xfId="0" applyNumberFormat="1" applyFont="1"/>
    <xf numFmtId="0" fontId="23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3" fillId="0" borderId="0" xfId="0" applyFont="1" applyAlignment="1">
      <alignment horizontal="right" vertical="top" wrapText="1"/>
    </xf>
    <xf numFmtId="0" fontId="26" fillId="0" borderId="2" xfId="0" applyNumberFormat="1" applyFont="1" applyBorder="1" applyAlignment="1">
      <alignment horizontal="center"/>
    </xf>
    <xf numFmtId="0" fontId="25" fillId="0" borderId="0" xfId="0" applyFont="1" applyAlignment="1">
      <alignment horizontal="left" vertical="top" wrapText="1"/>
    </xf>
    <xf numFmtId="0" fontId="25" fillId="0" borderId="2" xfId="0" applyFont="1" applyBorder="1" applyAlignment="1">
      <alignment horizontal="left" vertical="top" wrapText="1"/>
    </xf>
    <xf numFmtId="165" fontId="25" fillId="0" borderId="0" xfId="0" applyNumberFormat="1" applyFont="1" applyAlignment="1">
      <alignment horizontal="left" vertical="top"/>
    </xf>
    <xf numFmtId="165" fontId="25" fillId="0" borderId="2" xfId="0" applyNumberFormat="1" applyFont="1" applyBorder="1" applyAlignment="1">
      <alignment horizontal="right" vertical="top"/>
    </xf>
    <xf numFmtId="0" fontId="11" fillId="0" borderId="3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12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165" fontId="11" fillId="0" borderId="0" xfId="0" applyNumberFormat="1" applyFont="1" applyAlignment="1">
      <alignment horizontal="right"/>
    </xf>
    <xf numFmtId="0" fontId="11" fillId="0" borderId="0" xfId="0" applyNumberFormat="1" applyFont="1" applyAlignment="1">
      <alignment horizontal="right"/>
    </xf>
    <xf numFmtId="0" fontId="11" fillId="0" borderId="5" xfId="0" applyNumberFormat="1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9" fillId="0" borderId="2" xfId="0" applyNumberFormat="1" applyFont="1" applyBorder="1" applyAlignment="1">
      <alignment horizontal="center" vertical="top" wrapText="1"/>
    </xf>
    <xf numFmtId="0" fontId="11" fillId="0" borderId="1" xfId="0" applyNumberFormat="1" applyFont="1" applyBorder="1" applyAlignment="1">
      <alignment horizontal="left" wrapText="1"/>
    </xf>
    <xf numFmtId="0" fontId="16" fillId="0" borderId="1" xfId="0" applyNumberFormat="1" applyFont="1" applyBorder="1" applyAlignment="1">
      <alignment horizontal="center" wrapText="1"/>
    </xf>
    <xf numFmtId="0" fontId="16" fillId="0" borderId="0" xfId="0" applyNumberFormat="1" applyFont="1" applyAlignment="1">
      <alignment horizontal="center" wrapText="1"/>
    </xf>
    <xf numFmtId="0" fontId="21" fillId="0" borderId="1" xfId="0" applyNumberFormat="1" applyFont="1" applyBorder="1" applyAlignment="1">
      <alignment horizontal="center" wrapText="1"/>
    </xf>
    <xf numFmtId="0" fontId="11" fillId="0" borderId="0" xfId="0" applyNumberFormat="1" applyFont="1" applyAlignment="1">
      <alignment horizontal="left" vertical="top" wrapText="1"/>
    </xf>
    <xf numFmtId="0" fontId="11" fillId="0" borderId="1" xfId="0" applyNumberFormat="1" applyFont="1" applyBorder="1" applyAlignment="1">
      <alignment horizontal="left" vertical="top" wrapText="1"/>
    </xf>
    <xf numFmtId="0" fontId="17" fillId="0" borderId="0" xfId="0" applyNumberFormat="1" applyFont="1" applyAlignment="1">
      <alignment horizontal="left" wrapText="1"/>
    </xf>
    <xf numFmtId="0" fontId="16" fillId="0" borderId="0" xfId="0" applyNumberFormat="1" applyFont="1" applyAlignment="1">
      <alignment horizontal="left"/>
    </xf>
    <xf numFmtId="0" fontId="17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353"/>
  <sheetViews>
    <sheetView tabSelected="1" topLeftCell="A308" zoomScaleNormal="100" workbookViewId="0">
      <selection activeCell="C348" sqref="C348"/>
    </sheetView>
  </sheetViews>
  <sheetFormatPr defaultRowHeight="12.85" x14ac:dyDescent="0.2"/>
  <cols>
    <col min="1" max="1" width="5.75" customWidth="1"/>
    <col min="2" max="2" width="20.75" customWidth="1"/>
    <col min="3" max="3" width="40.75" customWidth="1"/>
    <col min="4" max="4" width="10.75" customWidth="1"/>
    <col min="5" max="12" width="15.75" customWidth="1"/>
    <col min="15" max="92" width="0" hidden="1" customWidth="1"/>
    <col min="93" max="93" width="108.75" hidden="1" customWidth="1"/>
    <col min="94" max="101" width="0" hidden="1" customWidth="1"/>
  </cols>
  <sheetData>
    <row r="1" spans="1:93" x14ac:dyDescent="0.2">
      <c r="A1" s="9" t="str">
        <f>Source!B1</f>
        <v>Smeta.RU  (495) 974-1589</v>
      </c>
    </row>
    <row r="2" spans="1:93" ht="12.8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93" ht="16.600000000000001" customHeight="1" x14ac:dyDescent="0.25">
      <c r="A3" s="11"/>
      <c r="B3" s="111" t="s">
        <v>344</v>
      </c>
      <c r="C3" s="111"/>
      <c r="D3" s="111"/>
      <c r="E3" s="111"/>
      <c r="F3" s="12"/>
      <c r="G3" s="12"/>
      <c r="H3" s="111" t="s">
        <v>345</v>
      </c>
      <c r="I3" s="111"/>
      <c r="J3" s="111"/>
      <c r="K3" s="111"/>
      <c r="L3" s="111"/>
    </row>
    <row r="4" spans="1:93" ht="14.3" customHeight="1" x14ac:dyDescent="0.2">
      <c r="A4" s="12"/>
      <c r="B4" s="112"/>
      <c r="C4" s="112"/>
      <c r="D4" s="112"/>
      <c r="E4" s="112"/>
      <c r="F4" s="12"/>
      <c r="G4" s="12"/>
      <c r="H4" s="112"/>
      <c r="I4" s="112"/>
      <c r="J4" s="112"/>
      <c r="K4" s="112"/>
      <c r="L4" s="112"/>
    </row>
    <row r="5" spans="1:93" ht="14.3" customHeight="1" x14ac:dyDescent="0.2">
      <c r="A5" s="12"/>
      <c r="B5" s="12"/>
      <c r="C5" s="13"/>
      <c r="D5" s="13"/>
      <c r="E5" s="13"/>
      <c r="F5" s="12"/>
      <c r="G5" s="12"/>
      <c r="H5" s="13"/>
      <c r="I5" s="13"/>
      <c r="J5" s="13"/>
      <c r="K5" s="13"/>
      <c r="L5" s="13"/>
    </row>
    <row r="6" spans="1:93" ht="14.3" customHeight="1" x14ac:dyDescent="0.2">
      <c r="A6" s="13"/>
      <c r="B6" s="112" t="str">
        <f>CONCATENATE("______________________ ", IF(Source!AL12&lt;&gt;"", Source!AL12, ""))</f>
        <v xml:space="preserve">______________________ </v>
      </c>
      <c r="C6" s="112"/>
      <c r="D6" s="112"/>
      <c r="E6" s="112"/>
      <c r="F6" s="12"/>
      <c r="G6" s="12"/>
      <c r="H6" s="112" t="str">
        <f>CONCATENATE("______________________ ", IF(Source!AH12&lt;&gt;"", Source!AH12, ""))</f>
        <v xml:space="preserve">______________________ </v>
      </c>
      <c r="I6" s="112"/>
      <c r="J6" s="112"/>
      <c r="K6" s="112"/>
      <c r="L6" s="112"/>
    </row>
    <row r="7" spans="1:93" ht="14.3" customHeight="1" x14ac:dyDescent="0.2">
      <c r="A7" s="14"/>
      <c r="B7" s="110" t="s">
        <v>346</v>
      </c>
      <c r="C7" s="110"/>
      <c r="D7" s="110"/>
      <c r="E7" s="110"/>
      <c r="F7" s="12"/>
      <c r="G7" s="12"/>
      <c r="H7" s="110" t="s">
        <v>346</v>
      </c>
      <c r="I7" s="110"/>
      <c r="J7" s="110"/>
      <c r="K7" s="110"/>
      <c r="L7" s="110"/>
    </row>
    <row r="10" spans="1:93" ht="12.85" customHeight="1" x14ac:dyDescent="0.2">
      <c r="A10" s="108" t="s">
        <v>347</v>
      </c>
      <c r="B10" s="108"/>
      <c r="C10" s="108"/>
      <c r="D10" s="108"/>
      <c r="E10" s="108"/>
      <c r="F10" s="109" t="s">
        <v>386</v>
      </c>
      <c r="G10" s="109"/>
      <c r="H10" s="109"/>
      <c r="I10" s="109"/>
      <c r="J10" s="109"/>
      <c r="K10" s="109"/>
      <c r="L10" s="109"/>
    </row>
    <row r="11" spans="1:93" ht="12.85" customHeight="1" x14ac:dyDescent="0.2">
      <c r="A11" s="16"/>
      <c r="B11" s="16"/>
      <c r="C11" s="16"/>
      <c r="D11" s="16"/>
      <c r="E11" s="16"/>
      <c r="F11" s="17"/>
      <c r="G11" s="17"/>
      <c r="H11" s="17"/>
      <c r="I11" s="17"/>
      <c r="J11" s="17"/>
      <c r="K11" s="17"/>
      <c r="L11" s="17"/>
    </row>
    <row r="12" spans="1:93" ht="25.7" x14ac:dyDescent="0.2">
      <c r="A12" s="108" t="s">
        <v>348</v>
      </c>
      <c r="B12" s="108"/>
      <c r="C12" s="108"/>
      <c r="D12" s="108"/>
      <c r="E12" s="108"/>
      <c r="F12" s="109" t="str">
        <f>IF(Source!CQ12 &lt;&gt; "", Source!CQ12, 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  <c r="G12" s="109"/>
      <c r="H12" s="109"/>
      <c r="I12" s="109"/>
      <c r="J12" s="109"/>
      <c r="K12" s="109"/>
      <c r="L12" s="109"/>
      <c r="CO12" s="39" t="str">
        <f>IF(Source!CQ12 &lt;&gt; "", Source!CQ12, 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</row>
    <row r="13" spans="1:93" ht="12.85" customHeight="1" x14ac:dyDescent="0.2">
      <c r="A13" s="16"/>
      <c r="B13" s="16"/>
      <c r="C13" s="16"/>
      <c r="D13" s="16"/>
      <c r="E13" s="16"/>
      <c r="F13" s="17"/>
      <c r="G13" s="17"/>
      <c r="H13" s="17"/>
      <c r="I13" s="17"/>
      <c r="J13" s="17"/>
      <c r="K13" s="17"/>
      <c r="L13" s="17"/>
    </row>
    <row r="14" spans="1:93" ht="128.35" x14ac:dyDescent="0.2">
      <c r="A14" s="108" t="s">
        <v>349</v>
      </c>
      <c r="B14" s="108"/>
      <c r="C14" s="108"/>
      <c r="D14" s="108"/>
      <c r="E14" s="108"/>
      <c r="F14" s="109" t="str">
        <f>IF(Source!CV12 &lt;&gt; "", Source!CV12, 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  <c r="G14" s="109"/>
      <c r="H14" s="109"/>
      <c r="I14" s="109"/>
      <c r="J14" s="109"/>
      <c r="K14" s="109"/>
      <c r="L14" s="109"/>
      <c r="CO14" s="39" t="str">
        <f>IF(Source!CV12 &lt;&gt; "", Source!CV12, 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</row>
    <row r="15" spans="1:93" ht="12.85" customHeight="1" x14ac:dyDescent="0.2">
      <c r="A15" s="16"/>
      <c r="B15" s="16"/>
      <c r="C15" s="16"/>
      <c r="D15" s="16"/>
      <c r="E15" s="16"/>
      <c r="F15" s="17"/>
      <c r="G15" s="17"/>
      <c r="H15" s="17"/>
      <c r="I15" s="17"/>
      <c r="J15" s="17"/>
      <c r="K15" s="17"/>
      <c r="L15" s="17"/>
    </row>
    <row r="16" spans="1:93" ht="76.45" customHeight="1" x14ac:dyDescent="0.2">
      <c r="A16" s="108" t="s">
        <v>350</v>
      </c>
      <c r="B16" s="108"/>
      <c r="C16" s="108"/>
      <c r="D16" s="108"/>
      <c r="E16" s="108"/>
      <c r="F16" s="109"/>
      <c r="G16" s="109"/>
      <c r="H16" s="109"/>
      <c r="I16" s="109"/>
      <c r="J16" s="109"/>
      <c r="K16" s="109"/>
      <c r="L16" s="109"/>
    </row>
    <row r="17" spans="1:12" ht="12.85" customHeight="1" x14ac:dyDescent="0.2">
      <c r="A17" s="16"/>
      <c r="B17" s="16"/>
      <c r="C17" s="16"/>
      <c r="D17" s="16"/>
      <c r="E17" s="16"/>
      <c r="F17" s="17"/>
      <c r="G17" s="17"/>
      <c r="H17" s="17"/>
      <c r="I17" s="17"/>
      <c r="J17" s="17"/>
      <c r="K17" s="17"/>
      <c r="L17" s="17"/>
    </row>
    <row r="18" spans="1:12" ht="38.35" customHeight="1" x14ac:dyDescent="0.2">
      <c r="A18" s="108" t="s">
        <v>351</v>
      </c>
      <c r="B18" s="108"/>
      <c r="C18" s="108"/>
      <c r="D18" s="108"/>
      <c r="E18" s="108"/>
      <c r="F18" s="109"/>
      <c r="G18" s="109"/>
      <c r="H18" s="109"/>
      <c r="I18" s="109"/>
      <c r="J18" s="109"/>
      <c r="K18" s="109"/>
      <c r="L18" s="109"/>
    </row>
    <row r="19" spans="1:12" ht="12.85" customHeight="1" x14ac:dyDescent="0.2">
      <c r="A19" s="18"/>
      <c r="B19" s="18"/>
      <c r="C19" s="18"/>
      <c r="D19" s="18"/>
      <c r="E19" s="18"/>
      <c r="F19" s="19"/>
      <c r="G19" s="19"/>
      <c r="H19" s="19"/>
      <c r="I19" s="19"/>
      <c r="J19" s="19"/>
      <c r="K19" s="19"/>
      <c r="L19" s="19"/>
    </row>
    <row r="20" spans="1:12" ht="12.85" customHeight="1" x14ac:dyDescent="0.2">
      <c r="A20" s="108" t="s">
        <v>352</v>
      </c>
      <c r="B20" s="108"/>
      <c r="C20" s="108"/>
      <c r="D20" s="108"/>
      <c r="E20" s="108"/>
      <c r="F20" s="109" t="s">
        <v>387</v>
      </c>
      <c r="G20" s="109"/>
      <c r="H20" s="109"/>
      <c r="I20" s="109"/>
      <c r="J20" s="109"/>
      <c r="K20" s="109"/>
      <c r="L20" s="109"/>
    </row>
    <row r="21" spans="1:12" ht="12.85" customHeight="1" x14ac:dyDescent="0.2">
      <c r="A21" s="18"/>
      <c r="B21" s="18"/>
      <c r="C21" s="18"/>
      <c r="D21" s="18"/>
      <c r="E21" s="18"/>
      <c r="F21" s="19"/>
      <c r="G21" s="19"/>
      <c r="H21" s="19"/>
      <c r="I21" s="19"/>
      <c r="J21" s="19"/>
      <c r="K21" s="19"/>
      <c r="L21" s="19"/>
    </row>
    <row r="22" spans="1:12" ht="12.85" customHeight="1" x14ac:dyDescent="0.2">
      <c r="A22" s="108" t="s">
        <v>353</v>
      </c>
      <c r="B22" s="108"/>
      <c r="C22" s="108"/>
      <c r="D22" s="108"/>
      <c r="E22" s="108"/>
      <c r="F22" s="109" t="str">
        <f>IF(Source!CZ12 &lt;&gt; "", Source!CZ12, "")</f>
        <v/>
      </c>
      <c r="G22" s="109"/>
      <c r="H22" s="109"/>
      <c r="I22" s="109"/>
      <c r="J22" s="109"/>
      <c r="K22" s="109"/>
      <c r="L22" s="109"/>
    </row>
    <row r="23" spans="1:12" ht="12.85" customHeight="1" x14ac:dyDescent="0.2">
      <c r="A23" s="18"/>
      <c r="B23" s="18"/>
      <c r="C23" s="18"/>
      <c r="D23" s="18"/>
      <c r="E23" s="18"/>
      <c r="F23" s="19"/>
      <c r="G23" s="19"/>
      <c r="H23" s="19"/>
      <c r="I23" s="19"/>
      <c r="J23" s="19"/>
      <c r="K23" s="19"/>
      <c r="L23" s="17"/>
    </row>
    <row r="24" spans="1:12" ht="12.85" customHeight="1" x14ac:dyDescent="0.2">
      <c r="A24" s="108" t="s">
        <v>354</v>
      </c>
      <c r="B24" s="108"/>
      <c r="C24" s="108"/>
      <c r="D24" s="108"/>
      <c r="E24" s="108"/>
      <c r="F24" s="109" t="str">
        <f>IF(Source!DA12 &lt;&gt; "", Source!DA12, "")</f>
        <v/>
      </c>
      <c r="G24" s="109"/>
      <c r="H24" s="109"/>
      <c r="I24" s="109"/>
      <c r="J24" s="109"/>
      <c r="K24" s="109"/>
      <c r="L24" s="109"/>
    </row>
    <row r="25" spans="1:12" ht="12.85" customHeight="1" x14ac:dyDescent="0.2">
      <c r="A25" s="10"/>
      <c r="B25" s="10"/>
      <c r="C25" s="10"/>
      <c r="D25" s="10"/>
      <c r="E25" s="10"/>
      <c r="F25" s="20"/>
      <c r="G25" s="20"/>
      <c r="H25" s="20"/>
      <c r="I25" s="20"/>
      <c r="J25" s="20"/>
      <c r="K25" s="20"/>
      <c r="L25" s="20"/>
    </row>
    <row r="26" spans="1:12" ht="12.8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ht="15.7" customHeight="1" x14ac:dyDescent="0.25">
      <c r="A27" s="105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</row>
    <row r="28" spans="1:12" ht="14.3" customHeight="1" x14ac:dyDescent="0.2">
      <c r="A28" s="103" t="s">
        <v>355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</row>
    <row r="29" spans="1:12" ht="14.3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spans="1:12" ht="15.7" customHeight="1" x14ac:dyDescent="0.25">
      <c r="A30" s="105"/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</row>
    <row r="31" spans="1:12" ht="14.3" customHeight="1" x14ac:dyDescent="0.2">
      <c r="A31" s="103" t="s">
        <v>356</v>
      </c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</row>
    <row r="32" spans="1:12" ht="14.3" customHeight="1" x14ac:dyDescent="0.2">
      <c r="A32" s="12"/>
      <c r="B32" s="12"/>
      <c r="C32" s="12"/>
      <c r="D32" s="12"/>
      <c r="E32" s="12"/>
      <c r="F32" s="14"/>
      <c r="G32" s="14"/>
      <c r="H32" s="14"/>
      <c r="I32" s="14"/>
      <c r="J32" s="14"/>
      <c r="K32" s="14"/>
      <c r="L32" s="14"/>
    </row>
    <row r="33" spans="1:12" ht="15.7" customHeight="1" x14ac:dyDescent="0.25">
      <c r="A33" s="106" t="s">
        <v>469</v>
      </c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</row>
    <row r="34" spans="1:12" ht="15" customHeight="1" x14ac:dyDescent="0.25">
      <c r="A34" s="21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1"/>
    </row>
    <row r="35" spans="1:12" ht="18" customHeight="1" x14ac:dyDescent="0.3">
      <c r="A35" s="107" t="s">
        <v>470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</row>
    <row r="36" spans="1:12" ht="14.3" customHeight="1" x14ac:dyDescent="0.2">
      <c r="A36" s="103" t="s">
        <v>357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</row>
    <row r="37" spans="1:12" ht="14.3" customHeight="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1:12" ht="14.3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spans="1:12" ht="12.85" customHeight="1" x14ac:dyDescent="0.2">
      <c r="A39" s="15" t="s">
        <v>358</v>
      </c>
      <c r="B39" s="15"/>
      <c r="C39" s="24" t="s">
        <v>388</v>
      </c>
      <c r="D39" s="15" t="s">
        <v>359</v>
      </c>
      <c r="E39" s="15"/>
      <c r="F39" s="15"/>
      <c r="G39" s="15"/>
      <c r="H39" s="15"/>
      <c r="I39" s="15"/>
      <c r="J39" s="15"/>
      <c r="K39" s="15"/>
      <c r="L39" s="15"/>
    </row>
    <row r="40" spans="1:12" ht="12.85" customHeight="1" x14ac:dyDescent="0.2">
      <c r="A40" s="15"/>
      <c r="B40" s="15"/>
      <c r="C40" s="25"/>
      <c r="D40" s="15"/>
      <c r="E40" s="15"/>
      <c r="F40" s="15"/>
      <c r="G40" s="15"/>
      <c r="H40" s="15"/>
      <c r="I40" s="15"/>
      <c r="J40" s="15"/>
      <c r="K40" s="15"/>
      <c r="L40" s="15"/>
    </row>
    <row r="41" spans="1:12" ht="12.85" customHeight="1" x14ac:dyDescent="0.2">
      <c r="A41" s="15" t="s">
        <v>360</v>
      </c>
      <c r="B41" s="15"/>
      <c r="C41" s="104"/>
      <c r="D41" s="104"/>
      <c r="E41" s="104"/>
      <c r="F41" s="104"/>
      <c r="G41" s="104"/>
      <c r="H41" s="104"/>
      <c r="I41" s="104"/>
      <c r="J41" s="104"/>
      <c r="K41" s="104"/>
      <c r="L41" s="104"/>
    </row>
    <row r="42" spans="1:12" ht="12.85" customHeight="1" x14ac:dyDescent="0.2">
      <c r="A42" s="26"/>
      <c r="B42" s="27"/>
      <c r="C42" s="103" t="s">
        <v>361</v>
      </c>
      <c r="D42" s="103"/>
      <c r="E42" s="103"/>
      <c r="F42" s="103"/>
      <c r="G42" s="103"/>
      <c r="H42" s="103"/>
      <c r="I42" s="103"/>
      <c r="J42" s="103"/>
      <c r="K42" s="103"/>
      <c r="L42" s="103"/>
    </row>
    <row r="43" spans="1:12" ht="14.3" customHeight="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</row>
    <row r="44" spans="1:12" ht="14.3" customHeight="1" x14ac:dyDescent="0.2">
      <c r="A44" s="28" t="s">
        <v>389</v>
      </c>
      <c r="B44" s="12"/>
      <c r="C44" s="12"/>
      <c r="D44" s="29"/>
      <c r="E44" s="12"/>
      <c r="F44" s="12"/>
      <c r="G44" s="12"/>
      <c r="H44" s="12"/>
      <c r="I44" s="12"/>
      <c r="J44" s="12"/>
      <c r="K44" s="12"/>
      <c r="L44" s="12"/>
    </row>
    <row r="45" spans="1:12" ht="14.3" customHeight="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</row>
    <row r="46" spans="1:12" ht="14.3" customHeight="1" x14ac:dyDescent="0.2">
      <c r="A46" s="28" t="s">
        <v>362</v>
      </c>
      <c r="B46" s="12"/>
      <c r="C46" s="98">
        <f>C49+C50+C51+C52</f>
        <v>462.32</v>
      </c>
      <c r="D46" s="99"/>
      <c r="E46" s="15" t="s">
        <v>363</v>
      </c>
      <c r="F46" s="10"/>
      <c r="G46" s="10"/>
      <c r="H46" s="10"/>
      <c r="I46" s="10"/>
      <c r="J46" s="10"/>
      <c r="K46" s="10"/>
      <c r="L46" s="12"/>
    </row>
    <row r="47" spans="1:12" ht="14.3" customHeight="1" x14ac:dyDescent="0.2">
      <c r="A47" s="28"/>
      <c r="B47" s="12"/>
      <c r="C47" s="67"/>
      <c r="D47" s="30"/>
      <c r="E47" s="15"/>
      <c r="F47" s="10"/>
      <c r="G47" s="15" t="s">
        <v>364</v>
      </c>
      <c r="H47" s="12"/>
      <c r="I47" s="15"/>
      <c r="J47" s="15"/>
      <c r="K47" s="69">
        <f>ROUND(SUM(AR60:AR343)/1000, 2)</f>
        <v>112.3</v>
      </c>
      <c r="L47" s="15" t="s">
        <v>363</v>
      </c>
    </row>
    <row r="48" spans="1:12" ht="14.3" customHeight="1" x14ac:dyDescent="0.2">
      <c r="A48" s="12"/>
      <c r="B48" s="31" t="s">
        <v>365</v>
      </c>
      <c r="C48" s="68"/>
      <c r="D48" s="12"/>
      <c r="E48" s="15"/>
      <c r="F48" s="10"/>
      <c r="G48" s="15" t="s">
        <v>366</v>
      </c>
      <c r="H48" s="12"/>
      <c r="I48" s="15"/>
      <c r="J48" s="15"/>
      <c r="K48" s="69">
        <f>ROUND(SUM(AT60:AT343)/1000, 2)</f>
        <v>19.170000000000002</v>
      </c>
      <c r="L48" s="15" t="s">
        <v>363</v>
      </c>
    </row>
    <row r="49" spans="1:83" ht="14.3" customHeight="1" x14ac:dyDescent="0.2">
      <c r="A49" s="12"/>
      <c r="B49" s="28" t="s">
        <v>367</v>
      </c>
      <c r="C49" s="98">
        <f>ROUND((Source!F92)/1000, 2)</f>
        <v>454.98</v>
      </c>
      <c r="D49" s="99"/>
      <c r="E49" s="15" t="s">
        <v>363</v>
      </c>
      <c r="F49" s="10"/>
      <c r="G49" s="15" t="s">
        <v>368</v>
      </c>
      <c r="H49" s="12"/>
      <c r="I49" s="15"/>
      <c r="J49" s="30"/>
      <c r="K49" s="70">
        <f>Source!F97</f>
        <v>322.41984000000002</v>
      </c>
      <c r="L49" s="15" t="s">
        <v>247</v>
      </c>
    </row>
    <row r="50" spans="1:83" ht="14.3" customHeight="1" x14ac:dyDescent="0.2">
      <c r="A50" s="12"/>
      <c r="B50" s="28" t="s">
        <v>369</v>
      </c>
      <c r="C50" s="98">
        <f>ROUND((Source!F93)/1000, 2)</f>
        <v>7.34</v>
      </c>
      <c r="D50" s="99"/>
      <c r="E50" s="15" t="s">
        <v>363</v>
      </c>
      <c r="F50" s="10"/>
      <c r="G50" s="15" t="s">
        <v>370</v>
      </c>
      <c r="H50" s="12"/>
      <c r="I50" s="15"/>
      <c r="J50" s="32"/>
      <c r="K50" s="70">
        <f>Source!F98</f>
        <v>38.397799999999997</v>
      </c>
      <c r="L50" s="15" t="s">
        <v>247</v>
      </c>
    </row>
    <row r="51" spans="1:83" ht="14.3" customHeight="1" x14ac:dyDescent="0.2">
      <c r="A51" s="12"/>
      <c r="B51" s="28" t="s">
        <v>371</v>
      </c>
      <c r="C51" s="98">
        <f>ROUND((Source!F84)/1000, 2)</f>
        <v>0</v>
      </c>
      <c r="D51" s="99"/>
      <c r="E51" s="15" t="s">
        <v>363</v>
      </c>
      <c r="F51" s="10"/>
      <c r="G51" s="15"/>
      <c r="H51" s="15"/>
      <c r="I51" s="15"/>
      <c r="J51" s="15"/>
      <c r="K51" s="10"/>
      <c r="L51" s="15"/>
    </row>
    <row r="52" spans="1:83" ht="14.3" customHeight="1" x14ac:dyDescent="0.2">
      <c r="A52" s="12"/>
      <c r="B52" s="28" t="s">
        <v>372</v>
      </c>
      <c r="C52" s="98">
        <f>ROUND((Source!F94)/1000, 2)</f>
        <v>0</v>
      </c>
      <c r="D52" s="99"/>
      <c r="E52" s="15" t="s">
        <v>363</v>
      </c>
      <c r="F52" s="10"/>
      <c r="G52" s="15"/>
      <c r="H52" s="15"/>
      <c r="I52" s="15"/>
      <c r="J52" s="15"/>
      <c r="K52" s="10"/>
      <c r="L52" s="15"/>
    </row>
    <row r="53" spans="1:83" ht="14.3" customHeight="1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</row>
    <row r="54" spans="1:83" ht="12.85" customHeight="1" x14ac:dyDescent="0.2">
      <c r="A54" s="100" t="s">
        <v>373</v>
      </c>
      <c r="B54" s="100" t="s">
        <v>374</v>
      </c>
      <c r="C54" s="100" t="s">
        <v>375</v>
      </c>
      <c r="D54" s="100" t="s">
        <v>376</v>
      </c>
      <c r="E54" s="88" t="s">
        <v>377</v>
      </c>
      <c r="F54" s="89"/>
      <c r="G54" s="90"/>
      <c r="H54" s="88" t="s">
        <v>378</v>
      </c>
      <c r="I54" s="89"/>
      <c r="J54" s="89"/>
      <c r="K54" s="89"/>
      <c r="L54" s="90"/>
    </row>
    <row r="55" spans="1:83" ht="12.85" customHeight="1" x14ac:dyDescent="0.2">
      <c r="A55" s="101"/>
      <c r="B55" s="101"/>
      <c r="C55" s="101"/>
      <c r="D55" s="101"/>
      <c r="E55" s="91"/>
      <c r="F55" s="92"/>
      <c r="G55" s="93"/>
      <c r="H55" s="91"/>
      <c r="I55" s="92"/>
      <c r="J55" s="92"/>
      <c r="K55" s="92"/>
      <c r="L55" s="93"/>
    </row>
    <row r="56" spans="1:83" ht="12.85" customHeight="1" x14ac:dyDescent="0.2">
      <c r="A56" s="101"/>
      <c r="B56" s="101"/>
      <c r="C56" s="101"/>
      <c r="D56" s="101"/>
      <c r="E56" s="91"/>
      <c r="F56" s="92"/>
      <c r="G56" s="93"/>
      <c r="H56" s="91"/>
      <c r="I56" s="92"/>
      <c r="J56" s="92"/>
      <c r="K56" s="92"/>
      <c r="L56" s="93"/>
    </row>
    <row r="57" spans="1:83" ht="12.85" customHeight="1" x14ac:dyDescent="0.2">
      <c r="A57" s="101"/>
      <c r="B57" s="101"/>
      <c r="C57" s="101"/>
      <c r="D57" s="101"/>
      <c r="E57" s="94"/>
      <c r="F57" s="95"/>
      <c r="G57" s="96"/>
      <c r="H57" s="94"/>
      <c r="I57" s="95"/>
      <c r="J57" s="95"/>
      <c r="K57" s="95"/>
      <c r="L57" s="96"/>
    </row>
    <row r="58" spans="1:83" ht="51" customHeight="1" x14ac:dyDescent="0.2">
      <c r="A58" s="102"/>
      <c r="B58" s="102"/>
      <c r="C58" s="102"/>
      <c r="D58" s="102"/>
      <c r="E58" s="34" t="s">
        <v>379</v>
      </c>
      <c r="F58" s="34" t="s">
        <v>380</v>
      </c>
      <c r="G58" s="35" t="s">
        <v>381</v>
      </c>
      <c r="H58" s="34" t="s">
        <v>382</v>
      </c>
      <c r="I58" s="34" t="s">
        <v>383</v>
      </c>
      <c r="J58" s="34" t="s">
        <v>384</v>
      </c>
      <c r="K58" s="34" t="s">
        <v>380</v>
      </c>
      <c r="L58" s="34" t="s">
        <v>385</v>
      </c>
    </row>
    <row r="59" spans="1:83" ht="14.3" customHeight="1" x14ac:dyDescent="0.2">
      <c r="A59" s="36">
        <v>1</v>
      </c>
      <c r="B59" s="36">
        <v>2</v>
      </c>
      <c r="C59" s="36">
        <v>3</v>
      </c>
      <c r="D59" s="36">
        <v>4</v>
      </c>
      <c r="E59" s="36">
        <v>5</v>
      </c>
      <c r="F59" s="36">
        <v>6</v>
      </c>
      <c r="G59" s="36">
        <v>7</v>
      </c>
      <c r="H59" s="36">
        <v>8</v>
      </c>
      <c r="I59" s="36">
        <v>9</v>
      </c>
      <c r="J59" s="36">
        <v>10</v>
      </c>
      <c r="K59" s="38">
        <v>11</v>
      </c>
      <c r="L59" s="38">
        <v>12</v>
      </c>
    </row>
    <row r="61" spans="1:83" ht="16.399999999999999" x14ac:dyDescent="0.2">
      <c r="A61" s="97" t="s">
        <v>390</v>
      </c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</row>
    <row r="62" spans="1:83" ht="27.1" x14ac:dyDescent="0.2">
      <c r="A62" s="41" t="s">
        <v>17</v>
      </c>
      <c r="B62" s="43" t="s">
        <v>391</v>
      </c>
      <c r="C62" s="43" t="str">
        <f>Source!G28</f>
        <v>Планировка площадей: механизированным способом, группа грунтов 1</v>
      </c>
      <c r="D62" s="44" t="str">
        <f>Source!H28</f>
        <v>1000 м2</v>
      </c>
      <c r="E62" s="45">
        <f>Source!K28</f>
        <v>2.5</v>
      </c>
      <c r="F62" s="45"/>
      <c r="G62" s="45">
        <f>Source!I28</f>
        <v>2.5</v>
      </c>
      <c r="H62" s="47"/>
      <c r="I62" s="46"/>
      <c r="J62" s="47"/>
      <c r="K62" s="46"/>
      <c r="L62" s="47"/>
    </row>
    <row r="63" spans="1:83" ht="14.3" x14ac:dyDescent="0.2">
      <c r="A63" s="42"/>
      <c r="B63" s="45">
        <v>2</v>
      </c>
      <c r="C63" s="42" t="s">
        <v>392</v>
      </c>
      <c r="D63" s="44"/>
      <c r="E63" s="48"/>
      <c r="F63" s="45"/>
      <c r="G63" s="45"/>
      <c r="H63" s="45"/>
      <c r="I63" s="45"/>
      <c r="J63" s="45"/>
      <c r="K63" s="45"/>
      <c r="L63" s="49">
        <f>SUM(L64:L68)-SUMIF(CE64:CE68, 1, L64:L68)</f>
        <v>3963.57</v>
      </c>
    </row>
    <row r="64" spans="1:83" ht="14.3" x14ac:dyDescent="0.2">
      <c r="A64" s="42"/>
      <c r="B64" s="45"/>
      <c r="C64" s="42" t="s">
        <v>394</v>
      </c>
      <c r="D64" s="44" t="s">
        <v>247</v>
      </c>
      <c r="E64" s="48"/>
      <c r="F64" s="45"/>
      <c r="G64" s="45">
        <f>Source!V28</f>
        <v>2.1</v>
      </c>
      <c r="H64" s="45"/>
      <c r="I64" s="45"/>
      <c r="J64" s="45"/>
      <c r="K64" s="45"/>
      <c r="L64" s="49">
        <f>SUMIF(CE65:CE68, 1, L65:L68)</f>
        <v>1119.3</v>
      </c>
      <c r="CE64">
        <v>1</v>
      </c>
    </row>
    <row r="65" spans="1:83" ht="13.55" x14ac:dyDescent="0.2">
      <c r="A65" s="43"/>
      <c r="B65" s="43" t="s">
        <v>248</v>
      </c>
      <c r="C65" s="43" t="s">
        <v>250</v>
      </c>
      <c r="D65" s="44" t="s">
        <v>251</v>
      </c>
      <c r="E65" s="45">
        <v>0.5</v>
      </c>
      <c r="F65" s="45"/>
      <c r="G65" s="45">
        <f>SmtRes!CX2</f>
        <v>1.25</v>
      </c>
      <c r="H65" s="47">
        <f>SmtRes!CZ2</f>
        <v>887.54</v>
      </c>
      <c r="I65" s="46">
        <f>SmtRes!AJ2</f>
        <v>1.44</v>
      </c>
      <c r="J65" s="47">
        <f>ROUND(H65*I65, 2)</f>
        <v>1278.06</v>
      </c>
      <c r="K65" s="46"/>
      <c r="L65" s="47">
        <f>SmtRes!DG2</f>
        <v>1597.58</v>
      </c>
    </row>
    <row r="66" spans="1:83" ht="13.55" x14ac:dyDescent="0.2">
      <c r="A66" s="43"/>
      <c r="B66" s="43" t="s">
        <v>252</v>
      </c>
      <c r="C66" s="43" t="s">
        <v>393</v>
      </c>
      <c r="D66" s="44" t="s">
        <v>247</v>
      </c>
      <c r="E66" s="45">
        <f>SmtRes!DO2*SmtRes!AT2</f>
        <v>0.5</v>
      </c>
      <c r="F66" s="45"/>
      <c r="G66" s="45">
        <f>ROUND(E66*G62, 7)</f>
        <v>1.25</v>
      </c>
      <c r="H66" s="47"/>
      <c r="I66" s="46"/>
      <c r="J66" s="47">
        <f>ROUND(SmtRes!AG2/SmtRes!DO2, 2)</f>
        <v>533</v>
      </c>
      <c r="K66" s="46"/>
      <c r="L66" s="47">
        <f>SmtRes!DH2</f>
        <v>666.25</v>
      </c>
      <c r="CE66">
        <v>1</v>
      </c>
    </row>
    <row r="67" spans="1:83" ht="27.1" x14ac:dyDescent="0.2">
      <c r="A67" s="43"/>
      <c r="B67" s="43" t="s">
        <v>253</v>
      </c>
      <c r="C67" s="43" t="s">
        <v>255</v>
      </c>
      <c r="D67" s="44" t="s">
        <v>251</v>
      </c>
      <c r="E67" s="45">
        <v>0.34</v>
      </c>
      <c r="F67" s="45"/>
      <c r="G67" s="45">
        <f>SmtRes!CX3</f>
        <v>0.85</v>
      </c>
      <c r="H67" s="47">
        <f>SmtRes!CZ3</f>
        <v>1933</v>
      </c>
      <c r="I67" s="46">
        <f>SmtRes!AJ3</f>
        <v>1.44</v>
      </c>
      <c r="J67" s="47">
        <f>ROUND(H67*I67, 2)</f>
        <v>2783.52</v>
      </c>
      <c r="K67" s="46"/>
      <c r="L67" s="47">
        <f>SmtRes!DG3</f>
        <v>2365.9899999999998</v>
      </c>
    </row>
    <row r="68" spans="1:83" ht="13.55" x14ac:dyDescent="0.2">
      <c r="A68" s="43"/>
      <c r="B68" s="43" t="s">
        <v>252</v>
      </c>
      <c r="C68" s="50" t="s">
        <v>393</v>
      </c>
      <c r="D68" s="51" t="s">
        <v>247</v>
      </c>
      <c r="E68" s="52">
        <f>SmtRes!DO3*SmtRes!AT3</f>
        <v>0.34</v>
      </c>
      <c r="F68" s="52"/>
      <c r="G68" s="52">
        <f>ROUND(E68*G62, 7)</f>
        <v>0.85</v>
      </c>
      <c r="H68" s="53"/>
      <c r="I68" s="54"/>
      <c r="J68" s="53">
        <f>ROUND(SmtRes!AG3/SmtRes!DO3, 2)</f>
        <v>533</v>
      </c>
      <c r="K68" s="54"/>
      <c r="L68" s="53">
        <f>SmtRes!DH3</f>
        <v>453.05</v>
      </c>
      <c r="CE68">
        <v>1</v>
      </c>
    </row>
    <row r="69" spans="1:83" ht="14.3" x14ac:dyDescent="0.2">
      <c r="A69" s="43"/>
      <c r="B69" s="43"/>
      <c r="C69" s="56" t="s">
        <v>395</v>
      </c>
      <c r="D69" s="44"/>
      <c r="E69" s="45"/>
      <c r="F69" s="45"/>
      <c r="G69" s="45"/>
      <c r="H69" s="47"/>
      <c r="I69" s="46"/>
      <c r="J69" s="47"/>
      <c r="K69" s="46"/>
      <c r="L69" s="47">
        <f>L63+L64</f>
        <v>5082.87</v>
      </c>
    </row>
    <row r="70" spans="1:83" ht="13.55" x14ac:dyDescent="0.2">
      <c r="A70" s="43"/>
      <c r="B70" s="43"/>
      <c r="C70" s="43" t="s">
        <v>396</v>
      </c>
      <c r="D70" s="44"/>
      <c r="E70" s="45"/>
      <c r="F70" s="45"/>
      <c r="G70" s="45"/>
      <c r="H70" s="47"/>
      <c r="I70" s="46"/>
      <c r="J70" s="47"/>
      <c r="K70" s="46"/>
      <c r="L70" s="47">
        <f>SUM(AR62:AR73)+SUM(AS62:AS73)+SUM(AT62:AT73)+SUM(AU62:AU73)+SUM(AV62:AV73)</f>
        <v>1119.3</v>
      </c>
    </row>
    <row r="71" spans="1:83" ht="40.65" x14ac:dyDescent="0.2">
      <c r="A71" s="43"/>
      <c r="B71" s="43" t="s">
        <v>26</v>
      </c>
      <c r="C71" s="43" t="s">
        <v>397</v>
      </c>
      <c r="D71" s="44" t="s">
        <v>60</v>
      </c>
      <c r="E71" s="45">
        <f>Source!BZ28</f>
        <v>89</v>
      </c>
      <c r="F71" s="45"/>
      <c r="G71" s="45">
        <f>Source!AT28</f>
        <v>89</v>
      </c>
      <c r="H71" s="47"/>
      <c r="I71" s="46"/>
      <c r="J71" s="47"/>
      <c r="K71" s="46"/>
      <c r="L71" s="47">
        <f>SUM(AZ62:AZ73)</f>
        <v>996.18</v>
      </c>
    </row>
    <row r="72" spans="1:83" ht="40.65" x14ac:dyDescent="0.2">
      <c r="A72" s="50"/>
      <c r="B72" s="50" t="s">
        <v>27</v>
      </c>
      <c r="C72" s="50" t="s">
        <v>398</v>
      </c>
      <c r="D72" s="51" t="s">
        <v>60</v>
      </c>
      <c r="E72" s="52">
        <f>Source!CA28</f>
        <v>41</v>
      </c>
      <c r="F72" s="52"/>
      <c r="G72" s="52">
        <f>Source!AU28</f>
        <v>41</v>
      </c>
      <c r="H72" s="53"/>
      <c r="I72" s="54"/>
      <c r="J72" s="53"/>
      <c r="K72" s="54"/>
      <c r="L72" s="53">
        <f>SUM(BA62:BA73)</f>
        <v>458.91</v>
      </c>
    </row>
    <row r="73" spans="1:83" ht="14.3" x14ac:dyDescent="0.2">
      <c r="C73" s="86" t="s">
        <v>399</v>
      </c>
      <c r="D73" s="86"/>
      <c r="E73" s="86"/>
      <c r="F73" s="86"/>
      <c r="G73" s="86"/>
      <c r="H73" s="86"/>
      <c r="I73" s="87">
        <f>IF(E62&lt;&gt;0,K73/E62, 0)</f>
        <v>2615.1840000000002</v>
      </c>
      <c r="J73" s="87"/>
      <c r="K73" s="87">
        <f>L63+L71+L72+L64</f>
        <v>6537.96</v>
      </c>
      <c r="L73" s="87"/>
      <c r="AD73">
        <f>ROUND((Source!AT28/100)*((ROUND(SUMIF(SmtRes!AQ1:'SmtRes'!AQ3,"=1",SmtRes!AD1:'SmtRes'!AD3)*Source!I28, 2)+ROUND(SUMIF(SmtRes!AQ1:'SmtRes'!AQ3,"=1",SmtRes!AC1:'SmtRes'!AC3)*Source!I28, 2))), 2)</f>
        <v>2371.85</v>
      </c>
      <c r="AE73">
        <f>ROUND((Source!AU28/100)*((ROUND(SUMIF(SmtRes!AQ1:'SmtRes'!AQ3,"=1",SmtRes!AD1:'SmtRes'!AD3)*Source!I28, 2)+ROUND(SUMIF(SmtRes!AQ1:'SmtRes'!AQ3,"=1",SmtRes!AC1:'SmtRes'!AC3)*Source!I28, 2))), 2)</f>
        <v>1092.6500000000001</v>
      </c>
      <c r="AN73" s="55">
        <f>L63+L71+L72+L64</f>
        <v>6537.96</v>
      </c>
      <c r="AO73" s="55">
        <f>L63</f>
        <v>3963.57</v>
      </c>
      <c r="AQ73" t="s">
        <v>400</v>
      </c>
      <c r="AR73">
        <f>0</f>
        <v>0</v>
      </c>
      <c r="AT73" s="55">
        <f>L64</f>
        <v>1119.3</v>
      </c>
      <c r="AV73" t="s">
        <v>400</v>
      </c>
      <c r="AW73">
        <f>0</f>
        <v>0</v>
      </c>
      <c r="AZ73">
        <f>Source!X28</f>
        <v>996.18</v>
      </c>
      <c r="BA73">
        <f>Source!Y28</f>
        <v>458.91</v>
      </c>
      <c r="CD73">
        <v>1</v>
      </c>
    </row>
    <row r="74" spans="1:83" ht="27.1" x14ac:dyDescent="0.2">
      <c r="A74" s="41" t="s">
        <v>29</v>
      </c>
      <c r="B74" s="43" t="s">
        <v>401</v>
      </c>
      <c r="C74" s="43" t="str">
        <f>Source!G29</f>
        <v>Демонтаж опор ВЛ 0,38-10 кВ: без приставок одностоечных</v>
      </c>
      <c r="D74" s="44" t="str">
        <f>Source!H29</f>
        <v>ШТ</v>
      </c>
      <c r="E74" s="45">
        <f>Source!K29</f>
        <v>1</v>
      </c>
      <c r="F74" s="45"/>
      <c r="G74" s="45">
        <f>Source!I29</f>
        <v>1</v>
      </c>
      <c r="H74" s="47"/>
      <c r="I74" s="46"/>
      <c r="J74" s="47"/>
      <c r="K74" s="46"/>
      <c r="L74" s="47"/>
    </row>
    <row r="75" spans="1:83" ht="14.3" x14ac:dyDescent="0.2">
      <c r="A75" s="42"/>
      <c r="B75" s="45">
        <v>1</v>
      </c>
      <c r="C75" s="42" t="s">
        <v>402</v>
      </c>
      <c r="D75" s="44" t="s">
        <v>247</v>
      </c>
      <c r="E75" s="48"/>
      <c r="F75" s="45"/>
      <c r="G75" s="45">
        <f>Source!U29</f>
        <v>0.81</v>
      </c>
      <c r="H75" s="45"/>
      <c r="I75" s="45"/>
      <c r="J75" s="45"/>
      <c r="K75" s="45"/>
      <c r="L75" s="49">
        <f>SUM(L76:L76)-SUMIF(CE76:CE76, 1, L76:L76)</f>
        <v>303.41000000000003</v>
      </c>
    </row>
    <row r="76" spans="1:83" ht="13.55" x14ac:dyDescent="0.2">
      <c r="A76" s="43"/>
      <c r="B76" s="43" t="s">
        <v>256</v>
      </c>
      <c r="C76" s="43" t="s">
        <v>257</v>
      </c>
      <c r="D76" s="44" t="s">
        <v>247</v>
      </c>
      <c r="E76" s="45">
        <v>0.81</v>
      </c>
      <c r="F76" s="45"/>
      <c r="G76" s="45">
        <f>SmtRes!CX4</f>
        <v>0.81</v>
      </c>
      <c r="H76" s="47"/>
      <c r="I76" s="46"/>
      <c r="J76" s="47">
        <f>SmtRes!CZ4</f>
        <v>374.58</v>
      </c>
      <c r="K76" s="46"/>
      <c r="L76" s="47">
        <f>SmtRes!DI4</f>
        <v>303.41000000000003</v>
      </c>
    </row>
    <row r="77" spans="1:83" ht="14.3" x14ac:dyDescent="0.2">
      <c r="A77" s="42"/>
      <c r="B77" s="45">
        <v>2</v>
      </c>
      <c r="C77" s="42" t="s">
        <v>392</v>
      </c>
      <c r="D77" s="44"/>
      <c r="E77" s="48"/>
      <c r="F77" s="45"/>
      <c r="G77" s="45"/>
      <c r="H77" s="45"/>
      <c r="I77" s="45"/>
      <c r="J77" s="45"/>
      <c r="K77" s="45"/>
      <c r="L77" s="49">
        <f>SUM(L78:L82)-SUMIF(CE78:CE82, 1, L78:L82)</f>
        <v>1304.7299999999998</v>
      </c>
    </row>
    <row r="78" spans="1:83" ht="14.3" x14ac:dyDescent="0.2">
      <c r="A78" s="42"/>
      <c r="B78" s="45"/>
      <c r="C78" s="42" t="s">
        <v>394</v>
      </c>
      <c r="D78" s="44" t="s">
        <v>247</v>
      </c>
      <c r="E78" s="48"/>
      <c r="F78" s="45"/>
      <c r="G78" s="45">
        <f>Source!V29</f>
        <v>0.48</v>
      </c>
      <c r="H78" s="45"/>
      <c r="I78" s="45"/>
      <c r="J78" s="45"/>
      <c r="K78" s="45"/>
      <c r="L78" s="49">
        <f>SUMIF(CE79:CE82, 1, L79:L82)</f>
        <v>216.51</v>
      </c>
      <c r="CE78">
        <v>1</v>
      </c>
    </row>
    <row r="79" spans="1:83" ht="40.65" x14ac:dyDescent="0.2">
      <c r="A79" s="43"/>
      <c r="B79" s="43" t="s">
        <v>258</v>
      </c>
      <c r="C79" s="43" t="s">
        <v>260</v>
      </c>
      <c r="D79" s="44" t="s">
        <v>251</v>
      </c>
      <c r="E79" s="45">
        <v>0.44</v>
      </c>
      <c r="F79" s="45"/>
      <c r="G79" s="45">
        <f>SmtRes!CX6</f>
        <v>0.44</v>
      </c>
      <c r="H79" s="47">
        <f>SmtRes!CZ6</f>
        <v>2088.77</v>
      </c>
      <c r="I79" s="46">
        <f>SmtRes!AJ6</f>
        <v>1.39</v>
      </c>
      <c r="J79" s="47">
        <f>ROUND(H79*I79, 2)</f>
        <v>2903.39</v>
      </c>
      <c r="K79" s="46"/>
      <c r="L79" s="47">
        <f>SmtRes!DG6</f>
        <v>1277.49</v>
      </c>
    </row>
    <row r="80" spans="1:83" ht="13.55" x14ac:dyDescent="0.2">
      <c r="A80" s="43"/>
      <c r="B80" s="43" t="s">
        <v>261</v>
      </c>
      <c r="C80" s="43" t="s">
        <v>403</v>
      </c>
      <c r="D80" s="44" t="s">
        <v>247</v>
      </c>
      <c r="E80" s="45">
        <f>SmtRes!DO6*SmtRes!AT6</f>
        <v>0.44</v>
      </c>
      <c r="F80" s="45"/>
      <c r="G80" s="45">
        <f>ROUND(E80*G74, 7)</f>
        <v>0.44</v>
      </c>
      <c r="H80" s="47"/>
      <c r="I80" s="46"/>
      <c r="J80" s="47">
        <f>ROUND(SmtRes!AG6/SmtRes!DO6, 2)</f>
        <v>456.01</v>
      </c>
      <c r="K80" s="46"/>
      <c r="L80" s="47">
        <f>SmtRes!DH6</f>
        <v>200.64</v>
      </c>
      <c r="CE80">
        <v>1</v>
      </c>
    </row>
    <row r="81" spans="1:83" ht="27.1" x14ac:dyDescent="0.2">
      <c r="A81" s="43"/>
      <c r="B81" s="43" t="s">
        <v>262</v>
      </c>
      <c r="C81" s="43" t="s">
        <v>264</v>
      </c>
      <c r="D81" s="44" t="s">
        <v>251</v>
      </c>
      <c r="E81" s="45">
        <v>0.04</v>
      </c>
      <c r="F81" s="45"/>
      <c r="G81" s="45">
        <f>SmtRes!CX7</f>
        <v>0.04</v>
      </c>
      <c r="H81" s="47"/>
      <c r="I81" s="46"/>
      <c r="J81" s="47">
        <f>SmtRes!CZ7</f>
        <v>680.88</v>
      </c>
      <c r="K81" s="46"/>
      <c r="L81" s="47">
        <f>SmtRes!DG7</f>
        <v>27.24</v>
      </c>
    </row>
    <row r="82" spans="1:83" ht="13.55" x14ac:dyDescent="0.2">
      <c r="A82" s="43"/>
      <c r="B82" s="43" t="s">
        <v>265</v>
      </c>
      <c r="C82" s="50" t="s">
        <v>404</v>
      </c>
      <c r="D82" s="51" t="s">
        <v>247</v>
      </c>
      <c r="E82" s="52">
        <f>SmtRes!DO7*SmtRes!AT7</f>
        <v>0.04</v>
      </c>
      <c r="F82" s="52"/>
      <c r="G82" s="52">
        <f>ROUND(E82*G74, 7)</f>
        <v>0.04</v>
      </c>
      <c r="H82" s="53"/>
      <c r="I82" s="54"/>
      <c r="J82" s="53">
        <f>ROUND(SmtRes!AG7/SmtRes!DO7, 2)</f>
        <v>396.79</v>
      </c>
      <c r="K82" s="54"/>
      <c r="L82" s="53">
        <f>SmtRes!DH7</f>
        <v>15.87</v>
      </c>
      <c r="CE82">
        <v>1</v>
      </c>
    </row>
    <row r="83" spans="1:83" ht="14.3" x14ac:dyDescent="0.2">
      <c r="A83" s="43"/>
      <c r="B83" s="43"/>
      <c r="C83" s="56" t="s">
        <v>395</v>
      </c>
      <c r="D83" s="44"/>
      <c r="E83" s="45"/>
      <c r="F83" s="45"/>
      <c r="G83" s="45"/>
      <c r="H83" s="47"/>
      <c r="I83" s="46"/>
      <c r="J83" s="47"/>
      <c r="K83" s="46"/>
      <c r="L83" s="47">
        <f>L75+L77+L78</f>
        <v>1824.6499999999999</v>
      </c>
    </row>
    <row r="84" spans="1:83" ht="13.55" x14ac:dyDescent="0.2">
      <c r="A84" s="43"/>
      <c r="B84" s="43"/>
      <c r="C84" s="43" t="s">
        <v>396</v>
      </c>
      <c r="D84" s="44"/>
      <c r="E84" s="45"/>
      <c r="F84" s="45"/>
      <c r="G84" s="45"/>
      <c r="H84" s="47"/>
      <c r="I84" s="46"/>
      <c r="J84" s="47"/>
      <c r="K84" s="46"/>
      <c r="L84" s="47">
        <f>SUM(AR74:AR87)+SUM(AS74:AS87)+SUM(AT74:AT87)+SUM(AU74:AU87)+SUM(AV74:AV87)</f>
        <v>519.92000000000007</v>
      </c>
    </row>
    <row r="85" spans="1:83" ht="13.55" x14ac:dyDescent="0.2">
      <c r="A85" s="43"/>
      <c r="B85" s="43" t="s">
        <v>36</v>
      </c>
      <c r="C85" s="43" t="s">
        <v>405</v>
      </c>
      <c r="D85" s="44" t="s">
        <v>60</v>
      </c>
      <c r="E85" s="45">
        <f>Source!BZ29</f>
        <v>103</v>
      </c>
      <c r="F85" s="45"/>
      <c r="G85" s="45">
        <f>Source!AT29</f>
        <v>103</v>
      </c>
      <c r="H85" s="47"/>
      <c r="I85" s="46"/>
      <c r="J85" s="47"/>
      <c r="K85" s="46"/>
      <c r="L85" s="47">
        <f>SUM(AZ74:AZ87)</f>
        <v>535.52</v>
      </c>
    </row>
    <row r="86" spans="1:83" ht="13.55" x14ac:dyDescent="0.2">
      <c r="A86" s="50"/>
      <c r="B86" s="50" t="s">
        <v>37</v>
      </c>
      <c r="C86" s="50" t="s">
        <v>406</v>
      </c>
      <c r="D86" s="51" t="s">
        <v>60</v>
      </c>
      <c r="E86" s="52">
        <f>Source!CA29</f>
        <v>60</v>
      </c>
      <c r="F86" s="52"/>
      <c r="G86" s="52">
        <f>Source!AU29</f>
        <v>60</v>
      </c>
      <c r="H86" s="53"/>
      <c r="I86" s="54"/>
      <c r="J86" s="53"/>
      <c r="K86" s="54"/>
      <c r="L86" s="53">
        <f>SUM(BA74:BA87)</f>
        <v>311.95</v>
      </c>
    </row>
    <row r="87" spans="1:83" ht="14.3" x14ac:dyDescent="0.2">
      <c r="C87" s="86" t="s">
        <v>399</v>
      </c>
      <c r="D87" s="86"/>
      <c r="E87" s="86"/>
      <c r="F87" s="86"/>
      <c r="G87" s="86"/>
      <c r="H87" s="86"/>
      <c r="I87" s="87">
        <f>IF(E74&lt;&gt;0,K87/E74, 0)</f>
        <v>2672.12</v>
      </c>
      <c r="J87" s="87"/>
      <c r="K87" s="87">
        <f>L75+L77+L85+L86+L78</f>
        <v>2672.12</v>
      </c>
      <c r="L87" s="87"/>
      <c r="AD87">
        <f>ROUND((Source!AT29/100)*((ROUND(SUMIF(SmtRes!AQ4:'SmtRes'!AQ7,"=1",SmtRes!AD4:'SmtRes'!AD7)*Source!I29, 2)+ROUND(SUMIF(SmtRes!AQ4:'SmtRes'!AQ7,"=1",SmtRes!AC4:'SmtRes'!AC7)*Source!I29, 2))), 2)</f>
        <v>1264.2</v>
      </c>
      <c r="AE87">
        <f>ROUND((Source!AU29/100)*((ROUND(SUMIF(SmtRes!AQ4:'SmtRes'!AQ7,"=1",SmtRes!AD4:'SmtRes'!AD7)*Source!I29, 2)+ROUND(SUMIF(SmtRes!AQ4:'SmtRes'!AQ7,"=1",SmtRes!AC4:'SmtRes'!AC7)*Source!I29, 2))), 2)</f>
        <v>736.43</v>
      </c>
      <c r="AN87" s="55">
        <f>L75+L77+L85+L86+L78</f>
        <v>2672.12</v>
      </c>
      <c r="AO87" s="55">
        <f>L77</f>
        <v>1304.7299999999998</v>
      </c>
      <c r="AQ87" t="s">
        <v>400</v>
      </c>
      <c r="AR87" s="55">
        <f>L75</f>
        <v>303.41000000000003</v>
      </c>
      <c r="AT87" s="55">
        <f>L78</f>
        <v>216.51</v>
      </c>
      <c r="AV87" t="s">
        <v>400</v>
      </c>
      <c r="AW87">
        <f>0</f>
        <v>0</v>
      </c>
      <c r="AZ87">
        <f>Source!X29</f>
        <v>535.52</v>
      </c>
      <c r="BA87">
        <f>Source!Y29</f>
        <v>311.95</v>
      </c>
      <c r="CD87">
        <v>1</v>
      </c>
    </row>
    <row r="88" spans="1:83" ht="13.55" x14ac:dyDescent="0.2">
      <c r="A88" s="41" t="s">
        <v>38</v>
      </c>
      <c r="B88" s="43" t="s">
        <v>407</v>
      </c>
      <c r="C88" s="43" t="str">
        <f>Source!G30</f>
        <v>Демонтаж кабеля</v>
      </c>
      <c r="D88" s="44" t="str">
        <f>Source!H30</f>
        <v>100 м</v>
      </c>
      <c r="E88" s="45">
        <f>Source!K30</f>
        <v>0.7</v>
      </c>
      <c r="F88" s="45"/>
      <c r="G88" s="45">
        <f>Source!I30</f>
        <v>0.7</v>
      </c>
      <c r="H88" s="47"/>
      <c r="I88" s="46"/>
      <c r="J88" s="47"/>
      <c r="K88" s="46"/>
      <c r="L88" s="47"/>
    </row>
    <row r="89" spans="1:83" ht="14.3" x14ac:dyDescent="0.2">
      <c r="A89" s="42"/>
      <c r="B89" s="45">
        <v>1</v>
      </c>
      <c r="C89" s="42" t="s">
        <v>402</v>
      </c>
      <c r="D89" s="44" t="s">
        <v>247</v>
      </c>
      <c r="E89" s="48"/>
      <c r="F89" s="45"/>
      <c r="G89" s="45">
        <f>Source!U30</f>
        <v>6.7480000000000002</v>
      </c>
      <c r="H89" s="45"/>
      <c r="I89" s="45"/>
      <c r="J89" s="45"/>
      <c r="K89" s="45"/>
      <c r="L89" s="49">
        <f>SUM(L90:L90)-SUMIF(CE90:CE90, 1, L90:L90)</f>
        <v>2177.98</v>
      </c>
    </row>
    <row r="90" spans="1:83" ht="13.55" x14ac:dyDescent="0.2">
      <c r="A90" s="43"/>
      <c r="B90" s="43" t="s">
        <v>266</v>
      </c>
      <c r="C90" s="43" t="s">
        <v>267</v>
      </c>
      <c r="D90" s="44" t="s">
        <v>247</v>
      </c>
      <c r="E90" s="45">
        <v>9.64</v>
      </c>
      <c r="F90" s="45"/>
      <c r="G90" s="45">
        <f>SmtRes!CX8</f>
        <v>6.7480000000000002</v>
      </c>
      <c r="H90" s="47"/>
      <c r="I90" s="46"/>
      <c r="J90" s="47">
        <f>SmtRes!CZ8</f>
        <v>322.76</v>
      </c>
      <c r="K90" s="46"/>
      <c r="L90" s="47">
        <f>SmtRes!DI8</f>
        <v>2177.98</v>
      </c>
    </row>
    <row r="91" spans="1:83" ht="14.3" x14ac:dyDescent="0.2">
      <c r="A91" s="42"/>
      <c r="B91" s="45">
        <v>2</v>
      </c>
      <c r="C91" s="42" t="s">
        <v>392</v>
      </c>
      <c r="D91" s="44"/>
      <c r="E91" s="48"/>
      <c r="F91" s="45"/>
      <c r="G91" s="45"/>
      <c r="H91" s="45"/>
      <c r="I91" s="45"/>
      <c r="J91" s="45"/>
      <c r="K91" s="45"/>
      <c r="L91" s="49">
        <f>SUM(L92:L94)-SUMIF(CE92:CE94, 1, L92:L94)</f>
        <v>0.4300000000000006</v>
      </c>
    </row>
    <row r="92" spans="1:83" ht="14.3" x14ac:dyDescent="0.2">
      <c r="A92" s="42"/>
      <c r="B92" s="45"/>
      <c r="C92" s="42" t="s">
        <v>394</v>
      </c>
      <c r="D92" s="44" t="s">
        <v>247</v>
      </c>
      <c r="E92" s="48"/>
      <c r="F92" s="45"/>
      <c r="G92" s="45">
        <f>Source!V30</f>
        <v>7.0000000000000001E-3</v>
      </c>
      <c r="H92" s="45"/>
      <c r="I92" s="45"/>
      <c r="J92" s="45"/>
      <c r="K92" s="45"/>
      <c r="L92" s="49">
        <f>SUMIF(CE93:CE94, 1, L93:L94)</f>
        <v>2.4700000000000002</v>
      </c>
      <c r="CE92">
        <v>1</v>
      </c>
    </row>
    <row r="93" spans="1:83" ht="40.65" x14ac:dyDescent="0.2">
      <c r="A93" s="43"/>
      <c r="B93" s="43" t="s">
        <v>268</v>
      </c>
      <c r="C93" s="43" t="s">
        <v>270</v>
      </c>
      <c r="D93" s="44" t="s">
        <v>251</v>
      </c>
      <c r="E93" s="45">
        <v>0.01</v>
      </c>
      <c r="F93" s="45"/>
      <c r="G93" s="45">
        <f>SmtRes!CX10</f>
        <v>7.0000000000000001E-3</v>
      </c>
      <c r="H93" s="47">
        <f>SmtRes!CZ10</f>
        <v>37.32</v>
      </c>
      <c r="I93" s="46">
        <f>SmtRes!AJ10</f>
        <v>1.63</v>
      </c>
      <c r="J93" s="47">
        <f>ROUND(H93*I93, 2)</f>
        <v>60.83</v>
      </c>
      <c r="K93" s="46"/>
      <c r="L93" s="47">
        <f>SmtRes!DG10</f>
        <v>0.43</v>
      </c>
    </row>
    <row r="94" spans="1:83" ht="13.55" x14ac:dyDescent="0.2">
      <c r="A94" s="43"/>
      <c r="B94" s="43" t="s">
        <v>271</v>
      </c>
      <c r="C94" s="50" t="s">
        <v>408</v>
      </c>
      <c r="D94" s="51" t="s">
        <v>247</v>
      </c>
      <c r="E94" s="52">
        <f>SmtRes!DO10*SmtRes!AT10</f>
        <v>0.01</v>
      </c>
      <c r="F94" s="52"/>
      <c r="G94" s="52">
        <f>ROUND(E94*G88, 7)</f>
        <v>7.0000000000000001E-3</v>
      </c>
      <c r="H94" s="53"/>
      <c r="I94" s="54"/>
      <c r="J94" s="53">
        <f>ROUND(SmtRes!AG10/SmtRes!DO10, 2)</f>
        <v>352.37</v>
      </c>
      <c r="K94" s="54"/>
      <c r="L94" s="53">
        <f>SmtRes!DH10</f>
        <v>2.4700000000000002</v>
      </c>
      <c r="CE94">
        <v>1</v>
      </c>
    </row>
    <row r="95" spans="1:83" ht="14.3" x14ac:dyDescent="0.2">
      <c r="A95" s="43"/>
      <c r="B95" s="43"/>
      <c r="C95" s="56" t="s">
        <v>395</v>
      </c>
      <c r="D95" s="44"/>
      <c r="E95" s="45"/>
      <c r="F95" s="45"/>
      <c r="G95" s="45"/>
      <c r="H95" s="47"/>
      <c r="I95" s="46"/>
      <c r="J95" s="47"/>
      <c r="K95" s="46"/>
      <c r="L95" s="47">
        <f>L89+L91+L92</f>
        <v>2180.8799999999997</v>
      </c>
    </row>
    <row r="96" spans="1:83" ht="13.55" x14ac:dyDescent="0.2">
      <c r="A96" s="43"/>
      <c r="B96" s="43"/>
      <c r="C96" s="43" t="s">
        <v>396</v>
      </c>
      <c r="D96" s="44"/>
      <c r="E96" s="45"/>
      <c r="F96" s="45"/>
      <c r="G96" s="45"/>
      <c r="H96" s="47"/>
      <c r="I96" s="46"/>
      <c r="J96" s="47"/>
      <c r="K96" s="46"/>
      <c r="L96" s="47">
        <f>SUM(AR88:AR99)+SUM(AS88:AS99)+SUM(AT88:AT99)+SUM(AU88:AU99)+SUM(AV88:AV99)</f>
        <v>2180.4499999999998</v>
      </c>
    </row>
    <row r="97" spans="1:83" ht="13.55" x14ac:dyDescent="0.2">
      <c r="A97" s="43"/>
      <c r="B97" s="43" t="s">
        <v>46</v>
      </c>
      <c r="C97" s="43" t="s">
        <v>409</v>
      </c>
      <c r="D97" s="44" t="s">
        <v>60</v>
      </c>
      <c r="E97" s="45">
        <f>Source!BZ30</f>
        <v>91</v>
      </c>
      <c r="F97" s="45"/>
      <c r="G97" s="45">
        <f>Source!AT30</f>
        <v>91</v>
      </c>
      <c r="H97" s="47"/>
      <c r="I97" s="46"/>
      <c r="J97" s="47"/>
      <c r="K97" s="46"/>
      <c r="L97" s="47">
        <f>SUM(AZ88:AZ99)</f>
        <v>1984.21</v>
      </c>
    </row>
    <row r="98" spans="1:83" ht="13.55" x14ac:dyDescent="0.2">
      <c r="A98" s="50"/>
      <c r="B98" s="50" t="s">
        <v>47</v>
      </c>
      <c r="C98" s="50" t="s">
        <v>410</v>
      </c>
      <c r="D98" s="51" t="s">
        <v>60</v>
      </c>
      <c r="E98" s="52">
        <f>Source!CA30</f>
        <v>48</v>
      </c>
      <c r="F98" s="52"/>
      <c r="G98" s="52">
        <f>Source!AU30</f>
        <v>48</v>
      </c>
      <c r="H98" s="53"/>
      <c r="I98" s="54"/>
      <c r="J98" s="53"/>
      <c r="K98" s="54"/>
      <c r="L98" s="53">
        <f>SUM(BA88:BA99)</f>
        <v>1046.6199999999999</v>
      </c>
    </row>
    <row r="99" spans="1:83" ht="14.3" x14ac:dyDescent="0.2">
      <c r="C99" s="86" t="s">
        <v>399</v>
      </c>
      <c r="D99" s="86"/>
      <c r="E99" s="86"/>
      <c r="F99" s="86"/>
      <c r="G99" s="86"/>
      <c r="H99" s="86"/>
      <c r="I99" s="87">
        <f>IF(E88&lt;&gt;0,K99/E88, 0)</f>
        <v>7445.3</v>
      </c>
      <c r="J99" s="87"/>
      <c r="K99" s="87">
        <f>L89+L91+L97+L98+L92</f>
        <v>5211.71</v>
      </c>
      <c r="L99" s="87"/>
      <c r="AD99">
        <f>ROUND((Source!AT30/100)*((ROUND(SUMIF(SmtRes!AQ8:'SmtRes'!AQ10,"=1",SmtRes!AD8:'SmtRes'!AD10)*Source!I30, 2)+ROUND(SUMIF(SmtRes!AQ8:'SmtRes'!AQ10,"=1",SmtRes!AC8:'SmtRes'!AC10)*Source!I30, 2))), 2)</f>
        <v>430.06</v>
      </c>
      <c r="AE99">
        <f>ROUND((Source!AU30/100)*((ROUND(SUMIF(SmtRes!AQ8:'SmtRes'!AQ10,"=1",SmtRes!AD8:'SmtRes'!AD10)*Source!I30, 2)+ROUND(SUMIF(SmtRes!AQ8:'SmtRes'!AQ10,"=1",SmtRes!AC8:'SmtRes'!AC10)*Source!I30, 2))), 2)</f>
        <v>226.84</v>
      </c>
      <c r="AN99" s="55">
        <f>L89+L91+L97+L98+L92</f>
        <v>5211.71</v>
      </c>
      <c r="AO99" s="55">
        <f>L91</f>
        <v>0.4300000000000006</v>
      </c>
      <c r="AQ99" t="s">
        <v>400</v>
      </c>
      <c r="AR99" s="55">
        <f>L89</f>
        <v>2177.98</v>
      </c>
      <c r="AT99" s="55">
        <f>L92</f>
        <v>2.4700000000000002</v>
      </c>
      <c r="AV99" t="s">
        <v>400</v>
      </c>
      <c r="AW99">
        <f>0</f>
        <v>0</v>
      </c>
      <c r="AZ99">
        <f>Source!X30</f>
        <v>1984.21</v>
      </c>
      <c r="BA99">
        <f>Source!Y30</f>
        <v>1046.6199999999999</v>
      </c>
      <c r="CD99">
        <v>1</v>
      </c>
    </row>
    <row r="100" spans="1:83" ht="54.2" x14ac:dyDescent="0.2">
      <c r="A100" s="41" t="s">
        <v>48</v>
      </c>
      <c r="B100" s="43" t="s">
        <v>411</v>
      </c>
      <c r="C100" s="43" t="str">
        <f>Source!G31</f>
        <v>Кабель до 35 кВ по установленным конструкциям и лоткам с креплением на поворотах и в конце трассы, масса 1 м кабеля: до 1 кг</v>
      </c>
      <c r="D100" s="44" t="str">
        <f>Source!H31</f>
        <v>100 м</v>
      </c>
      <c r="E100" s="45">
        <f>Source!K31</f>
        <v>0.7</v>
      </c>
      <c r="F100" s="45"/>
      <c r="G100" s="45">
        <f>Source!I31</f>
        <v>0.7</v>
      </c>
      <c r="H100" s="47"/>
      <c r="I100" s="46"/>
      <c r="J100" s="47"/>
      <c r="K100" s="46"/>
      <c r="L100" s="47"/>
    </row>
    <row r="101" spans="1:83" ht="14.3" x14ac:dyDescent="0.2">
      <c r="A101" s="42"/>
      <c r="B101" s="45">
        <v>1</v>
      </c>
      <c r="C101" s="42" t="s">
        <v>402</v>
      </c>
      <c r="D101" s="44" t="s">
        <v>247</v>
      </c>
      <c r="E101" s="48"/>
      <c r="F101" s="45"/>
      <c r="G101" s="45">
        <f>Source!U31</f>
        <v>6.4960000000000004</v>
      </c>
      <c r="H101" s="45"/>
      <c r="I101" s="45"/>
      <c r="J101" s="45"/>
      <c r="K101" s="45"/>
      <c r="L101" s="49">
        <f>SUM(L102:L102)-SUMIF(CE102:CE102, 1, L102:L102)</f>
        <v>2519.8000000000002</v>
      </c>
    </row>
    <row r="102" spans="1:83" ht="13.55" x14ac:dyDescent="0.2">
      <c r="A102" s="43"/>
      <c r="B102" s="43" t="s">
        <v>272</v>
      </c>
      <c r="C102" s="43" t="s">
        <v>273</v>
      </c>
      <c r="D102" s="44" t="s">
        <v>247</v>
      </c>
      <c r="E102" s="45">
        <v>9.2799999999999994</v>
      </c>
      <c r="F102" s="45"/>
      <c r="G102" s="45">
        <f>SmtRes!CX11</f>
        <v>6.4960000000000004</v>
      </c>
      <c r="H102" s="47"/>
      <c r="I102" s="46"/>
      <c r="J102" s="47">
        <f>SmtRes!CZ11</f>
        <v>387.9</v>
      </c>
      <c r="K102" s="46"/>
      <c r="L102" s="47">
        <f>SmtRes!DI11</f>
        <v>2519.8000000000002</v>
      </c>
    </row>
    <row r="103" spans="1:83" ht="14.3" x14ac:dyDescent="0.2">
      <c r="A103" s="42"/>
      <c r="B103" s="45">
        <v>2</v>
      </c>
      <c r="C103" s="42" t="s">
        <v>392</v>
      </c>
      <c r="D103" s="44"/>
      <c r="E103" s="48"/>
      <c r="F103" s="45"/>
      <c r="G103" s="45"/>
      <c r="H103" s="45"/>
      <c r="I103" s="45"/>
      <c r="J103" s="45"/>
      <c r="K103" s="45"/>
      <c r="L103" s="49">
        <f>SUM(L104:L110)-SUMIF(CE104:CE110, 1, L104:L110)</f>
        <v>362.08999999999992</v>
      </c>
    </row>
    <row r="104" spans="1:83" ht="14.3" x14ac:dyDescent="0.2">
      <c r="A104" s="42"/>
      <c r="B104" s="45"/>
      <c r="C104" s="42" t="s">
        <v>394</v>
      </c>
      <c r="D104" s="44" t="s">
        <v>247</v>
      </c>
      <c r="E104" s="48"/>
      <c r="F104" s="45"/>
      <c r="G104" s="45">
        <f>Source!V31</f>
        <v>0.28000000000000003</v>
      </c>
      <c r="H104" s="45"/>
      <c r="I104" s="45"/>
      <c r="J104" s="45"/>
      <c r="K104" s="45"/>
      <c r="L104" s="49">
        <f>SUMIF(CE105:CE110, 1, L105:L110)</f>
        <v>130.17000000000002</v>
      </c>
      <c r="CE104">
        <v>1</v>
      </c>
    </row>
    <row r="105" spans="1:83" ht="27.1" x14ac:dyDescent="0.2">
      <c r="A105" s="43"/>
      <c r="B105" s="43" t="s">
        <v>274</v>
      </c>
      <c r="C105" s="43" t="s">
        <v>276</v>
      </c>
      <c r="D105" s="44" t="s">
        <v>251</v>
      </c>
      <c r="E105" s="45">
        <v>0.2</v>
      </c>
      <c r="F105" s="45"/>
      <c r="G105" s="45">
        <f>SmtRes!CX13</f>
        <v>0.14000000000000001</v>
      </c>
      <c r="H105" s="47"/>
      <c r="I105" s="46"/>
      <c r="J105" s="47">
        <f>SmtRes!CZ13</f>
        <v>1720.97</v>
      </c>
      <c r="K105" s="46"/>
      <c r="L105" s="47">
        <f>SmtRes!DG13</f>
        <v>240.94</v>
      </c>
    </row>
    <row r="106" spans="1:83" ht="13.55" x14ac:dyDescent="0.2">
      <c r="A106" s="43"/>
      <c r="B106" s="43" t="s">
        <v>252</v>
      </c>
      <c r="C106" s="43" t="s">
        <v>393</v>
      </c>
      <c r="D106" s="44" t="s">
        <v>247</v>
      </c>
      <c r="E106" s="45">
        <f>SmtRes!DO13*SmtRes!AT13</f>
        <v>0.2</v>
      </c>
      <c r="F106" s="45"/>
      <c r="G106" s="45">
        <f>ROUND(E106*G100, 7)</f>
        <v>0.14000000000000001</v>
      </c>
      <c r="H106" s="47"/>
      <c r="I106" s="46"/>
      <c r="J106" s="47">
        <f>ROUND(SmtRes!AG13/SmtRes!DO13, 2)</f>
        <v>533</v>
      </c>
      <c r="K106" s="46"/>
      <c r="L106" s="47">
        <f>SmtRes!DH13</f>
        <v>74.62</v>
      </c>
      <c r="CE106">
        <v>1</v>
      </c>
    </row>
    <row r="107" spans="1:83" ht="27.1" x14ac:dyDescent="0.2">
      <c r="A107" s="43"/>
      <c r="B107" s="43" t="s">
        <v>277</v>
      </c>
      <c r="C107" s="43" t="s">
        <v>279</v>
      </c>
      <c r="D107" s="44" t="s">
        <v>251</v>
      </c>
      <c r="E107" s="45">
        <v>2.2000000000000002</v>
      </c>
      <c r="F107" s="45"/>
      <c r="G107" s="45">
        <f>SmtRes!CX14</f>
        <v>1.54</v>
      </c>
      <c r="H107" s="47">
        <f>SmtRes!CZ14</f>
        <v>1.75</v>
      </c>
      <c r="I107" s="46">
        <f>SmtRes!AJ14</f>
        <v>1.65</v>
      </c>
      <c r="J107" s="47">
        <f>ROUND(H107*I107, 2)</f>
        <v>2.89</v>
      </c>
      <c r="K107" s="46"/>
      <c r="L107" s="47">
        <f>SmtRes!DG14</f>
        <v>4.45</v>
      </c>
    </row>
    <row r="108" spans="1:83" ht="27.1" x14ac:dyDescent="0.2">
      <c r="A108" s="43"/>
      <c r="B108" s="43" t="s">
        <v>280</v>
      </c>
      <c r="C108" s="43" t="s">
        <v>282</v>
      </c>
      <c r="D108" s="44" t="s">
        <v>251</v>
      </c>
      <c r="E108" s="45">
        <v>2.2000000000000002</v>
      </c>
      <c r="F108" s="45"/>
      <c r="G108" s="45">
        <f>SmtRes!CX15</f>
        <v>1.54</v>
      </c>
      <c r="H108" s="47">
        <f>SmtRes!CZ15</f>
        <v>8.84</v>
      </c>
      <c r="I108" s="46">
        <f>SmtRes!AJ15</f>
        <v>1.57</v>
      </c>
      <c r="J108" s="47">
        <f>ROUND(H108*I108, 2)</f>
        <v>13.88</v>
      </c>
      <c r="K108" s="46"/>
      <c r="L108" s="47">
        <f>SmtRes!DG15</f>
        <v>21.38</v>
      </c>
    </row>
    <row r="109" spans="1:83" ht="27.1" x14ac:dyDescent="0.2">
      <c r="A109" s="43"/>
      <c r="B109" s="43" t="s">
        <v>262</v>
      </c>
      <c r="C109" s="43" t="s">
        <v>264</v>
      </c>
      <c r="D109" s="44" t="s">
        <v>251</v>
      </c>
      <c r="E109" s="45">
        <v>0.2</v>
      </c>
      <c r="F109" s="45"/>
      <c r="G109" s="45">
        <f>SmtRes!CX16</f>
        <v>0.14000000000000001</v>
      </c>
      <c r="H109" s="47"/>
      <c r="I109" s="46"/>
      <c r="J109" s="47">
        <f>SmtRes!CZ16</f>
        <v>680.88</v>
      </c>
      <c r="K109" s="46"/>
      <c r="L109" s="47">
        <f>SmtRes!DG16</f>
        <v>95.32</v>
      </c>
    </row>
    <row r="110" spans="1:83" ht="13.55" x14ac:dyDescent="0.2">
      <c r="A110" s="43"/>
      <c r="B110" s="43" t="s">
        <v>265</v>
      </c>
      <c r="C110" s="43" t="s">
        <v>404</v>
      </c>
      <c r="D110" s="44" t="s">
        <v>247</v>
      </c>
      <c r="E110" s="45">
        <f>SmtRes!DO16*SmtRes!AT16</f>
        <v>0.2</v>
      </c>
      <c r="F110" s="45"/>
      <c r="G110" s="45">
        <f>ROUND(E110*G100, 7)</f>
        <v>0.14000000000000001</v>
      </c>
      <c r="H110" s="47"/>
      <c r="I110" s="46"/>
      <c r="J110" s="47">
        <f>ROUND(SmtRes!AG16/SmtRes!DO16, 2)</f>
        <v>396.79</v>
      </c>
      <c r="K110" s="46"/>
      <c r="L110" s="47">
        <f>SmtRes!DH16</f>
        <v>55.55</v>
      </c>
      <c r="CE110">
        <v>1</v>
      </c>
    </row>
    <row r="111" spans="1:83" ht="14.3" x14ac:dyDescent="0.2">
      <c r="A111" s="42"/>
      <c r="B111" s="45">
        <v>4</v>
      </c>
      <c r="C111" s="42" t="s">
        <v>412</v>
      </c>
      <c r="D111" s="44"/>
      <c r="E111" s="48"/>
      <c r="F111" s="45"/>
      <c r="G111" s="45"/>
      <c r="H111" s="45"/>
      <c r="I111" s="45"/>
      <c r="J111" s="45"/>
      <c r="K111" s="45"/>
      <c r="L111" s="49">
        <f>SUM(L112:L115)-SUMIF(CE112:CE115, 1, L112:L115)</f>
        <v>351.11999999999995</v>
      </c>
    </row>
    <row r="112" spans="1:83" ht="40.65" x14ac:dyDescent="0.2">
      <c r="A112" s="43"/>
      <c r="B112" s="43" t="s">
        <v>283</v>
      </c>
      <c r="C112" s="43" t="s">
        <v>285</v>
      </c>
      <c r="D112" s="44" t="s">
        <v>286</v>
      </c>
      <c r="E112" s="45">
        <v>0.245</v>
      </c>
      <c r="F112" s="45"/>
      <c r="G112" s="45">
        <f>SmtRes!CX17</f>
        <v>0.17150000000000001</v>
      </c>
      <c r="H112" s="47">
        <f>SmtRes!CZ17</f>
        <v>37.71</v>
      </c>
      <c r="I112" s="46">
        <f>SmtRes!AI17</f>
        <v>1.6</v>
      </c>
      <c r="J112" s="47">
        <f>ROUND(H112*I112, 2)</f>
        <v>60.34</v>
      </c>
      <c r="K112" s="46"/>
      <c r="L112" s="47">
        <f>SmtRes!DF17</f>
        <v>10.35</v>
      </c>
    </row>
    <row r="113" spans="1:83" ht="40.65" x14ac:dyDescent="0.2">
      <c r="A113" s="43"/>
      <c r="B113" s="43" t="s">
        <v>287</v>
      </c>
      <c r="C113" s="43" t="s">
        <v>289</v>
      </c>
      <c r="D113" s="44" t="s">
        <v>104</v>
      </c>
      <c r="E113" s="45">
        <v>1.1E-4</v>
      </c>
      <c r="F113" s="45"/>
      <c r="G113" s="45">
        <f>SmtRes!CX18</f>
        <v>7.7000000000000001E-5</v>
      </c>
      <c r="H113" s="47">
        <f>SmtRes!CZ18</f>
        <v>99190.96</v>
      </c>
      <c r="I113" s="46">
        <f>SmtRes!AI18</f>
        <v>1.2</v>
      </c>
      <c r="J113" s="47">
        <f>ROUND(H113*I113, 2)</f>
        <v>119029.15</v>
      </c>
      <c r="K113" s="46"/>
      <c r="L113" s="47">
        <f>SmtRes!DF18</f>
        <v>9.17</v>
      </c>
    </row>
    <row r="114" spans="1:83" ht="27.1" x14ac:dyDescent="0.2">
      <c r="A114" s="43"/>
      <c r="B114" s="43" t="s">
        <v>290</v>
      </c>
      <c r="C114" s="43" t="s">
        <v>292</v>
      </c>
      <c r="D114" s="44" t="s">
        <v>293</v>
      </c>
      <c r="E114" s="45">
        <v>0.26</v>
      </c>
      <c r="F114" s="45"/>
      <c r="G114" s="45">
        <f>SmtRes!CX19</f>
        <v>0.182</v>
      </c>
      <c r="H114" s="47">
        <f>SmtRes!CZ19</f>
        <v>931.11</v>
      </c>
      <c r="I114" s="46">
        <f>SmtRes!AI19</f>
        <v>1.61</v>
      </c>
      <c r="J114" s="47">
        <f>ROUND(H114*I114, 2)</f>
        <v>1499.09</v>
      </c>
      <c r="K114" s="46"/>
      <c r="L114" s="47">
        <f>SmtRes!DF19</f>
        <v>272.83</v>
      </c>
    </row>
    <row r="115" spans="1:83" ht="13.55" x14ac:dyDescent="0.2">
      <c r="A115" s="43"/>
      <c r="B115" s="43" t="s">
        <v>294</v>
      </c>
      <c r="C115" s="50" t="s">
        <v>296</v>
      </c>
      <c r="D115" s="51" t="s">
        <v>104</v>
      </c>
      <c r="E115" s="52">
        <v>7.2000000000000005E-4</v>
      </c>
      <c r="F115" s="52"/>
      <c r="G115" s="52">
        <f>SmtRes!CX20</f>
        <v>5.04E-4</v>
      </c>
      <c r="H115" s="53">
        <f>SmtRes!CZ20</f>
        <v>82698.14</v>
      </c>
      <c r="I115" s="54">
        <f>SmtRes!AI20</f>
        <v>1.41</v>
      </c>
      <c r="J115" s="53">
        <f>ROUND(H115*I115, 2)</f>
        <v>116604.38</v>
      </c>
      <c r="K115" s="54"/>
      <c r="L115" s="53">
        <f>SmtRes!DF20</f>
        <v>58.77</v>
      </c>
    </row>
    <row r="116" spans="1:83" ht="14.3" x14ac:dyDescent="0.2">
      <c r="A116" s="43"/>
      <c r="B116" s="43"/>
      <c r="C116" s="56" t="s">
        <v>395</v>
      </c>
      <c r="D116" s="44"/>
      <c r="E116" s="45"/>
      <c r="F116" s="45"/>
      <c r="G116" s="45"/>
      <c r="H116" s="47"/>
      <c r="I116" s="46"/>
      <c r="J116" s="47"/>
      <c r="K116" s="46"/>
      <c r="L116" s="47">
        <f>L101+L103+L104+L111</f>
        <v>3363.1800000000003</v>
      </c>
    </row>
    <row r="117" spans="1:83" ht="40.65" x14ac:dyDescent="0.2">
      <c r="A117" s="43"/>
      <c r="B117" s="43" t="str">
        <f>Source!F32</f>
        <v>421/пр_2020_п.75_пп.а</v>
      </c>
      <c r="C117" s="43" t="str">
        <f>Source!G32</f>
        <v>Сметная стоимость вспомогательных ненормируемых материальных ресурсов, не учтенная в сметной норме, 2%</v>
      </c>
      <c r="D117" s="44" t="str">
        <f>Source!H32</f>
        <v>%</v>
      </c>
      <c r="E117" s="45">
        <f>SmtRes!AT21</f>
        <v>2</v>
      </c>
      <c r="F117" s="45"/>
      <c r="G117" s="45">
        <f>Source!I32</f>
        <v>2</v>
      </c>
      <c r="H117" s="47"/>
      <c r="I117" s="46"/>
      <c r="J117" s="47"/>
      <c r="K117" s="46"/>
      <c r="L117" s="47">
        <f>Source!P32</f>
        <v>50.4</v>
      </c>
      <c r="AD117">
        <f>ROUND((Source!AT32/100)*((ROUND(0*Source!I32, 2)+ROUND(0*Source!I32, 2))), 2)</f>
        <v>0</v>
      </c>
      <c r="AE117">
        <f>ROUND((Source!AU32/100)*((ROUND(0*Source!I32, 2)+ROUND(0*Source!I32, 2))), 2)</f>
        <v>0</v>
      </c>
      <c r="AN117">
        <f>L117</f>
        <v>50.4</v>
      </c>
      <c r="AW117">
        <f>L117</f>
        <v>50.4</v>
      </c>
      <c r="AZ117">
        <f>Source!X32</f>
        <v>0</v>
      </c>
      <c r="BA117">
        <f>Source!Y32</f>
        <v>0</v>
      </c>
      <c r="CD117">
        <v>2</v>
      </c>
    </row>
    <row r="118" spans="1:83" ht="13.55" x14ac:dyDescent="0.2">
      <c r="A118" s="43"/>
      <c r="B118" s="43"/>
      <c r="C118" s="43" t="s">
        <v>396</v>
      </c>
      <c r="D118" s="44"/>
      <c r="E118" s="45"/>
      <c r="F118" s="45"/>
      <c r="G118" s="45"/>
      <c r="H118" s="47"/>
      <c r="I118" s="46"/>
      <c r="J118" s="47"/>
      <c r="K118" s="46"/>
      <c r="L118" s="47">
        <f>SUM(AR100:AR121)+SUM(AS100:AS121)+SUM(AT100:AT121)+SUM(AU100:AU121)+SUM(AV100:AV121)</f>
        <v>2649.9700000000003</v>
      </c>
    </row>
    <row r="119" spans="1:83" ht="27.1" x14ac:dyDescent="0.2">
      <c r="A119" s="43"/>
      <c r="B119" s="43" t="s">
        <v>55</v>
      </c>
      <c r="C119" s="43" t="s">
        <v>413</v>
      </c>
      <c r="D119" s="44" t="s">
        <v>60</v>
      </c>
      <c r="E119" s="45">
        <f>Source!BZ31</f>
        <v>97</v>
      </c>
      <c r="F119" s="45"/>
      <c r="G119" s="45">
        <f>Source!AT31</f>
        <v>97</v>
      </c>
      <c r="H119" s="47"/>
      <c r="I119" s="46"/>
      <c r="J119" s="47"/>
      <c r="K119" s="46"/>
      <c r="L119" s="47">
        <f>SUM(AZ100:AZ121)</f>
        <v>2570.4699999999998</v>
      </c>
    </row>
    <row r="120" spans="1:83" ht="27.1" x14ac:dyDescent="0.2">
      <c r="A120" s="50"/>
      <c r="B120" s="50" t="s">
        <v>56</v>
      </c>
      <c r="C120" s="50" t="s">
        <v>414</v>
      </c>
      <c r="D120" s="51" t="s">
        <v>60</v>
      </c>
      <c r="E120" s="52">
        <f>Source!CA31</f>
        <v>51</v>
      </c>
      <c r="F120" s="52"/>
      <c r="G120" s="52">
        <f>Source!AU31</f>
        <v>51</v>
      </c>
      <c r="H120" s="53"/>
      <c r="I120" s="54"/>
      <c r="J120" s="53"/>
      <c r="K120" s="54"/>
      <c r="L120" s="53">
        <f>SUM(BA100:BA121)</f>
        <v>1351.48</v>
      </c>
    </row>
    <row r="121" spans="1:83" ht="14.3" x14ac:dyDescent="0.2">
      <c r="C121" s="86" t="s">
        <v>399</v>
      </c>
      <c r="D121" s="86"/>
      <c r="E121" s="86"/>
      <c r="F121" s="86"/>
      <c r="G121" s="86"/>
      <c r="H121" s="86"/>
      <c r="I121" s="87">
        <f>IF(E100&lt;&gt;0,K121/E100, 0)</f>
        <v>10479.32857142857</v>
      </c>
      <c r="J121" s="87"/>
      <c r="K121" s="87">
        <f>L101+L103+L111+L119+L120+L104+SUM(L117:L117)</f>
        <v>7335.5299999999988</v>
      </c>
      <c r="L121" s="87"/>
      <c r="AD121">
        <f>ROUND((Source!AT31/100)*((ROUND(SUMIF(SmtRes!AQ11:'SmtRes'!AQ21,"=1",SmtRes!AD11:'SmtRes'!AD21)*Source!I31, 2)+ROUND(SUMIF(SmtRes!AQ11:'SmtRes'!AQ21,"=1",SmtRes!AC11:'SmtRes'!AC21)*Source!I31, 2))), 2)</f>
        <v>894.71</v>
      </c>
      <c r="AE121">
        <f>ROUND((Source!AU31/100)*((ROUND(SUMIF(SmtRes!AQ11:'SmtRes'!AQ21,"=1",SmtRes!AD11:'SmtRes'!AD21)*Source!I31, 2)+ROUND(SUMIF(SmtRes!AQ11:'SmtRes'!AQ21,"=1",SmtRes!AC11:'SmtRes'!AC21)*Source!I31, 2))), 2)</f>
        <v>470.41</v>
      </c>
      <c r="AN121" s="55">
        <f>L101+L103+L111+L119+L120+L104</f>
        <v>7285.1299999999992</v>
      </c>
      <c r="AO121" s="55">
        <f>L103</f>
        <v>362.08999999999992</v>
      </c>
      <c r="AQ121" t="s">
        <v>400</v>
      </c>
      <c r="AR121" s="55">
        <f>L101</f>
        <v>2519.8000000000002</v>
      </c>
      <c r="AT121" s="55">
        <f>L104</f>
        <v>130.17000000000002</v>
      </c>
      <c r="AV121" t="s">
        <v>400</v>
      </c>
      <c r="AW121" s="55">
        <f>L111</f>
        <v>351.11999999999995</v>
      </c>
      <c r="AZ121">
        <f>Source!X31</f>
        <v>2570.4699999999998</v>
      </c>
      <c r="BA121">
        <f>Source!Y31</f>
        <v>1351.48</v>
      </c>
      <c r="CD121">
        <v>2</v>
      </c>
    </row>
    <row r="122" spans="1:83" ht="40.65" x14ac:dyDescent="0.2">
      <c r="A122" s="41" t="s">
        <v>61</v>
      </c>
      <c r="B122" s="43" t="s">
        <v>415</v>
      </c>
      <c r="C122" s="43" t="str">
        <f>Source!G33</f>
        <v>Разборка асфальтобетонных покрытий тротуаров толщиной до 4 см: с помощью молотков отбойных пневматических</v>
      </c>
      <c r="D122" s="44" t="str">
        <f>Source!H33</f>
        <v>1000 м2</v>
      </c>
      <c r="E122" s="45">
        <f>Source!K33</f>
        <v>6.4000000000000001E-2</v>
      </c>
      <c r="F122" s="45"/>
      <c r="G122" s="45">
        <f>Source!I33</f>
        <v>6.4000000000000001E-2</v>
      </c>
      <c r="H122" s="47"/>
      <c r="I122" s="46"/>
      <c r="J122" s="47"/>
      <c r="K122" s="46"/>
      <c r="L122" s="47"/>
    </row>
    <row r="123" spans="1:83" ht="14.3" x14ac:dyDescent="0.2">
      <c r="A123" s="42"/>
      <c r="B123" s="45">
        <v>1</v>
      </c>
      <c r="C123" s="42" t="s">
        <v>402</v>
      </c>
      <c r="D123" s="44" t="s">
        <v>247</v>
      </c>
      <c r="E123" s="48"/>
      <c r="F123" s="45"/>
      <c r="G123" s="45">
        <f>Source!U33</f>
        <v>3.6966399999999999</v>
      </c>
      <c r="H123" s="45"/>
      <c r="I123" s="45"/>
      <c r="J123" s="45"/>
      <c r="K123" s="45"/>
      <c r="L123" s="49">
        <f>SUM(L124:L124)-SUMIF(CE124:CE124, 1, L124:L124)</f>
        <v>1269.76</v>
      </c>
    </row>
    <row r="124" spans="1:83" ht="13.55" x14ac:dyDescent="0.2">
      <c r="A124" s="43"/>
      <c r="B124" s="43" t="s">
        <v>297</v>
      </c>
      <c r="C124" s="43" t="s">
        <v>298</v>
      </c>
      <c r="D124" s="44" t="s">
        <v>247</v>
      </c>
      <c r="E124" s="45">
        <v>57.76</v>
      </c>
      <c r="F124" s="45"/>
      <c r="G124" s="45">
        <f>SmtRes!CX22</f>
        <v>3.6966399999999999</v>
      </c>
      <c r="H124" s="47"/>
      <c r="I124" s="46"/>
      <c r="J124" s="47">
        <f>SmtRes!CZ22</f>
        <v>343.49</v>
      </c>
      <c r="K124" s="46"/>
      <c r="L124" s="47">
        <f>SmtRes!DI22</f>
        <v>1269.76</v>
      </c>
    </row>
    <row r="125" spans="1:83" ht="14.3" x14ac:dyDescent="0.2">
      <c r="A125" s="42"/>
      <c r="B125" s="45">
        <v>2</v>
      </c>
      <c r="C125" s="42" t="s">
        <v>392</v>
      </c>
      <c r="D125" s="44"/>
      <c r="E125" s="48"/>
      <c r="F125" s="45"/>
      <c r="G125" s="45"/>
      <c r="H125" s="45"/>
      <c r="I125" s="45"/>
      <c r="J125" s="45"/>
      <c r="K125" s="45"/>
      <c r="L125" s="49">
        <f>SUM(L126:L129)-SUMIF(CE126:CE129, 1, L126:L129)</f>
        <v>437.65999999999997</v>
      </c>
    </row>
    <row r="126" spans="1:83" ht="14.3" x14ac:dyDescent="0.2">
      <c r="A126" s="42"/>
      <c r="B126" s="45"/>
      <c r="C126" s="42" t="s">
        <v>394</v>
      </c>
      <c r="D126" s="44" t="s">
        <v>247</v>
      </c>
      <c r="E126" s="48"/>
      <c r="F126" s="45"/>
      <c r="G126" s="45">
        <f>Source!V33</f>
        <v>1.0047999999999999</v>
      </c>
      <c r="H126" s="45"/>
      <c r="I126" s="45"/>
      <c r="J126" s="45"/>
      <c r="K126" s="45"/>
      <c r="L126" s="49">
        <f>SUMIF(CE127:CE129, 1, L127:L129)</f>
        <v>398.69</v>
      </c>
      <c r="CE126">
        <v>1</v>
      </c>
    </row>
    <row r="127" spans="1:83" ht="54.2" x14ac:dyDescent="0.2">
      <c r="A127" s="43"/>
      <c r="B127" s="43" t="s">
        <v>299</v>
      </c>
      <c r="C127" s="43" t="s">
        <v>301</v>
      </c>
      <c r="D127" s="44" t="s">
        <v>251</v>
      </c>
      <c r="E127" s="45">
        <v>15.7</v>
      </c>
      <c r="F127" s="45"/>
      <c r="G127" s="45">
        <f>SmtRes!CX24</f>
        <v>1.0047999999999999</v>
      </c>
      <c r="H127" s="47"/>
      <c r="I127" s="46"/>
      <c r="J127" s="47">
        <f>SmtRes!CZ24</f>
        <v>426.27</v>
      </c>
      <c r="K127" s="46"/>
      <c r="L127" s="47">
        <f>SmtRes!DG24</f>
        <v>428.32</v>
      </c>
    </row>
    <row r="128" spans="1:83" ht="13.55" x14ac:dyDescent="0.2">
      <c r="A128" s="43"/>
      <c r="B128" s="43" t="s">
        <v>265</v>
      </c>
      <c r="C128" s="43" t="s">
        <v>404</v>
      </c>
      <c r="D128" s="44" t="s">
        <v>247</v>
      </c>
      <c r="E128" s="45">
        <f>SmtRes!DO24*SmtRes!AT24</f>
        <v>15.7</v>
      </c>
      <c r="F128" s="45"/>
      <c r="G128" s="45">
        <f>ROUND(E128*G122, 7)</f>
        <v>1.0047999999999999</v>
      </c>
      <c r="H128" s="47"/>
      <c r="I128" s="46"/>
      <c r="J128" s="47">
        <f>ROUND(SmtRes!AG24/SmtRes!DO24, 2)</f>
        <v>396.79</v>
      </c>
      <c r="K128" s="46"/>
      <c r="L128" s="47">
        <f>SmtRes!DH24</f>
        <v>398.69</v>
      </c>
      <c r="CE128">
        <v>1</v>
      </c>
    </row>
    <row r="129" spans="1:83" ht="27.1" x14ac:dyDescent="0.2">
      <c r="A129" s="43"/>
      <c r="B129" s="43" t="s">
        <v>302</v>
      </c>
      <c r="C129" s="50" t="s">
        <v>304</v>
      </c>
      <c r="D129" s="51" t="s">
        <v>251</v>
      </c>
      <c r="E129" s="52">
        <v>47.1</v>
      </c>
      <c r="F129" s="52"/>
      <c r="G129" s="52">
        <f>SmtRes!CX25</f>
        <v>3.0144000000000002</v>
      </c>
      <c r="H129" s="53">
        <f>SmtRes!CZ25</f>
        <v>2.11</v>
      </c>
      <c r="I129" s="54">
        <f>SmtRes!AJ25</f>
        <v>1.47</v>
      </c>
      <c r="J129" s="53">
        <f>ROUND(H129*I129, 2)</f>
        <v>3.1</v>
      </c>
      <c r="K129" s="54"/>
      <c r="L129" s="53">
        <f>SmtRes!DG25</f>
        <v>9.34</v>
      </c>
    </row>
    <row r="130" spans="1:83" ht="14.3" x14ac:dyDescent="0.2">
      <c r="A130" s="43"/>
      <c r="B130" s="43"/>
      <c r="C130" s="56" t="s">
        <v>395</v>
      </c>
      <c r="D130" s="44"/>
      <c r="E130" s="45"/>
      <c r="F130" s="45"/>
      <c r="G130" s="45"/>
      <c r="H130" s="47"/>
      <c r="I130" s="46"/>
      <c r="J130" s="47"/>
      <c r="K130" s="46"/>
      <c r="L130" s="47">
        <f>L123+L125+L126</f>
        <v>2106.11</v>
      </c>
    </row>
    <row r="131" spans="1:83" ht="13.55" x14ac:dyDescent="0.2">
      <c r="A131" s="43"/>
      <c r="B131" s="43"/>
      <c r="C131" s="43" t="s">
        <v>396</v>
      </c>
      <c r="D131" s="44"/>
      <c r="E131" s="45"/>
      <c r="F131" s="45"/>
      <c r="G131" s="45"/>
      <c r="H131" s="47"/>
      <c r="I131" s="46"/>
      <c r="J131" s="47"/>
      <c r="K131" s="46"/>
      <c r="L131" s="47">
        <f>SUM(AR122:AR134)+SUM(AS122:AS134)+SUM(AT122:AT134)+SUM(AU122:AU134)+SUM(AV122:AV134)</f>
        <v>1668.45</v>
      </c>
    </row>
    <row r="132" spans="1:83" ht="13.55" x14ac:dyDescent="0.2">
      <c r="A132" s="43"/>
      <c r="B132" s="43" t="s">
        <v>67</v>
      </c>
      <c r="C132" s="43" t="s">
        <v>416</v>
      </c>
      <c r="D132" s="44" t="s">
        <v>60</v>
      </c>
      <c r="E132" s="45">
        <f>Source!BZ33</f>
        <v>102</v>
      </c>
      <c r="F132" s="45"/>
      <c r="G132" s="45">
        <f>Source!AT33</f>
        <v>102</v>
      </c>
      <c r="H132" s="47"/>
      <c r="I132" s="46"/>
      <c r="J132" s="47"/>
      <c r="K132" s="46"/>
      <c r="L132" s="47">
        <f>SUM(AZ122:AZ134)</f>
        <v>1701.82</v>
      </c>
    </row>
    <row r="133" spans="1:83" ht="13.55" x14ac:dyDescent="0.2">
      <c r="A133" s="50"/>
      <c r="B133" s="50" t="s">
        <v>68</v>
      </c>
      <c r="C133" s="50" t="s">
        <v>417</v>
      </c>
      <c r="D133" s="51" t="s">
        <v>60</v>
      </c>
      <c r="E133" s="52">
        <f>Source!CA33</f>
        <v>54</v>
      </c>
      <c r="F133" s="52"/>
      <c r="G133" s="52">
        <f>Source!AU33</f>
        <v>54</v>
      </c>
      <c r="H133" s="53"/>
      <c r="I133" s="54"/>
      <c r="J133" s="53"/>
      <c r="K133" s="54"/>
      <c r="L133" s="53">
        <f>SUM(BA122:BA134)</f>
        <v>900.96</v>
      </c>
    </row>
    <row r="134" spans="1:83" ht="14.3" x14ac:dyDescent="0.2">
      <c r="C134" s="86" t="s">
        <v>399</v>
      </c>
      <c r="D134" s="86"/>
      <c r="E134" s="86"/>
      <c r="F134" s="86"/>
      <c r="G134" s="86"/>
      <c r="H134" s="86"/>
      <c r="I134" s="87">
        <f>IF(E122&lt;&gt;0,K134/E122, 0)</f>
        <v>73576.406249999985</v>
      </c>
      <c r="J134" s="87"/>
      <c r="K134" s="87">
        <f>L123+L125+L132+L133+L126</f>
        <v>4708.8899999999994</v>
      </c>
      <c r="L134" s="87"/>
      <c r="AD134">
        <f>ROUND((Source!AT33/100)*((ROUND(SUMIF(SmtRes!AQ22:'SmtRes'!AQ25,"=1",SmtRes!AD22:'SmtRes'!AD25)*Source!I33, 2)+ROUND(SUMIF(SmtRes!AQ22:'SmtRes'!AQ25,"=1",SmtRes!AC22:'SmtRes'!AC25)*Source!I33, 2))), 2)</f>
        <v>48.32</v>
      </c>
      <c r="AE134">
        <f>ROUND((Source!AU33/100)*((ROUND(SUMIF(SmtRes!AQ22:'SmtRes'!AQ25,"=1",SmtRes!AD22:'SmtRes'!AD25)*Source!I33, 2)+ROUND(SUMIF(SmtRes!AQ22:'SmtRes'!AQ25,"=1",SmtRes!AC22:'SmtRes'!AC25)*Source!I33, 2))), 2)</f>
        <v>25.58</v>
      </c>
      <c r="AN134" s="55">
        <f>L123+L125+L132+L133+L126</f>
        <v>4708.8899999999994</v>
      </c>
      <c r="AO134" s="55">
        <f>L125</f>
        <v>437.65999999999997</v>
      </c>
      <c r="AQ134" t="s">
        <v>400</v>
      </c>
      <c r="AR134" s="55">
        <f>L123</f>
        <v>1269.76</v>
      </c>
      <c r="AT134" s="55">
        <f>L126</f>
        <v>398.69</v>
      </c>
      <c r="AV134" t="s">
        <v>400</v>
      </c>
      <c r="AW134">
        <f>0</f>
        <v>0</v>
      </c>
      <c r="AZ134">
        <f>Source!X33</f>
        <v>1701.82</v>
      </c>
      <c r="BA134">
        <f>Source!Y33</f>
        <v>900.96</v>
      </c>
      <c r="CD134">
        <v>1</v>
      </c>
    </row>
    <row r="135" spans="1:83" ht="27.1" x14ac:dyDescent="0.2">
      <c r="A135" s="41" t="s">
        <v>69</v>
      </c>
      <c r="B135" s="43" t="s">
        <v>418</v>
      </c>
      <c r="C135" s="43" t="str">
        <f>Source!G34</f>
        <v>Разборка бортовых камней: на бетонном основании</v>
      </c>
      <c r="D135" s="44" t="str">
        <f>Source!H34</f>
        <v>100 м</v>
      </c>
      <c r="E135" s="45">
        <f>Source!K34</f>
        <v>0.42</v>
      </c>
      <c r="F135" s="45"/>
      <c r="G135" s="45">
        <f>Source!I34</f>
        <v>0.42</v>
      </c>
      <c r="H135" s="47"/>
      <c r="I135" s="46"/>
      <c r="J135" s="47"/>
      <c r="K135" s="46"/>
      <c r="L135" s="47"/>
    </row>
    <row r="136" spans="1:83" ht="14.3" x14ac:dyDescent="0.2">
      <c r="A136" s="42"/>
      <c r="B136" s="45">
        <v>1</v>
      </c>
      <c r="C136" s="42" t="s">
        <v>402</v>
      </c>
      <c r="D136" s="44" t="s">
        <v>247</v>
      </c>
      <c r="E136" s="48"/>
      <c r="F136" s="45"/>
      <c r="G136" s="45">
        <f>Source!U34</f>
        <v>28.6692</v>
      </c>
      <c r="H136" s="45"/>
      <c r="I136" s="45"/>
      <c r="J136" s="45"/>
      <c r="K136" s="45"/>
      <c r="L136" s="49">
        <f>SUM(L137:L137)-SUMIF(CE137:CE137, 1, L137:L137)</f>
        <v>10229.459999999999</v>
      </c>
    </row>
    <row r="137" spans="1:83" ht="13.55" x14ac:dyDescent="0.2">
      <c r="A137" s="43"/>
      <c r="B137" s="43" t="s">
        <v>305</v>
      </c>
      <c r="C137" s="43" t="s">
        <v>306</v>
      </c>
      <c r="D137" s="44" t="s">
        <v>247</v>
      </c>
      <c r="E137" s="45">
        <v>68.260000000000005</v>
      </c>
      <c r="F137" s="45"/>
      <c r="G137" s="45">
        <f>SmtRes!CX26</f>
        <v>28.6692</v>
      </c>
      <c r="H137" s="47"/>
      <c r="I137" s="46"/>
      <c r="J137" s="47">
        <f>SmtRes!CZ26</f>
        <v>356.81</v>
      </c>
      <c r="K137" s="46"/>
      <c r="L137" s="47">
        <f>SmtRes!DI26</f>
        <v>10229.459999999999</v>
      </c>
    </row>
    <row r="138" spans="1:83" ht="14.3" x14ac:dyDescent="0.2">
      <c r="A138" s="42"/>
      <c r="B138" s="45">
        <v>2</v>
      </c>
      <c r="C138" s="42" t="s">
        <v>392</v>
      </c>
      <c r="D138" s="44"/>
      <c r="E138" s="48"/>
      <c r="F138" s="45"/>
      <c r="G138" s="45"/>
      <c r="H138" s="45"/>
      <c r="I138" s="45"/>
      <c r="J138" s="45"/>
      <c r="K138" s="45"/>
      <c r="L138" s="49">
        <f>SUM(L139:L142)-SUMIF(CE139:CE142, 1, L139:L142)</f>
        <v>1719.6300000000006</v>
      </c>
    </row>
    <row r="139" spans="1:83" ht="14.3" x14ac:dyDescent="0.2">
      <c r="A139" s="42"/>
      <c r="B139" s="45"/>
      <c r="C139" s="42" t="s">
        <v>394</v>
      </c>
      <c r="D139" s="44" t="s">
        <v>247</v>
      </c>
      <c r="E139" s="48"/>
      <c r="F139" s="45"/>
      <c r="G139" s="45">
        <f>Source!V34</f>
        <v>3.948</v>
      </c>
      <c r="H139" s="45"/>
      <c r="I139" s="45"/>
      <c r="J139" s="45"/>
      <c r="K139" s="45"/>
      <c r="L139" s="49">
        <f>SUMIF(CE140:CE142, 1, L140:L142)</f>
        <v>1566.53</v>
      </c>
      <c r="CE139">
        <v>1</v>
      </c>
    </row>
    <row r="140" spans="1:83" ht="54.2" x14ac:dyDescent="0.2">
      <c r="A140" s="43"/>
      <c r="B140" s="43" t="s">
        <v>299</v>
      </c>
      <c r="C140" s="43" t="s">
        <v>301</v>
      </c>
      <c r="D140" s="44" t="s">
        <v>251</v>
      </c>
      <c r="E140" s="45">
        <v>9.4</v>
      </c>
      <c r="F140" s="45"/>
      <c r="G140" s="45">
        <f>SmtRes!CX28</f>
        <v>3.948</v>
      </c>
      <c r="H140" s="47"/>
      <c r="I140" s="46"/>
      <c r="J140" s="47">
        <f>SmtRes!CZ28</f>
        <v>426.27</v>
      </c>
      <c r="K140" s="46"/>
      <c r="L140" s="47">
        <f>SmtRes!DG28</f>
        <v>1682.91</v>
      </c>
    </row>
    <row r="141" spans="1:83" ht="13.55" x14ac:dyDescent="0.2">
      <c r="A141" s="43"/>
      <c r="B141" s="43" t="s">
        <v>265</v>
      </c>
      <c r="C141" s="43" t="s">
        <v>404</v>
      </c>
      <c r="D141" s="44" t="s">
        <v>247</v>
      </c>
      <c r="E141" s="45">
        <f>SmtRes!DO28*SmtRes!AT28</f>
        <v>9.4</v>
      </c>
      <c r="F141" s="45"/>
      <c r="G141" s="45">
        <f>ROUND(E141*G135, 7)</f>
        <v>3.948</v>
      </c>
      <c r="H141" s="47"/>
      <c r="I141" s="46"/>
      <c r="J141" s="47">
        <f>ROUND(SmtRes!AG28/SmtRes!DO28, 2)</f>
        <v>396.79</v>
      </c>
      <c r="K141" s="46"/>
      <c r="L141" s="47">
        <f>SmtRes!DH28</f>
        <v>1566.53</v>
      </c>
      <c r="CE141">
        <v>1</v>
      </c>
    </row>
    <row r="142" spans="1:83" ht="27.1" x14ac:dyDescent="0.2">
      <c r="A142" s="43"/>
      <c r="B142" s="43" t="s">
        <v>302</v>
      </c>
      <c r="C142" s="50" t="s">
        <v>304</v>
      </c>
      <c r="D142" s="51" t="s">
        <v>251</v>
      </c>
      <c r="E142" s="52">
        <v>28.2</v>
      </c>
      <c r="F142" s="52"/>
      <c r="G142" s="52">
        <f>SmtRes!CX29</f>
        <v>11.843999999999999</v>
      </c>
      <c r="H142" s="53">
        <f>SmtRes!CZ29</f>
        <v>2.11</v>
      </c>
      <c r="I142" s="54">
        <f>SmtRes!AJ29</f>
        <v>1.47</v>
      </c>
      <c r="J142" s="53">
        <f>ROUND(H142*I142, 2)</f>
        <v>3.1</v>
      </c>
      <c r="K142" s="54"/>
      <c r="L142" s="53">
        <f>SmtRes!DG29</f>
        <v>36.72</v>
      </c>
    </row>
    <row r="143" spans="1:83" ht="14.3" x14ac:dyDescent="0.2">
      <c r="A143" s="43"/>
      <c r="B143" s="43"/>
      <c r="C143" s="56" t="s">
        <v>395</v>
      </c>
      <c r="D143" s="44"/>
      <c r="E143" s="45"/>
      <c r="F143" s="45"/>
      <c r="G143" s="45"/>
      <c r="H143" s="47"/>
      <c r="I143" s="46"/>
      <c r="J143" s="47"/>
      <c r="K143" s="46"/>
      <c r="L143" s="47">
        <f>L136+L138+L139</f>
        <v>13515.62</v>
      </c>
    </row>
    <row r="144" spans="1:83" ht="13.55" x14ac:dyDescent="0.2">
      <c r="A144" s="43"/>
      <c r="B144" s="43"/>
      <c r="C144" s="43" t="s">
        <v>396</v>
      </c>
      <c r="D144" s="44"/>
      <c r="E144" s="45"/>
      <c r="F144" s="45"/>
      <c r="G144" s="45"/>
      <c r="H144" s="47"/>
      <c r="I144" s="46"/>
      <c r="J144" s="47"/>
      <c r="K144" s="46"/>
      <c r="L144" s="47">
        <f>SUM(AR135:AR147)+SUM(AS135:AS147)+SUM(AT135:AT147)+SUM(AU135:AU147)+SUM(AV135:AV147)</f>
        <v>11795.99</v>
      </c>
    </row>
    <row r="145" spans="1:83" ht="13.55" x14ac:dyDescent="0.2">
      <c r="A145" s="43"/>
      <c r="B145" s="43" t="s">
        <v>67</v>
      </c>
      <c r="C145" s="43" t="s">
        <v>416</v>
      </c>
      <c r="D145" s="44" t="s">
        <v>60</v>
      </c>
      <c r="E145" s="45">
        <f>Source!BZ34</f>
        <v>102</v>
      </c>
      <c r="F145" s="45"/>
      <c r="G145" s="45">
        <f>Source!AT34</f>
        <v>102</v>
      </c>
      <c r="H145" s="47"/>
      <c r="I145" s="46"/>
      <c r="J145" s="47"/>
      <c r="K145" s="46"/>
      <c r="L145" s="47">
        <f>SUM(AZ135:AZ147)</f>
        <v>12031.91</v>
      </c>
    </row>
    <row r="146" spans="1:83" ht="13.55" x14ac:dyDescent="0.2">
      <c r="A146" s="50"/>
      <c r="B146" s="50" t="s">
        <v>68</v>
      </c>
      <c r="C146" s="50" t="s">
        <v>417</v>
      </c>
      <c r="D146" s="51" t="s">
        <v>60</v>
      </c>
      <c r="E146" s="52">
        <f>Source!CA34</f>
        <v>54</v>
      </c>
      <c r="F146" s="52"/>
      <c r="G146" s="52">
        <f>Source!AU34</f>
        <v>54</v>
      </c>
      <c r="H146" s="53"/>
      <c r="I146" s="54"/>
      <c r="J146" s="53"/>
      <c r="K146" s="54"/>
      <c r="L146" s="53">
        <f>SUM(BA135:BA147)</f>
        <v>6369.83</v>
      </c>
    </row>
    <row r="147" spans="1:83" ht="14.3" x14ac:dyDescent="0.2">
      <c r="C147" s="86" t="s">
        <v>399</v>
      </c>
      <c r="D147" s="86"/>
      <c r="E147" s="86"/>
      <c r="F147" s="86"/>
      <c r="G147" s="86"/>
      <c r="H147" s="86"/>
      <c r="I147" s="87">
        <f>IF(E135&lt;&gt;0,K147/E135, 0)</f>
        <v>75993.71428571429</v>
      </c>
      <c r="J147" s="87"/>
      <c r="K147" s="87">
        <f>L136+L138+L145+L146+L139</f>
        <v>31917.360000000001</v>
      </c>
      <c r="L147" s="87"/>
      <c r="AD147">
        <f>ROUND((Source!AT34/100)*((ROUND(SUMIF(SmtRes!AQ26:'SmtRes'!AQ29,"=1",SmtRes!AD26:'SmtRes'!AD29)*Source!I34, 2)+ROUND(SUMIF(SmtRes!AQ26:'SmtRes'!AQ29,"=1",SmtRes!AC26:'SmtRes'!AC29)*Source!I34, 2))), 2)</f>
        <v>322.83999999999997</v>
      </c>
      <c r="AE147">
        <f>ROUND((Source!AU34/100)*((ROUND(SUMIF(SmtRes!AQ26:'SmtRes'!AQ29,"=1",SmtRes!AD26:'SmtRes'!AD29)*Source!I34, 2)+ROUND(SUMIF(SmtRes!AQ26:'SmtRes'!AQ29,"=1",SmtRes!AC26:'SmtRes'!AC29)*Source!I34, 2))), 2)</f>
        <v>170.92</v>
      </c>
      <c r="AN147" s="55">
        <f>L136+L138+L145+L146+L139</f>
        <v>31917.360000000001</v>
      </c>
      <c r="AO147" s="55">
        <f>L138</f>
        <v>1719.6300000000006</v>
      </c>
      <c r="AQ147" t="s">
        <v>400</v>
      </c>
      <c r="AR147" s="55">
        <f>L136</f>
        <v>10229.459999999999</v>
      </c>
      <c r="AT147" s="55">
        <f>L139</f>
        <v>1566.53</v>
      </c>
      <c r="AV147" t="s">
        <v>400</v>
      </c>
      <c r="AW147">
        <f>0</f>
        <v>0</v>
      </c>
      <c r="AZ147">
        <f>Source!X34</f>
        <v>12031.91</v>
      </c>
      <c r="BA147">
        <f>Source!Y34</f>
        <v>6369.83</v>
      </c>
      <c r="CD147">
        <v>1</v>
      </c>
    </row>
    <row r="148" spans="1:83" ht="27.1" x14ac:dyDescent="0.2">
      <c r="A148" s="41" t="s">
        <v>73</v>
      </c>
      <c r="B148" s="43" t="s">
        <v>419</v>
      </c>
      <c r="C148" s="43" t="str">
        <f>Source!G35</f>
        <v>Устройство заборов из щитов (с установкой столбов): глухих</v>
      </c>
      <c r="D148" s="44" t="str">
        <f>Source!H35</f>
        <v>100 м2</v>
      </c>
      <c r="E148" s="45">
        <f>Source!K35</f>
        <v>4</v>
      </c>
      <c r="F148" s="45"/>
      <c r="G148" s="45">
        <f>Source!I35</f>
        <v>4</v>
      </c>
      <c r="H148" s="47"/>
      <c r="I148" s="46"/>
      <c r="J148" s="47"/>
      <c r="K148" s="46"/>
      <c r="L148" s="47"/>
    </row>
    <row r="149" spans="1:83" ht="14.3" x14ac:dyDescent="0.2">
      <c r="A149" s="42"/>
      <c r="B149" s="45">
        <v>1</v>
      </c>
      <c r="C149" s="42" t="s">
        <v>402</v>
      </c>
      <c r="D149" s="44" t="s">
        <v>247</v>
      </c>
      <c r="E149" s="48"/>
      <c r="F149" s="45"/>
      <c r="G149" s="45">
        <f>Source!U35</f>
        <v>216.4</v>
      </c>
      <c r="H149" s="45"/>
      <c r="I149" s="45"/>
      <c r="J149" s="45"/>
      <c r="K149" s="45"/>
      <c r="L149" s="49">
        <f>SUM(L150:L150)-SUMIF(CE150:CE150, 1, L150:L150)</f>
        <v>74971.78</v>
      </c>
    </row>
    <row r="150" spans="1:83" ht="13.55" x14ac:dyDescent="0.2">
      <c r="A150" s="43"/>
      <c r="B150" s="43" t="s">
        <v>307</v>
      </c>
      <c r="C150" s="43" t="s">
        <v>308</v>
      </c>
      <c r="D150" s="44" t="s">
        <v>247</v>
      </c>
      <c r="E150" s="45">
        <v>54.1</v>
      </c>
      <c r="F150" s="45"/>
      <c r="G150" s="45">
        <f>SmtRes!CX30</f>
        <v>216.4</v>
      </c>
      <c r="H150" s="47"/>
      <c r="I150" s="46"/>
      <c r="J150" s="47">
        <f>SmtRes!CZ30</f>
        <v>346.45</v>
      </c>
      <c r="K150" s="46"/>
      <c r="L150" s="47">
        <f>SmtRes!DI30</f>
        <v>74971.78</v>
      </c>
    </row>
    <row r="151" spans="1:83" ht="14.3" x14ac:dyDescent="0.2">
      <c r="A151" s="42"/>
      <c r="B151" s="45">
        <v>2</v>
      </c>
      <c r="C151" s="42" t="s">
        <v>392</v>
      </c>
      <c r="D151" s="44"/>
      <c r="E151" s="48"/>
      <c r="F151" s="45"/>
      <c r="G151" s="45"/>
      <c r="H151" s="45"/>
      <c r="I151" s="45"/>
      <c r="J151" s="45"/>
      <c r="K151" s="45"/>
      <c r="L151" s="49">
        <f>SUM(L152:L157)-SUMIF(CE152:CE157, 1, L152:L157)</f>
        <v>42783.650000000009</v>
      </c>
    </row>
    <row r="152" spans="1:83" ht="14.3" x14ac:dyDescent="0.2">
      <c r="A152" s="42"/>
      <c r="B152" s="45"/>
      <c r="C152" s="42" t="s">
        <v>394</v>
      </c>
      <c r="D152" s="44" t="s">
        <v>247</v>
      </c>
      <c r="E152" s="48"/>
      <c r="F152" s="45"/>
      <c r="G152" s="45">
        <f>Source!V35</f>
        <v>26.880000000000003</v>
      </c>
      <c r="H152" s="45"/>
      <c r="I152" s="45"/>
      <c r="J152" s="45"/>
      <c r="K152" s="45"/>
      <c r="L152" s="49">
        <f>SUMIF(CE153:CE157, 1, L153:L157)</f>
        <v>13793.1</v>
      </c>
      <c r="CE152">
        <v>1</v>
      </c>
    </row>
    <row r="153" spans="1:83" ht="27.1" x14ac:dyDescent="0.2">
      <c r="A153" s="43"/>
      <c r="B153" s="43" t="s">
        <v>274</v>
      </c>
      <c r="C153" s="43" t="s">
        <v>276</v>
      </c>
      <c r="D153" s="44" t="s">
        <v>251</v>
      </c>
      <c r="E153" s="45">
        <v>5.74</v>
      </c>
      <c r="F153" s="45"/>
      <c r="G153" s="45">
        <f>SmtRes!CX32</f>
        <v>22.96</v>
      </c>
      <c r="H153" s="47"/>
      <c r="I153" s="46"/>
      <c r="J153" s="47">
        <f>SmtRes!CZ32</f>
        <v>1720.97</v>
      </c>
      <c r="K153" s="46"/>
      <c r="L153" s="47">
        <f>SmtRes!DG32</f>
        <v>39513.47</v>
      </c>
    </row>
    <row r="154" spans="1:83" ht="13.55" x14ac:dyDescent="0.2">
      <c r="A154" s="43"/>
      <c r="B154" s="43" t="s">
        <v>252</v>
      </c>
      <c r="C154" s="43" t="s">
        <v>393</v>
      </c>
      <c r="D154" s="44" t="s">
        <v>247</v>
      </c>
      <c r="E154" s="45">
        <f>SmtRes!DO32*SmtRes!AT32</f>
        <v>5.74</v>
      </c>
      <c r="F154" s="45"/>
      <c r="G154" s="45">
        <f>ROUND(E154*G148, 7)</f>
        <v>22.96</v>
      </c>
      <c r="H154" s="47"/>
      <c r="I154" s="46"/>
      <c r="J154" s="47">
        <f>ROUND(SmtRes!AG32/SmtRes!DO32, 2)</f>
        <v>533</v>
      </c>
      <c r="K154" s="46"/>
      <c r="L154" s="47">
        <f>SmtRes!DH32</f>
        <v>12237.68</v>
      </c>
      <c r="CE154">
        <v>1</v>
      </c>
    </row>
    <row r="155" spans="1:83" ht="40.65" x14ac:dyDescent="0.2">
      <c r="A155" s="43"/>
      <c r="B155" s="43" t="s">
        <v>309</v>
      </c>
      <c r="C155" s="43" t="s">
        <v>311</v>
      </c>
      <c r="D155" s="44" t="s">
        <v>251</v>
      </c>
      <c r="E155" s="45">
        <v>0.98</v>
      </c>
      <c r="F155" s="45"/>
      <c r="G155" s="45">
        <f>SmtRes!CX33</f>
        <v>3.92</v>
      </c>
      <c r="H155" s="47">
        <f>SmtRes!CZ33</f>
        <v>95.25</v>
      </c>
      <c r="I155" s="46">
        <f>SmtRes!AJ33</f>
        <v>1.61</v>
      </c>
      <c r="J155" s="47">
        <f>ROUND(H155*I155, 2)</f>
        <v>153.35</v>
      </c>
      <c r="K155" s="46"/>
      <c r="L155" s="47">
        <f>SmtRes!DG33</f>
        <v>601.13</v>
      </c>
    </row>
    <row r="156" spans="1:83" ht="27.1" x14ac:dyDescent="0.2">
      <c r="A156" s="43"/>
      <c r="B156" s="43" t="s">
        <v>262</v>
      </c>
      <c r="C156" s="43" t="s">
        <v>264</v>
      </c>
      <c r="D156" s="44" t="s">
        <v>251</v>
      </c>
      <c r="E156" s="45">
        <v>0.98</v>
      </c>
      <c r="F156" s="45"/>
      <c r="G156" s="45">
        <f>SmtRes!CX34</f>
        <v>3.92</v>
      </c>
      <c r="H156" s="47"/>
      <c r="I156" s="46"/>
      <c r="J156" s="47">
        <f>SmtRes!CZ34</f>
        <v>680.88</v>
      </c>
      <c r="K156" s="46"/>
      <c r="L156" s="47">
        <f>SmtRes!DG34</f>
        <v>2669.05</v>
      </c>
    </row>
    <row r="157" spans="1:83" ht="13.55" x14ac:dyDescent="0.2">
      <c r="A157" s="43"/>
      <c r="B157" s="43" t="s">
        <v>265</v>
      </c>
      <c r="C157" s="43" t="s">
        <v>404</v>
      </c>
      <c r="D157" s="44" t="s">
        <v>247</v>
      </c>
      <c r="E157" s="45">
        <f>SmtRes!DO34*SmtRes!AT34</f>
        <v>0.98</v>
      </c>
      <c r="F157" s="45"/>
      <c r="G157" s="45">
        <f>ROUND(E157*G148, 7)</f>
        <v>3.92</v>
      </c>
      <c r="H157" s="47"/>
      <c r="I157" s="46"/>
      <c r="J157" s="47">
        <f>ROUND(SmtRes!AG34/SmtRes!DO34, 2)</f>
        <v>396.79</v>
      </c>
      <c r="K157" s="46"/>
      <c r="L157" s="47">
        <f>SmtRes!DH34</f>
        <v>1555.42</v>
      </c>
      <c r="CE157">
        <v>1</v>
      </c>
    </row>
    <row r="158" spans="1:83" ht="14.3" x14ac:dyDescent="0.2">
      <c r="A158" s="42"/>
      <c r="B158" s="45">
        <v>4</v>
      </c>
      <c r="C158" s="42" t="s">
        <v>412</v>
      </c>
      <c r="D158" s="44"/>
      <c r="E158" s="48"/>
      <c r="F158" s="45"/>
      <c r="G158" s="45"/>
      <c r="H158" s="45"/>
      <c r="I158" s="45"/>
      <c r="J158" s="45"/>
      <c r="K158" s="45"/>
      <c r="L158" s="49">
        <f>SUM(L159:L165)-SUMIF(CE159:CE165, 1, L159:L165)</f>
        <v>49834.79</v>
      </c>
    </row>
    <row r="159" spans="1:83" ht="13.55" x14ac:dyDescent="0.2">
      <c r="A159" s="43"/>
      <c r="B159" s="43" t="s">
        <v>312</v>
      </c>
      <c r="C159" s="43" t="s">
        <v>314</v>
      </c>
      <c r="D159" s="44" t="s">
        <v>315</v>
      </c>
      <c r="E159" s="45">
        <v>7.4104000000000001</v>
      </c>
      <c r="F159" s="45"/>
      <c r="G159" s="45">
        <f>SmtRes!CX35</f>
        <v>29.6416</v>
      </c>
      <c r="H159" s="47"/>
      <c r="I159" s="46"/>
      <c r="J159" s="47">
        <f>SmtRes!CZ35</f>
        <v>8.7899999999999991</v>
      </c>
      <c r="K159" s="46"/>
      <c r="L159" s="47">
        <f>SmtRes!DF35</f>
        <v>260.55</v>
      </c>
    </row>
    <row r="160" spans="1:83" ht="13.55" x14ac:dyDescent="0.2">
      <c r="A160" s="43"/>
      <c r="B160" s="43" t="s">
        <v>316</v>
      </c>
      <c r="C160" s="43" t="s">
        <v>318</v>
      </c>
      <c r="D160" s="44" t="s">
        <v>293</v>
      </c>
      <c r="E160" s="45">
        <v>7.28</v>
      </c>
      <c r="F160" s="45"/>
      <c r="G160" s="45">
        <f>SmtRes!CX36</f>
        <v>29.12</v>
      </c>
      <c r="H160" s="47">
        <f>SmtRes!CZ36</f>
        <v>174.93</v>
      </c>
      <c r="I160" s="46">
        <f>SmtRes!AI36</f>
        <v>1.1399999999999999</v>
      </c>
      <c r="J160" s="47">
        <f t="shared" ref="J160:J165" si="0">ROUND(H160*I160, 2)</f>
        <v>199.42</v>
      </c>
      <c r="K160" s="46"/>
      <c r="L160" s="47">
        <f>SmtRes!DF36</f>
        <v>5807.11</v>
      </c>
    </row>
    <row r="161" spans="1:82" ht="13.55" x14ac:dyDescent="0.2">
      <c r="A161" s="43"/>
      <c r="B161" s="43" t="s">
        <v>319</v>
      </c>
      <c r="C161" s="43" t="s">
        <v>321</v>
      </c>
      <c r="D161" s="44" t="s">
        <v>104</v>
      </c>
      <c r="E161" s="45">
        <v>9.7000000000000005E-4</v>
      </c>
      <c r="F161" s="45"/>
      <c r="G161" s="45">
        <f>SmtRes!CX37</f>
        <v>3.8800000000000002E-3</v>
      </c>
      <c r="H161" s="47">
        <f>SmtRes!CZ37</f>
        <v>70296.2</v>
      </c>
      <c r="I161" s="46">
        <f>SmtRes!AI37</f>
        <v>1.2</v>
      </c>
      <c r="J161" s="47">
        <f t="shared" si="0"/>
        <v>84355.44</v>
      </c>
      <c r="K161" s="46"/>
      <c r="L161" s="47">
        <f>SmtRes!DF37</f>
        <v>327.3</v>
      </c>
    </row>
    <row r="162" spans="1:82" ht="40.65" x14ac:dyDescent="0.2">
      <c r="A162" s="43"/>
      <c r="B162" s="43" t="s">
        <v>322</v>
      </c>
      <c r="C162" s="43" t="s">
        <v>324</v>
      </c>
      <c r="D162" s="44" t="s">
        <v>325</v>
      </c>
      <c r="E162" s="45">
        <v>0.05</v>
      </c>
      <c r="F162" s="45"/>
      <c r="G162" s="45">
        <f>SmtRes!CX38</f>
        <v>0.2</v>
      </c>
      <c r="H162" s="47">
        <f>SmtRes!CZ38</f>
        <v>14803.89</v>
      </c>
      <c r="I162" s="46">
        <f>SmtRes!AI38</f>
        <v>1.19</v>
      </c>
      <c r="J162" s="47">
        <f t="shared" si="0"/>
        <v>17616.63</v>
      </c>
      <c r="K162" s="46"/>
      <c r="L162" s="47">
        <f>SmtRes!DF38</f>
        <v>3523.33</v>
      </c>
    </row>
    <row r="163" spans="1:82" ht="40.65" x14ac:dyDescent="0.2">
      <c r="A163" s="43"/>
      <c r="B163" s="43" t="s">
        <v>326</v>
      </c>
      <c r="C163" s="43" t="s">
        <v>328</v>
      </c>
      <c r="D163" s="44" t="s">
        <v>85</v>
      </c>
      <c r="E163" s="45">
        <v>1.37</v>
      </c>
      <c r="F163" s="45"/>
      <c r="G163" s="45">
        <f>SmtRes!CX39</f>
        <v>5.48</v>
      </c>
      <c r="H163" s="47">
        <f>SmtRes!CZ39</f>
        <v>6442.06</v>
      </c>
      <c r="I163" s="46">
        <f>SmtRes!AI39</f>
        <v>1.07</v>
      </c>
      <c r="J163" s="47">
        <f t="shared" si="0"/>
        <v>6893</v>
      </c>
      <c r="K163" s="46"/>
      <c r="L163" s="47">
        <f>SmtRes!DF39</f>
        <v>37773.64</v>
      </c>
    </row>
    <row r="164" spans="1:82" ht="27.1" x14ac:dyDescent="0.2">
      <c r="A164" s="43"/>
      <c r="B164" s="43" t="s">
        <v>329</v>
      </c>
      <c r="C164" s="43" t="s">
        <v>331</v>
      </c>
      <c r="D164" s="44" t="s">
        <v>104</v>
      </c>
      <c r="E164" s="45">
        <v>2.6599999999999999E-2</v>
      </c>
      <c r="F164" s="45"/>
      <c r="G164" s="45">
        <f>SmtRes!CX42</f>
        <v>0.10639999999999999</v>
      </c>
      <c r="H164" s="47">
        <f>SmtRes!CZ42</f>
        <v>10826.9</v>
      </c>
      <c r="I164" s="46">
        <f>SmtRes!AI42</f>
        <v>0.54</v>
      </c>
      <c r="J164" s="47">
        <f t="shared" si="0"/>
        <v>5846.53</v>
      </c>
      <c r="K164" s="46"/>
      <c r="L164" s="47">
        <f>SmtRes!DF42</f>
        <v>622.07000000000005</v>
      </c>
    </row>
    <row r="165" spans="1:82" ht="13.55" x14ac:dyDescent="0.2">
      <c r="A165" s="43"/>
      <c r="B165" s="43" t="s">
        <v>332</v>
      </c>
      <c r="C165" s="50" t="s">
        <v>334</v>
      </c>
      <c r="D165" s="51" t="s">
        <v>104</v>
      </c>
      <c r="E165" s="52">
        <v>2.7699999999999999E-3</v>
      </c>
      <c r="F165" s="52"/>
      <c r="G165" s="52">
        <f>SmtRes!CX43</f>
        <v>1.108E-2</v>
      </c>
      <c r="H165" s="53">
        <f>SmtRes!CZ43</f>
        <v>98039.57</v>
      </c>
      <c r="I165" s="54">
        <f>SmtRes!AI43</f>
        <v>1.4</v>
      </c>
      <c r="J165" s="53">
        <f t="shared" si="0"/>
        <v>137255.4</v>
      </c>
      <c r="K165" s="54"/>
      <c r="L165" s="53">
        <f>SmtRes!DF43</f>
        <v>1520.79</v>
      </c>
    </row>
    <row r="166" spans="1:82" ht="14.3" x14ac:dyDescent="0.2">
      <c r="A166" s="43"/>
      <c r="B166" s="43"/>
      <c r="C166" s="56" t="s">
        <v>395</v>
      </c>
      <c r="D166" s="44"/>
      <c r="E166" s="45"/>
      <c r="F166" s="45"/>
      <c r="G166" s="45"/>
      <c r="H166" s="47"/>
      <c r="I166" s="46"/>
      <c r="J166" s="47"/>
      <c r="K166" s="46"/>
      <c r="L166" s="47">
        <f>L149+L151+L152+L158</f>
        <v>181383.32</v>
      </c>
    </row>
    <row r="167" spans="1:82" ht="13.55" x14ac:dyDescent="0.2">
      <c r="A167" s="43"/>
      <c r="B167" s="43"/>
      <c r="C167" s="43" t="s">
        <v>396</v>
      </c>
      <c r="D167" s="44"/>
      <c r="E167" s="45"/>
      <c r="F167" s="45"/>
      <c r="G167" s="45"/>
      <c r="H167" s="47"/>
      <c r="I167" s="46"/>
      <c r="J167" s="47"/>
      <c r="K167" s="46"/>
      <c r="L167" s="47">
        <f>SUM(AR148:AR170)+SUM(AS148:AS170)+SUM(AT148:AT170)+SUM(AU148:AU170)+SUM(AV148:AV170)</f>
        <v>88764.88</v>
      </c>
    </row>
    <row r="168" spans="1:82" ht="13.55" x14ac:dyDescent="0.2">
      <c r="A168" s="43"/>
      <c r="B168" s="43" t="s">
        <v>80</v>
      </c>
      <c r="C168" s="43" t="s">
        <v>420</v>
      </c>
      <c r="D168" s="44" t="s">
        <v>60</v>
      </c>
      <c r="E168" s="45">
        <f>Source!BZ35</f>
        <v>108</v>
      </c>
      <c r="F168" s="45"/>
      <c r="G168" s="45">
        <f>Source!AT35</f>
        <v>108</v>
      </c>
      <c r="H168" s="47"/>
      <c r="I168" s="46"/>
      <c r="J168" s="47"/>
      <c r="K168" s="46"/>
      <c r="L168" s="47">
        <f>SUM(AZ148:AZ170)</f>
        <v>95866.07</v>
      </c>
    </row>
    <row r="169" spans="1:82" ht="13.55" x14ac:dyDescent="0.2">
      <c r="A169" s="50"/>
      <c r="B169" s="50" t="s">
        <v>81</v>
      </c>
      <c r="C169" s="50" t="s">
        <v>421</v>
      </c>
      <c r="D169" s="51" t="s">
        <v>60</v>
      </c>
      <c r="E169" s="52">
        <f>Source!CA35</f>
        <v>55</v>
      </c>
      <c r="F169" s="52"/>
      <c r="G169" s="52">
        <f>Source!AU35</f>
        <v>55</v>
      </c>
      <c r="H169" s="53"/>
      <c r="I169" s="54"/>
      <c r="J169" s="53"/>
      <c r="K169" s="54"/>
      <c r="L169" s="53">
        <f>SUM(BA148:BA170)</f>
        <v>48820.68</v>
      </c>
    </row>
    <row r="170" spans="1:82" ht="14.3" x14ac:dyDescent="0.2">
      <c r="C170" s="86" t="s">
        <v>399</v>
      </c>
      <c r="D170" s="86"/>
      <c r="E170" s="86"/>
      <c r="F170" s="86"/>
      <c r="G170" s="86"/>
      <c r="H170" s="86"/>
      <c r="I170" s="87">
        <f>IF(E148&lt;&gt;0,K170/E148, 0)</f>
        <v>81517.517500000002</v>
      </c>
      <c r="J170" s="87"/>
      <c r="K170" s="87">
        <f>L149+L151+L158+L168+L169+L152</f>
        <v>326070.07</v>
      </c>
      <c r="L170" s="87"/>
      <c r="AD170">
        <f>ROUND((Source!AT35/100)*((ROUND(SUMIF(SmtRes!AQ30:'SmtRes'!AQ43,"=1",SmtRes!AD30:'SmtRes'!AD43)*Source!I35, 2)+ROUND(SUMIF(SmtRes!AQ30:'SmtRes'!AQ43,"=1",SmtRes!AC30:'SmtRes'!AC43)*Source!I35, 2))), 2)</f>
        <v>5513.36</v>
      </c>
      <c r="AE170">
        <f>ROUND((Source!AU35/100)*((ROUND(SUMIF(SmtRes!AQ30:'SmtRes'!AQ43,"=1",SmtRes!AD30:'SmtRes'!AD43)*Source!I35, 2)+ROUND(SUMIF(SmtRes!AQ30:'SmtRes'!AQ43,"=1",SmtRes!AC30:'SmtRes'!AC43)*Source!I35, 2))), 2)</f>
        <v>2807.73</v>
      </c>
      <c r="AN170" s="55">
        <f>L149+L151+L158+L168+L169+L152</f>
        <v>326070.07</v>
      </c>
      <c r="AO170" s="55">
        <f>L151</f>
        <v>42783.650000000009</v>
      </c>
      <c r="AQ170" t="s">
        <v>400</v>
      </c>
      <c r="AR170" s="55">
        <f>L149</f>
        <v>74971.78</v>
      </c>
      <c r="AT170" s="55">
        <f>L152</f>
        <v>13793.1</v>
      </c>
      <c r="AV170" t="s">
        <v>400</v>
      </c>
      <c r="AW170" s="55">
        <f>L158</f>
        <v>49834.79</v>
      </c>
      <c r="AZ170">
        <f>Source!X35</f>
        <v>95866.07</v>
      </c>
      <c r="BA170">
        <f>Source!Y35</f>
        <v>48820.68</v>
      </c>
      <c r="CD170">
        <v>1</v>
      </c>
    </row>
    <row r="171" spans="1:82" ht="13.55" x14ac:dyDescent="0.2">
      <c r="A171" s="58">
        <v>8</v>
      </c>
      <c r="B171" s="50"/>
      <c r="C171" s="50" t="s">
        <v>472</v>
      </c>
      <c r="D171" s="51" t="s">
        <v>89</v>
      </c>
      <c r="E171" s="52">
        <v>400</v>
      </c>
      <c r="F171" s="52"/>
      <c r="G171" s="52">
        <f>Source!I15</f>
        <v>0</v>
      </c>
      <c r="H171" s="53">
        <f>Source!AL15</f>
        <v>0</v>
      </c>
      <c r="I171" s="54"/>
      <c r="J171" s="53">
        <f>ROUND(H171*I171, 2)</f>
        <v>0</v>
      </c>
      <c r="K171" s="54"/>
      <c r="L171" s="53">
        <f>Source!P15</f>
        <v>0</v>
      </c>
    </row>
    <row r="172" spans="1:82" ht="14.3" x14ac:dyDescent="0.2">
      <c r="C172" s="86" t="s">
        <v>399</v>
      </c>
      <c r="D172" s="86"/>
      <c r="E172" s="86"/>
      <c r="F172" s="86"/>
      <c r="G172" s="86"/>
      <c r="H172" s="86"/>
      <c r="I172" s="87">
        <f>IF(E171&lt;&gt;0,K172/E171, 0)</f>
        <v>0</v>
      </c>
      <c r="J172" s="87"/>
      <c r="K172" s="87">
        <f>L171</f>
        <v>0</v>
      </c>
      <c r="L172" s="87"/>
      <c r="AD172">
        <f>ROUND((Source!AT15/100)*((ROUND(ROUND(Source!AO15,2)*Source!I15, 2)+ROUND(ROUND(Source!AN15,2)*Source!I15, 2))), 2)</f>
        <v>0</v>
      </c>
      <c r="AE172">
        <f>ROUND((Source!AU15/100)*((ROUND(ROUND(Source!AO15,2)*Source!I15, 2)+ROUND(ROUND(Source!AN15,2)*Source!I15, 2))), 2)</f>
        <v>0</v>
      </c>
      <c r="AN172" s="55">
        <f>L171</f>
        <v>0</v>
      </c>
      <c r="AO172">
        <f>0</f>
        <v>0</v>
      </c>
      <c r="AQ172" t="s">
        <v>400</v>
      </c>
      <c r="AR172">
        <f>0</f>
        <v>0</v>
      </c>
      <c r="AT172">
        <f>0</f>
        <v>0</v>
      </c>
      <c r="AV172" t="s">
        <v>400</v>
      </c>
      <c r="AW172" s="55">
        <f>L171</f>
        <v>0</v>
      </c>
      <c r="AZ172">
        <f>Source!X15</f>
        <v>0</v>
      </c>
      <c r="BA172">
        <f>Source!Y15</f>
        <v>0</v>
      </c>
      <c r="CD172">
        <v>1</v>
      </c>
    </row>
    <row r="173" spans="1:82" ht="27.1" x14ac:dyDescent="0.2">
      <c r="A173" s="41" t="s">
        <v>97</v>
      </c>
      <c r="B173" s="43" t="s">
        <v>422</v>
      </c>
      <c r="C173" s="43" t="str">
        <f>Source!G39</f>
        <v>Устройство ворот (с установкой столбов): глухих (5*2 - 2шт)</v>
      </c>
      <c r="D173" s="44" t="str">
        <f>Source!H39</f>
        <v>100 м2</v>
      </c>
      <c r="E173" s="45">
        <f>Source!K39</f>
        <v>0.2</v>
      </c>
      <c r="F173" s="45"/>
      <c r="G173" s="45">
        <f>Source!I39</f>
        <v>0.2</v>
      </c>
      <c r="H173" s="47"/>
      <c r="I173" s="46"/>
      <c r="J173" s="47"/>
      <c r="K173" s="46"/>
      <c r="L173" s="47"/>
    </row>
    <row r="174" spans="1:82" ht="14.3" x14ac:dyDescent="0.2">
      <c r="A174" s="42"/>
      <c r="B174" s="45">
        <v>1</v>
      </c>
      <c r="C174" s="42" t="s">
        <v>402</v>
      </c>
      <c r="D174" s="44" t="s">
        <v>247</v>
      </c>
      <c r="E174" s="48"/>
      <c r="F174" s="45"/>
      <c r="G174" s="45">
        <f>Source!U39</f>
        <v>59.6</v>
      </c>
      <c r="H174" s="45"/>
      <c r="I174" s="45"/>
      <c r="J174" s="45"/>
      <c r="K174" s="45"/>
      <c r="L174" s="49">
        <f>SUM(L175:L175)-SUMIF(CE175:CE175, 1, L175:L175)</f>
        <v>20824.84</v>
      </c>
    </row>
    <row r="175" spans="1:82" ht="13.55" x14ac:dyDescent="0.2">
      <c r="A175" s="43"/>
      <c r="B175" s="43" t="s">
        <v>335</v>
      </c>
      <c r="C175" s="43" t="s">
        <v>336</v>
      </c>
      <c r="D175" s="44" t="s">
        <v>247</v>
      </c>
      <c r="E175" s="45">
        <v>298</v>
      </c>
      <c r="F175" s="45"/>
      <c r="G175" s="45">
        <f>SmtRes!CX44</f>
        <v>59.6</v>
      </c>
      <c r="H175" s="47"/>
      <c r="I175" s="46"/>
      <c r="J175" s="47">
        <f>SmtRes!CZ44</f>
        <v>349.41</v>
      </c>
      <c r="K175" s="46"/>
      <c r="L175" s="47">
        <f>SmtRes!DI44</f>
        <v>20824.84</v>
      </c>
    </row>
    <row r="176" spans="1:82" ht="14.3" x14ac:dyDescent="0.2">
      <c r="A176" s="42"/>
      <c r="B176" s="45">
        <v>2</v>
      </c>
      <c r="C176" s="42" t="s">
        <v>392</v>
      </c>
      <c r="D176" s="44"/>
      <c r="E176" s="48"/>
      <c r="F176" s="45"/>
      <c r="G176" s="45"/>
      <c r="H176" s="45"/>
      <c r="I176" s="45"/>
      <c r="J176" s="45"/>
      <c r="K176" s="45"/>
      <c r="L176" s="49">
        <f>SUM(L177:L182)-SUMIF(CE177:CE182, 1, L177:L182)</f>
        <v>6197.880000000001</v>
      </c>
    </row>
    <row r="177" spans="1:83" ht="14.3" x14ac:dyDescent="0.2">
      <c r="A177" s="42"/>
      <c r="B177" s="45"/>
      <c r="C177" s="42" t="s">
        <v>394</v>
      </c>
      <c r="D177" s="44" t="s">
        <v>247</v>
      </c>
      <c r="E177" s="48"/>
      <c r="F177" s="45"/>
      <c r="G177" s="45">
        <f>Source!V39</f>
        <v>3.698</v>
      </c>
      <c r="H177" s="45"/>
      <c r="I177" s="45"/>
      <c r="J177" s="45"/>
      <c r="K177" s="45"/>
      <c r="L177" s="49">
        <f>SUMIF(CE178:CE182, 1, L178:L182)</f>
        <v>1944.88</v>
      </c>
      <c r="CE177">
        <v>1</v>
      </c>
    </row>
    <row r="178" spans="1:83" ht="27.1" x14ac:dyDescent="0.2">
      <c r="A178" s="43"/>
      <c r="B178" s="43" t="s">
        <v>274</v>
      </c>
      <c r="C178" s="43" t="s">
        <v>276</v>
      </c>
      <c r="D178" s="44" t="s">
        <v>251</v>
      </c>
      <c r="E178" s="45">
        <v>17.53</v>
      </c>
      <c r="F178" s="45"/>
      <c r="G178" s="45">
        <f>SmtRes!CX46</f>
        <v>3.5059999999999998</v>
      </c>
      <c r="H178" s="47"/>
      <c r="I178" s="46"/>
      <c r="J178" s="47">
        <f>SmtRes!CZ46</f>
        <v>1720.97</v>
      </c>
      <c r="K178" s="46"/>
      <c r="L178" s="47">
        <f>SmtRes!DG46</f>
        <v>6033.72</v>
      </c>
    </row>
    <row r="179" spans="1:83" ht="13.55" x14ac:dyDescent="0.2">
      <c r="A179" s="43"/>
      <c r="B179" s="43" t="s">
        <v>252</v>
      </c>
      <c r="C179" s="43" t="s">
        <v>393</v>
      </c>
      <c r="D179" s="44" t="s">
        <v>247</v>
      </c>
      <c r="E179" s="45">
        <f>SmtRes!DO46*SmtRes!AT46</f>
        <v>17.53</v>
      </c>
      <c r="F179" s="45"/>
      <c r="G179" s="45">
        <f>ROUND(E179*G173, 7)</f>
        <v>3.5059999999999998</v>
      </c>
      <c r="H179" s="47"/>
      <c r="I179" s="46"/>
      <c r="J179" s="47">
        <f>ROUND(SmtRes!AG46/SmtRes!DO46, 2)</f>
        <v>533</v>
      </c>
      <c r="K179" s="46"/>
      <c r="L179" s="47">
        <f>SmtRes!DH46</f>
        <v>1868.7</v>
      </c>
      <c r="CE179">
        <v>1</v>
      </c>
    </row>
    <row r="180" spans="1:83" ht="40.65" x14ac:dyDescent="0.2">
      <c r="A180" s="43"/>
      <c r="B180" s="43" t="s">
        <v>309</v>
      </c>
      <c r="C180" s="43" t="s">
        <v>311</v>
      </c>
      <c r="D180" s="44" t="s">
        <v>251</v>
      </c>
      <c r="E180" s="45">
        <v>1.0900000000000001</v>
      </c>
      <c r="F180" s="45"/>
      <c r="G180" s="45">
        <f>SmtRes!CX47</f>
        <v>0.218</v>
      </c>
      <c r="H180" s="47">
        <f>SmtRes!CZ47</f>
        <v>95.25</v>
      </c>
      <c r="I180" s="46">
        <f>SmtRes!AJ47</f>
        <v>1.61</v>
      </c>
      <c r="J180" s="47">
        <f>ROUND(H180*I180, 2)</f>
        <v>153.35</v>
      </c>
      <c r="K180" s="46"/>
      <c r="L180" s="47">
        <f>SmtRes!DG47</f>
        <v>33.43</v>
      </c>
    </row>
    <row r="181" spans="1:83" ht="27.1" x14ac:dyDescent="0.2">
      <c r="A181" s="43"/>
      <c r="B181" s="43" t="s">
        <v>262</v>
      </c>
      <c r="C181" s="43" t="s">
        <v>264</v>
      </c>
      <c r="D181" s="44" t="s">
        <v>251</v>
      </c>
      <c r="E181" s="45">
        <v>0.96</v>
      </c>
      <c r="F181" s="45"/>
      <c r="G181" s="45">
        <f>SmtRes!CX48</f>
        <v>0.192</v>
      </c>
      <c r="H181" s="47"/>
      <c r="I181" s="46"/>
      <c r="J181" s="47">
        <f>SmtRes!CZ48</f>
        <v>680.88</v>
      </c>
      <c r="K181" s="46"/>
      <c r="L181" s="47">
        <f>SmtRes!DG48</f>
        <v>130.72999999999999</v>
      </c>
    </row>
    <row r="182" spans="1:83" ht="13.55" x14ac:dyDescent="0.2">
      <c r="A182" s="43"/>
      <c r="B182" s="43" t="s">
        <v>265</v>
      </c>
      <c r="C182" s="43" t="s">
        <v>404</v>
      </c>
      <c r="D182" s="44" t="s">
        <v>247</v>
      </c>
      <c r="E182" s="45">
        <f>SmtRes!DO48*SmtRes!AT48</f>
        <v>0.96</v>
      </c>
      <c r="F182" s="45"/>
      <c r="G182" s="45">
        <f>ROUND(E182*G173, 7)</f>
        <v>0.192</v>
      </c>
      <c r="H182" s="47"/>
      <c r="I182" s="46"/>
      <c r="J182" s="47">
        <f>ROUND(SmtRes!AG48/SmtRes!DO48, 2)</f>
        <v>396.79</v>
      </c>
      <c r="K182" s="46"/>
      <c r="L182" s="47">
        <f>SmtRes!DH48</f>
        <v>76.180000000000007</v>
      </c>
      <c r="CE182">
        <v>1</v>
      </c>
    </row>
    <row r="183" spans="1:83" ht="14.3" x14ac:dyDescent="0.2">
      <c r="A183" s="42"/>
      <c r="B183" s="45">
        <v>4</v>
      </c>
      <c r="C183" s="42" t="s">
        <v>412</v>
      </c>
      <c r="D183" s="44"/>
      <c r="E183" s="48"/>
      <c r="F183" s="45"/>
      <c r="G183" s="45"/>
      <c r="H183" s="45"/>
      <c r="I183" s="45"/>
      <c r="J183" s="45"/>
      <c r="K183" s="45"/>
      <c r="L183" s="49">
        <f>SUM(L184:L191)-SUMIF(CE184:CE191, 1, L184:L191)</f>
        <v>1324.1699999999994</v>
      </c>
    </row>
    <row r="184" spans="1:83" ht="13.55" x14ac:dyDescent="0.2">
      <c r="A184" s="43"/>
      <c r="B184" s="43" t="s">
        <v>312</v>
      </c>
      <c r="C184" s="43" t="s">
        <v>314</v>
      </c>
      <c r="D184" s="44" t="s">
        <v>315</v>
      </c>
      <c r="E184" s="45">
        <v>20.393999999999998</v>
      </c>
      <c r="F184" s="45"/>
      <c r="G184" s="45">
        <f>SmtRes!CX49</f>
        <v>4.0788000000000002</v>
      </c>
      <c r="H184" s="47"/>
      <c r="I184" s="46"/>
      <c r="J184" s="47">
        <f>SmtRes!CZ49</f>
        <v>8.7899999999999991</v>
      </c>
      <c r="K184" s="46"/>
      <c r="L184" s="47">
        <f>SmtRes!DF49</f>
        <v>35.85</v>
      </c>
    </row>
    <row r="185" spans="1:83" ht="13.55" x14ac:dyDescent="0.2">
      <c r="A185" s="43"/>
      <c r="B185" s="43" t="s">
        <v>316</v>
      </c>
      <c r="C185" s="43" t="s">
        <v>318</v>
      </c>
      <c r="D185" s="44" t="s">
        <v>293</v>
      </c>
      <c r="E185" s="45">
        <v>35.1</v>
      </c>
      <c r="F185" s="45"/>
      <c r="G185" s="45">
        <f>SmtRes!CX50</f>
        <v>7.02</v>
      </c>
      <c r="H185" s="47">
        <f>SmtRes!CZ50</f>
        <v>174.93</v>
      </c>
      <c r="I185" s="46">
        <f>SmtRes!AI50</f>
        <v>1.1399999999999999</v>
      </c>
      <c r="J185" s="47">
        <f t="shared" ref="J185:J191" si="1">ROUND(H185*I185, 2)</f>
        <v>199.42</v>
      </c>
      <c r="K185" s="46"/>
      <c r="L185" s="47">
        <f>SmtRes!DF50</f>
        <v>1399.93</v>
      </c>
    </row>
    <row r="186" spans="1:83" ht="13.55" x14ac:dyDescent="0.2">
      <c r="A186" s="43"/>
      <c r="B186" s="43" t="s">
        <v>319</v>
      </c>
      <c r="C186" s="43" t="s">
        <v>321</v>
      </c>
      <c r="D186" s="44" t="s">
        <v>104</v>
      </c>
      <c r="E186" s="45">
        <v>3.5999999999999999E-3</v>
      </c>
      <c r="F186" s="45"/>
      <c r="G186" s="45">
        <f>SmtRes!CX51</f>
        <v>7.2000000000000005E-4</v>
      </c>
      <c r="H186" s="47">
        <f>SmtRes!CZ51</f>
        <v>70296.2</v>
      </c>
      <c r="I186" s="46">
        <f>SmtRes!AI51</f>
        <v>1.2</v>
      </c>
      <c r="J186" s="47">
        <f t="shared" si="1"/>
        <v>84355.44</v>
      </c>
      <c r="K186" s="46"/>
      <c r="L186" s="47">
        <f>SmtRes!DF51</f>
        <v>60.74</v>
      </c>
    </row>
    <row r="187" spans="1:83" ht="40.65" x14ac:dyDescent="0.2">
      <c r="A187" s="43"/>
      <c r="B187" s="43" t="s">
        <v>322</v>
      </c>
      <c r="C187" s="43" t="s">
        <v>324</v>
      </c>
      <c r="D187" s="44" t="s">
        <v>325</v>
      </c>
      <c r="E187" s="45">
        <v>8.5999999999999993E-2</v>
      </c>
      <c r="F187" s="45"/>
      <c r="G187" s="45">
        <f>SmtRes!CX52</f>
        <v>1.72E-2</v>
      </c>
      <c r="H187" s="47">
        <f>SmtRes!CZ52</f>
        <v>14803.89</v>
      </c>
      <c r="I187" s="46">
        <f>SmtRes!AI52</f>
        <v>1.19</v>
      </c>
      <c r="J187" s="47">
        <f t="shared" si="1"/>
        <v>17616.63</v>
      </c>
      <c r="K187" s="46"/>
      <c r="L187" s="47">
        <f>SmtRes!DF52</f>
        <v>303.01</v>
      </c>
    </row>
    <row r="188" spans="1:83" ht="40.65" x14ac:dyDescent="0.2">
      <c r="A188" s="43"/>
      <c r="B188" s="43" t="s">
        <v>326</v>
      </c>
      <c r="C188" s="43" t="s">
        <v>328</v>
      </c>
      <c r="D188" s="44" t="s">
        <v>85</v>
      </c>
      <c r="E188" s="45">
        <v>2.0099999999999998</v>
      </c>
      <c r="F188" s="45"/>
      <c r="G188" s="45">
        <f>SmtRes!CX54</f>
        <v>0.40200000000000002</v>
      </c>
      <c r="H188" s="47">
        <f>SmtRes!CZ54</f>
        <v>6442.06</v>
      </c>
      <c r="I188" s="46">
        <f>SmtRes!AI54</f>
        <v>1.07</v>
      </c>
      <c r="J188" s="47">
        <f t="shared" si="1"/>
        <v>6893</v>
      </c>
      <c r="K188" s="46"/>
      <c r="L188" s="47">
        <f>SmtRes!DF54</f>
        <v>2770.99</v>
      </c>
    </row>
    <row r="189" spans="1:83" ht="54.2" x14ac:dyDescent="0.2">
      <c r="A189" s="43"/>
      <c r="B189" s="43" t="s">
        <v>337</v>
      </c>
      <c r="C189" s="43" t="s">
        <v>339</v>
      </c>
      <c r="D189" s="44" t="s">
        <v>85</v>
      </c>
      <c r="E189" s="45">
        <v>-2.0999999999999996</v>
      </c>
      <c r="F189" s="45"/>
      <c r="G189" s="45">
        <f>SmtRes!CX56</f>
        <v>-0.42</v>
      </c>
      <c r="H189" s="47">
        <f>SmtRes!CZ56</f>
        <v>5764.42</v>
      </c>
      <c r="I189" s="46">
        <f>SmtRes!AI56</f>
        <v>1.42</v>
      </c>
      <c r="J189" s="47">
        <f t="shared" si="1"/>
        <v>8185.48</v>
      </c>
      <c r="K189" s="46"/>
      <c r="L189" s="47">
        <f>SmtRes!DF56</f>
        <v>-3437.9</v>
      </c>
    </row>
    <row r="190" spans="1:83" ht="27.1" x14ac:dyDescent="0.2">
      <c r="A190" s="43"/>
      <c r="B190" s="43" t="s">
        <v>329</v>
      </c>
      <c r="C190" s="43" t="s">
        <v>331</v>
      </c>
      <c r="D190" s="44" t="s">
        <v>104</v>
      </c>
      <c r="E190" s="45">
        <v>0.03</v>
      </c>
      <c r="F190" s="45"/>
      <c r="G190" s="45">
        <f>SmtRes!CX57</f>
        <v>6.0000000000000001E-3</v>
      </c>
      <c r="H190" s="47">
        <f>SmtRes!CZ57</f>
        <v>10826.9</v>
      </c>
      <c r="I190" s="46">
        <f>SmtRes!AI57</f>
        <v>0.54</v>
      </c>
      <c r="J190" s="47">
        <f t="shared" si="1"/>
        <v>5846.53</v>
      </c>
      <c r="K190" s="46"/>
      <c r="L190" s="47">
        <f>SmtRes!DF57</f>
        <v>35.08</v>
      </c>
    </row>
    <row r="191" spans="1:83" ht="13.55" x14ac:dyDescent="0.2">
      <c r="A191" s="43"/>
      <c r="B191" s="43" t="s">
        <v>332</v>
      </c>
      <c r="C191" s="50" t="s">
        <v>334</v>
      </c>
      <c r="D191" s="51" t="s">
        <v>104</v>
      </c>
      <c r="E191" s="52">
        <v>5.7000000000000002E-3</v>
      </c>
      <c r="F191" s="52"/>
      <c r="G191" s="52">
        <f>SmtRes!CX58</f>
        <v>1.14E-3</v>
      </c>
      <c r="H191" s="53">
        <f>SmtRes!CZ58</f>
        <v>98039.57</v>
      </c>
      <c r="I191" s="54">
        <f>SmtRes!AI58</f>
        <v>1.4</v>
      </c>
      <c r="J191" s="53">
        <f t="shared" si="1"/>
        <v>137255.4</v>
      </c>
      <c r="K191" s="54"/>
      <c r="L191" s="53">
        <f>SmtRes!DF58</f>
        <v>156.47</v>
      </c>
    </row>
    <row r="192" spans="1:83" ht="14.3" x14ac:dyDescent="0.2">
      <c r="A192" s="43"/>
      <c r="B192" s="43"/>
      <c r="C192" s="56" t="s">
        <v>395</v>
      </c>
      <c r="D192" s="44"/>
      <c r="E192" s="45"/>
      <c r="F192" s="45"/>
      <c r="G192" s="45"/>
      <c r="H192" s="47"/>
      <c r="I192" s="46"/>
      <c r="J192" s="47"/>
      <c r="K192" s="46"/>
      <c r="L192" s="47">
        <f>L174+L176+L177+L183</f>
        <v>30291.77</v>
      </c>
    </row>
    <row r="193" spans="1:82" ht="13.55" x14ac:dyDescent="0.2">
      <c r="A193" s="43"/>
      <c r="B193" s="43"/>
      <c r="C193" s="43" t="s">
        <v>396</v>
      </c>
      <c r="D193" s="44"/>
      <c r="E193" s="45"/>
      <c r="F193" s="45"/>
      <c r="G193" s="45"/>
      <c r="H193" s="47"/>
      <c r="I193" s="46"/>
      <c r="J193" s="47"/>
      <c r="K193" s="46"/>
      <c r="L193" s="47">
        <f>SUM(AR173:AR196)+SUM(AS173:AS196)+SUM(AT173:AT196)+SUM(AU173:AU196)+SUM(AV173:AV196)</f>
        <v>22769.72</v>
      </c>
    </row>
    <row r="194" spans="1:82" ht="13.55" x14ac:dyDescent="0.2">
      <c r="A194" s="43"/>
      <c r="B194" s="43" t="s">
        <v>80</v>
      </c>
      <c r="C194" s="43" t="s">
        <v>420</v>
      </c>
      <c r="D194" s="44" t="s">
        <v>60</v>
      </c>
      <c r="E194" s="45">
        <f>Source!BZ39</f>
        <v>108</v>
      </c>
      <c r="F194" s="45"/>
      <c r="G194" s="45">
        <f>Source!AT39</f>
        <v>108</v>
      </c>
      <c r="H194" s="47"/>
      <c r="I194" s="46"/>
      <c r="J194" s="47"/>
      <c r="K194" s="46"/>
      <c r="L194" s="47">
        <f>SUM(AZ173:AZ196)</f>
        <v>24591.3</v>
      </c>
    </row>
    <row r="195" spans="1:82" ht="13.55" x14ac:dyDescent="0.2">
      <c r="A195" s="50"/>
      <c r="B195" s="50" t="s">
        <v>81</v>
      </c>
      <c r="C195" s="50" t="s">
        <v>421</v>
      </c>
      <c r="D195" s="51" t="s">
        <v>60</v>
      </c>
      <c r="E195" s="52">
        <f>Source!CA39</f>
        <v>55</v>
      </c>
      <c r="F195" s="52"/>
      <c r="G195" s="52">
        <f>Source!AU39</f>
        <v>55</v>
      </c>
      <c r="H195" s="53"/>
      <c r="I195" s="54"/>
      <c r="J195" s="53"/>
      <c r="K195" s="54"/>
      <c r="L195" s="53">
        <f>SUM(BA173:BA196)</f>
        <v>12523.35</v>
      </c>
    </row>
    <row r="196" spans="1:82" ht="14.3" x14ac:dyDescent="0.2">
      <c r="C196" s="86" t="s">
        <v>399</v>
      </c>
      <c r="D196" s="86"/>
      <c r="E196" s="86"/>
      <c r="F196" s="86"/>
      <c r="G196" s="86"/>
      <c r="H196" s="86"/>
      <c r="I196" s="87">
        <f>IF(E173&lt;&gt;0,K196/E173, 0)</f>
        <v>337032.1</v>
      </c>
      <c r="J196" s="87"/>
      <c r="K196" s="87">
        <f>L174+L176+L183+L194+L195+L177</f>
        <v>67406.42</v>
      </c>
      <c r="L196" s="87"/>
      <c r="AD196">
        <f>ROUND((Source!AT39/100)*((ROUND(SUMIF(SmtRes!AQ44:'SmtRes'!AQ58,"=1",SmtRes!AD44:'SmtRes'!AD58)*Source!I39, 2)+ROUND(SUMIF(SmtRes!AQ44:'SmtRes'!AQ58,"=1",SmtRes!AC44:'SmtRes'!AC58)*Source!I39, 2))), 2)</f>
        <v>276.31</v>
      </c>
      <c r="AE196">
        <f>ROUND((Source!AU39/100)*((ROUND(SUMIF(SmtRes!AQ44:'SmtRes'!AQ58,"=1",SmtRes!AD44:'SmtRes'!AD58)*Source!I39, 2)+ROUND(SUMIF(SmtRes!AQ44:'SmtRes'!AQ58,"=1",SmtRes!AC44:'SmtRes'!AC58)*Source!I39, 2))), 2)</f>
        <v>140.71</v>
      </c>
      <c r="AN196" s="55">
        <f>L174+L176+L183+L194+L195+L177</f>
        <v>67406.42</v>
      </c>
      <c r="AO196" s="55">
        <f>L176</f>
        <v>6197.880000000001</v>
      </c>
      <c r="AQ196" t="s">
        <v>400</v>
      </c>
      <c r="AR196" s="55">
        <f>L174</f>
        <v>20824.84</v>
      </c>
      <c r="AT196" s="55">
        <f>L177</f>
        <v>1944.88</v>
      </c>
      <c r="AV196" t="s">
        <v>400</v>
      </c>
      <c r="AW196" s="55">
        <f>L183</f>
        <v>1324.1699999999994</v>
      </c>
      <c r="AZ196">
        <f>Source!X39</f>
        <v>24591.3</v>
      </c>
      <c r="BA196">
        <f>Source!Y39</f>
        <v>12523.35</v>
      </c>
      <c r="CD196">
        <v>1</v>
      </c>
    </row>
    <row r="197" spans="1:82" ht="54.2" x14ac:dyDescent="0.2">
      <c r="A197" s="58" t="s">
        <v>107</v>
      </c>
      <c r="B197" s="50" t="str">
        <f>Source!F42</f>
        <v>11.1.03.01-0066</v>
      </c>
      <c r="C197" s="50" t="str">
        <f>Source!G42</f>
        <v>Брус обрезной хвойных пород (ель, сосна), естественной влажности, длина 2-6,5 м, ширина 100 и более мм, толщина 100 и более мм, сорт II</v>
      </c>
      <c r="D197" s="51" t="str">
        <f>Source!H42</f>
        <v>м3</v>
      </c>
      <c r="E197" s="52">
        <f>Source!K42</f>
        <v>0.50800000000000001</v>
      </c>
      <c r="F197" s="52"/>
      <c r="G197" s="52">
        <f>Source!I42</f>
        <v>0.50800000000000001</v>
      </c>
      <c r="H197" s="53">
        <f>Source!AL42</f>
        <v>16655</v>
      </c>
      <c r="I197" s="54">
        <f>IF(Source!BC42&lt;&gt; 0, Source!BC42, 1)</f>
        <v>0.98</v>
      </c>
      <c r="J197" s="53">
        <f>ROUND(H197*I197, 2)</f>
        <v>16321.9</v>
      </c>
      <c r="K197" s="54"/>
      <c r="L197" s="53">
        <f>Source!P42</f>
        <v>8291.5300000000007</v>
      </c>
    </row>
    <row r="198" spans="1:82" ht="14.3" x14ac:dyDescent="0.2">
      <c r="C198" s="86" t="s">
        <v>399</v>
      </c>
      <c r="D198" s="86"/>
      <c r="E198" s="86"/>
      <c r="F198" s="86"/>
      <c r="G198" s="86"/>
      <c r="H198" s="86"/>
      <c r="I198" s="87">
        <f>IF(E197&lt;&gt;0,K198/E197, 0)</f>
        <v>16321.909448818898</v>
      </c>
      <c r="J198" s="87"/>
      <c r="K198" s="87">
        <f>L197</f>
        <v>8291.5300000000007</v>
      </c>
      <c r="L198" s="87"/>
      <c r="AD198">
        <f>ROUND((Source!AT42/100)*((ROUND(ROUND(Source!AO42,2)*Source!I42, 2)+ROUND(ROUND(Source!AN42,2)*Source!I42, 2))), 2)</f>
        <v>0</v>
      </c>
      <c r="AE198">
        <f>ROUND((Source!AU42/100)*((ROUND(ROUND(Source!AO42,2)*Source!I42, 2)+ROUND(ROUND(Source!AN42,2)*Source!I42, 2))), 2)</f>
        <v>0</v>
      </c>
      <c r="AN198" s="55">
        <f>L197</f>
        <v>8291.5300000000007</v>
      </c>
      <c r="AO198">
        <f>0</f>
        <v>0</v>
      </c>
      <c r="AQ198" t="s">
        <v>400</v>
      </c>
      <c r="AR198">
        <f>0</f>
        <v>0</v>
      </c>
      <c r="AT198">
        <f>0</f>
        <v>0</v>
      </c>
      <c r="AV198" t="s">
        <v>400</v>
      </c>
      <c r="AW198" s="55">
        <f>L197</f>
        <v>8291.5300000000007</v>
      </c>
      <c r="AZ198">
        <f>Source!X42</f>
        <v>0</v>
      </c>
      <c r="BA198">
        <f>Source!Y42</f>
        <v>0</v>
      </c>
      <c r="CD198">
        <v>1</v>
      </c>
    </row>
    <row r="199" spans="1:82" ht="27.1" x14ac:dyDescent="0.2">
      <c r="A199" s="58" t="s">
        <v>111</v>
      </c>
      <c r="B199" s="50" t="str">
        <f>Source!F43</f>
        <v>01.7.04.11-0092</v>
      </c>
      <c r="C199" s="50" t="str">
        <f>Source!G43</f>
        <v>Комплект монтажный для установки дверных блоков массой до 80 кг</v>
      </c>
      <c r="D199" s="51" t="str">
        <f>Source!H43</f>
        <v>КОМПЛ</v>
      </c>
      <c r="E199" s="52">
        <f>Source!K43</f>
        <v>2</v>
      </c>
      <c r="F199" s="52"/>
      <c r="G199" s="52">
        <f>Source!I43</f>
        <v>2</v>
      </c>
      <c r="H199" s="53">
        <f>Source!AL43</f>
        <v>740.9</v>
      </c>
      <c r="I199" s="54">
        <f>IF(Source!BC43&lt;&gt; 0, Source!BC43, 1)</f>
        <v>1.46</v>
      </c>
      <c r="J199" s="53">
        <f>ROUND(H199*I199, 2)</f>
        <v>1081.71</v>
      </c>
      <c r="K199" s="54"/>
      <c r="L199" s="53">
        <f>Source!P43</f>
        <v>2163.42</v>
      </c>
    </row>
    <row r="200" spans="1:82" ht="14.3" x14ac:dyDescent="0.2">
      <c r="C200" s="86" t="s">
        <v>399</v>
      </c>
      <c r="D200" s="86"/>
      <c r="E200" s="86"/>
      <c r="F200" s="86"/>
      <c r="G200" s="86"/>
      <c r="H200" s="86"/>
      <c r="I200" s="87">
        <f>IF(E199&lt;&gt;0,K200/E199, 0)</f>
        <v>1081.71</v>
      </c>
      <c r="J200" s="87"/>
      <c r="K200" s="87">
        <f>L199</f>
        <v>2163.42</v>
      </c>
      <c r="L200" s="87"/>
      <c r="AD200">
        <f>ROUND((Source!AT43/100)*((ROUND(ROUND(Source!AO43,2)*Source!I43, 2)+ROUND(ROUND(Source!AN43,2)*Source!I43, 2))), 2)</f>
        <v>0</v>
      </c>
      <c r="AE200">
        <f>ROUND((Source!AU43/100)*((ROUND(ROUND(Source!AO43,2)*Source!I43, 2)+ROUND(ROUND(Source!AN43,2)*Source!I43, 2))), 2)</f>
        <v>0</v>
      </c>
      <c r="AN200" s="55">
        <f>L199</f>
        <v>2163.42</v>
      </c>
      <c r="AO200">
        <f>0</f>
        <v>0</v>
      </c>
      <c r="AQ200" t="s">
        <v>400</v>
      </c>
      <c r="AR200">
        <f>0</f>
        <v>0</v>
      </c>
      <c r="AT200">
        <f>0</f>
        <v>0</v>
      </c>
      <c r="AV200" t="s">
        <v>400</v>
      </c>
      <c r="AW200" s="55">
        <f>L199</f>
        <v>2163.42</v>
      </c>
      <c r="AZ200">
        <f>Source!X43</f>
        <v>0</v>
      </c>
      <c r="BA200">
        <f>Source!Y43</f>
        <v>0</v>
      </c>
      <c r="CD200">
        <v>1</v>
      </c>
    </row>
    <row r="201" spans="1:82" ht="13.55" x14ac:dyDescent="0.2">
      <c r="A201" s="58">
        <v>12</v>
      </c>
      <c r="B201" s="50"/>
      <c r="C201" s="50" t="s">
        <v>471</v>
      </c>
      <c r="D201" s="51">
        <f>Source!H45</f>
        <v>0</v>
      </c>
      <c r="E201" s="52">
        <f>Source!K45</f>
        <v>0</v>
      </c>
      <c r="F201" s="52"/>
      <c r="G201" s="52">
        <f>Source!I45</f>
        <v>0</v>
      </c>
      <c r="H201" s="53"/>
      <c r="I201" s="54"/>
      <c r="J201" s="53"/>
      <c r="K201" s="54"/>
      <c r="L201" s="53"/>
      <c r="AN201" s="55"/>
      <c r="AW201" s="55"/>
    </row>
    <row r="202" spans="1:82" ht="14.3" x14ac:dyDescent="0.2">
      <c r="C202" s="86" t="s">
        <v>399</v>
      </c>
      <c r="D202" s="86"/>
      <c r="E202" s="86"/>
      <c r="F202" s="86"/>
      <c r="G202" s="86"/>
      <c r="H202" s="86"/>
      <c r="I202" s="87">
        <f>IF(E201&lt;&gt;0,K202/E201, 0)</f>
        <v>0</v>
      </c>
      <c r="J202" s="87"/>
      <c r="K202" s="87">
        <f>L201</f>
        <v>0</v>
      </c>
      <c r="L202" s="87"/>
      <c r="AN202" s="55"/>
      <c r="AW202" s="55"/>
    </row>
    <row r="204" spans="1:82" ht="14.3" x14ac:dyDescent="0.2">
      <c r="A204" s="60"/>
      <c r="B204" s="61"/>
      <c r="C204" s="84" t="s">
        <v>423</v>
      </c>
      <c r="D204" s="84"/>
      <c r="E204" s="84"/>
      <c r="F204" s="84"/>
      <c r="G204" s="84"/>
      <c r="H204" s="84"/>
      <c r="I204" s="49"/>
      <c r="J204" s="60"/>
      <c r="K204" s="62"/>
      <c r="L204" s="49">
        <f>L206+L207+L213+L217</f>
        <v>250253.75</v>
      </c>
    </row>
    <row r="205" spans="1:82" ht="13.55" x14ac:dyDescent="0.2">
      <c r="A205" s="57"/>
      <c r="B205" s="59"/>
      <c r="C205" s="81" t="s">
        <v>424</v>
      </c>
      <c r="D205" s="80"/>
      <c r="E205" s="80"/>
      <c r="F205" s="80"/>
      <c r="G205" s="80"/>
      <c r="H205" s="80"/>
      <c r="I205" s="47"/>
      <c r="J205" s="57"/>
      <c r="K205" s="45"/>
      <c r="L205" s="47"/>
    </row>
    <row r="206" spans="1:82" ht="13.55" x14ac:dyDescent="0.2">
      <c r="A206" s="57"/>
      <c r="B206" s="59"/>
      <c r="C206" s="80" t="s">
        <v>425</v>
      </c>
      <c r="D206" s="80"/>
      <c r="E206" s="80"/>
      <c r="F206" s="80"/>
      <c r="G206" s="80"/>
      <c r="H206" s="80"/>
      <c r="I206" s="47"/>
      <c r="J206" s="57"/>
      <c r="K206" s="45"/>
      <c r="L206" s="47">
        <f>SUM(AR61:AR200)</f>
        <v>112297.03</v>
      </c>
    </row>
    <row r="207" spans="1:82" ht="13.55" hidden="1" x14ac:dyDescent="0.2">
      <c r="A207" s="57"/>
      <c r="B207" s="59"/>
      <c r="C207" s="80" t="s">
        <v>426</v>
      </c>
      <c r="D207" s="80"/>
      <c r="E207" s="80"/>
      <c r="F207" s="80"/>
      <c r="G207" s="80"/>
      <c r="H207" s="80"/>
      <c r="I207" s="47"/>
      <c r="J207" s="57"/>
      <c r="K207" s="45"/>
      <c r="L207" s="47">
        <f>L209+L212+L211</f>
        <v>75941.290000000008</v>
      </c>
    </row>
    <row r="208" spans="1:82" ht="13.55" hidden="1" x14ac:dyDescent="0.2">
      <c r="A208" s="57"/>
      <c r="B208" s="59"/>
      <c r="C208" s="81" t="s">
        <v>427</v>
      </c>
      <c r="D208" s="80"/>
      <c r="E208" s="80"/>
      <c r="F208" s="80"/>
      <c r="G208" s="80"/>
      <c r="H208" s="80"/>
      <c r="I208" s="47"/>
      <c r="J208" s="57"/>
      <c r="K208" s="45"/>
      <c r="L208" s="47"/>
    </row>
    <row r="209" spans="1:12" ht="13.55" x14ac:dyDescent="0.2">
      <c r="A209" s="57"/>
      <c r="B209" s="59"/>
      <c r="C209" s="80" t="s">
        <v>426</v>
      </c>
      <c r="D209" s="80"/>
      <c r="E209" s="80"/>
      <c r="F209" s="80"/>
      <c r="G209" s="80"/>
      <c r="H209" s="80"/>
      <c r="I209" s="47"/>
      <c r="J209" s="57"/>
      <c r="K209" s="45"/>
      <c r="L209" s="47">
        <f>SUM(AO61:AO200)</f>
        <v>56769.640000000014</v>
      </c>
    </row>
    <row r="210" spans="1:12" ht="13.55" hidden="1" x14ac:dyDescent="0.2">
      <c r="A210" s="57"/>
      <c r="B210" s="59"/>
      <c r="C210" s="81" t="s">
        <v>428</v>
      </c>
      <c r="D210" s="80"/>
      <c r="E210" s="80"/>
      <c r="F210" s="80"/>
      <c r="G210" s="80"/>
      <c r="H210" s="80"/>
      <c r="I210" s="47"/>
      <c r="J210" s="57"/>
      <c r="K210" s="45"/>
      <c r="L210" s="47"/>
    </row>
    <row r="211" spans="1:12" ht="13.55" x14ac:dyDescent="0.2">
      <c r="A211" s="57"/>
      <c r="B211" s="59"/>
      <c r="C211" s="80" t="s">
        <v>448</v>
      </c>
      <c r="D211" s="80"/>
      <c r="E211" s="80"/>
      <c r="F211" s="80"/>
      <c r="G211" s="80"/>
      <c r="H211" s="80"/>
      <c r="I211" s="47"/>
      <c r="J211" s="57"/>
      <c r="K211" s="45"/>
      <c r="L211" s="47">
        <f>SUM(AT61:AT200)</f>
        <v>19171.650000000001</v>
      </c>
    </row>
    <row r="212" spans="1:12" ht="13.55" hidden="1" x14ac:dyDescent="0.2">
      <c r="A212" s="57"/>
      <c r="B212" s="59"/>
      <c r="C212" s="80" t="s">
        <v>429</v>
      </c>
      <c r="D212" s="80"/>
      <c r="E212" s="80"/>
      <c r="F212" s="80"/>
      <c r="G212" s="80"/>
      <c r="H212" s="80"/>
      <c r="I212" s="47"/>
      <c r="J212" s="57"/>
      <c r="K212" s="45"/>
      <c r="L212" s="47">
        <f>SUM(AV61:AV200)</f>
        <v>0</v>
      </c>
    </row>
    <row r="213" spans="1:12" ht="13.55" x14ac:dyDescent="0.2">
      <c r="A213" s="57"/>
      <c r="B213" s="59"/>
      <c r="C213" s="80" t="s">
        <v>430</v>
      </c>
      <c r="D213" s="80"/>
      <c r="E213" s="80"/>
      <c r="F213" s="80"/>
      <c r="G213" s="80"/>
      <c r="H213" s="80"/>
      <c r="I213" s="47"/>
      <c r="J213" s="57"/>
      <c r="K213" s="45"/>
      <c r="L213" s="47">
        <f>L215+L216</f>
        <v>62015.429999999993</v>
      </c>
    </row>
    <row r="214" spans="1:12" ht="13.55" x14ac:dyDescent="0.2">
      <c r="A214" s="57"/>
      <c r="B214" s="59"/>
      <c r="C214" s="81" t="s">
        <v>427</v>
      </c>
      <c r="D214" s="80"/>
      <c r="E214" s="80"/>
      <c r="F214" s="80"/>
      <c r="G214" s="80"/>
      <c r="H214" s="80"/>
      <c r="I214" s="47"/>
      <c r="J214" s="57"/>
      <c r="K214" s="45"/>
      <c r="L214" s="47"/>
    </row>
    <row r="215" spans="1:12" ht="13.55" x14ac:dyDescent="0.2">
      <c r="A215" s="57"/>
      <c r="B215" s="59"/>
      <c r="C215" s="80" t="s">
        <v>431</v>
      </c>
      <c r="D215" s="80"/>
      <c r="E215" s="80"/>
      <c r="F215" s="80"/>
      <c r="G215" s="80"/>
      <c r="H215" s="80"/>
      <c r="I215" s="47"/>
      <c r="J215" s="57"/>
      <c r="K215" s="45"/>
      <c r="L215" s="47">
        <f>SUM(AW61:AW200)-SUM(BK61:BK200)</f>
        <v>62015.429999999993</v>
      </c>
    </row>
    <row r="216" spans="1:12" ht="13.55" hidden="1" x14ac:dyDescent="0.2">
      <c r="A216" s="57"/>
      <c r="B216" s="59"/>
      <c r="C216" s="80" t="s">
        <v>432</v>
      </c>
      <c r="D216" s="80"/>
      <c r="E216" s="80"/>
      <c r="F216" s="80"/>
      <c r="G216" s="80"/>
      <c r="H216" s="80"/>
      <c r="I216" s="47"/>
      <c r="J216" s="57"/>
      <c r="K216" s="45"/>
      <c r="L216" s="47">
        <f>SUM(BC61:BC200)</f>
        <v>0</v>
      </c>
    </row>
    <row r="217" spans="1:12" ht="13.55" hidden="1" x14ac:dyDescent="0.2">
      <c r="A217" s="57"/>
      <c r="B217" s="59"/>
      <c r="C217" s="80" t="s">
        <v>433</v>
      </c>
      <c r="D217" s="80"/>
      <c r="E217" s="80"/>
      <c r="F217" s="80"/>
      <c r="G217" s="80"/>
      <c r="H217" s="80"/>
      <c r="I217" s="47"/>
      <c r="J217" s="57"/>
      <c r="K217" s="45"/>
      <c r="L217" s="47">
        <f>SUM(BB61:BB200)</f>
        <v>0</v>
      </c>
    </row>
    <row r="218" spans="1:12" ht="13.55" x14ac:dyDescent="0.2">
      <c r="A218" s="57"/>
      <c r="B218" s="59"/>
      <c r="C218" s="80" t="s">
        <v>434</v>
      </c>
      <c r="D218" s="80"/>
      <c r="E218" s="80"/>
      <c r="F218" s="80"/>
      <c r="G218" s="80"/>
      <c r="H218" s="80"/>
      <c r="I218" s="47"/>
      <c r="J218" s="57"/>
      <c r="K218" s="45"/>
      <c r="L218" s="47">
        <f>SUM(AR61:AR200)+SUM(AT61:AT200)+SUM(AV61:AV200)</f>
        <v>131468.68</v>
      </c>
    </row>
    <row r="219" spans="1:12" ht="13.55" x14ac:dyDescent="0.2">
      <c r="A219" s="57"/>
      <c r="B219" s="59"/>
      <c r="C219" s="80" t="s">
        <v>435</v>
      </c>
      <c r="D219" s="80"/>
      <c r="E219" s="80"/>
      <c r="F219" s="80"/>
      <c r="G219" s="80"/>
      <c r="H219" s="80"/>
      <c r="I219" s="47"/>
      <c r="J219" s="57"/>
      <c r="K219" s="45"/>
      <c r="L219" s="47">
        <f>SUM(AZ61:AZ200)</f>
        <v>140277.48000000001</v>
      </c>
    </row>
    <row r="220" spans="1:12" ht="13.55" x14ac:dyDescent="0.2">
      <c r="A220" s="57"/>
      <c r="B220" s="59"/>
      <c r="C220" s="80" t="s">
        <v>436</v>
      </c>
      <c r="D220" s="80"/>
      <c r="E220" s="80"/>
      <c r="F220" s="80"/>
      <c r="G220" s="80"/>
      <c r="H220" s="80"/>
      <c r="I220" s="47"/>
      <c r="J220" s="57"/>
      <c r="K220" s="45"/>
      <c r="L220" s="47">
        <f>SUM(BA61:BA200)</f>
        <v>71783.78</v>
      </c>
    </row>
    <row r="221" spans="1:12" ht="13.55" hidden="1" x14ac:dyDescent="0.2">
      <c r="A221" s="57"/>
      <c r="B221" s="59"/>
      <c r="C221" s="80" t="s">
        <v>437</v>
      </c>
      <c r="D221" s="80"/>
      <c r="E221" s="80"/>
      <c r="F221" s="80"/>
      <c r="G221" s="80"/>
      <c r="H221" s="80"/>
      <c r="I221" s="47"/>
      <c r="J221" s="57"/>
      <c r="K221" s="45"/>
      <c r="L221" s="47">
        <f>L223+L224</f>
        <v>0</v>
      </c>
    </row>
    <row r="222" spans="1:12" ht="13.55" hidden="1" x14ac:dyDescent="0.2">
      <c r="A222" s="57"/>
      <c r="B222" s="59"/>
      <c r="C222" s="81" t="s">
        <v>424</v>
      </c>
      <c r="D222" s="80"/>
      <c r="E222" s="80"/>
      <c r="F222" s="80"/>
      <c r="G222" s="80"/>
      <c r="H222" s="80"/>
      <c r="I222" s="47"/>
      <c r="J222" s="57"/>
      <c r="K222" s="45"/>
      <c r="L222" s="47"/>
    </row>
    <row r="223" spans="1:12" ht="13.55" hidden="1" x14ac:dyDescent="0.2">
      <c r="A223" s="57"/>
      <c r="B223" s="59"/>
      <c r="C223" s="80" t="s">
        <v>438</v>
      </c>
      <c r="D223" s="80"/>
      <c r="E223" s="80"/>
      <c r="F223" s="80"/>
      <c r="G223" s="80"/>
      <c r="H223" s="80"/>
      <c r="I223" s="47"/>
      <c r="J223" s="57"/>
      <c r="K223" s="45"/>
      <c r="L223" s="47">
        <f>SUM(BK61:BK200)</f>
        <v>0</v>
      </c>
    </row>
    <row r="224" spans="1:12" ht="13.55" hidden="1" x14ac:dyDescent="0.2">
      <c r="A224" s="57"/>
      <c r="B224" s="59"/>
      <c r="C224" s="80" t="s">
        <v>439</v>
      </c>
      <c r="D224" s="80"/>
      <c r="E224" s="80"/>
      <c r="F224" s="80"/>
      <c r="G224" s="80"/>
      <c r="H224" s="80"/>
      <c r="I224" s="47"/>
      <c r="J224" s="57"/>
      <c r="K224" s="45"/>
      <c r="L224" s="47">
        <f>SUM(BD61:BD200)</f>
        <v>0</v>
      </c>
    </row>
    <row r="225" spans="1:12" ht="13.55" hidden="1" x14ac:dyDescent="0.2">
      <c r="A225" s="57"/>
      <c r="B225" s="59"/>
      <c r="C225" s="80" t="s">
        <v>440</v>
      </c>
      <c r="D225" s="80"/>
      <c r="E225" s="80"/>
      <c r="F225" s="80"/>
      <c r="G225" s="80"/>
      <c r="H225" s="80"/>
      <c r="I225" s="47"/>
      <c r="J225" s="57"/>
      <c r="K225" s="45"/>
      <c r="L225" s="47"/>
    </row>
    <row r="226" spans="1:12" ht="13.55" hidden="1" x14ac:dyDescent="0.2">
      <c r="A226" s="57"/>
      <c r="B226" s="59"/>
      <c r="C226" s="80" t="s">
        <v>440</v>
      </c>
      <c r="D226" s="80"/>
      <c r="E226" s="80"/>
      <c r="F226" s="80"/>
      <c r="G226" s="80"/>
      <c r="H226" s="80"/>
      <c r="I226" s="47"/>
      <c r="J226" s="57"/>
      <c r="K226" s="45"/>
      <c r="L226" s="47">
        <f>SUM(BQ61:BQ200)</f>
        <v>0</v>
      </c>
    </row>
    <row r="227" spans="1:12" ht="13.55" hidden="1" x14ac:dyDescent="0.2">
      <c r="A227" s="57"/>
      <c r="B227" s="59"/>
      <c r="C227" s="80" t="s">
        <v>441</v>
      </c>
      <c r="D227" s="80"/>
      <c r="E227" s="80"/>
      <c r="F227" s="80"/>
      <c r="G227" s="80"/>
      <c r="H227" s="80"/>
      <c r="I227" s="47"/>
      <c r="J227" s="57"/>
      <c r="K227" s="45"/>
      <c r="L227" s="47">
        <f>SUM(BO61:BO200)</f>
        <v>0</v>
      </c>
    </row>
    <row r="228" spans="1:12" ht="14.3" x14ac:dyDescent="0.2">
      <c r="A228" s="60"/>
      <c r="B228" s="61"/>
      <c r="C228" s="84" t="s">
        <v>442</v>
      </c>
      <c r="D228" s="84"/>
      <c r="E228" s="84"/>
      <c r="F228" s="84"/>
      <c r="G228" s="84"/>
      <c r="H228" s="84"/>
      <c r="I228" s="49"/>
      <c r="J228" s="60"/>
      <c r="K228" s="62"/>
      <c r="L228" s="49">
        <f>L204+L219+L220+L221+L226+L227</f>
        <v>462315.01</v>
      </c>
    </row>
    <row r="229" spans="1:12" ht="13.55" x14ac:dyDescent="0.2">
      <c r="A229" s="57"/>
      <c r="B229" s="59"/>
      <c r="C229" s="81" t="s">
        <v>443</v>
      </c>
      <c r="D229" s="80"/>
      <c r="E229" s="80"/>
      <c r="F229" s="80"/>
      <c r="G229" s="80"/>
      <c r="H229" s="80"/>
      <c r="I229" s="47"/>
      <c r="J229" s="57"/>
      <c r="K229" s="45"/>
      <c r="L229" s="47"/>
    </row>
    <row r="230" spans="1:12" ht="13.55" hidden="1" x14ac:dyDescent="0.2">
      <c r="A230" s="57"/>
      <c r="B230" s="59"/>
      <c r="C230" s="80" t="s">
        <v>444</v>
      </c>
      <c r="D230" s="80"/>
      <c r="E230" s="80"/>
      <c r="F230" s="80"/>
      <c r="G230" s="80"/>
      <c r="H230" s="80"/>
      <c r="I230" s="47"/>
      <c r="J230" s="57"/>
      <c r="K230" s="45"/>
      <c r="L230" s="47">
        <f>SUM(AX61:AX200)</f>
        <v>0</v>
      </c>
    </row>
    <row r="231" spans="1:12" ht="13.55" hidden="1" x14ac:dyDescent="0.2">
      <c r="A231" s="57"/>
      <c r="B231" s="59"/>
      <c r="C231" s="80" t="s">
        <v>445</v>
      </c>
      <c r="D231" s="80"/>
      <c r="E231" s="80"/>
      <c r="F231" s="80"/>
      <c r="G231" s="80"/>
      <c r="H231" s="80"/>
      <c r="I231" s="47"/>
      <c r="J231" s="57"/>
      <c r="K231" s="45"/>
      <c r="L231" s="47">
        <f>SUM(AY61:AY200)</f>
        <v>0</v>
      </c>
    </row>
    <row r="232" spans="1:12" ht="13.55" x14ac:dyDescent="0.2">
      <c r="A232" s="57"/>
      <c r="B232" s="59"/>
      <c r="C232" s="80" t="s">
        <v>446</v>
      </c>
      <c r="D232" s="80"/>
      <c r="E232" s="80"/>
      <c r="F232" s="82"/>
      <c r="G232" s="48">
        <f>Source!F67</f>
        <v>322.41984000000002</v>
      </c>
      <c r="H232" s="57"/>
      <c r="I232" s="57"/>
      <c r="J232" s="57"/>
      <c r="K232" s="57"/>
      <c r="L232" s="57"/>
    </row>
    <row r="233" spans="1:12" ht="13.55" x14ac:dyDescent="0.2">
      <c r="A233" s="57"/>
      <c r="B233" s="59"/>
      <c r="C233" s="80" t="s">
        <v>447</v>
      </c>
      <c r="D233" s="80"/>
      <c r="E233" s="80"/>
      <c r="F233" s="82"/>
      <c r="G233" s="48">
        <f>Source!F68</f>
        <v>38.397799999999997</v>
      </c>
      <c r="H233" s="57"/>
      <c r="I233" s="57"/>
      <c r="J233" s="57"/>
      <c r="K233" s="57"/>
      <c r="L233" s="57"/>
    </row>
    <row r="236" spans="1:12" ht="14.3" x14ac:dyDescent="0.2">
      <c r="A236" s="63"/>
      <c r="B236" s="64"/>
      <c r="C236" s="85" t="s">
        <v>449</v>
      </c>
      <c r="D236" s="85"/>
      <c r="E236" s="85"/>
      <c r="F236" s="85"/>
      <c r="G236" s="85"/>
      <c r="H236" s="85"/>
      <c r="I236" s="65"/>
      <c r="J236" s="63"/>
      <c r="K236" s="66"/>
      <c r="L236" s="65"/>
    </row>
    <row r="238" spans="1:12" ht="14.3" x14ac:dyDescent="0.2">
      <c r="A238" s="60"/>
      <c r="B238" s="61"/>
      <c r="C238" s="84" t="s">
        <v>450</v>
      </c>
      <c r="D238" s="84"/>
      <c r="E238" s="84"/>
      <c r="F238" s="84"/>
      <c r="G238" s="84"/>
      <c r="H238" s="84"/>
      <c r="I238" s="49"/>
      <c r="J238" s="60"/>
      <c r="K238" s="62"/>
      <c r="L238" s="49">
        <f>L240+L255+L256</f>
        <v>454979.48000000004</v>
      </c>
    </row>
    <row r="239" spans="1:12" ht="13.55" x14ac:dyDescent="0.2">
      <c r="A239" s="57"/>
      <c r="B239" s="59"/>
      <c r="C239" s="81" t="s">
        <v>424</v>
      </c>
      <c r="D239" s="80"/>
      <c r="E239" s="80"/>
      <c r="F239" s="80"/>
      <c r="G239" s="80"/>
      <c r="H239" s="80"/>
      <c r="I239" s="47"/>
      <c r="J239" s="57"/>
      <c r="K239" s="45"/>
      <c r="L239" s="47"/>
    </row>
    <row r="240" spans="1:12" ht="13.55" x14ac:dyDescent="0.2">
      <c r="A240" s="57"/>
      <c r="B240" s="59"/>
      <c r="C240" s="80" t="s">
        <v>451</v>
      </c>
      <c r="D240" s="80"/>
      <c r="E240" s="80"/>
      <c r="F240" s="80"/>
      <c r="G240" s="80"/>
      <c r="H240" s="80"/>
      <c r="I240" s="47"/>
      <c r="J240" s="57"/>
      <c r="K240" s="45"/>
      <c r="L240" s="47">
        <f>L242+L243+L249+L253</f>
        <v>246840.17</v>
      </c>
    </row>
    <row r="241" spans="1:12" ht="13.55" x14ac:dyDescent="0.2">
      <c r="A241" s="57"/>
      <c r="B241" s="59"/>
      <c r="C241" s="81" t="s">
        <v>424</v>
      </c>
      <c r="D241" s="80"/>
      <c r="E241" s="80"/>
      <c r="F241" s="80"/>
      <c r="G241" s="80"/>
      <c r="H241" s="80"/>
      <c r="I241" s="47"/>
      <c r="J241" s="57"/>
      <c r="K241" s="45"/>
      <c r="L241" s="47"/>
    </row>
    <row r="242" spans="1:12" ht="13.55" x14ac:dyDescent="0.2">
      <c r="A242" s="57"/>
      <c r="B242" s="59"/>
      <c r="C242" s="80" t="s">
        <v>452</v>
      </c>
      <c r="D242" s="80"/>
      <c r="E242" s="80"/>
      <c r="F242" s="80"/>
      <c r="G242" s="80"/>
      <c r="H242" s="80"/>
      <c r="I242" s="47"/>
      <c r="J242" s="57"/>
      <c r="K242" s="45"/>
      <c r="L242" s="47">
        <f>SUMIF(CD60:CD234, 1, AR60:AR234)</f>
        <v>109777.23</v>
      </c>
    </row>
    <row r="243" spans="1:12" ht="13.55" hidden="1" x14ac:dyDescent="0.2">
      <c r="A243" s="57"/>
      <c r="B243" s="59"/>
      <c r="C243" s="80" t="s">
        <v>426</v>
      </c>
      <c r="D243" s="80"/>
      <c r="E243" s="80"/>
      <c r="F243" s="80"/>
      <c r="G243" s="80"/>
      <c r="H243" s="80"/>
      <c r="I243" s="47"/>
      <c r="J243" s="57"/>
      <c r="K243" s="45"/>
      <c r="L243" s="47">
        <f>L245+L248+L247</f>
        <v>75449.030000000013</v>
      </c>
    </row>
    <row r="244" spans="1:12" ht="13.55" hidden="1" x14ac:dyDescent="0.2">
      <c r="A244" s="57"/>
      <c r="B244" s="59"/>
      <c r="C244" s="81" t="s">
        <v>427</v>
      </c>
      <c r="D244" s="80"/>
      <c r="E244" s="80"/>
      <c r="F244" s="80"/>
      <c r="G244" s="80"/>
      <c r="H244" s="80"/>
      <c r="I244" s="47"/>
      <c r="J244" s="57"/>
      <c r="K244" s="45"/>
      <c r="L244" s="47"/>
    </row>
    <row r="245" spans="1:12" ht="13.55" x14ac:dyDescent="0.2">
      <c r="A245" s="57"/>
      <c r="B245" s="59"/>
      <c r="C245" s="80" t="s">
        <v>426</v>
      </c>
      <c r="D245" s="80"/>
      <c r="E245" s="80"/>
      <c r="F245" s="80"/>
      <c r="G245" s="80"/>
      <c r="H245" s="80"/>
      <c r="I245" s="47"/>
      <c r="J245" s="57"/>
      <c r="K245" s="45"/>
      <c r="L245" s="47">
        <f>SUMIF(CD60:CD234, 1, AO60:AO234)</f>
        <v>56407.550000000017</v>
      </c>
    </row>
    <row r="246" spans="1:12" ht="13.55" hidden="1" x14ac:dyDescent="0.2">
      <c r="A246" s="57"/>
      <c r="B246" s="59"/>
      <c r="C246" s="81" t="s">
        <v>428</v>
      </c>
      <c r="D246" s="80"/>
      <c r="E246" s="80"/>
      <c r="F246" s="80"/>
      <c r="G246" s="80"/>
      <c r="H246" s="80"/>
      <c r="I246" s="47"/>
      <c r="J246" s="57"/>
      <c r="K246" s="45"/>
      <c r="L246" s="47"/>
    </row>
    <row r="247" spans="1:12" ht="13.55" x14ac:dyDescent="0.2">
      <c r="A247" s="57"/>
      <c r="B247" s="59"/>
      <c r="C247" s="80" t="s">
        <v>448</v>
      </c>
      <c r="D247" s="80"/>
      <c r="E247" s="80"/>
      <c r="F247" s="80"/>
      <c r="G247" s="80"/>
      <c r="H247" s="80"/>
      <c r="I247" s="47"/>
      <c r="J247" s="57"/>
      <c r="K247" s="45"/>
      <c r="L247" s="47">
        <f>SUMIF(CD60:CD234, 1, AT60:AT234)</f>
        <v>19041.48</v>
      </c>
    </row>
    <row r="248" spans="1:12" ht="13.55" hidden="1" x14ac:dyDescent="0.2">
      <c r="A248" s="57"/>
      <c r="B248" s="59"/>
      <c r="C248" s="80" t="s">
        <v>429</v>
      </c>
      <c r="D248" s="80"/>
      <c r="E248" s="80"/>
      <c r="F248" s="80"/>
      <c r="G248" s="80"/>
      <c r="H248" s="80"/>
      <c r="I248" s="47"/>
      <c r="J248" s="57"/>
      <c r="K248" s="45"/>
      <c r="L248" s="47">
        <f>SUMIF(CD60:CD234, 1, AV60:AV234)</f>
        <v>0</v>
      </c>
    </row>
    <row r="249" spans="1:12" ht="13.55" x14ac:dyDescent="0.2">
      <c r="A249" s="57"/>
      <c r="B249" s="59"/>
      <c r="C249" s="80" t="s">
        <v>430</v>
      </c>
      <c r="D249" s="80"/>
      <c r="E249" s="80"/>
      <c r="F249" s="80"/>
      <c r="G249" s="80"/>
      <c r="H249" s="80"/>
      <c r="I249" s="47"/>
      <c r="J249" s="57"/>
      <c r="K249" s="45"/>
      <c r="L249" s="47">
        <f>L251+L252</f>
        <v>61613.909999999996</v>
      </c>
    </row>
    <row r="250" spans="1:12" ht="13.55" x14ac:dyDescent="0.2">
      <c r="A250" s="57"/>
      <c r="B250" s="59"/>
      <c r="C250" s="81" t="s">
        <v>427</v>
      </c>
      <c r="D250" s="80"/>
      <c r="E250" s="80"/>
      <c r="F250" s="80"/>
      <c r="G250" s="80"/>
      <c r="H250" s="80"/>
      <c r="I250" s="47"/>
      <c r="J250" s="57"/>
      <c r="K250" s="45"/>
      <c r="L250" s="47"/>
    </row>
    <row r="251" spans="1:12" ht="13.55" x14ac:dyDescent="0.2">
      <c r="A251" s="57"/>
      <c r="B251" s="59"/>
      <c r="C251" s="80" t="s">
        <v>431</v>
      </c>
      <c r="D251" s="80"/>
      <c r="E251" s="80"/>
      <c r="F251" s="80"/>
      <c r="G251" s="80"/>
      <c r="H251" s="80"/>
      <c r="I251" s="47"/>
      <c r="J251" s="57"/>
      <c r="K251" s="45"/>
      <c r="L251" s="47">
        <f>SUMIF(CD60:CD234, 1, AW60:AW234)-SUMIF(CD60:CD234, 1, BK60:BK234)</f>
        <v>61613.909999999996</v>
      </c>
    </row>
    <row r="252" spans="1:12" ht="13.55" hidden="1" x14ac:dyDescent="0.2">
      <c r="A252" s="57"/>
      <c r="B252" s="59"/>
      <c r="C252" s="80" t="s">
        <v>432</v>
      </c>
      <c r="D252" s="80"/>
      <c r="E252" s="80"/>
      <c r="F252" s="80"/>
      <c r="G252" s="80"/>
      <c r="H252" s="80"/>
      <c r="I252" s="47"/>
      <c r="J252" s="57"/>
      <c r="K252" s="45"/>
      <c r="L252" s="47">
        <f>SUMIF(CD60:CD234, 1, BC60:BC234)</f>
        <v>0</v>
      </c>
    </row>
    <row r="253" spans="1:12" ht="13.55" hidden="1" x14ac:dyDescent="0.2">
      <c r="A253" s="57"/>
      <c r="B253" s="59"/>
      <c r="C253" s="80" t="s">
        <v>433</v>
      </c>
      <c r="D253" s="80"/>
      <c r="E253" s="80"/>
      <c r="F253" s="80"/>
      <c r="G253" s="80"/>
      <c r="H253" s="80"/>
      <c r="I253" s="47"/>
      <c r="J253" s="57"/>
      <c r="K253" s="45"/>
      <c r="L253" s="47">
        <f>SUMIF(CD60:CD234, 1, BB60:BB234)</f>
        <v>0</v>
      </c>
    </row>
    <row r="254" spans="1:12" ht="13.55" x14ac:dyDescent="0.2">
      <c r="A254" s="57"/>
      <c r="B254" s="59"/>
      <c r="C254" s="80" t="s">
        <v>453</v>
      </c>
      <c r="D254" s="80"/>
      <c r="E254" s="80"/>
      <c r="F254" s="80"/>
      <c r="G254" s="80"/>
      <c r="H254" s="80"/>
      <c r="I254" s="47"/>
      <c r="J254" s="57"/>
      <c r="K254" s="45"/>
      <c r="L254" s="47">
        <f>SUMIF(CD60:CD234, 1, AR60:AR234)+SUMIF(CD60:CD234, 1, AT60:AT234)+SUMIF(CD60:CD234, 1, AV60:AV234)</f>
        <v>128818.70999999999</v>
      </c>
    </row>
    <row r="255" spans="1:12" ht="13.55" x14ac:dyDescent="0.2">
      <c r="A255" s="57"/>
      <c r="B255" s="59"/>
      <c r="C255" s="80" t="s">
        <v>454</v>
      </c>
      <c r="D255" s="80"/>
      <c r="E255" s="80"/>
      <c r="F255" s="80"/>
      <c r="G255" s="80"/>
      <c r="H255" s="80"/>
      <c r="I255" s="47"/>
      <c r="J255" s="57"/>
      <c r="K255" s="45"/>
      <c r="L255" s="47">
        <f>SUMIF(CD60:CD234, 1, AZ60:AZ234)</f>
        <v>137707.01</v>
      </c>
    </row>
    <row r="256" spans="1:12" ht="13.55" x14ac:dyDescent="0.2">
      <c r="A256" s="57"/>
      <c r="B256" s="59"/>
      <c r="C256" s="80" t="s">
        <v>455</v>
      </c>
      <c r="D256" s="80"/>
      <c r="E256" s="80"/>
      <c r="F256" s="80"/>
      <c r="G256" s="80"/>
      <c r="H256" s="80"/>
      <c r="I256" s="47"/>
      <c r="J256" s="57"/>
      <c r="K256" s="45"/>
      <c r="L256" s="47">
        <f>SUMIF(CD60:CD234, 1, BA60:BA234)</f>
        <v>70432.3</v>
      </c>
    </row>
    <row r="258" spans="1:12" ht="14.3" x14ac:dyDescent="0.2">
      <c r="A258" s="60"/>
      <c r="B258" s="61"/>
      <c r="C258" s="84" t="s">
        <v>456</v>
      </c>
      <c r="D258" s="84"/>
      <c r="E258" s="84"/>
      <c r="F258" s="84"/>
      <c r="G258" s="84"/>
      <c r="H258" s="84"/>
      <c r="I258" s="49"/>
      <c r="J258" s="60"/>
      <c r="K258" s="62"/>
      <c r="L258" s="49">
        <f>L260+L275+L276</f>
        <v>7335.5299999999988</v>
      </c>
    </row>
    <row r="259" spans="1:12" ht="13.55" x14ac:dyDescent="0.2">
      <c r="A259" s="57"/>
      <c r="B259" s="59"/>
      <c r="C259" s="81" t="s">
        <v>424</v>
      </c>
      <c r="D259" s="80"/>
      <c r="E259" s="80"/>
      <c r="F259" s="80"/>
      <c r="G259" s="80"/>
      <c r="H259" s="80"/>
      <c r="I259" s="47"/>
      <c r="J259" s="57"/>
      <c r="K259" s="45"/>
      <c r="L259" s="47"/>
    </row>
    <row r="260" spans="1:12" ht="13.55" x14ac:dyDescent="0.2">
      <c r="A260" s="57"/>
      <c r="B260" s="59"/>
      <c r="C260" s="80" t="s">
        <v>451</v>
      </c>
      <c r="D260" s="80"/>
      <c r="E260" s="80"/>
      <c r="F260" s="80"/>
      <c r="G260" s="80"/>
      <c r="H260" s="80"/>
      <c r="I260" s="47"/>
      <c r="J260" s="57"/>
      <c r="K260" s="45"/>
      <c r="L260" s="47">
        <f>L262+L263+L269+L273</f>
        <v>3413.58</v>
      </c>
    </row>
    <row r="261" spans="1:12" ht="13.55" x14ac:dyDescent="0.2">
      <c r="A261" s="57"/>
      <c r="B261" s="59"/>
      <c r="C261" s="81" t="s">
        <v>424</v>
      </c>
      <c r="D261" s="80"/>
      <c r="E261" s="80"/>
      <c r="F261" s="80"/>
      <c r="G261" s="80"/>
      <c r="H261" s="80"/>
      <c r="I261" s="47"/>
      <c r="J261" s="57"/>
      <c r="K261" s="45"/>
      <c r="L261" s="47"/>
    </row>
    <row r="262" spans="1:12" ht="13.55" x14ac:dyDescent="0.2">
      <c r="A262" s="57"/>
      <c r="B262" s="59"/>
      <c r="C262" s="80" t="s">
        <v>452</v>
      </c>
      <c r="D262" s="80"/>
      <c r="E262" s="80"/>
      <c r="F262" s="80"/>
      <c r="G262" s="80"/>
      <c r="H262" s="80"/>
      <c r="I262" s="47"/>
      <c r="J262" s="57"/>
      <c r="K262" s="45"/>
      <c r="L262" s="47">
        <f>SUMIF(CD60:CD256, 2, AR60:AR256)</f>
        <v>2519.8000000000002</v>
      </c>
    </row>
    <row r="263" spans="1:12" ht="13.55" hidden="1" x14ac:dyDescent="0.2">
      <c r="A263" s="57"/>
      <c r="B263" s="59"/>
      <c r="C263" s="80" t="s">
        <v>426</v>
      </c>
      <c r="D263" s="80"/>
      <c r="E263" s="80"/>
      <c r="F263" s="80"/>
      <c r="G263" s="80"/>
      <c r="H263" s="80"/>
      <c r="I263" s="47"/>
      <c r="J263" s="57"/>
      <c r="K263" s="45"/>
      <c r="L263" s="47">
        <f>L265+L268+L267</f>
        <v>492.25999999999993</v>
      </c>
    </row>
    <row r="264" spans="1:12" ht="13.55" hidden="1" x14ac:dyDescent="0.2">
      <c r="A264" s="57"/>
      <c r="B264" s="59"/>
      <c r="C264" s="81" t="s">
        <v>427</v>
      </c>
      <c r="D264" s="80"/>
      <c r="E264" s="80"/>
      <c r="F264" s="80"/>
      <c r="G264" s="80"/>
      <c r="H264" s="80"/>
      <c r="I264" s="47"/>
      <c r="J264" s="57"/>
      <c r="K264" s="45"/>
      <c r="L264" s="47"/>
    </row>
    <row r="265" spans="1:12" ht="13.55" x14ac:dyDescent="0.2">
      <c r="A265" s="57"/>
      <c r="B265" s="59"/>
      <c r="C265" s="80" t="s">
        <v>426</v>
      </c>
      <c r="D265" s="80"/>
      <c r="E265" s="80"/>
      <c r="F265" s="80"/>
      <c r="G265" s="80"/>
      <c r="H265" s="80"/>
      <c r="I265" s="47"/>
      <c r="J265" s="57"/>
      <c r="K265" s="45"/>
      <c r="L265" s="47">
        <f>SUMIF(CD60:CD256, 2, AO60:AO256)</f>
        <v>362.08999999999992</v>
      </c>
    </row>
    <row r="266" spans="1:12" ht="13.55" hidden="1" x14ac:dyDescent="0.2">
      <c r="A266" s="57"/>
      <c r="B266" s="59"/>
      <c r="C266" s="81" t="s">
        <v>428</v>
      </c>
      <c r="D266" s="80"/>
      <c r="E266" s="80"/>
      <c r="F266" s="80"/>
      <c r="G266" s="80"/>
      <c r="H266" s="80"/>
      <c r="I266" s="47"/>
      <c r="J266" s="57"/>
      <c r="K266" s="45"/>
      <c r="L266" s="47"/>
    </row>
    <row r="267" spans="1:12" ht="13.55" x14ac:dyDescent="0.2">
      <c r="A267" s="57"/>
      <c r="B267" s="59"/>
      <c r="C267" s="80" t="s">
        <v>448</v>
      </c>
      <c r="D267" s="80"/>
      <c r="E267" s="80"/>
      <c r="F267" s="80"/>
      <c r="G267" s="80"/>
      <c r="H267" s="80"/>
      <c r="I267" s="47"/>
      <c r="J267" s="57"/>
      <c r="K267" s="45"/>
      <c r="L267" s="47">
        <f>SUMIF(CD60:CD256, 2, AT60:AT256)</f>
        <v>130.17000000000002</v>
      </c>
    </row>
    <row r="268" spans="1:12" ht="13.55" hidden="1" x14ac:dyDescent="0.2">
      <c r="A268" s="57"/>
      <c r="B268" s="59"/>
      <c r="C268" s="80" t="s">
        <v>429</v>
      </c>
      <c r="D268" s="80"/>
      <c r="E268" s="80"/>
      <c r="F268" s="80"/>
      <c r="G268" s="80"/>
      <c r="H268" s="80"/>
      <c r="I268" s="47"/>
      <c r="J268" s="57"/>
      <c r="K268" s="45"/>
      <c r="L268" s="47">
        <f>SUMIF(CD60:CD256, 2, AV60:AV256)</f>
        <v>0</v>
      </c>
    </row>
    <row r="269" spans="1:12" ht="13.55" x14ac:dyDescent="0.2">
      <c r="A269" s="57"/>
      <c r="B269" s="59"/>
      <c r="C269" s="80" t="s">
        <v>430</v>
      </c>
      <c r="D269" s="80"/>
      <c r="E269" s="80"/>
      <c r="F269" s="80"/>
      <c r="G269" s="80"/>
      <c r="H269" s="80"/>
      <c r="I269" s="47"/>
      <c r="J269" s="57"/>
      <c r="K269" s="45"/>
      <c r="L269" s="47">
        <f>L271+L272</f>
        <v>401.51999999999992</v>
      </c>
    </row>
    <row r="270" spans="1:12" ht="13.55" x14ac:dyDescent="0.2">
      <c r="A270" s="57"/>
      <c r="B270" s="59"/>
      <c r="C270" s="81" t="s">
        <v>427</v>
      </c>
      <c r="D270" s="80"/>
      <c r="E270" s="80"/>
      <c r="F270" s="80"/>
      <c r="G270" s="80"/>
      <c r="H270" s="80"/>
      <c r="I270" s="47"/>
      <c r="J270" s="57"/>
      <c r="K270" s="45"/>
      <c r="L270" s="47"/>
    </row>
    <row r="271" spans="1:12" ht="13.55" x14ac:dyDescent="0.2">
      <c r="A271" s="57"/>
      <c r="B271" s="59"/>
      <c r="C271" s="80" t="s">
        <v>431</v>
      </c>
      <c r="D271" s="80"/>
      <c r="E271" s="80"/>
      <c r="F271" s="80"/>
      <c r="G271" s="80"/>
      <c r="H271" s="80"/>
      <c r="I271" s="47"/>
      <c r="J271" s="57"/>
      <c r="K271" s="45"/>
      <c r="L271" s="47">
        <f>SUMIF(CD60:CD256, 2, AW60:AW256)-SUMIF(CD60:CD256, 2, BK60:BK256)</f>
        <v>401.51999999999992</v>
      </c>
    </row>
    <row r="272" spans="1:12" ht="13.55" hidden="1" x14ac:dyDescent="0.2">
      <c r="A272" s="57"/>
      <c r="B272" s="59"/>
      <c r="C272" s="80" t="s">
        <v>432</v>
      </c>
      <c r="D272" s="80"/>
      <c r="E272" s="80"/>
      <c r="F272" s="80"/>
      <c r="G272" s="80"/>
      <c r="H272" s="80"/>
      <c r="I272" s="47"/>
      <c r="J272" s="57"/>
      <c r="K272" s="45"/>
      <c r="L272" s="47">
        <f>SUMIF(CD60:CD256, 2, BC60:BC256)</f>
        <v>0</v>
      </c>
    </row>
    <row r="273" spans="1:12" ht="13.55" hidden="1" x14ac:dyDescent="0.2">
      <c r="A273" s="57"/>
      <c r="B273" s="59"/>
      <c r="C273" s="80" t="s">
        <v>433</v>
      </c>
      <c r="D273" s="80"/>
      <c r="E273" s="80"/>
      <c r="F273" s="80"/>
      <c r="G273" s="80"/>
      <c r="H273" s="80"/>
      <c r="I273" s="47"/>
      <c r="J273" s="57"/>
      <c r="K273" s="45"/>
      <c r="L273" s="47">
        <f>SUMIF(CD60:CD256, 2, BB60:BB256)</f>
        <v>0</v>
      </c>
    </row>
    <row r="274" spans="1:12" ht="13.55" x14ac:dyDescent="0.2">
      <c r="A274" s="57"/>
      <c r="B274" s="59"/>
      <c r="C274" s="80" t="s">
        <v>453</v>
      </c>
      <c r="D274" s="80"/>
      <c r="E274" s="80"/>
      <c r="F274" s="80"/>
      <c r="G274" s="80"/>
      <c r="H274" s="80"/>
      <c r="I274" s="47"/>
      <c r="J274" s="57"/>
      <c r="K274" s="45"/>
      <c r="L274" s="47">
        <f>SUMIF(CD60:CD256, 2, AR60:AR256)+SUMIF(CD60:CD256, 2, AT60:AT256)+SUMIF(CD60:CD256, 2, AV60:AV256)</f>
        <v>2649.9700000000003</v>
      </c>
    </row>
    <row r="275" spans="1:12" ht="13.55" x14ac:dyDescent="0.2">
      <c r="A275" s="57"/>
      <c r="B275" s="59"/>
      <c r="C275" s="80" t="s">
        <v>454</v>
      </c>
      <c r="D275" s="80"/>
      <c r="E275" s="80"/>
      <c r="F275" s="80"/>
      <c r="G275" s="80"/>
      <c r="H275" s="80"/>
      <c r="I275" s="47"/>
      <c r="J275" s="57"/>
      <c r="K275" s="45"/>
      <c r="L275" s="47">
        <f>SUMIF(CD60:CD256, 2, AZ60:AZ256)</f>
        <v>2570.4699999999998</v>
      </c>
    </row>
    <row r="276" spans="1:12" ht="13.55" x14ac:dyDescent="0.2">
      <c r="A276" s="57"/>
      <c r="B276" s="59"/>
      <c r="C276" s="80" t="s">
        <v>455</v>
      </c>
      <c r="D276" s="80"/>
      <c r="E276" s="80"/>
      <c r="F276" s="80"/>
      <c r="G276" s="80"/>
      <c r="H276" s="80"/>
      <c r="I276" s="47"/>
      <c r="J276" s="57"/>
      <c r="K276" s="45"/>
      <c r="L276" s="47">
        <f>SUMIF(CD60:CD256, 2, BA60:BA256)</f>
        <v>1351.48</v>
      </c>
    </row>
    <row r="277" spans="1:12" hidden="1" x14ac:dyDescent="0.2"/>
    <row r="278" spans="1:12" ht="14.3" hidden="1" x14ac:dyDescent="0.2">
      <c r="A278" s="60"/>
      <c r="B278" s="61"/>
      <c r="C278" s="84" t="s">
        <v>457</v>
      </c>
      <c r="D278" s="84"/>
      <c r="E278" s="84"/>
      <c r="F278" s="84"/>
      <c r="G278" s="84"/>
      <c r="H278" s="84"/>
      <c r="I278" s="49"/>
      <c r="J278" s="60"/>
      <c r="K278" s="62"/>
      <c r="L278" s="49">
        <f>L280+L281</f>
        <v>0</v>
      </c>
    </row>
    <row r="279" spans="1:12" ht="13.55" hidden="1" x14ac:dyDescent="0.2">
      <c r="A279" s="57"/>
      <c r="B279" s="59"/>
      <c r="C279" s="81" t="s">
        <v>424</v>
      </c>
      <c r="D279" s="80"/>
      <c r="E279" s="80"/>
      <c r="F279" s="80"/>
      <c r="G279" s="80"/>
      <c r="H279" s="80"/>
      <c r="I279" s="47"/>
      <c r="J279" s="57"/>
      <c r="K279" s="45"/>
      <c r="L279" s="47"/>
    </row>
    <row r="280" spans="1:12" ht="13.55" hidden="1" x14ac:dyDescent="0.2">
      <c r="A280" s="57"/>
      <c r="B280" s="59"/>
      <c r="C280" s="80" t="s">
        <v>438</v>
      </c>
      <c r="D280" s="80"/>
      <c r="E280" s="80"/>
      <c r="F280" s="80"/>
      <c r="G280" s="80"/>
      <c r="H280" s="80"/>
      <c r="I280" s="47"/>
      <c r="J280" s="57"/>
      <c r="K280" s="45"/>
      <c r="L280" s="47">
        <f>SUMIF(CD60:CD276, 3, BK60:BK276)</f>
        <v>0</v>
      </c>
    </row>
    <row r="281" spans="1:12" ht="13.55" hidden="1" x14ac:dyDescent="0.2">
      <c r="A281" s="57"/>
      <c r="B281" s="59"/>
      <c r="C281" s="80" t="s">
        <v>439</v>
      </c>
      <c r="D281" s="80"/>
      <c r="E281" s="80"/>
      <c r="F281" s="80"/>
      <c r="G281" s="80"/>
      <c r="H281" s="80"/>
      <c r="I281" s="47"/>
      <c r="J281" s="57"/>
      <c r="K281" s="45"/>
      <c r="L281" s="47">
        <f>SUMIF(CD60:CD276, 3, BD60:BD276)</f>
        <v>0</v>
      </c>
    </row>
    <row r="282" spans="1:12" hidden="1" x14ac:dyDescent="0.2"/>
    <row r="283" spans="1:12" ht="14.3" hidden="1" x14ac:dyDescent="0.2">
      <c r="A283" s="60"/>
      <c r="B283" s="61"/>
      <c r="C283" s="84" t="s">
        <v>458</v>
      </c>
      <c r="D283" s="84"/>
      <c r="E283" s="84"/>
      <c r="F283" s="84"/>
      <c r="G283" s="84"/>
      <c r="H283" s="84"/>
      <c r="I283" s="49"/>
      <c r="J283" s="60"/>
      <c r="K283" s="62"/>
      <c r="L283" s="49">
        <f>L291+L306+L307+L285+L286+L287+L288</f>
        <v>0</v>
      </c>
    </row>
    <row r="284" spans="1:12" ht="13.55" hidden="1" x14ac:dyDescent="0.2">
      <c r="A284" s="57"/>
      <c r="B284" s="59"/>
      <c r="C284" s="81" t="s">
        <v>424</v>
      </c>
      <c r="D284" s="80"/>
      <c r="E284" s="80"/>
      <c r="F284" s="80"/>
      <c r="G284" s="80"/>
      <c r="H284" s="80"/>
      <c r="I284" s="47"/>
      <c r="J284" s="57"/>
      <c r="K284" s="45"/>
      <c r="L284" s="47"/>
    </row>
    <row r="285" spans="1:12" ht="13.55" hidden="1" x14ac:dyDescent="0.2">
      <c r="A285" s="57"/>
      <c r="B285" s="59"/>
      <c r="C285" s="80" t="s">
        <v>459</v>
      </c>
      <c r="D285" s="80"/>
      <c r="E285" s="80"/>
      <c r="F285" s="80"/>
      <c r="G285" s="80"/>
      <c r="H285" s="80"/>
      <c r="I285" s="47"/>
      <c r="J285" s="57"/>
      <c r="K285" s="45"/>
      <c r="L285" s="47"/>
    </row>
    <row r="286" spans="1:12" ht="13.55" hidden="1" x14ac:dyDescent="0.2">
      <c r="A286" s="57"/>
      <c r="B286" s="59"/>
      <c r="C286" s="80" t="s">
        <v>459</v>
      </c>
      <c r="D286" s="80"/>
      <c r="E286" s="80"/>
      <c r="F286" s="80"/>
      <c r="G286" s="80"/>
      <c r="H286" s="80"/>
      <c r="I286" s="47"/>
      <c r="J286" s="57"/>
      <c r="K286" s="45"/>
      <c r="L286" s="47">
        <f>SUM(BQ60:BQ281)</f>
        <v>0</v>
      </c>
    </row>
    <row r="287" spans="1:12" ht="13.55" hidden="1" x14ac:dyDescent="0.2">
      <c r="A287" s="57"/>
      <c r="B287" s="59"/>
      <c r="C287" s="80" t="s">
        <v>460</v>
      </c>
      <c r="D287" s="80"/>
      <c r="E287" s="80"/>
      <c r="F287" s="80"/>
      <c r="G287" s="80"/>
      <c r="H287" s="80"/>
      <c r="I287" s="47"/>
      <c r="J287" s="57"/>
      <c r="K287" s="45"/>
      <c r="L287" s="47">
        <f>SUMIF(CD60:CD281, 4, BB60:BB281)+SUMIF(CD60:CD281, 4, BC60:BC281)+SUMIF(CD60:CD281, 4, BD60:BD281)</f>
        <v>0</v>
      </c>
    </row>
    <row r="288" spans="1:12" ht="13.55" hidden="1" x14ac:dyDescent="0.2">
      <c r="A288" s="57"/>
      <c r="B288" s="59"/>
      <c r="C288" s="80" t="s">
        <v>461</v>
      </c>
      <c r="D288" s="80"/>
      <c r="E288" s="80"/>
      <c r="F288" s="80"/>
      <c r="G288" s="80"/>
      <c r="H288" s="80"/>
      <c r="I288" s="47"/>
      <c r="J288" s="57"/>
      <c r="K288" s="45"/>
      <c r="L288" s="47">
        <f>SUM(BO60:BO281)</f>
        <v>0</v>
      </c>
    </row>
    <row r="289" spans="1:12" ht="13.55" hidden="1" x14ac:dyDescent="0.2">
      <c r="A289" s="57"/>
      <c r="B289" s="59"/>
      <c r="C289" s="80" t="s">
        <v>462</v>
      </c>
      <c r="D289" s="80"/>
      <c r="E289" s="80"/>
      <c r="F289" s="80"/>
      <c r="G289" s="80"/>
      <c r="H289" s="80"/>
      <c r="I289" s="47"/>
      <c r="J289" s="57"/>
      <c r="K289" s="45"/>
      <c r="L289" s="47">
        <f>L291+L306+L307</f>
        <v>0</v>
      </c>
    </row>
    <row r="290" spans="1:12" ht="13.55" hidden="1" x14ac:dyDescent="0.2">
      <c r="A290" s="57"/>
      <c r="B290" s="59"/>
      <c r="C290" s="81" t="s">
        <v>424</v>
      </c>
      <c r="D290" s="80"/>
      <c r="E290" s="80"/>
      <c r="F290" s="80"/>
      <c r="G290" s="80"/>
      <c r="H290" s="80"/>
      <c r="I290" s="47"/>
      <c r="J290" s="57"/>
      <c r="K290" s="45"/>
      <c r="L290" s="47"/>
    </row>
    <row r="291" spans="1:12" ht="13.55" hidden="1" x14ac:dyDescent="0.2">
      <c r="A291" s="57"/>
      <c r="B291" s="59"/>
      <c r="C291" s="80" t="s">
        <v>451</v>
      </c>
      <c r="D291" s="80"/>
      <c r="E291" s="80"/>
      <c r="F291" s="80"/>
      <c r="G291" s="80"/>
      <c r="H291" s="80"/>
      <c r="I291" s="47"/>
      <c r="J291" s="57"/>
      <c r="K291" s="45"/>
      <c r="L291" s="47">
        <f>L293+L294+L300+L304</f>
        <v>0</v>
      </c>
    </row>
    <row r="292" spans="1:12" ht="13.55" hidden="1" x14ac:dyDescent="0.2">
      <c r="A292" s="57"/>
      <c r="B292" s="59"/>
      <c r="C292" s="81" t="s">
        <v>424</v>
      </c>
      <c r="D292" s="80"/>
      <c r="E292" s="80"/>
      <c r="F292" s="80"/>
      <c r="G292" s="80"/>
      <c r="H292" s="80"/>
      <c r="I292" s="47"/>
      <c r="J292" s="57"/>
      <c r="K292" s="45"/>
      <c r="L292" s="47"/>
    </row>
    <row r="293" spans="1:12" ht="13.55" hidden="1" x14ac:dyDescent="0.2">
      <c r="A293" s="57"/>
      <c r="B293" s="59"/>
      <c r="C293" s="80" t="s">
        <v>452</v>
      </c>
      <c r="D293" s="80"/>
      <c r="E293" s="80"/>
      <c r="F293" s="80"/>
      <c r="G293" s="80"/>
      <c r="H293" s="80"/>
      <c r="I293" s="47"/>
      <c r="J293" s="57"/>
      <c r="K293" s="45"/>
      <c r="L293" s="47">
        <f>SUMIF(CD60:CD281, 4, AR60:AR281)</f>
        <v>0</v>
      </c>
    </row>
    <row r="294" spans="1:12" ht="13.55" hidden="1" x14ac:dyDescent="0.2">
      <c r="A294" s="57"/>
      <c r="B294" s="59"/>
      <c r="C294" s="80" t="s">
        <v>426</v>
      </c>
      <c r="D294" s="80"/>
      <c r="E294" s="80"/>
      <c r="F294" s="80"/>
      <c r="G294" s="80"/>
      <c r="H294" s="80"/>
      <c r="I294" s="47"/>
      <c r="J294" s="57"/>
      <c r="K294" s="45"/>
      <c r="L294" s="47">
        <f>L296+L299+L298</f>
        <v>0</v>
      </c>
    </row>
    <row r="295" spans="1:12" ht="13.55" hidden="1" x14ac:dyDescent="0.2">
      <c r="A295" s="57"/>
      <c r="B295" s="59"/>
      <c r="C295" s="81" t="s">
        <v>427</v>
      </c>
      <c r="D295" s="80"/>
      <c r="E295" s="80"/>
      <c r="F295" s="80"/>
      <c r="G295" s="80"/>
      <c r="H295" s="80"/>
      <c r="I295" s="47"/>
      <c r="J295" s="57"/>
      <c r="K295" s="45"/>
      <c r="L295" s="47"/>
    </row>
    <row r="296" spans="1:12" ht="13.55" hidden="1" x14ac:dyDescent="0.2">
      <c r="A296" s="57"/>
      <c r="B296" s="59"/>
      <c r="C296" s="80" t="s">
        <v>426</v>
      </c>
      <c r="D296" s="80"/>
      <c r="E296" s="80"/>
      <c r="F296" s="80"/>
      <c r="G296" s="80"/>
      <c r="H296" s="80"/>
      <c r="I296" s="47"/>
      <c r="J296" s="57"/>
      <c r="K296" s="45"/>
      <c r="L296" s="47">
        <f>SUMIF(CD60:CD281, 4, AO60:AO281)</f>
        <v>0</v>
      </c>
    </row>
    <row r="297" spans="1:12" ht="13.55" hidden="1" x14ac:dyDescent="0.2">
      <c r="A297" s="57"/>
      <c r="B297" s="59"/>
      <c r="C297" s="81" t="s">
        <v>428</v>
      </c>
      <c r="D297" s="80"/>
      <c r="E297" s="80"/>
      <c r="F297" s="80"/>
      <c r="G297" s="80"/>
      <c r="H297" s="80"/>
      <c r="I297" s="47"/>
      <c r="J297" s="57"/>
      <c r="K297" s="45"/>
      <c r="L297" s="47"/>
    </row>
    <row r="298" spans="1:12" ht="13.55" hidden="1" x14ac:dyDescent="0.2">
      <c r="A298" s="57"/>
      <c r="B298" s="59"/>
      <c r="C298" s="80" t="s">
        <v>448</v>
      </c>
      <c r="D298" s="80"/>
      <c r="E298" s="80"/>
      <c r="F298" s="80"/>
      <c r="G298" s="80"/>
      <c r="H298" s="80"/>
      <c r="I298" s="47"/>
      <c r="J298" s="57"/>
      <c r="K298" s="45"/>
      <c r="L298" s="47">
        <f>SUMIF(CD60:CD281, 4, AT60:AT281)</f>
        <v>0</v>
      </c>
    </row>
    <row r="299" spans="1:12" ht="13.55" hidden="1" x14ac:dyDescent="0.2">
      <c r="A299" s="57"/>
      <c r="B299" s="59"/>
      <c r="C299" s="80" t="s">
        <v>429</v>
      </c>
      <c r="D299" s="80"/>
      <c r="E299" s="80"/>
      <c r="F299" s="80"/>
      <c r="G299" s="80"/>
      <c r="H299" s="80"/>
      <c r="I299" s="47"/>
      <c r="J299" s="57"/>
      <c r="K299" s="45"/>
      <c r="L299" s="47">
        <f>SUMIF(CD60:CD281, 4, AV60:AV281)</f>
        <v>0</v>
      </c>
    </row>
    <row r="300" spans="1:12" ht="13.55" hidden="1" x14ac:dyDescent="0.2">
      <c r="A300" s="57"/>
      <c r="B300" s="59"/>
      <c r="C300" s="80" t="s">
        <v>430</v>
      </c>
      <c r="D300" s="80"/>
      <c r="E300" s="80"/>
      <c r="F300" s="80"/>
      <c r="G300" s="80"/>
      <c r="H300" s="80"/>
      <c r="I300" s="47"/>
      <c r="J300" s="57"/>
      <c r="K300" s="45"/>
      <c r="L300" s="47">
        <f>L302+L303</f>
        <v>0</v>
      </c>
    </row>
    <row r="301" spans="1:12" ht="13.55" hidden="1" x14ac:dyDescent="0.2">
      <c r="A301" s="57"/>
      <c r="B301" s="59"/>
      <c r="C301" s="81" t="s">
        <v>427</v>
      </c>
      <c r="D301" s="80"/>
      <c r="E301" s="80"/>
      <c r="F301" s="80"/>
      <c r="G301" s="80"/>
      <c r="H301" s="80"/>
      <c r="I301" s="47"/>
      <c r="J301" s="57"/>
      <c r="K301" s="45"/>
      <c r="L301" s="47"/>
    </row>
    <row r="302" spans="1:12" ht="13.55" hidden="1" x14ac:dyDescent="0.2">
      <c r="A302" s="57"/>
      <c r="B302" s="59"/>
      <c r="C302" s="80" t="s">
        <v>431</v>
      </c>
      <c r="D302" s="80"/>
      <c r="E302" s="80"/>
      <c r="F302" s="80"/>
      <c r="G302" s="80"/>
      <c r="H302" s="80"/>
      <c r="I302" s="47"/>
      <c r="J302" s="57"/>
      <c r="K302" s="45"/>
      <c r="L302" s="47">
        <f>SUMIF(CD60:CD281, 4, AW60:AW281)-SUMIF(CD60:CD281, 4, BK60:BK281)</f>
        <v>0</v>
      </c>
    </row>
    <row r="303" spans="1:12" ht="13.55" hidden="1" x14ac:dyDescent="0.2">
      <c r="A303" s="57"/>
      <c r="B303" s="59"/>
      <c r="C303" s="80" t="s">
        <v>432</v>
      </c>
      <c r="D303" s="80"/>
      <c r="E303" s="80"/>
      <c r="F303" s="80"/>
      <c r="G303" s="80"/>
      <c r="H303" s="80"/>
      <c r="I303" s="47"/>
      <c r="J303" s="57"/>
      <c r="K303" s="45"/>
      <c r="L303" s="47">
        <f>SUMIF(CD60:CD281, 4, BC60:BC281)</f>
        <v>0</v>
      </c>
    </row>
    <row r="304" spans="1:12" ht="13.55" hidden="1" x14ac:dyDescent="0.2">
      <c r="A304" s="57"/>
      <c r="B304" s="59"/>
      <c r="C304" s="80" t="s">
        <v>433</v>
      </c>
      <c r="D304" s="80"/>
      <c r="E304" s="80"/>
      <c r="F304" s="80"/>
      <c r="G304" s="80"/>
      <c r="H304" s="80"/>
      <c r="I304" s="47"/>
      <c r="J304" s="57"/>
      <c r="K304" s="45"/>
      <c r="L304" s="47">
        <f>SUMIF(CD60:CD281, 4, BB60:BB281)</f>
        <v>0</v>
      </c>
    </row>
    <row r="305" spans="1:12" ht="13.55" hidden="1" x14ac:dyDescent="0.2">
      <c r="A305" s="57"/>
      <c r="B305" s="59"/>
      <c r="C305" s="80" t="s">
        <v>453</v>
      </c>
      <c r="D305" s="80"/>
      <c r="E305" s="80"/>
      <c r="F305" s="80"/>
      <c r="G305" s="80"/>
      <c r="H305" s="80"/>
      <c r="I305" s="47"/>
      <c r="J305" s="57"/>
      <c r="K305" s="45"/>
      <c r="L305" s="47">
        <f>SUMIF(CD60:CD281, 4, AR60:AR281)+SUMIF(CD60:CD281, 4, AT60:AT281)+SUMIF(CD60:CD281, 4, AV60:AV281)</f>
        <v>0</v>
      </c>
    </row>
    <row r="306" spans="1:12" ht="13.55" hidden="1" x14ac:dyDescent="0.2">
      <c r="A306" s="57"/>
      <c r="B306" s="59"/>
      <c r="C306" s="80" t="s">
        <v>454</v>
      </c>
      <c r="D306" s="80"/>
      <c r="E306" s="80"/>
      <c r="F306" s="80"/>
      <c r="G306" s="80"/>
      <c r="H306" s="80"/>
      <c r="I306" s="47"/>
      <c r="J306" s="57"/>
      <c r="K306" s="45"/>
      <c r="L306" s="47">
        <f>SUMIF(CD60:CD281, 4, AZ60:AZ281)</f>
        <v>0</v>
      </c>
    </row>
    <row r="307" spans="1:12" ht="13.55" hidden="1" x14ac:dyDescent="0.2">
      <c r="A307" s="57"/>
      <c r="B307" s="59"/>
      <c r="C307" s="80" t="s">
        <v>455</v>
      </c>
      <c r="D307" s="80"/>
      <c r="E307" s="80"/>
      <c r="F307" s="80"/>
      <c r="G307" s="80"/>
      <c r="H307" s="80"/>
      <c r="I307" s="47"/>
      <c r="J307" s="57"/>
      <c r="K307" s="45"/>
      <c r="L307" s="47">
        <f>SUMIF(CD60:CD281, 4, BA60:BA281)</f>
        <v>0</v>
      </c>
    </row>
    <row r="309" spans="1:12" ht="14.3" x14ac:dyDescent="0.2">
      <c r="A309" s="60"/>
      <c r="B309" s="61"/>
      <c r="C309" s="84" t="s">
        <v>463</v>
      </c>
      <c r="D309" s="84"/>
      <c r="E309" s="84"/>
      <c r="F309" s="84"/>
      <c r="G309" s="84"/>
      <c r="H309" s="84"/>
      <c r="I309" s="49"/>
      <c r="J309" s="60"/>
      <c r="K309" s="62"/>
      <c r="L309" s="49">
        <f>L238+L258+L278+L283</f>
        <v>462315.01</v>
      </c>
    </row>
    <row r="310" spans="1:12" ht="13.55" x14ac:dyDescent="0.2">
      <c r="A310" s="57"/>
      <c r="B310" s="59"/>
      <c r="C310" s="81" t="s">
        <v>424</v>
      </c>
      <c r="D310" s="80"/>
      <c r="E310" s="80"/>
      <c r="F310" s="80"/>
      <c r="G310" s="80"/>
      <c r="H310" s="80"/>
      <c r="I310" s="47"/>
      <c r="J310" s="57"/>
      <c r="K310" s="45"/>
      <c r="L310" s="47"/>
    </row>
    <row r="311" spans="1:12" ht="13.55" x14ac:dyDescent="0.2">
      <c r="A311" s="57"/>
      <c r="B311" s="59"/>
      <c r="C311" s="80" t="s">
        <v>451</v>
      </c>
      <c r="D311" s="80"/>
      <c r="E311" s="80"/>
      <c r="F311" s="80"/>
      <c r="G311" s="80"/>
      <c r="H311" s="80"/>
      <c r="I311" s="47"/>
      <c r="J311" s="57"/>
      <c r="K311" s="45"/>
      <c r="L311" s="47">
        <f>L313+L314+L320+L324</f>
        <v>250253.75</v>
      </c>
    </row>
    <row r="312" spans="1:12" ht="13.55" x14ac:dyDescent="0.2">
      <c r="A312" s="57"/>
      <c r="B312" s="59"/>
      <c r="C312" s="81" t="s">
        <v>424</v>
      </c>
      <c r="D312" s="80"/>
      <c r="E312" s="80"/>
      <c r="F312" s="80"/>
      <c r="G312" s="80"/>
      <c r="H312" s="80"/>
      <c r="I312" s="47"/>
      <c r="J312" s="57"/>
      <c r="K312" s="45"/>
      <c r="L312" s="47"/>
    </row>
    <row r="313" spans="1:12" ht="13.55" x14ac:dyDescent="0.2">
      <c r="A313" s="57"/>
      <c r="B313" s="59"/>
      <c r="C313" s="80" t="s">
        <v>452</v>
      </c>
      <c r="D313" s="80"/>
      <c r="E313" s="80"/>
      <c r="F313" s="80"/>
      <c r="G313" s="80"/>
      <c r="H313" s="80"/>
      <c r="I313" s="47"/>
      <c r="J313" s="57"/>
      <c r="K313" s="45"/>
      <c r="L313" s="47">
        <f>SUM(AR60:AR307)</f>
        <v>112297.03</v>
      </c>
    </row>
    <row r="314" spans="1:12" ht="13.55" hidden="1" x14ac:dyDescent="0.2">
      <c r="A314" s="57"/>
      <c r="B314" s="59"/>
      <c r="C314" s="80" t="s">
        <v>426</v>
      </c>
      <c r="D314" s="80"/>
      <c r="E314" s="80"/>
      <c r="F314" s="80"/>
      <c r="G314" s="80"/>
      <c r="H314" s="80"/>
      <c r="I314" s="47"/>
      <c r="J314" s="57"/>
      <c r="K314" s="45"/>
      <c r="L314" s="47">
        <f>L316+L319+L318</f>
        <v>75941.290000000008</v>
      </c>
    </row>
    <row r="315" spans="1:12" ht="13.55" hidden="1" x14ac:dyDescent="0.2">
      <c r="A315" s="57"/>
      <c r="B315" s="59"/>
      <c r="C315" s="81" t="s">
        <v>427</v>
      </c>
      <c r="D315" s="80"/>
      <c r="E315" s="80"/>
      <c r="F315" s="80"/>
      <c r="G315" s="80"/>
      <c r="H315" s="80"/>
      <c r="I315" s="47"/>
      <c r="J315" s="57"/>
      <c r="K315" s="45"/>
      <c r="L315" s="47"/>
    </row>
    <row r="316" spans="1:12" ht="13.55" x14ac:dyDescent="0.2">
      <c r="A316" s="57"/>
      <c r="B316" s="59"/>
      <c r="C316" s="80" t="s">
        <v>426</v>
      </c>
      <c r="D316" s="80"/>
      <c r="E316" s="80"/>
      <c r="F316" s="80"/>
      <c r="G316" s="80"/>
      <c r="H316" s="80"/>
      <c r="I316" s="47"/>
      <c r="J316" s="57"/>
      <c r="K316" s="45"/>
      <c r="L316" s="47">
        <f>SUM(AO60:AO307)</f>
        <v>56769.640000000014</v>
      </c>
    </row>
    <row r="317" spans="1:12" ht="13.55" hidden="1" x14ac:dyDescent="0.2">
      <c r="A317" s="57"/>
      <c r="B317" s="59"/>
      <c r="C317" s="81" t="s">
        <v>428</v>
      </c>
      <c r="D317" s="80"/>
      <c r="E317" s="80"/>
      <c r="F317" s="80"/>
      <c r="G317" s="80"/>
      <c r="H317" s="80"/>
      <c r="I317" s="47"/>
      <c r="J317" s="57"/>
      <c r="K317" s="45"/>
      <c r="L317" s="47"/>
    </row>
    <row r="318" spans="1:12" ht="13.55" x14ac:dyDescent="0.2">
      <c r="A318" s="57"/>
      <c r="B318" s="59"/>
      <c r="C318" s="80" t="s">
        <v>448</v>
      </c>
      <c r="D318" s="80"/>
      <c r="E318" s="80"/>
      <c r="F318" s="80"/>
      <c r="G318" s="80"/>
      <c r="H318" s="80"/>
      <c r="I318" s="47"/>
      <c r="J318" s="57"/>
      <c r="K318" s="45"/>
      <c r="L318" s="47">
        <f>SUM(AT60:AT307)</f>
        <v>19171.650000000001</v>
      </c>
    </row>
    <row r="319" spans="1:12" ht="13.55" hidden="1" x14ac:dyDescent="0.2">
      <c r="A319" s="57"/>
      <c r="B319" s="59"/>
      <c r="C319" s="80" t="s">
        <v>429</v>
      </c>
      <c r="D319" s="80"/>
      <c r="E319" s="80"/>
      <c r="F319" s="80"/>
      <c r="G319" s="80"/>
      <c r="H319" s="80"/>
      <c r="I319" s="47"/>
      <c r="J319" s="57"/>
      <c r="K319" s="45"/>
      <c r="L319" s="47">
        <f>SUM(AV60:AV307)</f>
        <v>0</v>
      </c>
    </row>
    <row r="320" spans="1:12" ht="13.55" x14ac:dyDescent="0.2">
      <c r="A320" s="57"/>
      <c r="B320" s="59"/>
      <c r="C320" s="80" t="s">
        <v>430</v>
      </c>
      <c r="D320" s="80"/>
      <c r="E320" s="80"/>
      <c r="F320" s="80"/>
      <c r="G320" s="80"/>
      <c r="H320" s="80"/>
      <c r="I320" s="47"/>
      <c r="J320" s="57"/>
      <c r="K320" s="45"/>
      <c r="L320" s="47">
        <f>L322+L323</f>
        <v>62015.429999999993</v>
      </c>
    </row>
    <row r="321" spans="1:12" ht="13.55" x14ac:dyDescent="0.2">
      <c r="A321" s="57"/>
      <c r="B321" s="59"/>
      <c r="C321" s="81" t="s">
        <v>427</v>
      </c>
      <c r="D321" s="80"/>
      <c r="E321" s="80"/>
      <c r="F321" s="80"/>
      <c r="G321" s="80"/>
      <c r="H321" s="80"/>
      <c r="I321" s="47"/>
      <c r="J321" s="57"/>
      <c r="K321" s="45"/>
      <c r="L321" s="47"/>
    </row>
    <row r="322" spans="1:12" ht="13.55" x14ac:dyDescent="0.2">
      <c r="A322" s="57"/>
      <c r="B322" s="59"/>
      <c r="C322" s="80" t="s">
        <v>431</v>
      </c>
      <c r="D322" s="80"/>
      <c r="E322" s="80"/>
      <c r="F322" s="80"/>
      <c r="G322" s="80"/>
      <c r="H322" s="80"/>
      <c r="I322" s="47"/>
      <c r="J322" s="57"/>
      <c r="K322" s="45"/>
      <c r="L322" s="47">
        <f>SUM(AW60:AW307)-SUM(BK60:BK307)</f>
        <v>62015.429999999993</v>
      </c>
    </row>
    <row r="323" spans="1:12" ht="13.55" hidden="1" x14ac:dyDescent="0.2">
      <c r="A323" s="57"/>
      <c r="B323" s="59"/>
      <c r="C323" s="80" t="s">
        <v>432</v>
      </c>
      <c r="D323" s="80"/>
      <c r="E323" s="80"/>
      <c r="F323" s="80"/>
      <c r="G323" s="80"/>
      <c r="H323" s="80"/>
      <c r="I323" s="47"/>
      <c r="J323" s="57"/>
      <c r="K323" s="45"/>
      <c r="L323" s="47">
        <f>SUM(BC60:BC307)</f>
        <v>0</v>
      </c>
    </row>
    <row r="324" spans="1:12" ht="13.55" hidden="1" x14ac:dyDescent="0.2">
      <c r="A324" s="57"/>
      <c r="B324" s="59"/>
      <c r="C324" s="80" t="s">
        <v>433</v>
      </c>
      <c r="D324" s="80"/>
      <c r="E324" s="80"/>
      <c r="F324" s="80"/>
      <c r="G324" s="80"/>
      <c r="H324" s="80"/>
      <c r="I324" s="47"/>
      <c r="J324" s="57"/>
      <c r="K324" s="45"/>
      <c r="L324" s="47">
        <f>SUM(BB60:BB307)</f>
        <v>0</v>
      </c>
    </row>
    <row r="325" spans="1:12" ht="13.55" x14ac:dyDescent="0.2">
      <c r="A325" s="57"/>
      <c r="B325" s="59"/>
      <c r="C325" s="80" t="s">
        <v>434</v>
      </c>
      <c r="D325" s="80"/>
      <c r="E325" s="80"/>
      <c r="F325" s="80"/>
      <c r="G325" s="80"/>
      <c r="H325" s="80"/>
      <c r="I325" s="47"/>
      <c r="J325" s="57"/>
      <c r="K325" s="45"/>
      <c r="L325" s="47">
        <f>SUM(AR60:AR307)+SUM(AT60:AT307)+SUM(AV60:AV307)</f>
        <v>131468.68</v>
      </c>
    </row>
    <row r="326" spans="1:12" ht="13.55" x14ac:dyDescent="0.2">
      <c r="A326" s="57"/>
      <c r="B326" s="59"/>
      <c r="C326" s="80" t="s">
        <v>435</v>
      </c>
      <c r="D326" s="80"/>
      <c r="E326" s="80"/>
      <c r="F326" s="80"/>
      <c r="G326" s="80"/>
      <c r="H326" s="80"/>
      <c r="I326" s="47"/>
      <c r="J326" s="57"/>
      <c r="K326" s="45"/>
      <c r="L326" s="47">
        <f>SUM(AZ60:AZ307)</f>
        <v>140277.48000000001</v>
      </c>
    </row>
    <row r="327" spans="1:12" ht="13.55" x14ac:dyDescent="0.2">
      <c r="A327" s="57"/>
      <c r="B327" s="59"/>
      <c r="C327" s="80" t="s">
        <v>436</v>
      </c>
      <c r="D327" s="80"/>
      <c r="E327" s="80"/>
      <c r="F327" s="80"/>
      <c r="G327" s="80"/>
      <c r="H327" s="80"/>
      <c r="I327" s="47"/>
      <c r="J327" s="57"/>
      <c r="K327" s="45"/>
      <c r="L327" s="47">
        <f>SUM(BA60:BA307)</f>
        <v>71783.78</v>
      </c>
    </row>
    <row r="328" spans="1:12" ht="13.55" hidden="1" x14ac:dyDescent="0.2">
      <c r="A328" s="57"/>
      <c r="B328" s="59"/>
      <c r="C328" s="80" t="s">
        <v>464</v>
      </c>
      <c r="D328" s="80"/>
      <c r="E328" s="80"/>
      <c r="F328" s="80"/>
      <c r="G328" s="80"/>
      <c r="H328" s="80"/>
      <c r="I328" s="47"/>
      <c r="J328" s="57"/>
      <c r="K328" s="45"/>
      <c r="L328" s="47">
        <f>L330+L331</f>
        <v>0</v>
      </c>
    </row>
    <row r="329" spans="1:12" ht="13.55" hidden="1" x14ac:dyDescent="0.2">
      <c r="A329" s="57"/>
      <c r="B329" s="59"/>
      <c r="C329" s="81" t="s">
        <v>424</v>
      </c>
      <c r="D329" s="80"/>
      <c r="E329" s="80"/>
      <c r="F329" s="80"/>
      <c r="G329" s="80"/>
      <c r="H329" s="80"/>
      <c r="I329" s="47"/>
      <c r="J329" s="57"/>
      <c r="K329" s="45"/>
      <c r="L329" s="47"/>
    </row>
    <row r="330" spans="1:12" ht="13.55" hidden="1" x14ac:dyDescent="0.2">
      <c r="A330" s="57"/>
      <c r="B330" s="59"/>
      <c r="C330" s="80" t="s">
        <v>438</v>
      </c>
      <c r="D330" s="80"/>
      <c r="E330" s="80"/>
      <c r="F330" s="80"/>
      <c r="G330" s="80"/>
      <c r="H330" s="80"/>
      <c r="I330" s="47"/>
      <c r="J330" s="57"/>
      <c r="K330" s="45"/>
      <c r="L330" s="47">
        <f>SUM(BK60:BK307)</f>
        <v>0</v>
      </c>
    </row>
    <row r="331" spans="1:12" ht="13.55" hidden="1" x14ac:dyDescent="0.2">
      <c r="A331" s="57"/>
      <c r="B331" s="59"/>
      <c r="C331" s="80" t="s">
        <v>439</v>
      </c>
      <c r="D331" s="80"/>
      <c r="E331" s="80"/>
      <c r="F331" s="80"/>
      <c r="G331" s="80"/>
      <c r="H331" s="80"/>
      <c r="I331" s="47"/>
      <c r="J331" s="57"/>
      <c r="K331" s="45"/>
      <c r="L331" s="47">
        <f>SUM(BD60:BD307)</f>
        <v>0</v>
      </c>
    </row>
    <row r="332" spans="1:12" ht="13.55" hidden="1" x14ac:dyDescent="0.2">
      <c r="A332" s="57"/>
      <c r="B332" s="59"/>
      <c r="C332" s="80" t="s">
        <v>465</v>
      </c>
      <c r="D332" s="80"/>
      <c r="E332" s="80"/>
      <c r="F332" s="80"/>
      <c r="G332" s="80"/>
      <c r="H332" s="80"/>
      <c r="I332" s="47"/>
      <c r="J332" s="57"/>
      <c r="K332" s="45"/>
      <c r="L332" s="47">
        <f>L283</f>
        <v>0</v>
      </c>
    </row>
    <row r="333" spans="1:12" ht="13.55" x14ac:dyDescent="0.2">
      <c r="A333" s="57"/>
      <c r="B333" s="59"/>
      <c r="C333" s="84" t="s">
        <v>443</v>
      </c>
      <c r="D333" s="80"/>
      <c r="E333" s="80"/>
      <c r="F333" s="80"/>
      <c r="G333" s="80"/>
      <c r="H333" s="80"/>
      <c r="I333" s="47"/>
      <c r="J333" s="57"/>
      <c r="K333" s="45"/>
      <c r="L333" s="47"/>
    </row>
    <row r="334" spans="1:12" ht="13.55" hidden="1" x14ac:dyDescent="0.2">
      <c r="A334" s="57"/>
      <c r="B334" s="59"/>
      <c r="C334" s="80" t="s">
        <v>444</v>
      </c>
      <c r="D334" s="80"/>
      <c r="E334" s="80"/>
      <c r="F334" s="80"/>
      <c r="G334" s="80"/>
      <c r="H334" s="80"/>
      <c r="I334" s="47"/>
      <c r="J334" s="57"/>
      <c r="K334" s="45"/>
      <c r="L334" s="47">
        <f>SUM(AX60:AX307)</f>
        <v>0</v>
      </c>
    </row>
    <row r="335" spans="1:12" ht="13.55" hidden="1" x14ac:dyDescent="0.2">
      <c r="A335" s="57"/>
      <c r="B335" s="59"/>
      <c r="C335" s="80" t="s">
        <v>445</v>
      </c>
      <c r="D335" s="80"/>
      <c r="E335" s="80"/>
      <c r="F335" s="80"/>
      <c r="G335" s="80"/>
      <c r="H335" s="80"/>
      <c r="I335" s="47"/>
      <c r="J335" s="57"/>
      <c r="K335" s="45"/>
      <c r="L335" s="47">
        <f>SUM(AY60:AY307)</f>
        <v>0</v>
      </c>
    </row>
    <row r="336" spans="1:12" ht="13.55" x14ac:dyDescent="0.2">
      <c r="A336" s="57"/>
      <c r="B336" s="59"/>
      <c r="C336" s="80" t="s">
        <v>446</v>
      </c>
      <c r="D336" s="80"/>
      <c r="E336" s="80"/>
      <c r="F336" s="82"/>
      <c r="G336" s="48">
        <f>Source!F97</f>
        <v>322.41984000000002</v>
      </c>
      <c r="H336" s="57"/>
      <c r="I336" s="57"/>
      <c r="J336" s="57"/>
      <c r="K336" s="57"/>
      <c r="L336" s="57"/>
    </row>
    <row r="337" spans="1:12" ht="13.55" x14ac:dyDescent="0.2">
      <c r="A337" s="57"/>
      <c r="B337" s="59"/>
      <c r="C337" s="80" t="s">
        <v>447</v>
      </c>
      <c r="D337" s="80"/>
      <c r="E337" s="80"/>
      <c r="F337" s="82"/>
      <c r="G337" s="48">
        <f>Source!F98</f>
        <v>38.397799999999997</v>
      </c>
      <c r="H337" s="57"/>
      <c r="I337" s="57"/>
      <c r="J337" s="57"/>
      <c r="K337" s="57"/>
      <c r="L337" s="57"/>
    </row>
    <row r="338" spans="1:12" ht="13.55" x14ac:dyDescent="0.2">
      <c r="A338" s="57"/>
      <c r="B338" s="59"/>
      <c r="C338" s="43"/>
      <c r="D338" s="43"/>
      <c r="E338" s="43"/>
      <c r="F338" s="46"/>
      <c r="G338" s="48"/>
      <c r="H338" s="57"/>
      <c r="I338" s="57"/>
      <c r="J338" s="57"/>
      <c r="K338" s="57"/>
      <c r="L338" s="57"/>
    </row>
    <row r="339" spans="1:12" ht="14.3" customHeight="1" x14ac:dyDescent="0.2">
      <c r="A339" s="57"/>
      <c r="B339" s="59"/>
      <c r="C339" s="80" t="s">
        <v>473</v>
      </c>
      <c r="D339" s="80"/>
      <c r="E339" s="80"/>
      <c r="F339" s="80"/>
      <c r="G339" s="48"/>
      <c r="H339" s="57"/>
      <c r="I339" s="57"/>
      <c r="J339" s="57"/>
      <c r="K339" s="57"/>
      <c r="L339" s="75">
        <f>L309*1.8/100</f>
        <v>8321.670180000001</v>
      </c>
    </row>
    <row r="340" spans="1:12" s="40" customFormat="1" ht="14.3" x14ac:dyDescent="0.2">
      <c r="A340" s="57"/>
      <c r="B340" s="43"/>
      <c r="C340" s="43" t="s">
        <v>474</v>
      </c>
      <c r="D340" s="43"/>
      <c r="E340" s="43"/>
      <c r="F340" s="46"/>
      <c r="G340" s="48"/>
      <c r="H340" s="57"/>
      <c r="I340" s="57"/>
      <c r="J340" s="57"/>
      <c r="K340" s="57"/>
      <c r="L340" s="76">
        <f>L309+L339</f>
        <v>470636.68018000002</v>
      </c>
    </row>
    <row r="341" spans="1:12" s="40" customFormat="1" ht="13.55" x14ac:dyDescent="0.2">
      <c r="A341" s="57"/>
      <c r="B341" s="43"/>
      <c r="C341" s="43"/>
      <c r="D341" s="43"/>
      <c r="E341" s="43"/>
      <c r="F341" s="46"/>
      <c r="G341" s="48"/>
      <c r="H341" s="57"/>
      <c r="I341" s="57"/>
      <c r="J341" s="57"/>
      <c r="K341" s="57"/>
      <c r="L341" s="57"/>
    </row>
    <row r="342" spans="1:12" s="40" customFormat="1" ht="13.55" x14ac:dyDescent="0.2">
      <c r="A342" s="57"/>
      <c r="B342" s="43"/>
      <c r="C342" s="43" t="s">
        <v>475</v>
      </c>
      <c r="D342" s="43"/>
      <c r="E342" s="43"/>
      <c r="F342" s="46"/>
      <c r="G342" s="48"/>
      <c r="H342" s="57"/>
      <c r="I342" s="57"/>
      <c r="J342" s="57"/>
      <c r="K342" s="57"/>
      <c r="L342" s="75">
        <f>L340*22/100</f>
        <v>103540.06963960001</v>
      </c>
    </row>
    <row r="343" spans="1:12" s="77" customFormat="1" ht="14.3" x14ac:dyDescent="0.25">
      <c r="C343" s="77" t="s">
        <v>476</v>
      </c>
      <c r="L343" s="78">
        <f>L340+L342</f>
        <v>574176.74981960002</v>
      </c>
    </row>
    <row r="344" spans="1:12" s="77" customFormat="1" ht="14.3" x14ac:dyDescent="0.25">
      <c r="L344" s="78"/>
    </row>
    <row r="345" spans="1:12" s="77" customFormat="1" ht="14.3" x14ac:dyDescent="0.25">
      <c r="C345" s="77" t="s">
        <v>477</v>
      </c>
      <c r="L345" s="78"/>
    </row>
    <row r="346" spans="1:12" s="77" customFormat="1" ht="14.3" x14ac:dyDescent="0.25">
      <c r="C346" s="77" t="s">
        <v>478</v>
      </c>
      <c r="L346" s="79">
        <f>L343*0.97421352649</f>
        <v>559370.75627031899</v>
      </c>
    </row>
    <row r="347" spans="1:12" s="77" customFormat="1" ht="14.3" x14ac:dyDescent="0.25">
      <c r="L347" s="79"/>
    </row>
    <row r="348" spans="1:12" s="40" customFormat="1" ht="13.55" x14ac:dyDescent="0.2"/>
    <row r="349" spans="1:12" ht="14.3" customHeight="1" x14ac:dyDescent="0.2">
      <c r="A349" s="71"/>
      <c r="B349" s="72" t="s">
        <v>466</v>
      </c>
      <c r="C349" s="73" t="str">
        <f>IF(Source!AC12&lt;&gt;"", Source!AC12," ")</f>
        <v xml:space="preserve"> </v>
      </c>
      <c r="D349" s="33"/>
      <c r="E349" s="33"/>
      <c r="F349" s="33"/>
      <c r="G349" s="33"/>
      <c r="H349" s="13" t="str">
        <f>IF(Source!AB12&lt;&gt;"", Source!AB12," ")</f>
        <v xml:space="preserve"> </v>
      </c>
      <c r="I349" s="23"/>
      <c r="J349" s="23"/>
      <c r="K349" s="37"/>
      <c r="L349" s="37"/>
    </row>
    <row r="350" spans="1:12" ht="14.3" customHeight="1" x14ac:dyDescent="0.2">
      <c r="A350" s="71"/>
      <c r="B350" s="74"/>
      <c r="C350" s="83" t="s">
        <v>467</v>
      </c>
      <c r="D350" s="83"/>
      <c r="E350" s="83"/>
      <c r="F350" s="83"/>
      <c r="G350" s="83"/>
      <c r="H350" s="23"/>
      <c r="I350" s="23"/>
      <c r="J350" s="23"/>
      <c r="K350" s="37"/>
      <c r="L350" s="37"/>
    </row>
    <row r="351" spans="1:12" ht="14.3" customHeight="1" x14ac:dyDescent="0.2">
      <c r="A351" s="71"/>
      <c r="B351" s="74"/>
      <c r="C351" s="12"/>
      <c r="D351" s="12"/>
      <c r="E351" s="12"/>
      <c r="F351" s="12"/>
      <c r="G351" s="12"/>
      <c r="H351" s="23"/>
      <c r="I351" s="23"/>
      <c r="J351" s="23"/>
      <c r="K351" s="37"/>
      <c r="L351" s="37"/>
    </row>
    <row r="352" spans="1:12" ht="14.3" customHeight="1" x14ac:dyDescent="0.2">
      <c r="A352" s="71"/>
      <c r="B352" s="72" t="s">
        <v>468</v>
      </c>
      <c r="C352" s="73" t="str">
        <f>IF(Source!AE12&lt;&gt;"", Source!AE12," ")</f>
        <v xml:space="preserve"> </v>
      </c>
      <c r="D352" s="33"/>
      <c r="E352" s="33"/>
      <c r="F352" s="33"/>
      <c r="G352" s="33"/>
      <c r="H352" s="13" t="str">
        <f>IF(Source!AD12&lt;&gt;"", Source!AD12," ")</f>
        <v xml:space="preserve"> </v>
      </c>
      <c r="I352" s="23"/>
      <c r="J352" s="23"/>
      <c r="K352" s="37"/>
      <c r="L352" s="37"/>
    </row>
    <row r="353" spans="1:12" ht="14.3" customHeight="1" x14ac:dyDescent="0.2">
      <c r="A353" s="12"/>
      <c r="B353" s="12"/>
      <c r="C353" s="83" t="s">
        <v>467</v>
      </c>
      <c r="D353" s="83"/>
      <c r="E353" s="83"/>
      <c r="F353" s="83"/>
      <c r="G353" s="83"/>
      <c r="H353" s="23"/>
      <c r="I353" s="23"/>
      <c r="J353" s="23"/>
      <c r="K353" s="37"/>
      <c r="L353" s="37"/>
    </row>
  </sheetData>
  <mergeCells count="211">
    <mergeCell ref="B7:E7"/>
    <mergeCell ref="H7:L7"/>
    <mergeCell ref="A10:E10"/>
    <mergeCell ref="F10:L10"/>
    <mergeCell ref="A12:E12"/>
    <mergeCell ref="F12:L12"/>
    <mergeCell ref="B3:E3"/>
    <mergeCell ref="H3:L3"/>
    <mergeCell ref="B4:E4"/>
    <mergeCell ref="H4:L4"/>
    <mergeCell ref="B6:E6"/>
    <mergeCell ref="H6:L6"/>
    <mergeCell ref="A20:E20"/>
    <mergeCell ref="F20:L20"/>
    <mergeCell ref="A22:E22"/>
    <mergeCell ref="F22:L22"/>
    <mergeCell ref="A24:E24"/>
    <mergeCell ref="F24:L24"/>
    <mergeCell ref="A14:E14"/>
    <mergeCell ref="F14:L14"/>
    <mergeCell ref="A16:E16"/>
    <mergeCell ref="F16:L16"/>
    <mergeCell ref="A18:E18"/>
    <mergeCell ref="F18:L18"/>
    <mergeCell ref="A36:L36"/>
    <mergeCell ref="C41:L41"/>
    <mergeCell ref="C42:L42"/>
    <mergeCell ref="C46:D46"/>
    <mergeCell ref="C49:D49"/>
    <mergeCell ref="C50:D50"/>
    <mergeCell ref="A27:L27"/>
    <mergeCell ref="A28:L28"/>
    <mergeCell ref="A30:L30"/>
    <mergeCell ref="A31:L31"/>
    <mergeCell ref="A33:L33"/>
    <mergeCell ref="A35:L35"/>
    <mergeCell ref="E54:G57"/>
    <mergeCell ref="H54:L57"/>
    <mergeCell ref="A61:L61"/>
    <mergeCell ref="C73:H73"/>
    <mergeCell ref="I73:J73"/>
    <mergeCell ref="K73:L73"/>
    <mergeCell ref="C51:D51"/>
    <mergeCell ref="C52:D52"/>
    <mergeCell ref="A54:A58"/>
    <mergeCell ref="B54:B58"/>
    <mergeCell ref="C54:C58"/>
    <mergeCell ref="D54:D58"/>
    <mergeCell ref="C121:H121"/>
    <mergeCell ref="I121:J121"/>
    <mergeCell ref="K121:L121"/>
    <mergeCell ref="C134:H134"/>
    <mergeCell ref="I134:J134"/>
    <mergeCell ref="K134:L134"/>
    <mergeCell ref="C87:H87"/>
    <mergeCell ref="I87:J87"/>
    <mergeCell ref="K87:L87"/>
    <mergeCell ref="C99:H99"/>
    <mergeCell ref="I99:J99"/>
    <mergeCell ref="K99:L99"/>
    <mergeCell ref="C196:H196"/>
    <mergeCell ref="I196:J196"/>
    <mergeCell ref="K196:L196"/>
    <mergeCell ref="C198:H198"/>
    <mergeCell ref="I198:J198"/>
    <mergeCell ref="K198:L198"/>
    <mergeCell ref="C147:H147"/>
    <mergeCell ref="I147:J147"/>
    <mergeCell ref="K147:L147"/>
    <mergeCell ref="C170:H170"/>
    <mergeCell ref="I170:J170"/>
    <mergeCell ref="K170:L170"/>
    <mergeCell ref="C172:H172"/>
    <mergeCell ref="I172:J172"/>
    <mergeCell ref="K172:L172"/>
    <mergeCell ref="C207:H207"/>
    <mergeCell ref="C208:H208"/>
    <mergeCell ref="C209:H209"/>
    <mergeCell ref="C210:H210"/>
    <mergeCell ref="C211:H211"/>
    <mergeCell ref="C212:H212"/>
    <mergeCell ref="C200:H200"/>
    <mergeCell ref="I200:J200"/>
    <mergeCell ref="K200:L200"/>
    <mergeCell ref="C204:H204"/>
    <mergeCell ref="C205:H205"/>
    <mergeCell ref="C206:H206"/>
    <mergeCell ref="C202:H202"/>
    <mergeCell ref="I202:J202"/>
    <mergeCell ref="K202:L202"/>
    <mergeCell ref="C219:H219"/>
    <mergeCell ref="C220:H220"/>
    <mergeCell ref="C221:H221"/>
    <mergeCell ref="C222:H222"/>
    <mergeCell ref="C223:H223"/>
    <mergeCell ref="C224:H224"/>
    <mergeCell ref="C213:H213"/>
    <mergeCell ref="C214:H214"/>
    <mergeCell ref="C215:H215"/>
    <mergeCell ref="C216:H216"/>
    <mergeCell ref="C217:H217"/>
    <mergeCell ref="C218:H218"/>
    <mergeCell ref="C231:H231"/>
    <mergeCell ref="C232:F232"/>
    <mergeCell ref="C233:F233"/>
    <mergeCell ref="C236:H236"/>
    <mergeCell ref="C238:H238"/>
    <mergeCell ref="C239:H239"/>
    <mergeCell ref="C225:H225"/>
    <mergeCell ref="C226:H226"/>
    <mergeCell ref="C227:H227"/>
    <mergeCell ref="C228:H228"/>
    <mergeCell ref="C229:H229"/>
    <mergeCell ref="C230:H230"/>
    <mergeCell ref="C246:H246"/>
    <mergeCell ref="C247:H247"/>
    <mergeCell ref="C248:H248"/>
    <mergeCell ref="C249:H249"/>
    <mergeCell ref="C250:H250"/>
    <mergeCell ref="C251:H251"/>
    <mergeCell ref="C240:H240"/>
    <mergeCell ref="C241:H241"/>
    <mergeCell ref="C242:H242"/>
    <mergeCell ref="C243:H243"/>
    <mergeCell ref="C244:H244"/>
    <mergeCell ref="C245:H245"/>
    <mergeCell ref="C259:H259"/>
    <mergeCell ref="C260:H260"/>
    <mergeCell ref="C261:H261"/>
    <mergeCell ref="C262:H262"/>
    <mergeCell ref="C263:H263"/>
    <mergeCell ref="C264:H264"/>
    <mergeCell ref="C252:H252"/>
    <mergeCell ref="C253:H253"/>
    <mergeCell ref="C254:H254"/>
    <mergeCell ref="C255:H255"/>
    <mergeCell ref="C256:H256"/>
    <mergeCell ref="C258:H258"/>
    <mergeCell ref="C271:H271"/>
    <mergeCell ref="C272:H272"/>
    <mergeCell ref="C273:H273"/>
    <mergeCell ref="C274:H274"/>
    <mergeCell ref="C275:H275"/>
    <mergeCell ref="C276:H276"/>
    <mergeCell ref="C265:H265"/>
    <mergeCell ref="C266:H266"/>
    <mergeCell ref="C267:H267"/>
    <mergeCell ref="C268:H268"/>
    <mergeCell ref="C269:H269"/>
    <mergeCell ref="C270:H270"/>
    <mergeCell ref="C285:H285"/>
    <mergeCell ref="C286:H286"/>
    <mergeCell ref="C287:H287"/>
    <mergeCell ref="C288:H288"/>
    <mergeCell ref="C289:H289"/>
    <mergeCell ref="C290:H290"/>
    <mergeCell ref="C278:H278"/>
    <mergeCell ref="C279:H279"/>
    <mergeCell ref="C280:H280"/>
    <mergeCell ref="C281:H281"/>
    <mergeCell ref="C283:H283"/>
    <mergeCell ref="C284:H284"/>
    <mergeCell ref="C297:H297"/>
    <mergeCell ref="C298:H298"/>
    <mergeCell ref="C299:H299"/>
    <mergeCell ref="C300:H300"/>
    <mergeCell ref="C301:H301"/>
    <mergeCell ref="C302:H302"/>
    <mergeCell ref="C291:H291"/>
    <mergeCell ref="C292:H292"/>
    <mergeCell ref="C293:H293"/>
    <mergeCell ref="C294:H294"/>
    <mergeCell ref="C295:H295"/>
    <mergeCell ref="C296:H296"/>
    <mergeCell ref="C313:H313"/>
    <mergeCell ref="C314:H314"/>
    <mergeCell ref="C315:H315"/>
    <mergeCell ref="C303:H303"/>
    <mergeCell ref="C304:H304"/>
    <mergeCell ref="C305:H305"/>
    <mergeCell ref="C306:H306"/>
    <mergeCell ref="C307:H307"/>
    <mergeCell ref="C309:H309"/>
    <mergeCell ref="C310:H310"/>
    <mergeCell ref="C311:H311"/>
    <mergeCell ref="C312:H312"/>
    <mergeCell ref="C337:F337"/>
    <mergeCell ref="C350:G350"/>
    <mergeCell ref="C353:G353"/>
    <mergeCell ref="C339:F339"/>
    <mergeCell ref="C328:H328"/>
    <mergeCell ref="C329:H329"/>
    <mergeCell ref="C330:H330"/>
    <mergeCell ref="C331:H331"/>
    <mergeCell ref="C332:H332"/>
    <mergeCell ref="C333:H333"/>
    <mergeCell ref="C334:H334"/>
    <mergeCell ref="C335:H335"/>
    <mergeCell ref="C336:F336"/>
    <mergeCell ref="C322:H322"/>
    <mergeCell ref="C323:H323"/>
    <mergeCell ref="C324:H324"/>
    <mergeCell ref="C325:H325"/>
    <mergeCell ref="C326:H326"/>
    <mergeCell ref="C327:H327"/>
    <mergeCell ref="C316:H316"/>
    <mergeCell ref="C317:H317"/>
    <mergeCell ref="C318:H318"/>
    <mergeCell ref="C319:H319"/>
    <mergeCell ref="C320:H320"/>
    <mergeCell ref="C321:H321"/>
  </mergeCells>
  <pageMargins left="0.4" right="0.2" top="0.2" bottom="0.4" header="0.2" footer="0.2"/>
  <pageSetup paperSize="9" scale="49" fitToHeight="0" orientation="portrait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171"/>
  <sheetViews>
    <sheetView workbookViewId="0">
      <selection activeCell="A167" sqref="A167:AX167"/>
    </sheetView>
  </sheetViews>
  <sheetFormatPr defaultColWidth="9.125" defaultRowHeight="12.85" x14ac:dyDescent="0.2"/>
  <cols>
    <col min="1" max="256" width="9.125" customWidth="1"/>
  </cols>
  <sheetData>
    <row r="1" spans="1:13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72064</v>
      </c>
      <c r="M1">
        <v>10</v>
      </c>
      <c r="N1">
        <v>12</v>
      </c>
      <c r="O1">
        <v>0</v>
      </c>
      <c r="P1">
        <v>0</v>
      </c>
      <c r="Q1">
        <v>3</v>
      </c>
    </row>
    <row r="12" spans="1:133" x14ac:dyDescent="0.2">
      <c r="A12" s="1">
        <v>1</v>
      </c>
      <c r="B12" s="1">
        <v>165</v>
      </c>
      <c r="C12" s="1">
        <v>0</v>
      </c>
      <c r="D12" s="1">
        <f>ROW(A105)</f>
        <v>105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523</v>
      </c>
      <c r="N12" s="1"/>
      <c r="O12" s="1">
        <v>0</v>
      </c>
      <c r="P12" s="1">
        <v>0</v>
      </c>
      <c r="Q12" s="1">
        <v>7</v>
      </c>
      <c r="R12" s="1">
        <v>0</v>
      </c>
      <c r="S12" s="1"/>
      <c r="T12" s="1">
        <v>4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487096328</v>
      </c>
      <c r="CI12" s="1" t="s">
        <v>3</v>
      </c>
      <c r="CJ12" s="1" t="s">
        <v>3</v>
      </c>
      <c r="CK12" s="1">
        <v>17</v>
      </c>
      <c r="CL12" s="1"/>
      <c r="CM12" s="1"/>
      <c r="CN12" s="1"/>
      <c r="CO12" s="1"/>
      <c r="CP12" s="1"/>
      <c r="CQ12" s="1" t="s">
        <v>12</v>
      </c>
      <c r="CR12" s="1" t="s">
        <v>13</v>
      </c>
      <c r="CS12" s="1">
        <v>46073</v>
      </c>
      <c r="CT12" s="1">
        <v>540</v>
      </c>
      <c r="CU12" s="1">
        <v>17</v>
      </c>
      <c r="CV12" s="1" t="s">
        <v>340</v>
      </c>
      <c r="CW12" s="1"/>
      <c r="CX12" s="1"/>
      <c r="CY12" s="1">
        <v>0</v>
      </c>
      <c r="CZ12" s="1" t="s">
        <v>3</v>
      </c>
      <c r="DA12" s="1" t="s">
        <v>3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 x14ac:dyDescent="0.2">
      <c r="A18" s="2">
        <v>52</v>
      </c>
      <c r="B18" s="2">
        <f t="shared" ref="B18:G18" si="0">B105</f>
        <v>165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Новый объект_(Копия)</v>
      </c>
      <c r="G18" s="2" t="str">
        <f t="shared" si="0"/>
        <v>МОДУЛЬ  КБ-172  пересчет 01.06.2026</v>
      </c>
      <c r="H18" s="2"/>
      <c r="I18" s="2"/>
      <c r="J18" s="2"/>
      <c r="K18" s="2"/>
      <c r="L18" s="2"/>
      <c r="M18" s="2"/>
      <c r="N18" s="2"/>
      <c r="O18" s="2">
        <f t="shared" ref="O18:AT18" si="1">O105</f>
        <v>250253.75</v>
      </c>
      <c r="P18" s="2">
        <f t="shared" si="1"/>
        <v>62015.43</v>
      </c>
      <c r="Q18" s="2">
        <f t="shared" si="1"/>
        <v>56769.64</v>
      </c>
      <c r="R18" s="2">
        <f t="shared" si="1"/>
        <v>19171.650000000001</v>
      </c>
      <c r="S18" s="2">
        <f t="shared" si="1"/>
        <v>112297.03</v>
      </c>
      <c r="T18" s="2">
        <f t="shared" si="1"/>
        <v>0</v>
      </c>
      <c r="U18" s="2">
        <f t="shared" si="1"/>
        <v>322.41984000000002</v>
      </c>
      <c r="V18" s="2">
        <f t="shared" si="1"/>
        <v>38.397800000000004</v>
      </c>
      <c r="W18" s="2">
        <f t="shared" si="1"/>
        <v>0</v>
      </c>
      <c r="X18" s="2">
        <f t="shared" si="1"/>
        <v>140277.48000000001</v>
      </c>
      <c r="Y18" s="2">
        <f t="shared" si="1"/>
        <v>71783.78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>
        <f t="shared" si="1"/>
        <v>462315.01</v>
      </c>
      <c r="AS18" s="2">
        <f t="shared" si="1"/>
        <v>454979.48</v>
      </c>
      <c r="AT18" s="2">
        <f t="shared" si="1"/>
        <v>7335.53</v>
      </c>
      <c r="AU18" s="2">
        <f t="shared" ref="AU18:BZ18" si="2">AU105</f>
        <v>0</v>
      </c>
      <c r="AV18" s="2">
        <f t="shared" si="2"/>
        <v>62015.43</v>
      </c>
      <c r="AW18" s="2">
        <f t="shared" si="2"/>
        <v>62015.43</v>
      </c>
      <c r="AX18" s="2">
        <f t="shared" si="2"/>
        <v>0</v>
      </c>
      <c r="AY18" s="2">
        <f t="shared" si="2"/>
        <v>62015.43</v>
      </c>
      <c r="AZ18" s="2">
        <f t="shared" si="2"/>
        <v>0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0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CA105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DG105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EM105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FS105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 x14ac:dyDescent="0.2">
      <c r="A20" s="1">
        <v>3</v>
      </c>
      <c r="B20" s="1">
        <v>1</v>
      </c>
      <c r="C20" s="1"/>
      <c r="D20" s="1">
        <f>ROW(A75)</f>
        <v>75</v>
      </c>
      <c r="E20" s="1"/>
      <c r="F20" s="1" t="s">
        <v>14</v>
      </c>
      <c r="G20" s="1" t="s">
        <v>14</v>
      </c>
      <c r="H20" s="1" t="s">
        <v>3</v>
      </c>
      <c r="I20" s="1">
        <v>0</v>
      </c>
      <c r="J20" s="1" t="s">
        <v>3</v>
      </c>
      <c r="K20" s="1">
        <v>0</v>
      </c>
      <c r="L20" s="1" t="s">
        <v>14</v>
      </c>
      <c r="M20" s="1" t="s">
        <v>3</v>
      </c>
      <c r="N20" s="1"/>
      <c r="O20" s="1"/>
      <c r="P20" s="1"/>
      <c r="Q20" s="1"/>
      <c r="R20" s="1"/>
      <c r="S20" s="1">
        <v>0</v>
      </c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45" x14ac:dyDescent="0.2">
      <c r="A22" s="2">
        <v>52</v>
      </c>
      <c r="B22" s="2">
        <f t="shared" ref="B22:G22" si="7">B75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Новая локальная смета</v>
      </c>
      <c r="G22" s="2" t="str">
        <f t="shared" si="7"/>
        <v>Новая локальная смета</v>
      </c>
      <c r="H22" s="2"/>
      <c r="I22" s="2"/>
      <c r="J22" s="2"/>
      <c r="K22" s="2"/>
      <c r="L22" s="2"/>
      <c r="M22" s="2"/>
      <c r="N22" s="2"/>
      <c r="O22" s="2">
        <f t="shared" ref="O22:AT22" si="8">O75</f>
        <v>250253.75</v>
      </c>
      <c r="P22" s="2">
        <f t="shared" si="8"/>
        <v>62015.43</v>
      </c>
      <c r="Q22" s="2">
        <f t="shared" si="8"/>
        <v>56769.64</v>
      </c>
      <c r="R22" s="2">
        <f t="shared" si="8"/>
        <v>19171.650000000001</v>
      </c>
      <c r="S22" s="2">
        <f t="shared" si="8"/>
        <v>112297.03</v>
      </c>
      <c r="T22" s="2">
        <f t="shared" si="8"/>
        <v>0</v>
      </c>
      <c r="U22" s="2">
        <f t="shared" si="8"/>
        <v>322.41984000000002</v>
      </c>
      <c r="V22" s="2">
        <f t="shared" si="8"/>
        <v>38.397800000000004</v>
      </c>
      <c r="W22" s="2">
        <f t="shared" si="8"/>
        <v>0</v>
      </c>
      <c r="X22" s="2">
        <f t="shared" si="8"/>
        <v>140277.48000000001</v>
      </c>
      <c r="Y22" s="2">
        <f t="shared" si="8"/>
        <v>71783.78</v>
      </c>
      <c r="Z22" s="2">
        <f t="shared" si="8"/>
        <v>0</v>
      </c>
      <c r="AA22" s="2">
        <f t="shared" si="8"/>
        <v>0</v>
      </c>
      <c r="AB22" s="2">
        <f t="shared" si="8"/>
        <v>0</v>
      </c>
      <c r="AC22" s="2">
        <f t="shared" si="8"/>
        <v>0</v>
      </c>
      <c r="AD22" s="2">
        <f t="shared" si="8"/>
        <v>0</v>
      </c>
      <c r="AE22" s="2">
        <f t="shared" si="8"/>
        <v>0</v>
      </c>
      <c r="AF22" s="2">
        <f t="shared" si="8"/>
        <v>0</v>
      </c>
      <c r="AG22" s="2">
        <f t="shared" si="8"/>
        <v>0</v>
      </c>
      <c r="AH22" s="2">
        <f t="shared" si="8"/>
        <v>0</v>
      </c>
      <c r="AI22" s="2">
        <f t="shared" si="8"/>
        <v>0</v>
      </c>
      <c r="AJ22" s="2">
        <f t="shared" si="8"/>
        <v>0</v>
      </c>
      <c r="AK22" s="2">
        <f t="shared" si="8"/>
        <v>0</v>
      </c>
      <c r="AL22" s="2">
        <f t="shared" si="8"/>
        <v>0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0</v>
      </c>
      <c r="AQ22" s="2">
        <f t="shared" si="8"/>
        <v>0</v>
      </c>
      <c r="AR22" s="2">
        <f t="shared" si="8"/>
        <v>462315.01</v>
      </c>
      <c r="AS22" s="2">
        <f t="shared" si="8"/>
        <v>454979.48</v>
      </c>
      <c r="AT22" s="2">
        <f t="shared" si="8"/>
        <v>7335.53</v>
      </c>
      <c r="AU22" s="2">
        <f t="shared" ref="AU22:BZ22" si="9">AU75</f>
        <v>0</v>
      </c>
      <c r="AV22" s="2">
        <f t="shared" si="9"/>
        <v>62015.43</v>
      </c>
      <c r="AW22" s="2">
        <f t="shared" si="9"/>
        <v>62015.43</v>
      </c>
      <c r="AX22" s="2">
        <f t="shared" si="9"/>
        <v>0</v>
      </c>
      <c r="AY22" s="2">
        <f t="shared" si="9"/>
        <v>62015.43</v>
      </c>
      <c r="AZ22" s="2">
        <f t="shared" si="9"/>
        <v>0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0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CA75</f>
        <v>0</v>
      </c>
      <c r="CB22" s="2">
        <f t="shared" si="10"/>
        <v>0</v>
      </c>
      <c r="CC22" s="2">
        <f t="shared" si="10"/>
        <v>0</v>
      </c>
      <c r="CD22" s="2">
        <f t="shared" si="10"/>
        <v>0</v>
      </c>
      <c r="CE22" s="2">
        <f t="shared" si="10"/>
        <v>0</v>
      </c>
      <c r="CF22" s="2">
        <f t="shared" si="10"/>
        <v>0</v>
      </c>
      <c r="CG22" s="2">
        <f t="shared" si="10"/>
        <v>0</v>
      </c>
      <c r="CH22" s="2">
        <f t="shared" si="10"/>
        <v>0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DG75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EM75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FS75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 x14ac:dyDescent="0.2">
      <c r="A24" s="1">
        <v>4</v>
      </c>
      <c r="B24" s="1">
        <v>1</v>
      </c>
      <c r="C24" s="1"/>
      <c r="D24" s="1">
        <f>ROW(A45)</f>
        <v>45</v>
      </c>
      <c r="E24" s="1"/>
      <c r="F24" s="1" t="s">
        <v>15</v>
      </c>
      <c r="G24" s="1" t="s">
        <v>16</v>
      </c>
      <c r="H24" s="1" t="s">
        <v>3</v>
      </c>
      <c r="I24" s="1">
        <v>0</v>
      </c>
      <c r="J24" s="1"/>
      <c r="K24" s="1">
        <v>0</v>
      </c>
      <c r="L24" s="1"/>
      <c r="M24" s="1" t="s">
        <v>3</v>
      </c>
      <c r="N24" s="1"/>
      <c r="O24" s="1"/>
      <c r="P24" s="1"/>
      <c r="Q24" s="1"/>
      <c r="R24" s="1"/>
      <c r="S24" s="1">
        <v>0</v>
      </c>
      <c r="T24" s="1"/>
      <c r="U24" s="1" t="s">
        <v>3</v>
      </c>
      <c r="V24" s="1">
        <v>0</v>
      </c>
      <c r="W24" s="1"/>
      <c r="X24" s="1"/>
      <c r="Y24" s="1"/>
      <c r="Z24" s="1"/>
      <c r="AA24" s="1"/>
      <c r="AB24" s="1" t="s">
        <v>3</v>
      </c>
      <c r="AC24" s="1" t="s">
        <v>3</v>
      </c>
      <c r="AD24" s="1" t="s">
        <v>3</v>
      </c>
      <c r="AE24" s="1" t="s">
        <v>3</v>
      </c>
      <c r="AF24" s="1" t="s">
        <v>3</v>
      </c>
      <c r="AG24" s="1" t="s">
        <v>3</v>
      </c>
      <c r="AH24" s="1"/>
      <c r="AI24" s="1"/>
      <c r="AJ24" s="1"/>
      <c r="AK24" s="1"/>
      <c r="AL24" s="1"/>
      <c r="AM24" s="1"/>
      <c r="AN24" s="1"/>
      <c r="AO24" s="1"/>
      <c r="AP24" s="1" t="s">
        <v>3</v>
      </c>
      <c r="AQ24" s="1" t="s">
        <v>3</v>
      </c>
      <c r="AR24" s="1" t="s">
        <v>3</v>
      </c>
      <c r="AS24" s="1"/>
      <c r="AT24" s="1"/>
      <c r="AU24" s="1"/>
      <c r="AV24" s="1"/>
      <c r="AW24" s="1"/>
      <c r="AX24" s="1"/>
      <c r="AY24" s="1"/>
      <c r="AZ24" s="1" t="s">
        <v>3</v>
      </c>
      <c r="BA24" s="1"/>
      <c r="BB24" s="1" t="s">
        <v>3</v>
      </c>
      <c r="BC24" s="1" t="s">
        <v>3</v>
      </c>
      <c r="BD24" s="1" t="s">
        <v>3</v>
      </c>
      <c r="BE24" s="1" t="s">
        <v>3</v>
      </c>
      <c r="BF24" s="1" t="s">
        <v>3</v>
      </c>
      <c r="BG24" s="1" t="s">
        <v>3</v>
      </c>
      <c r="BH24" s="1" t="s">
        <v>3</v>
      </c>
      <c r="BI24" s="1" t="s">
        <v>3</v>
      </c>
      <c r="BJ24" s="1" t="s">
        <v>3</v>
      </c>
      <c r="BK24" s="1" t="s">
        <v>3</v>
      </c>
      <c r="BL24" s="1" t="s">
        <v>3</v>
      </c>
      <c r="BM24" s="1" t="s">
        <v>3</v>
      </c>
      <c r="BN24" s="1" t="s">
        <v>3</v>
      </c>
      <c r="BO24" s="1" t="s">
        <v>3</v>
      </c>
      <c r="BP24" s="1" t="s">
        <v>3</v>
      </c>
      <c r="BQ24" s="1"/>
      <c r="BR24" s="1"/>
      <c r="BS24" s="1"/>
      <c r="BT24" s="1"/>
      <c r="BU24" s="1"/>
      <c r="BV24" s="1"/>
      <c r="BW24" s="1"/>
      <c r="BX24" s="1">
        <v>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>
        <v>0</v>
      </c>
    </row>
    <row r="26" spans="1:245" x14ac:dyDescent="0.2">
      <c r="A26" s="2">
        <v>52</v>
      </c>
      <c r="B26" s="2">
        <f t="shared" ref="B26:G26" si="14">B45</f>
        <v>1</v>
      </c>
      <c r="C26" s="2">
        <f t="shared" si="14"/>
        <v>4</v>
      </c>
      <c r="D26" s="2">
        <f t="shared" si="14"/>
        <v>24</v>
      </c>
      <c r="E26" s="2">
        <f t="shared" si="14"/>
        <v>0</v>
      </c>
      <c r="F26" s="2" t="str">
        <f t="shared" si="14"/>
        <v>Новый раздел</v>
      </c>
      <c r="G26" s="2" t="str">
        <f t="shared" si="14"/>
        <v>1. Подготовительные работы</v>
      </c>
      <c r="H26" s="2"/>
      <c r="I26" s="2"/>
      <c r="J26" s="2"/>
      <c r="K26" s="2"/>
      <c r="L26" s="2"/>
      <c r="M26" s="2"/>
      <c r="N26" s="2"/>
      <c r="O26" s="2">
        <f t="shared" ref="O26:AT26" si="15">O45</f>
        <v>250253.75</v>
      </c>
      <c r="P26" s="2">
        <f t="shared" si="15"/>
        <v>62015.43</v>
      </c>
      <c r="Q26" s="2">
        <f t="shared" si="15"/>
        <v>56769.64</v>
      </c>
      <c r="R26" s="2">
        <f t="shared" si="15"/>
        <v>19171.650000000001</v>
      </c>
      <c r="S26" s="2">
        <f t="shared" si="15"/>
        <v>112297.03</v>
      </c>
      <c r="T26" s="2">
        <f t="shared" si="15"/>
        <v>0</v>
      </c>
      <c r="U26" s="2">
        <f t="shared" si="15"/>
        <v>322.41984000000002</v>
      </c>
      <c r="V26" s="2">
        <f t="shared" si="15"/>
        <v>38.397800000000004</v>
      </c>
      <c r="W26" s="2">
        <f t="shared" si="15"/>
        <v>0</v>
      </c>
      <c r="X26" s="2">
        <f t="shared" si="15"/>
        <v>140277.48000000001</v>
      </c>
      <c r="Y26" s="2">
        <f t="shared" si="15"/>
        <v>71783.78</v>
      </c>
      <c r="Z26" s="2">
        <f t="shared" si="15"/>
        <v>0</v>
      </c>
      <c r="AA26" s="2">
        <f t="shared" si="15"/>
        <v>0</v>
      </c>
      <c r="AB26" s="2">
        <f t="shared" si="15"/>
        <v>250253.75</v>
      </c>
      <c r="AC26" s="2">
        <f t="shared" si="15"/>
        <v>62015.43</v>
      </c>
      <c r="AD26" s="2">
        <f t="shared" si="15"/>
        <v>56769.64</v>
      </c>
      <c r="AE26" s="2">
        <f t="shared" si="15"/>
        <v>19171.650000000001</v>
      </c>
      <c r="AF26" s="2">
        <f t="shared" si="15"/>
        <v>112297.03</v>
      </c>
      <c r="AG26" s="2">
        <f t="shared" si="15"/>
        <v>0</v>
      </c>
      <c r="AH26" s="2">
        <f t="shared" si="15"/>
        <v>322.41984000000002</v>
      </c>
      <c r="AI26" s="2">
        <f t="shared" si="15"/>
        <v>38.397800000000004</v>
      </c>
      <c r="AJ26" s="2">
        <f t="shared" si="15"/>
        <v>0</v>
      </c>
      <c r="AK26" s="2">
        <f t="shared" si="15"/>
        <v>140277.48000000001</v>
      </c>
      <c r="AL26" s="2">
        <f t="shared" si="15"/>
        <v>71783.78</v>
      </c>
      <c r="AM26" s="2">
        <f t="shared" si="15"/>
        <v>0</v>
      </c>
      <c r="AN26" s="2">
        <f t="shared" si="15"/>
        <v>0</v>
      </c>
      <c r="AO26" s="2">
        <f t="shared" si="15"/>
        <v>0</v>
      </c>
      <c r="AP26" s="2">
        <f t="shared" si="15"/>
        <v>0</v>
      </c>
      <c r="AQ26" s="2">
        <f t="shared" si="15"/>
        <v>0</v>
      </c>
      <c r="AR26" s="2">
        <f t="shared" si="15"/>
        <v>462315.01</v>
      </c>
      <c r="AS26" s="2">
        <f t="shared" si="15"/>
        <v>454979.48</v>
      </c>
      <c r="AT26" s="2">
        <f t="shared" si="15"/>
        <v>7335.53</v>
      </c>
      <c r="AU26" s="2">
        <f t="shared" ref="AU26:BZ26" si="16">AU45</f>
        <v>0</v>
      </c>
      <c r="AV26" s="2">
        <f t="shared" si="16"/>
        <v>62015.43</v>
      </c>
      <c r="AW26" s="2">
        <f t="shared" si="16"/>
        <v>62015.43</v>
      </c>
      <c r="AX26" s="2">
        <f t="shared" si="16"/>
        <v>0</v>
      </c>
      <c r="AY26" s="2">
        <f t="shared" si="16"/>
        <v>62015.43</v>
      </c>
      <c r="AZ26" s="2">
        <f t="shared" si="16"/>
        <v>0</v>
      </c>
      <c r="BA26" s="2">
        <f t="shared" si="16"/>
        <v>0</v>
      </c>
      <c r="BB26" s="2">
        <f t="shared" si="16"/>
        <v>0</v>
      </c>
      <c r="BC26" s="2">
        <f t="shared" si="16"/>
        <v>0</v>
      </c>
      <c r="BD26" s="2">
        <f t="shared" si="16"/>
        <v>0</v>
      </c>
      <c r="BE26" s="2">
        <f t="shared" si="16"/>
        <v>0</v>
      </c>
      <c r="BF26" s="2">
        <f t="shared" si="16"/>
        <v>0</v>
      </c>
      <c r="BG26" s="2">
        <f t="shared" si="16"/>
        <v>0</v>
      </c>
      <c r="BH26" s="2">
        <f t="shared" si="16"/>
        <v>0</v>
      </c>
      <c r="BI26" s="2">
        <f t="shared" si="16"/>
        <v>0</v>
      </c>
      <c r="BJ26" s="2">
        <f t="shared" si="16"/>
        <v>0</v>
      </c>
      <c r="BK26" s="2">
        <f t="shared" si="16"/>
        <v>0</v>
      </c>
      <c r="BL26" s="2">
        <f t="shared" si="16"/>
        <v>0</v>
      </c>
      <c r="BM26" s="2">
        <f t="shared" si="16"/>
        <v>0</v>
      </c>
      <c r="BN26" s="2">
        <f t="shared" si="16"/>
        <v>0</v>
      </c>
      <c r="BO26" s="2">
        <f t="shared" si="16"/>
        <v>0</v>
      </c>
      <c r="BP26" s="2">
        <f t="shared" si="16"/>
        <v>0</v>
      </c>
      <c r="BQ26" s="2">
        <f t="shared" si="16"/>
        <v>0</v>
      </c>
      <c r="BR26" s="2">
        <f t="shared" si="16"/>
        <v>0</v>
      </c>
      <c r="BS26" s="2">
        <f t="shared" si="16"/>
        <v>0</v>
      </c>
      <c r="BT26" s="2">
        <f t="shared" si="16"/>
        <v>0</v>
      </c>
      <c r="BU26" s="2">
        <f t="shared" si="16"/>
        <v>0</v>
      </c>
      <c r="BV26" s="2">
        <f t="shared" si="16"/>
        <v>0</v>
      </c>
      <c r="BW26" s="2">
        <f t="shared" si="16"/>
        <v>0</v>
      </c>
      <c r="BX26" s="2">
        <f t="shared" si="16"/>
        <v>0</v>
      </c>
      <c r="BY26" s="2">
        <f t="shared" si="16"/>
        <v>0</v>
      </c>
      <c r="BZ26" s="2">
        <f t="shared" si="16"/>
        <v>0</v>
      </c>
      <c r="CA26" s="2">
        <f t="shared" ref="CA26:DF26" si="17">CA45</f>
        <v>462315.01</v>
      </c>
      <c r="CB26" s="2">
        <f t="shared" si="17"/>
        <v>454979.48</v>
      </c>
      <c r="CC26" s="2">
        <f t="shared" si="17"/>
        <v>7335.53</v>
      </c>
      <c r="CD26" s="2">
        <f t="shared" si="17"/>
        <v>0</v>
      </c>
      <c r="CE26" s="2">
        <f t="shared" si="17"/>
        <v>62015.43</v>
      </c>
      <c r="CF26" s="2">
        <f t="shared" si="17"/>
        <v>62015.43</v>
      </c>
      <c r="CG26" s="2">
        <f t="shared" si="17"/>
        <v>0</v>
      </c>
      <c r="CH26" s="2">
        <f t="shared" si="17"/>
        <v>62015.43</v>
      </c>
      <c r="CI26" s="2">
        <f t="shared" si="17"/>
        <v>0</v>
      </c>
      <c r="CJ26" s="2">
        <f t="shared" si="17"/>
        <v>0</v>
      </c>
      <c r="CK26" s="2">
        <f t="shared" si="17"/>
        <v>0</v>
      </c>
      <c r="CL26" s="2">
        <f t="shared" si="17"/>
        <v>0</v>
      </c>
      <c r="CM26" s="2">
        <f t="shared" si="17"/>
        <v>0</v>
      </c>
      <c r="CN26" s="2">
        <f t="shared" si="17"/>
        <v>0</v>
      </c>
      <c r="CO26" s="2">
        <f t="shared" si="17"/>
        <v>0</v>
      </c>
      <c r="CP26" s="2">
        <f t="shared" si="17"/>
        <v>0</v>
      </c>
      <c r="CQ26" s="2">
        <f t="shared" si="17"/>
        <v>0</v>
      </c>
      <c r="CR26" s="2">
        <f t="shared" si="17"/>
        <v>0</v>
      </c>
      <c r="CS26" s="2">
        <f t="shared" si="17"/>
        <v>0</v>
      </c>
      <c r="CT26" s="2">
        <f t="shared" si="17"/>
        <v>0</v>
      </c>
      <c r="CU26" s="2">
        <f t="shared" si="17"/>
        <v>0</v>
      </c>
      <c r="CV26" s="2">
        <f t="shared" si="17"/>
        <v>0</v>
      </c>
      <c r="CW26" s="2">
        <f t="shared" si="17"/>
        <v>0</v>
      </c>
      <c r="CX26" s="2">
        <f t="shared" si="17"/>
        <v>0</v>
      </c>
      <c r="CY26" s="2">
        <f t="shared" si="17"/>
        <v>0</v>
      </c>
      <c r="CZ26" s="2">
        <f t="shared" si="17"/>
        <v>0</v>
      </c>
      <c r="DA26" s="2">
        <f t="shared" si="17"/>
        <v>0</v>
      </c>
      <c r="DB26" s="2">
        <f t="shared" si="17"/>
        <v>0</v>
      </c>
      <c r="DC26" s="2">
        <f t="shared" si="17"/>
        <v>0</v>
      </c>
      <c r="DD26" s="2">
        <f t="shared" si="17"/>
        <v>0</v>
      </c>
      <c r="DE26" s="2">
        <f t="shared" si="17"/>
        <v>0</v>
      </c>
      <c r="DF26" s="2">
        <f t="shared" si="17"/>
        <v>0</v>
      </c>
      <c r="DG26" s="3">
        <f t="shared" ref="DG26:EL26" si="18">DG45</f>
        <v>0</v>
      </c>
      <c r="DH26" s="3">
        <f t="shared" si="18"/>
        <v>0</v>
      </c>
      <c r="DI26" s="3">
        <f t="shared" si="18"/>
        <v>0</v>
      </c>
      <c r="DJ26" s="3">
        <f t="shared" si="18"/>
        <v>0</v>
      </c>
      <c r="DK26" s="3">
        <f t="shared" si="18"/>
        <v>0</v>
      </c>
      <c r="DL26" s="3">
        <f t="shared" si="18"/>
        <v>0</v>
      </c>
      <c r="DM26" s="3">
        <f t="shared" si="18"/>
        <v>0</v>
      </c>
      <c r="DN26" s="3">
        <f t="shared" si="18"/>
        <v>0</v>
      </c>
      <c r="DO26" s="3">
        <f t="shared" si="18"/>
        <v>0</v>
      </c>
      <c r="DP26" s="3">
        <f t="shared" si="18"/>
        <v>0</v>
      </c>
      <c r="DQ26" s="3">
        <f t="shared" si="18"/>
        <v>0</v>
      </c>
      <c r="DR26" s="3">
        <f t="shared" si="18"/>
        <v>0</v>
      </c>
      <c r="DS26" s="3">
        <f t="shared" si="18"/>
        <v>0</v>
      </c>
      <c r="DT26" s="3">
        <f t="shared" si="18"/>
        <v>0</v>
      </c>
      <c r="DU26" s="3">
        <f t="shared" si="18"/>
        <v>0</v>
      </c>
      <c r="DV26" s="3">
        <f t="shared" si="18"/>
        <v>0</v>
      </c>
      <c r="DW26" s="3">
        <f t="shared" si="18"/>
        <v>0</v>
      </c>
      <c r="DX26" s="3">
        <f t="shared" si="18"/>
        <v>0</v>
      </c>
      <c r="DY26" s="3">
        <f t="shared" si="18"/>
        <v>0</v>
      </c>
      <c r="DZ26" s="3">
        <f t="shared" si="18"/>
        <v>0</v>
      </c>
      <c r="EA26" s="3">
        <f t="shared" si="18"/>
        <v>0</v>
      </c>
      <c r="EB26" s="3">
        <f t="shared" si="18"/>
        <v>0</v>
      </c>
      <c r="EC26" s="3">
        <f t="shared" si="18"/>
        <v>0</v>
      </c>
      <c r="ED26" s="3">
        <f t="shared" si="18"/>
        <v>0</v>
      </c>
      <c r="EE26" s="3">
        <f t="shared" si="18"/>
        <v>0</v>
      </c>
      <c r="EF26" s="3">
        <f t="shared" si="18"/>
        <v>0</v>
      </c>
      <c r="EG26" s="3">
        <f t="shared" si="18"/>
        <v>0</v>
      </c>
      <c r="EH26" s="3">
        <f t="shared" si="18"/>
        <v>0</v>
      </c>
      <c r="EI26" s="3">
        <f t="shared" si="18"/>
        <v>0</v>
      </c>
      <c r="EJ26" s="3">
        <f t="shared" si="18"/>
        <v>0</v>
      </c>
      <c r="EK26" s="3">
        <f t="shared" si="18"/>
        <v>0</v>
      </c>
      <c r="EL26" s="3">
        <f t="shared" si="18"/>
        <v>0</v>
      </c>
      <c r="EM26" s="3">
        <f t="shared" ref="EM26:FR26" si="19">EM45</f>
        <v>0</v>
      </c>
      <c r="EN26" s="3">
        <f t="shared" si="19"/>
        <v>0</v>
      </c>
      <c r="EO26" s="3">
        <f t="shared" si="19"/>
        <v>0</v>
      </c>
      <c r="EP26" s="3">
        <f t="shared" si="19"/>
        <v>0</v>
      </c>
      <c r="EQ26" s="3">
        <f t="shared" si="19"/>
        <v>0</v>
      </c>
      <c r="ER26" s="3">
        <f t="shared" si="19"/>
        <v>0</v>
      </c>
      <c r="ES26" s="3">
        <f t="shared" si="19"/>
        <v>0</v>
      </c>
      <c r="ET26" s="3">
        <f t="shared" si="19"/>
        <v>0</v>
      </c>
      <c r="EU26" s="3">
        <f t="shared" si="19"/>
        <v>0</v>
      </c>
      <c r="EV26" s="3">
        <f t="shared" si="19"/>
        <v>0</v>
      </c>
      <c r="EW26" s="3">
        <f t="shared" si="19"/>
        <v>0</v>
      </c>
      <c r="EX26" s="3">
        <f t="shared" si="19"/>
        <v>0</v>
      </c>
      <c r="EY26" s="3">
        <f t="shared" si="19"/>
        <v>0</v>
      </c>
      <c r="EZ26" s="3">
        <f t="shared" si="19"/>
        <v>0</v>
      </c>
      <c r="FA26" s="3">
        <f t="shared" si="19"/>
        <v>0</v>
      </c>
      <c r="FB26" s="3">
        <f t="shared" si="19"/>
        <v>0</v>
      </c>
      <c r="FC26" s="3">
        <f t="shared" si="19"/>
        <v>0</v>
      </c>
      <c r="FD26" s="3">
        <f t="shared" si="19"/>
        <v>0</v>
      </c>
      <c r="FE26" s="3">
        <f t="shared" si="19"/>
        <v>0</v>
      </c>
      <c r="FF26" s="3">
        <f t="shared" si="19"/>
        <v>0</v>
      </c>
      <c r="FG26" s="3">
        <f t="shared" si="19"/>
        <v>0</v>
      </c>
      <c r="FH26" s="3">
        <f t="shared" si="19"/>
        <v>0</v>
      </c>
      <c r="FI26" s="3">
        <f t="shared" si="19"/>
        <v>0</v>
      </c>
      <c r="FJ26" s="3">
        <f t="shared" si="19"/>
        <v>0</v>
      </c>
      <c r="FK26" s="3">
        <f t="shared" si="19"/>
        <v>0</v>
      </c>
      <c r="FL26" s="3">
        <f t="shared" si="19"/>
        <v>0</v>
      </c>
      <c r="FM26" s="3">
        <f t="shared" si="19"/>
        <v>0</v>
      </c>
      <c r="FN26" s="3">
        <f t="shared" si="19"/>
        <v>0</v>
      </c>
      <c r="FO26" s="3">
        <f t="shared" si="19"/>
        <v>0</v>
      </c>
      <c r="FP26" s="3">
        <f t="shared" si="19"/>
        <v>0</v>
      </c>
      <c r="FQ26" s="3">
        <f t="shared" si="19"/>
        <v>0</v>
      </c>
      <c r="FR26" s="3">
        <f t="shared" si="19"/>
        <v>0</v>
      </c>
      <c r="FS26" s="3">
        <f t="shared" ref="FS26:GX26" si="20">FS45</f>
        <v>0</v>
      </c>
      <c r="FT26" s="3">
        <f t="shared" si="20"/>
        <v>0</v>
      </c>
      <c r="FU26" s="3">
        <f t="shared" si="20"/>
        <v>0</v>
      </c>
      <c r="FV26" s="3">
        <f t="shared" si="20"/>
        <v>0</v>
      </c>
      <c r="FW26" s="3">
        <f t="shared" si="20"/>
        <v>0</v>
      </c>
      <c r="FX26" s="3">
        <f t="shared" si="20"/>
        <v>0</v>
      </c>
      <c r="FY26" s="3">
        <f t="shared" si="20"/>
        <v>0</v>
      </c>
      <c r="FZ26" s="3">
        <f t="shared" si="20"/>
        <v>0</v>
      </c>
      <c r="GA26" s="3">
        <f t="shared" si="20"/>
        <v>0</v>
      </c>
      <c r="GB26" s="3">
        <f t="shared" si="20"/>
        <v>0</v>
      </c>
      <c r="GC26" s="3">
        <f t="shared" si="20"/>
        <v>0</v>
      </c>
      <c r="GD26" s="3">
        <f t="shared" si="20"/>
        <v>0</v>
      </c>
      <c r="GE26" s="3">
        <f t="shared" si="20"/>
        <v>0</v>
      </c>
      <c r="GF26" s="3">
        <f t="shared" si="20"/>
        <v>0</v>
      </c>
      <c r="GG26" s="3">
        <f t="shared" si="20"/>
        <v>0</v>
      </c>
      <c r="GH26" s="3">
        <f t="shared" si="20"/>
        <v>0</v>
      </c>
      <c r="GI26" s="3">
        <f t="shared" si="20"/>
        <v>0</v>
      </c>
      <c r="GJ26" s="3">
        <f t="shared" si="20"/>
        <v>0</v>
      </c>
      <c r="GK26" s="3">
        <f t="shared" si="20"/>
        <v>0</v>
      </c>
      <c r="GL26" s="3">
        <f t="shared" si="20"/>
        <v>0</v>
      </c>
      <c r="GM26" s="3">
        <f t="shared" si="20"/>
        <v>0</v>
      </c>
      <c r="GN26" s="3">
        <f t="shared" si="20"/>
        <v>0</v>
      </c>
      <c r="GO26" s="3">
        <f t="shared" si="20"/>
        <v>0</v>
      </c>
      <c r="GP26" s="3">
        <f t="shared" si="20"/>
        <v>0</v>
      </c>
      <c r="GQ26" s="3">
        <f t="shared" si="20"/>
        <v>0</v>
      </c>
      <c r="GR26" s="3">
        <f t="shared" si="20"/>
        <v>0</v>
      </c>
      <c r="GS26" s="3">
        <f t="shared" si="20"/>
        <v>0</v>
      </c>
      <c r="GT26" s="3">
        <f t="shared" si="20"/>
        <v>0</v>
      </c>
      <c r="GU26" s="3">
        <f t="shared" si="20"/>
        <v>0</v>
      </c>
      <c r="GV26" s="3">
        <f t="shared" si="20"/>
        <v>0</v>
      </c>
      <c r="GW26" s="3">
        <f t="shared" si="20"/>
        <v>0</v>
      </c>
      <c r="GX26" s="3">
        <f t="shared" si="20"/>
        <v>0</v>
      </c>
    </row>
    <row r="28" spans="1:245" x14ac:dyDescent="0.2">
      <c r="A28">
        <v>17</v>
      </c>
      <c r="B28">
        <v>1</v>
      </c>
      <c r="C28">
        <f>ROW(SmtRes!A3)</f>
        <v>3</v>
      </c>
      <c r="D28">
        <f>ROW(EtalonRes!A3)</f>
        <v>3</v>
      </c>
      <c r="E28" t="s">
        <v>17</v>
      </c>
      <c r="F28" t="s">
        <v>18</v>
      </c>
      <c r="G28" t="s">
        <v>19</v>
      </c>
      <c r="H28" t="s">
        <v>20</v>
      </c>
      <c r="I28">
        <f>ROUND(2500/1000,7)</f>
        <v>2.5</v>
      </c>
      <c r="J28">
        <v>0</v>
      </c>
      <c r="K28">
        <f>ROUND(2500/1000,7)</f>
        <v>2.5</v>
      </c>
      <c r="O28">
        <f>ROUND(CP28,2)</f>
        <v>5082.87</v>
      </c>
      <c r="P28">
        <f>SUMIF(SmtRes!AQ1:'SmtRes'!AQ3,"=1",SmtRes!DF1:'SmtRes'!DF3)</f>
        <v>0</v>
      </c>
      <c r="Q28">
        <f>SUMIF(SmtRes!AQ1:'SmtRes'!AQ3,"=1",SmtRes!DG1:'SmtRes'!DG3)</f>
        <v>3963.5699999999997</v>
      </c>
      <c r="R28">
        <f>SUMIF(SmtRes!AQ1:'SmtRes'!AQ3,"=1",SmtRes!DH1:'SmtRes'!DH3)</f>
        <v>1119.3</v>
      </c>
      <c r="S28">
        <f>SUMIF(SmtRes!AQ1:'SmtRes'!AQ3,"=1",SmtRes!DI1:'SmtRes'!DI3)</f>
        <v>0</v>
      </c>
      <c r="T28">
        <f t="shared" ref="T28:T43" si="21">ROUND(CU28*I28,2)</f>
        <v>0</v>
      </c>
      <c r="U28">
        <f>SUMIF(SmtRes!AQ1:'SmtRes'!AQ3,"=1",SmtRes!CV1:'SmtRes'!CV3)</f>
        <v>0</v>
      </c>
      <c r="V28">
        <f>SUMIF(SmtRes!AQ1:'SmtRes'!AQ3,"=1",SmtRes!CW1:'SmtRes'!CW3)</f>
        <v>2.1</v>
      </c>
      <c r="W28">
        <f t="shared" ref="W28:W43" si="22">ROUND(CX28*I28,2)</f>
        <v>0</v>
      </c>
      <c r="X28">
        <f t="shared" ref="X28:X43" si="23">ROUND(CY28,2)</f>
        <v>996.18</v>
      </c>
      <c r="Y28">
        <f t="shared" ref="Y28:Y43" si="24">ROUND(CZ28,2)</f>
        <v>458.91</v>
      </c>
      <c r="AA28">
        <v>50253415</v>
      </c>
      <c r="AB28">
        <f t="shared" ref="AB28:AB43" si="25">ROUND((AC28+AD28+AF28),6)</f>
        <v>1100.99</v>
      </c>
      <c r="AC28">
        <f>ROUND((0),6)</f>
        <v>0</v>
      </c>
      <c r="AD28">
        <f>ROUND((((SUM(SmtRes!BR1:'SmtRes'!BR3))-(SUM(SmtRes!BS1:'SmtRes'!BS3)))+AE28),6)</f>
        <v>1100.99</v>
      </c>
      <c r="AE28">
        <f>ROUND((SUM(SmtRes!BS1:'SmtRes'!BS3)),6)</f>
        <v>447.72</v>
      </c>
      <c r="AF28">
        <f>ROUND((0),6)</f>
        <v>0</v>
      </c>
      <c r="AG28">
        <f t="shared" ref="AG28:AG43" si="26">ROUND((AP28),6)</f>
        <v>0</v>
      </c>
      <c r="AH28">
        <f>(0)</f>
        <v>0</v>
      </c>
      <c r="AI28">
        <f>(SUM(SmtRes!BV1:'SmtRes'!BV3))</f>
        <v>0.84000000000000008</v>
      </c>
      <c r="AJ28">
        <f t="shared" ref="AJ28:AJ43" si="27">(AS28)</f>
        <v>0</v>
      </c>
      <c r="AK28">
        <v>1548.71</v>
      </c>
      <c r="AL28">
        <v>0</v>
      </c>
      <c r="AM28">
        <v>1100.99</v>
      </c>
      <c r="AN28">
        <v>447.72</v>
      </c>
      <c r="AO28">
        <v>0</v>
      </c>
      <c r="AP28">
        <v>0</v>
      </c>
      <c r="AQ28">
        <v>0</v>
      </c>
      <c r="AR28">
        <v>0.84000000000000008</v>
      </c>
      <c r="AS28">
        <v>0</v>
      </c>
      <c r="AT28">
        <v>89</v>
      </c>
      <c r="AU28">
        <v>41</v>
      </c>
      <c r="AV28">
        <v>1</v>
      </c>
      <c r="AW28">
        <v>1</v>
      </c>
      <c r="AZ28">
        <v>1</v>
      </c>
      <c r="BA28">
        <v>1</v>
      </c>
      <c r="BB28">
        <v>1</v>
      </c>
      <c r="BC28">
        <v>1</v>
      </c>
      <c r="BD28" t="s">
        <v>3</v>
      </c>
      <c r="BE28" t="s">
        <v>3</v>
      </c>
      <c r="BF28" t="s">
        <v>3</v>
      </c>
      <c r="BG28" t="s">
        <v>3</v>
      </c>
      <c r="BH28">
        <v>0</v>
      </c>
      <c r="BI28">
        <v>1</v>
      </c>
      <c r="BJ28" t="s">
        <v>21</v>
      </c>
      <c r="BM28">
        <v>1006</v>
      </c>
      <c r="BN28">
        <v>0</v>
      </c>
      <c r="BO28" t="s">
        <v>3</v>
      </c>
      <c r="BP28">
        <v>0</v>
      </c>
      <c r="BQ28">
        <v>2</v>
      </c>
      <c r="BR28">
        <v>0</v>
      </c>
      <c r="BS28">
        <v>1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3</v>
      </c>
      <c r="BZ28">
        <v>89</v>
      </c>
      <c r="CA28">
        <v>41</v>
      </c>
      <c r="CB28" t="s">
        <v>3</v>
      </c>
      <c r="CE28">
        <v>0</v>
      </c>
      <c r="CF28">
        <v>0</v>
      </c>
      <c r="CG28">
        <v>0</v>
      </c>
      <c r="CM28">
        <v>0</v>
      </c>
      <c r="CN28" t="s">
        <v>341</v>
      </c>
      <c r="CO28">
        <v>0</v>
      </c>
      <c r="CP28">
        <f>(P28+Q28+S28+R28)</f>
        <v>5082.87</v>
      </c>
      <c r="CQ28">
        <f>SUMIF(SmtRes!AQ1:'SmtRes'!AQ3,"=1",SmtRes!AA1:'SmtRes'!AA3)</f>
        <v>0</v>
      </c>
      <c r="CR28">
        <f>SUMIF(SmtRes!AQ1:'SmtRes'!AQ3,"=1",SmtRes!AB1:'SmtRes'!AB3)</f>
        <v>4061.58</v>
      </c>
      <c r="CS28">
        <f>SUMIF(SmtRes!AQ1:'SmtRes'!AQ3,"=1",SmtRes!AC1:'SmtRes'!AC3)</f>
        <v>1066</v>
      </c>
      <c r="CT28">
        <f>SUMIF(SmtRes!AQ1:'SmtRes'!AQ3,"=1",SmtRes!AD1:'SmtRes'!AD3)</f>
        <v>0</v>
      </c>
      <c r="CU28">
        <f>AG28</f>
        <v>0</v>
      </c>
      <c r="CV28">
        <f>SUMIF(SmtRes!AQ1:'SmtRes'!AQ3,"=1",SmtRes!BU1:'SmtRes'!BU3)</f>
        <v>0</v>
      </c>
      <c r="CW28">
        <f>SUMIF(SmtRes!AQ1:'SmtRes'!AQ3,"=1",SmtRes!BV1:'SmtRes'!BV3)</f>
        <v>0.84000000000000008</v>
      </c>
      <c r="CX28">
        <f>AJ28</f>
        <v>0</v>
      </c>
      <c r="CY28">
        <f>(((S28+R28)*AT28)/100)</f>
        <v>996.17700000000002</v>
      </c>
      <c r="CZ28">
        <f>(((S28+R28)*AU28)/100)</f>
        <v>458.91299999999995</v>
      </c>
      <c r="DC28" t="s">
        <v>3</v>
      </c>
      <c r="DD28" t="s">
        <v>3</v>
      </c>
      <c r="DE28" t="s">
        <v>3</v>
      </c>
      <c r="DF28" t="s">
        <v>3</v>
      </c>
      <c r="DG28" t="s">
        <v>3</v>
      </c>
      <c r="DH28" t="s">
        <v>3</v>
      </c>
      <c r="DI28" t="s">
        <v>3</v>
      </c>
      <c r="DJ28" t="s">
        <v>3</v>
      </c>
      <c r="DK28" t="s">
        <v>3</v>
      </c>
      <c r="DL28" t="s">
        <v>3</v>
      </c>
      <c r="DM28" t="s">
        <v>3</v>
      </c>
      <c r="DN28">
        <v>0</v>
      </c>
      <c r="DO28">
        <v>0</v>
      </c>
      <c r="DP28">
        <v>1</v>
      </c>
      <c r="DQ28">
        <v>1</v>
      </c>
      <c r="DU28">
        <v>1005</v>
      </c>
      <c r="DV28" t="s">
        <v>20</v>
      </c>
      <c r="DW28" t="s">
        <v>20</v>
      </c>
      <c r="DX28">
        <v>1000</v>
      </c>
      <c r="DZ28" t="s">
        <v>3</v>
      </c>
      <c r="EA28" t="s">
        <v>3</v>
      </c>
      <c r="EB28" t="s">
        <v>3</v>
      </c>
      <c r="EC28" t="s">
        <v>3</v>
      </c>
      <c r="EE28">
        <v>49077849</v>
      </c>
      <c r="EF28">
        <v>2</v>
      </c>
      <c r="EG28" t="s">
        <v>22</v>
      </c>
      <c r="EH28">
        <v>1</v>
      </c>
      <c r="EI28" t="s">
        <v>23</v>
      </c>
      <c r="EJ28">
        <v>1</v>
      </c>
      <c r="EK28">
        <v>1006</v>
      </c>
      <c r="EL28" t="s">
        <v>24</v>
      </c>
      <c r="EM28" t="s">
        <v>25</v>
      </c>
      <c r="EO28" t="s">
        <v>3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0.84</v>
      </c>
      <c r="EY28">
        <v>0</v>
      </c>
      <c r="FQ28">
        <v>0</v>
      </c>
      <c r="FR28">
        <v>0</v>
      </c>
      <c r="FS28">
        <v>0</v>
      </c>
      <c r="FX28">
        <v>89</v>
      </c>
      <c r="FY28">
        <v>41</v>
      </c>
      <c r="GA28" t="s">
        <v>3</v>
      </c>
      <c r="GD28">
        <v>1</v>
      </c>
      <c r="GF28">
        <v>774449169</v>
      </c>
      <c r="GG28">
        <v>2</v>
      </c>
      <c r="GH28">
        <v>1</v>
      </c>
      <c r="GI28">
        <v>-2</v>
      </c>
      <c r="GJ28">
        <v>0</v>
      </c>
      <c r="GK28">
        <v>0</v>
      </c>
      <c r="GL28">
        <f t="shared" ref="GL28:GL43" si="28">ROUND(IF(AND(BH28=3,BI28=3,FS28&lt;&gt;0),P28,0),2)</f>
        <v>0</v>
      </c>
      <c r="GM28">
        <f t="shared" ref="GM28:GM43" si="29">ROUND(O28+X28+Y28,2)+GX28</f>
        <v>6537.96</v>
      </c>
      <c r="GN28">
        <f t="shared" ref="GN28:GN43" si="30">IF(OR(BI28=0,BI28=1),GM28-GX28,0)</f>
        <v>6537.96</v>
      </c>
      <c r="GO28">
        <f t="shared" ref="GO28:GO43" si="31">IF(BI28=2,GM28-GX28,0)</f>
        <v>0</v>
      </c>
      <c r="GP28">
        <f t="shared" ref="GP28:GP43" si="32">IF(BI28=4,GM28-GX28,0)</f>
        <v>0</v>
      </c>
      <c r="GR28">
        <v>0</v>
      </c>
      <c r="GS28">
        <v>3</v>
      </c>
      <c r="GT28">
        <v>0</v>
      </c>
      <c r="GU28" t="s">
        <v>3</v>
      </c>
      <c r="GV28">
        <f t="shared" ref="GV28:GV43" si="33">ROUND((GT28),6)</f>
        <v>0</v>
      </c>
      <c r="GW28">
        <v>1</v>
      </c>
      <c r="GX28">
        <f t="shared" ref="GX28:GX43" si="34">ROUND(HC28*I28,2)</f>
        <v>0</v>
      </c>
      <c r="HA28">
        <v>0</v>
      </c>
      <c r="HB28">
        <v>0</v>
      </c>
      <c r="HC28">
        <f>GV28*GW28</f>
        <v>0</v>
      </c>
      <c r="HE28" t="s">
        <v>3</v>
      </c>
      <c r="HF28" t="s">
        <v>3</v>
      </c>
      <c r="HM28" t="s">
        <v>3</v>
      </c>
      <c r="HN28" t="s">
        <v>26</v>
      </c>
      <c r="HO28" t="s">
        <v>27</v>
      </c>
      <c r="HP28" t="s">
        <v>28</v>
      </c>
      <c r="HQ28" t="s">
        <v>28</v>
      </c>
      <c r="HS28">
        <v>0</v>
      </c>
      <c r="IK28">
        <v>0</v>
      </c>
    </row>
    <row r="29" spans="1:245" x14ac:dyDescent="0.2">
      <c r="A29">
        <v>17</v>
      </c>
      <c r="B29">
        <v>1</v>
      </c>
      <c r="C29">
        <f>ROW(SmtRes!A7)</f>
        <v>7</v>
      </c>
      <c r="D29">
        <f>ROW(EtalonRes!A7)</f>
        <v>7</v>
      </c>
      <c r="E29" t="s">
        <v>29</v>
      </c>
      <c r="F29" t="s">
        <v>30</v>
      </c>
      <c r="G29" t="s">
        <v>31</v>
      </c>
      <c r="H29" t="s">
        <v>32</v>
      </c>
      <c r="I29">
        <v>1</v>
      </c>
      <c r="J29">
        <v>0</v>
      </c>
      <c r="K29">
        <v>1</v>
      </c>
      <c r="O29">
        <f>ROUND(CP29,2)</f>
        <v>1824.65</v>
      </c>
      <c r="P29">
        <f>SUMIF(SmtRes!AQ4:'SmtRes'!AQ7,"=1",SmtRes!DF4:'SmtRes'!DF7)</f>
        <v>0</v>
      </c>
      <c r="Q29">
        <f>SUMIF(SmtRes!AQ4:'SmtRes'!AQ7,"=1",SmtRes!DG4:'SmtRes'!DG7)</f>
        <v>1304.73</v>
      </c>
      <c r="R29">
        <f>SUMIF(SmtRes!AQ4:'SmtRes'!AQ7,"=1",SmtRes!DH4:'SmtRes'!DH7)</f>
        <v>216.51</v>
      </c>
      <c r="S29">
        <f>SUMIF(SmtRes!AQ4:'SmtRes'!AQ7,"=1",SmtRes!DI4:'SmtRes'!DI7)</f>
        <v>303.41000000000003</v>
      </c>
      <c r="T29">
        <f t="shared" si="21"/>
        <v>0</v>
      </c>
      <c r="U29">
        <f>SUMIF(SmtRes!AQ4:'SmtRes'!AQ7,"=1",SmtRes!CV4:'SmtRes'!CV7)</f>
        <v>0.81</v>
      </c>
      <c r="V29">
        <f>SUMIF(SmtRes!AQ4:'SmtRes'!AQ7,"=1",SmtRes!CW4:'SmtRes'!CW7)</f>
        <v>0.48</v>
      </c>
      <c r="W29">
        <f t="shared" si="22"/>
        <v>0</v>
      </c>
      <c r="X29">
        <f t="shared" si="23"/>
        <v>535.52</v>
      </c>
      <c r="Y29">
        <f t="shared" si="24"/>
        <v>311.95</v>
      </c>
      <c r="AA29">
        <v>50253415</v>
      </c>
      <c r="AB29">
        <f t="shared" si="25"/>
        <v>1249.7038</v>
      </c>
      <c r="AC29">
        <f>ROUND((0),6)</f>
        <v>0</v>
      </c>
      <c r="AD29">
        <f>ROUND((((SUM(SmtRes!BR4:'SmtRes'!BR7))-(SUM(SmtRes!BS4:'SmtRes'!BS7)))+AE29),6)</f>
        <v>946.29399999999998</v>
      </c>
      <c r="AE29">
        <f>ROUND((SUM(SmtRes!BS4:'SmtRes'!BS7)),6)</f>
        <v>216.51599999999999</v>
      </c>
      <c r="AF29">
        <f>ROUND((SUM(SmtRes!BT4:'SmtRes'!BT7)),6)</f>
        <v>303.40980000000002</v>
      </c>
      <c r="AG29">
        <f t="shared" si="26"/>
        <v>0</v>
      </c>
      <c r="AH29">
        <f>(SUM(SmtRes!BU4:'SmtRes'!BU7))</f>
        <v>0.81</v>
      </c>
      <c r="AI29">
        <f>(SUM(SmtRes!BV4:'SmtRes'!BV7))</f>
        <v>0.48</v>
      </c>
      <c r="AJ29">
        <f t="shared" si="27"/>
        <v>0</v>
      </c>
      <c r="AK29">
        <v>1466.2198000000001</v>
      </c>
      <c r="AL29">
        <v>0</v>
      </c>
      <c r="AM29">
        <v>946.29399999999998</v>
      </c>
      <c r="AN29">
        <v>216.51599999999999</v>
      </c>
      <c r="AO29">
        <v>303.40980000000002</v>
      </c>
      <c r="AP29">
        <v>0</v>
      </c>
      <c r="AQ29">
        <v>0.81</v>
      </c>
      <c r="AR29">
        <v>0.48</v>
      </c>
      <c r="AS29">
        <v>0</v>
      </c>
      <c r="AT29">
        <v>103</v>
      </c>
      <c r="AU29">
        <v>60</v>
      </c>
      <c r="AV29">
        <v>1</v>
      </c>
      <c r="AW29">
        <v>1</v>
      </c>
      <c r="AZ29">
        <v>1</v>
      </c>
      <c r="BA29">
        <v>1</v>
      </c>
      <c r="BB29">
        <v>1</v>
      </c>
      <c r="BC29">
        <v>1</v>
      </c>
      <c r="BD29" t="s">
        <v>3</v>
      </c>
      <c r="BE29" t="s">
        <v>3</v>
      </c>
      <c r="BF29" t="s">
        <v>3</v>
      </c>
      <c r="BG29" t="s">
        <v>3</v>
      </c>
      <c r="BH29">
        <v>0</v>
      </c>
      <c r="BI29">
        <v>1</v>
      </c>
      <c r="BJ29" t="s">
        <v>33</v>
      </c>
      <c r="BM29">
        <v>33002</v>
      </c>
      <c r="BN29">
        <v>0</v>
      </c>
      <c r="BO29" t="s">
        <v>3</v>
      </c>
      <c r="BP29">
        <v>0</v>
      </c>
      <c r="BQ29">
        <v>2</v>
      </c>
      <c r="BR29">
        <v>0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103</v>
      </c>
      <c r="CA29">
        <v>60</v>
      </c>
      <c r="CB29" t="s">
        <v>3</v>
      </c>
      <c r="CE29">
        <v>0</v>
      </c>
      <c r="CF29">
        <v>0</v>
      </c>
      <c r="CG29">
        <v>0</v>
      </c>
      <c r="CM29">
        <v>0</v>
      </c>
      <c r="CN29" t="s">
        <v>341</v>
      </c>
      <c r="CO29">
        <v>0</v>
      </c>
      <c r="CP29">
        <f>(P29+Q29+S29+R29)</f>
        <v>1824.65</v>
      </c>
      <c r="CQ29">
        <f>SUMIF(SmtRes!AQ4:'SmtRes'!AQ7,"=1",SmtRes!AA4:'SmtRes'!AA7)</f>
        <v>0</v>
      </c>
      <c r="CR29">
        <f>SUMIF(SmtRes!AQ4:'SmtRes'!AQ7,"=1",SmtRes!AB4:'SmtRes'!AB7)</f>
        <v>3584.27</v>
      </c>
      <c r="CS29">
        <f>SUMIF(SmtRes!AQ4:'SmtRes'!AQ7,"=1",SmtRes!AC4:'SmtRes'!AC7)</f>
        <v>852.8</v>
      </c>
      <c r="CT29">
        <f>SUMIF(SmtRes!AQ4:'SmtRes'!AQ7,"=1",SmtRes!AD4:'SmtRes'!AD7)</f>
        <v>374.58</v>
      </c>
      <c r="CU29">
        <f>AG29</f>
        <v>0</v>
      </c>
      <c r="CV29">
        <f>SUMIF(SmtRes!AQ4:'SmtRes'!AQ7,"=1",SmtRes!BU4:'SmtRes'!BU7)</f>
        <v>0.81</v>
      </c>
      <c r="CW29">
        <f>SUMIF(SmtRes!AQ4:'SmtRes'!AQ7,"=1",SmtRes!BV4:'SmtRes'!BV7)</f>
        <v>0.48</v>
      </c>
      <c r="CX29">
        <f>AJ29</f>
        <v>0</v>
      </c>
      <c r="CY29">
        <f>(((S29+R29)*AT29)/100)</f>
        <v>535.51760000000013</v>
      </c>
      <c r="CZ29">
        <f>(((S29+R29)*AU29)/100)</f>
        <v>311.95200000000006</v>
      </c>
      <c r="DC29" t="s">
        <v>3</v>
      </c>
      <c r="DD29" t="s">
        <v>3</v>
      </c>
      <c r="DE29" t="s">
        <v>3</v>
      </c>
      <c r="DF29" t="s">
        <v>3</v>
      </c>
      <c r="DG29" t="s">
        <v>3</v>
      </c>
      <c r="DH29" t="s">
        <v>3</v>
      </c>
      <c r="DI29" t="s">
        <v>3</v>
      </c>
      <c r="DJ29" t="s">
        <v>3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U29">
        <v>1013</v>
      </c>
      <c r="DV29" t="s">
        <v>32</v>
      </c>
      <c r="DW29" t="s">
        <v>32</v>
      </c>
      <c r="DX29">
        <v>1</v>
      </c>
      <c r="DZ29" t="s">
        <v>3</v>
      </c>
      <c r="EA29" t="s">
        <v>3</v>
      </c>
      <c r="EB29" t="s">
        <v>3</v>
      </c>
      <c r="EC29" t="s">
        <v>3</v>
      </c>
      <c r="EE29">
        <v>49078233</v>
      </c>
      <c r="EF29">
        <v>2</v>
      </c>
      <c r="EG29" t="s">
        <v>22</v>
      </c>
      <c r="EH29">
        <v>27</v>
      </c>
      <c r="EI29" t="s">
        <v>34</v>
      </c>
      <c r="EJ29">
        <v>1</v>
      </c>
      <c r="EK29">
        <v>33002</v>
      </c>
      <c r="EL29" t="s">
        <v>34</v>
      </c>
      <c r="EM29" t="s">
        <v>35</v>
      </c>
      <c r="EO29" t="s">
        <v>3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0.81</v>
      </c>
      <c r="EX29">
        <v>0.48</v>
      </c>
      <c r="EY29">
        <v>0</v>
      </c>
      <c r="FQ29">
        <v>0</v>
      </c>
      <c r="FR29">
        <v>0</v>
      </c>
      <c r="FS29">
        <v>0</v>
      </c>
      <c r="FX29">
        <v>103</v>
      </c>
      <c r="FY29">
        <v>60</v>
      </c>
      <c r="GA29" t="s">
        <v>3</v>
      </c>
      <c r="GD29">
        <v>1</v>
      </c>
      <c r="GF29">
        <v>2043723458</v>
      </c>
      <c r="GG29">
        <v>2</v>
      </c>
      <c r="GH29">
        <v>1</v>
      </c>
      <c r="GI29">
        <v>-2</v>
      </c>
      <c r="GJ29">
        <v>0</v>
      </c>
      <c r="GK29">
        <v>0</v>
      </c>
      <c r="GL29">
        <f t="shared" si="28"/>
        <v>0</v>
      </c>
      <c r="GM29">
        <f t="shared" si="29"/>
        <v>2672.12</v>
      </c>
      <c r="GN29">
        <f t="shared" si="30"/>
        <v>2672.12</v>
      </c>
      <c r="GO29">
        <f t="shared" si="31"/>
        <v>0</v>
      </c>
      <c r="GP29">
        <f t="shared" si="32"/>
        <v>0</v>
      </c>
      <c r="GR29">
        <v>0</v>
      </c>
      <c r="GS29">
        <v>3</v>
      </c>
      <c r="GT29">
        <v>0</v>
      </c>
      <c r="GU29" t="s">
        <v>3</v>
      </c>
      <c r="GV29">
        <f t="shared" si="33"/>
        <v>0</v>
      </c>
      <c r="GW29">
        <v>1</v>
      </c>
      <c r="GX29">
        <f t="shared" si="34"/>
        <v>0</v>
      </c>
      <c r="HA29">
        <v>0</v>
      </c>
      <c r="HB29">
        <v>0</v>
      </c>
      <c r="HC29">
        <f>GV29*GW29</f>
        <v>0</v>
      </c>
      <c r="HE29" t="s">
        <v>3</v>
      </c>
      <c r="HF29" t="s">
        <v>3</v>
      </c>
      <c r="HM29" t="s">
        <v>3</v>
      </c>
      <c r="HN29" t="s">
        <v>36</v>
      </c>
      <c r="HO29" t="s">
        <v>37</v>
      </c>
      <c r="HP29" t="s">
        <v>34</v>
      </c>
      <c r="HQ29" t="s">
        <v>34</v>
      </c>
      <c r="HS29">
        <v>0</v>
      </c>
      <c r="IK29">
        <v>0</v>
      </c>
    </row>
    <row r="30" spans="1:245" x14ac:dyDescent="0.2">
      <c r="A30">
        <v>17</v>
      </c>
      <c r="B30">
        <v>1</v>
      </c>
      <c r="C30">
        <f>ROW(SmtRes!A10)</f>
        <v>10</v>
      </c>
      <c r="D30">
        <f>ROW(EtalonRes!A10)</f>
        <v>10</v>
      </c>
      <c r="E30" t="s">
        <v>38</v>
      </c>
      <c r="F30" t="s">
        <v>39</v>
      </c>
      <c r="G30" t="s">
        <v>40</v>
      </c>
      <c r="H30" t="s">
        <v>41</v>
      </c>
      <c r="I30">
        <f>ROUND(70/100,7)</f>
        <v>0.7</v>
      </c>
      <c r="J30">
        <v>0</v>
      </c>
      <c r="K30">
        <f>ROUND(70/100,7)</f>
        <v>0.7</v>
      </c>
      <c r="O30">
        <f>ROUND(CP30,2)</f>
        <v>2180.88</v>
      </c>
      <c r="P30">
        <f>SUMIF(SmtRes!AQ8:'SmtRes'!AQ10,"=1",SmtRes!DF8:'SmtRes'!DF10)</f>
        <v>0</v>
      </c>
      <c r="Q30">
        <f>SUMIF(SmtRes!AQ8:'SmtRes'!AQ10,"=1",SmtRes!DG8:'SmtRes'!DG10)</f>
        <v>0.43</v>
      </c>
      <c r="R30">
        <f>SUMIF(SmtRes!AQ8:'SmtRes'!AQ10,"=1",SmtRes!DH8:'SmtRes'!DH10)</f>
        <v>2.4700000000000002</v>
      </c>
      <c r="S30">
        <f>SUMIF(SmtRes!AQ8:'SmtRes'!AQ10,"=1",SmtRes!DI8:'SmtRes'!DI10)</f>
        <v>2177.98</v>
      </c>
      <c r="T30">
        <f t="shared" si="21"/>
        <v>0</v>
      </c>
      <c r="U30">
        <f>SUMIF(SmtRes!AQ8:'SmtRes'!AQ10,"=1",SmtRes!CV8:'SmtRes'!CV10)</f>
        <v>6.7480000000000002</v>
      </c>
      <c r="V30">
        <f>SUMIF(SmtRes!AQ8:'SmtRes'!AQ10,"=1",SmtRes!CW8:'SmtRes'!CW10)</f>
        <v>7.0000000000000001E-3</v>
      </c>
      <c r="W30">
        <f t="shared" si="22"/>
        <v>0</v>
      </c>
      <c r="X30">
        <f t="shared" si="23"/>
        <v>1984.21</v>
      </c>
      <c r="Y30">
        <f t="shared" si="24"/>
        <v>1046.6199999999999</v>
      </c>
      <c r="AA30">
        <v>50253415</v>
      </c>
      <c r="AB30">
        <f t="shared" si="25"/>
        <v>3111.7795999999998</v>
      </c>
      <c r="AC30">
        <f>ROUND((0),6)</f>
        <v>0</v>
      </c>
      <c r="AD30">
        <f>ROUND((((SUM(SmtRes!BR8:'SmtRes'!BR10))-(SUM(SmtRes!BS8:'SmtRes'!BS10)))+AE30),6)</f>
        <v>0.37319999999999998</v>
      </c>
      <c r="AE30">
        <f>ROUND((SUM(SmtRes!BS8:'SmtRes'!BS10)),6)</f>
        <v>3.5236999999999998</v>
      </c>
      <c r="AF30">
        <f>ROUND((SUM(SmtRes!BT8:'SmtRes'!BT10)),6)</f>
        <v>3111.4063999999998</v>
      </c>
      <c r="AG30">
        <f t="shared" si="26"/>
        <v>0</v>
      </c>
      <c r="AH30">
        <f>(SUM(SmtRes!BU8:'SmtRes'!BU10))</f>
        <v>9.64</v>
      </c>
      <c r="AI30">
        <f>(SUM(SmtRes!BV8:'SmtRes'!BV10))</f>
        <v>0.01</v>
      </c>
      <c r="AJ30">
        <f t="shared" si="27"/>
        <v>0</v>
      </c>
      <c r="AK30">
        <v>3115.3033000000005</v>
      </c>
      <c r="AL30">
        <v>0</v>
      </c>
      <c r="AM30">
        <v>0.37320000000000003</v>
      </c>
      <c r="AN30">
        <v>3.5237000000000003</v>
      </c>
      <c r="AO30">
        <v>3111.4064000000003</v>
      </c>
      <c r="AP30">
        <v>0</v>
      </c>
      <c r="AQ30">
        <v>9.64</v>
      </c>
      <c r="AR30">
        <v>0.01</v>
      </c>
      <c r="AS30">
        <v>0</v>
      </c>
      <c r="AT30">
        <v>91</v>
      </c>
      <c r="AU30">
        <v>48</v>
      </c>
      <c r="AV30">
        <v>1</v>
      </c>
      <c r="AW30">
        <v>1</v>
      </c>
      <c r="AZ30">
        <v>1</v>
      </c>
      <c r="BA30">
        <v>1</v>
      </c>
      <c r="BB30">
        <v>1</v>
      </c>
      <c r="BC30">
        <v>1</v>
      </c>
      <c r="BD30" t="s">
        <v>3</v>
      </c>
      <c r="BE30" t="s">
        <v>3</v>
      </c>
      <c r="BF30" t="s">
        <v>3</v>
      </c>
      <c r="BG30" t="s">
        <v>3</v>
      </c>
      <c r="BH30">
        <v>0</v>
      </c>
      <c r="BI30">
        <v>1</v>
      </c>
      <c r="BJ30" t="s">
        <v>42</v>
      </c>
      <c r="BM30">
        <v>67001</v>
      </c>
      <c r="BN30">
        <v>0</v>
      </c>
      <c r="BO30" t="s">
        <v>3</v>
      </c>
      <c r="BP30">
        <v>0</v>
      </c>
      <c r="BQ30">
        <v>6</v>
      </c>
      <c r="BR30">
        <v>0</v>
      </c>
      <c r="BS30">
        <v>1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3</v>
      </c>
      <c r="BZ30">
        <v>91</v>
      </c>
      <c r="CA30">
        <v>48</v>
      </c>
      <c r="CB30" t="s">
        <v>3</v>
      </c>
      <c r="CE30">
        <v>0</v>
      </c>
      <c r="CF30">
        <v>0</v>
      </c>
      <c r="CG30">
        <v>0</v>
      </c>
      <c r="CM30">
        <v>0</v>
      </c>
      <c r="CN30" t="s">
        <v>342</v>
      </c>
      <c r="CO30">
        <v>0</v>
      </c>
      <c r="CP30">
        <f>(P30+Q30+S30+R30)</f>
        <v>2180.8799999999997</v>
      </c>
      <c r="CQ30">
        <f>SUMIF(SmtRes!AQ8:'SmtRes'!AQ10,"=1",SmtRes!AA8:'SmtRes'!AA10)</f>
        <v>0</v>
      </c>
      <c r="CR30">
        <f>SUMIF(SmtRes!AQ8:'SmtRes'!AQ10,"=1",SmtRes!AB8:'SmtRes'!AB10)</f>
        <v>60.83</v>
      </c>
      <c r="CS30">
        <f>SUMIF(SmtRes!AQ8:'SmtRes'!AQ10,"=1",SmtRes!AC8:'SmtRes'!AC10)</f>
        <v>352.37</v>
      </c>
      <c r="CT30">
        <f>SUMIF(SmtRes!AQ8:'SmtRes'!AQ10,"=1",SmtRes!AD8:'SmtRes'!AD10)</f>
        <v>322.76</v>
      </c>
      <c r="CU30">
        <f>AG30</f>
        <v>0</v>
      </c>
      <c r="CV30">
        <f>SUMIF(SmtRes!AQ8:'SmtRes'!AQ10,"=1",SmtRes!BU8:'SmtRes'!BU10)</f>
        <v>9.64</v>
      </c>
      <c r="CW30">
        <f>SUMIF(SmtRes!AQ8:'SmtRes'!AQ10,"=1",SmtRes!BV8:'SmtRes'!BV10)</f>
        <v>0.01</v>
      </c>
      <c r="CX30">
        <f>AJ30</f>
        <v>0</v>
      </c>
      <c r="CY30">
        <f>(((S30+R30)*AT30)/100)</f>
        <v>1984.2094999999999</v>
      </c>
      <c r="CZ30">
        <f>(((S30+R30)*AU30)/100)</f>
        <v>1046.616</v>
      </c>
      <c r="DC30" t="s">
        <v>3</v>
      </c>
      <c r="DD30" t="s">
        <v>3</v>
      </c>
      <c r="DE30" t="s">
        <v>3</v>
      </c>
      <c r="DF30" t="s">
        <v>3</v>
      </c>
      <c r="DG30" t="s">
        <v>3</v>
      </c>
      <c r="DH30" t="s">
        <v>3</v>
      </c>
      <c r="DI30" t="s">
        <v>3</v>
      </c>
      <c r="DJ30" t="s">
        <v>3</v>
      </c>
      <c r="DK30" t="s">
        <v>3</v>
      </c>
      <c r="DL30" t="s">
        <v>3</v>
      </c>
      <c r="DM30" t="s">
        <v>3</v>
      </c>
      <c r="DN30">
        <v>0</v>
      </c>
      <c r="DO30">
        <v>0</v>
      </c>
      <c r="DP30">
        <v>1</v>
      </c>
      <c r="DQ30">
        <v>1</v>
      </c>
      <c r="DU30">
        <v>1003</v>
      </c>
      <c r="DV30" t="s">
        <v>41</v>
      </c>
      <c r="DW30" t="s">
        <v>41</v>
      </c>
      <c r="DX30">
        <v>100</v>
      </c>
      <c r="DZ30" t="s">
        <v>3</v>
      </c>
      <c r="EA30" t="s">
        <v>3</v>
      </c>
      <c r="EB30" t="s">
        <v>3</v>
      </c>
      <c r="EC30" t="s">
        <v>3</v>
      </c>
      <c r="EE30">
        <v>49077995</v>
      </c>
      <c r="EF30">
        <v>6</v>
      </c>
      <c r="EG30" t="s">
        <v>43</v>
      </c>
      <c r="EH30">
        <v>101</v>
      </c>
      <c r="EI30" t="s">
        <v>44</v>
      </c>
      <c r="EJ30">
        <v>1</v>
      </c>
      <c r="EK30">
        <v>67001</v>
      </c>
      <c r="EL30" t="s">
        <v>44</v>
      </c>
      <c r="EM30" t="s">
        <v>45</v>
      </c>
      <c r="EO30" t="s">
        <v>3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9.64</v>
      </c>
      <c r="EX30">
        <v>0.01</v>
      </c>
      <c r="EY30">
        <v>0</v>
      </c>
      <c r="FQ30">
        <v>0</v>
      </c>
      <c r="FR30">
        <v>0</v>
      </c>
      <c r="FS30">
        <v>0</v>
      </c>
      <c r="FX30">
        <v>91</v>
      </c>
      <c r="FY30">
        <v>48</v>
      </c>
      <c r="GA30" t="s">
        <v>3</v>
      </c>
      <c r="GD30">
        <v>1</v>
      </c>
      <c r="GF30">
        <v>-1680163909</v>
      </c>
      <c r="GG30">
        <v>2</v>
      </c>
      <c r="GH30">
        <v>1</v>
      </c>
      <c r="GI30">
        <v>-2</v>
      </c>
      <c r="GJ30">
        <v>0</v>
      </c>
      <c r="GK30">
        <v>0</v>
      </c>
      <c r="GL30">
        <f t="shared" si="28"/>
        <v>0</v>
      </c>
      <c r="GM30">
        <f t="shared" si="29"/>
        <v>5211.71</v>
      </c>
      <c r="GN30">
        <f t="shared" si="30"/>
        <v>5211.71</v>
      </c>
      <c r="GO30">
        <f t="shared" si="31"/>
        <v>0</v>
      </c>
      <c r="GP30">
        <f t="shared" si="32"/>
        <v>0</v>
      </c>
      <c r="GR30">
        <v>0</v>
      </c>
      <c r="GS30">
        <v>3</v>
      </c>
      <c r="GT30">
        <v>0</v>
      </c>
      <c r="GU30" t="s">
        <v>3</v>
      </c>
      <c r="GV30">
        <f t="shared" si="33"/>
        <v>0</v>
      </c>
      <c r="GW30">
        <v>1</v>
      </c>
      <c r="GX30">
        <f t="shared" si="34"/>
        <v>0</v>
      </c>
      <c r="HA30">
        <v>0</v>
      </c>
      <c r="HB30">
        <v>0</v>
      </c>
      <c r="HC30">
        <f>GV30*GW30</f>
        <v>0</v>
      </c>
      <c r="HE30" t="s">
        <v>3</v>
      </c>
      <c r="HF30" t="s">
        <v>3</v>
      </c>
      <c r="HM30" t="s">
        <v>3</v>
      </c>
      <c r="HN30" t="s">
        <v>46</v>
      </c>
      <c r="HO30" t="s">
        <v>47</v>
      </c>
      <c r="HP30" t="s">
        <v>44</v>
      </c>
      <c r="HQ30" t="s">
        <v>44</v>
      </c>
      <c r="HS30">
        <v>0</v>
      </c>
      <c r="IK30">
        <v>0</v>
      </c>
    </row>
    <row r="31" spans="1:245" x14ac:dyDescent="0.2">
      <c r="A31">
        <v>17</v>
      </c>
      <c r="B31">
        <v>1</v>
      </c>
      <c r="C31">
        <f>ROW(SmtRes!A21)</f>
        <v>21</v>
      </c>
      <c r="D31">
        <f>ROW(EtalonRes!A21)</f>
        <v>21</v>
      </c>
      <c r="E31" t="s">
        <v>48</v>
      </c>
      <c r="F31" t="s">
        <v>49</v>
      </c>
      <c r="G31" t="s">
        <v>50</v>
      </c>
      <c r="H31" t="s">
        <v>41</v>
      </c>
      <c r="I31">
        <f>ROUND(70/100,7)</f>
        <v>0.7</v>
      </c>
      <c r="J31">
        <v>0</v>
      </c>
      <c r="K31">
        <f>ROUND(70/100,7)</f>
        <v>0.7</v>
      </c>
      <c r="O31">
        <f>ROUND(CP31,2)</f>
        <v>3363.18</v>
      </c>
      <c r="P31">
        <f>SUMIF(SmtRes!AQ11:'SmtRes'!AQ21,"=1",SmtRes!DF11:'SmtRes'!DF21)</f>
        <v>351.11999999999995</v>
      </c>
      <c r="Q31">
        <f>SUMIF(SmtRes!AQ11:'SmtRes'!AQ21,"=1",SmtRes!DG11:'SmtRes'!DG21)</f>
        <v>362.09</v>
      </c>
      <c r="R31">
        <f>SUMIF(SmtRes!AQ11:'SmtRes'!AQ21,"=1",SmtRes!DH11:'SmtRes'!DH21)</f>
        <v>130.17000000000002</v>
      </c>
      <c r="S31">
        <f>SUMIF(SmtRes!AQ11:'SmtRes'!AQ21,"=1",SmtRes!DI11:'SmtRes'!DI21)</f>
        <v>2519.8000000000002</v>
      </c>
      <c r="T31">
        <f t="shared" si="21"/>
        <v>0</v>
      </c>
      <c r="U31">
        <f>SUMIF(SmtRes!AQ11:'SmtRes'!AQ21,"=1",SmtRes!CV11:'SmtRes'!CV21)</f>
        <v>6.4960000000000004</v>
      </c>
      <c r="V31">
        <f>SUMIF(SmtRes!AQ11:'SmtRes'!AQ21,"=1",SmtRes!CW11:'SmtRes'!CW21)</f>
        <v>0.28000000000000003</v>
      </c>
      <c r="W31">
        <f t="shared" si="22"/>
        <v>0</v>
      </c>
      <c r="X31">
        <f t="shared" si="23"/>
        <v>2570.4699999999998</v>
      </c>
      <c r="Y31">
        <f t="shared" si="24"/>
        <v>1351.48</v>
      </c>
      <c r="AA31">
        <v>50253415</v>
      </c>
      <c r="AB31">
        <f t="shared" si="25"/>
        <v>4425.1612160000004</v>
      </c>
      <c r="AC31">
        <f>ROUND((SUM(SmtRes!BQ11:'SmtRes'!BQ21)),6)</f>
        <v>321.78121599999997</v>
      </c>
      <c r="AD31">
        <f>ROUND((((SUM(SmtRes!BR11:'SmtRes'!BR21))-(SUM(SmtRes!BS11:'SmtRes'!BS21)))+AE31),6)</f>
        <v>503.66800000000001</v>
      </c>
      <c r="AE31">
        <f>ROUND((SUM(SmtRes!BS11:'SmtRes'!BS21)),6)</f>
        <v>185.958</v>
      </c>
      <c r="AF31">
        <f>ROUND((SUM(SmtRes!BT11:'SmtRes'!BT21)),6)</f>
        <v>3599.712</v>
      </c>
      <c r="AG31">
        <f t="shared" si="26"/>
        <v>0</v>
      </c>
      <c r="AH31">
        <f>(SUM(SmtRes!BU11:'SmtRes'!BU21))</f>
        <v>9.2799999999999994</v>
      </c>
      <c r="AI31">
        <f>(SUM(SmtRes!BV11:'SmtRes'!BV21))</f>
        <v>0.4</v>
      </c>
      <c r="AJ31">
        <f t="shared" si="27"/>
        <v>0</v>
      </c>
      <c r="AK31">
        <v>4611.1192163999995</v>
      </c>
      <c r="AL31">
        <v>321.78121640000006</v>
      </c>
      <c r="AM31">
        <v>503.66800000000001</v>
      </c>
      <c r="AN31">
        <v>185.95800000000003</v>
      </c>
      <c r="AO31">
        <v>3599.7119999999995</v>
      </c>
      <c r="AP31">
        <v>0</v>
      </c>
      <c r="AQ31">
        <v>9.2799999999999994</v>
      </c>
      <c r="AR31">
        <v>0.4</v>
      </c>
      <c r="AS31">
        <v>0</v>
      </c>
      <c r="AT31">
        <v>97</v>
      </c>
      <c r="AU31">
        <v>51</v>
      </c>
      <c r="AV31">
        <v>1</v>
      </c>
      <c r="AW31">
        <v>1</v>
      </c>
      <c r="AZ31">
        <v>1</v>
      </c>
      <c r="BA31">
        <v>1</v>
      </c>
      <c r="BB31">
        <v>1</v>
      </c>
      <c r="BC31">
        <v>1</v>
      </c>
      <c r="BD31" t="s">
        <v>3</v>
      </c>
      <c r="BE31" t="s">
        <v>3</v>
      </c>
      <c r="BF31" t="s">
        <v>3</v>
      </c>
      <c r="BG31" t="s">
        <v>3</v>
      </c>
      <c r="BH31">
        <v>0</v>
      </c>
      <c r="BI31">
        <v>2</v>
      </c>
      <c r="BJ31" t="s">
        <v>51</v>
      </c>
      <c r="BM31">
        <v>108001</v>
      </c>
      <c r="BN31">
        <v>0</v>
      </c>
      <c r="BO31" t="s">
        <v>3</v>
      </c>
      <c r="BP31">
        <v>0</v>
      </c>
      <c r="BQ31">
        <v>3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97</v>
      </c>
      <c r="CA31">
        <v>51</v>
      </c>
      <c r="CB31" t="s">
        <v>3</v>
      </c>
      <c r="CE31">
        <v>0</v>
      </c>
      <c r="CF31">
        <v>0</v>
      </c>
      <c r="CG31">
        <v>0</v>
      </c>
      <c r="CM31">
        <v>0</v>
      </c>
      <c r="CN31" t="s">
        <v>343</v>
      </c>
      <c r="CO31">
        <v>0</v>
      </c>
      <c r="CP31">
        <f>(P31+Q31+S31+R31)</f>
        <v>3363.1800000000003</v>
      </c>
      <c r="CQ31">
        <f>SUMIF(SmtRes!AQ11:'SmtRes'!AQ21,"=1",SmtRes!AA11:'SmtRes'!AA21)</f>
        <v>237192.95999999999</v>
      </c>
      <c r="CR31">
        <f>SUMIF(SmtRes!AQ11:'SmtRes'!AQ21,"=1",SmtRes!AB11:'SmtRes'!AB21)</f>
        <v>2418.6200000000003</v>
      </c>
      <c r="CS31">
        <f>SUMIF(SmtRes!AQ11:'SmtRes'!AQ21,"=1",SmtRes!AC11:'SmtRes'!AC21)</f>
        <v>929.79</v>
      </c>
      <c r="CT31">
        <f>SUMIF(SmtRes!AQ11:'SmtRes'!AQ21,"=1",SmtRes!AD11:'SmtRes'!AD21)</f>
        <v>387.9</v>
      </c>
      <c r="CU31">
        <f>AG31</f>
        <v>0</v>
      </c>
      <c r="CV31">
        <f>SUMIF(SmtRes!AQ11:'SmtRes'!AQ21,"=1",SmtRes!BU11:'SmtRes'!BU21)</f>
        <v>9.2799999999999994</v>
      </c>
      <c r="CW31">
        <f>SUMIF(SmtRes!AQ11:'SmtRes'!AQ21,"=1",SmtRes!BV11:'SmtRes'!BV21)</f>
        <v>0.4</v>
      </c>
      <c r="CX31">
        <f>AJ31</f>
        <v>0</v>
      </c>
      <c r="CY31">
        <f>(((S31+R31)*AT31)/100)</f>
        <v>2570.4709000000003</v>
      </c>
      <c r="CZ31">
        <f>(((S31+R31)*AU31)/100)</f>
        <v>1351.4847</v>
      </c>
      <c r="DC31" t="s">
        <v>3</v>
      </c>
      <c r="DD31" t="s">
        <v>3</v>
      </c>
      <c r="DE31" t="s">
        <v>3</v>
      </c>
      <c r="DF31" t="s">
        <v>3</v>
      </c>
      <c r="DG31" t="s">
        <v>3</v>
      </c>
      <c r="DH31" t="s">
        <v>3</v>
      </c>
      <c r="DI31" t="s">
        <v>3</v>
      </c>
      <c r="DJ31" t="s">
        <v>3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U31">
        <v>1003</v>
      </c>
      <c r="DV31" t="s">
        <v>41</v>
      </c>
      <c r="DW31" t="s">
        <v>41</v>
      </c>
      <c r="DX31">
        <v>100</v>
      </c>
      <c r="DZ31" t="s">
        <v>3</v>
      </c>
      <c r="EA31" t="s">
        <v>3</v>
      </c>
      <c r="EB31" t="s">
        <v>3</v>
      </c>
      <c r="EC31" t="s">
        <v>3</v>
      </c>
      <c r="EE31">
        <v>49077748</v>
      </c>
      <c r="EF31">
        <v>3</v>
      </c>
      <c r="EG31" t="s">
        <v>52</v>
      </c>
      <c r="EH31">
        <v>0</v>
      </c>
      <c r="EI31" t="s">
        <v>3</v>
      </c>
      <c r="EJ31">
        <v>2</v>
      </c>
      <c r="EK31">
        <v>108001</v>
      </c>
      <c r="EL31" t="s">
        <v>53</v>
      </c>
      <c r="EM31" t="s">
        <v>54</v>
      </c>
      <c r="EO31" t="s">
        <v>3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9.2799999999999994</v>
      </c>
      <c r="EX31">
        <v>0.4</v>
      </c>
      <c r="EY31">
        <v>0</v>
      </c>
      <c r="FQ31">
        <v>0</v>
      </c>
      <c r="FR31">
        <v>0</v>
      </c>
      <c r="FS31">
        <v>0</v>
      </c>
      <c r="FX31">
        <v>97</v>
      </c>
      <c r="FY31">
        <v>51</v>
      </c>
      <c r="GA31" t="s">
        <v>3</v>
      </c>
      <c r="GD31">
        <v>1</v>
      </c>
      <c r="GF31">
        <v>1002766727</v>
      </c>
      <c r="GG31">
        <v>2</v>
      </c>
      <c r="GH31">
        <v>1</v>
      </c>
      <c r="GI31">
        <v>-2</v>
      </c>
      <c r="GJ31">
        <v>0</v>
      </c>
      <c r="GK31">
        <v>0</v>
      </c>
      <c r="GL31">
        <f t="shared" si="28"/>
        <v>0</v>
      </c>
      <c r="GM31">
        <f t="shared" si="29"/>
        <v>7285.13</v>
      </c>
      <c r="GN31">
        <f t="shared" si="30"/>
        <v>0</v>
      </c>
      <c r="GO31">
        <f t="shared" si="31"/>
        <v>7285.13</v>
      </c>
      <c r="GP31">
        <f t="shared" si="32"/>
        <v>0</v>
      </c>
      <c r="GR31">
        <v>0</v>
      </c>
      <c r="GS31">
        <v>3</v>
      </c>
      <c r="GT31">
        <v>0</v>
      </c>
      <c r="GU31" t="s">
        <v>3</v>
      </c>
      <c r="GV31">
        <f t="shared" si="33"/>
        <v>0</v>
      </c>
      <c r="GW31">
        <v>1</v>
      </c>
      <c r="GX31">
        <f t="shared" si="34"/>
        <v>0</v>
      </c>
      <c r="HA31">
        <v>0</v>
      </c>
      <c r="HB31">
        <v>0</v>
      </c>
      <c r="HC31">
        <f>GV31*GW31</f>
        <v>0</v>
      </c>
      <c r="HE31" t="s">
        <v>3</v>
      </c>
      <c r="HF31" t="s">
        <v>3</v>
      </c>
      <c r="HM31" t="s">
        <v>3</v>
      </c>
      <c r="HN31" t="s">
        <v>55</v>
      </c>
      <c r="HO31" t="s">
        <v>56</v>
      </c>
      <c r="HP31" t="s">
        <v>53</v>
      </c>
      <c r="HQ31" t="s">
        <v>53</v>
      </c>
      <c r="HS31">
        <v>0</v>
      </c>
      <c r="IK31">
        <v>0</v>
      </c>
    </row>
    <row r="32" spans="1:245" x14ac:dyDescent="0.2">
      <c r="A32">
        <v>18</v>
      </c>
      <c r="B32">
        <v>1</v>
      </c>
      <c r="C32">
        <v>21</v>
      </c>
      <c r="E32" t="s">
        <v>57</v>
      </c>
      <c r="F32" t="s">
        <v>58</v>
      </c>
      <c r="G32" t="s">
        <v>59</v>
      </c>
      <c r="H32" t="s">
        <v>60</v>
      </c>
      <c r="I32">
        <f>J32</f>
        <v>2</v>
      </c>
      <c r="J32">
        <v>2</v>
      </c>
      <c r="K32">
        <v>2</v>
      </c>
      <c r="O32">
        <f>ROUND(P32,2)</f>
        <v>50.4</v>
      </c>
      <c r="P32">
        <f>ROUND(ROUND(ROUND(SUMIF(SmtRes!AQ11:'SmtRes'!AQ21,"=1",SmtRes!CU11:'SmtRes'!CU21),2),2)*I32/100,2)</f>
        <v>50.4</v>
      </c>
      <c r="Q32">
        <f>ROUND(CR32*I32,2)</f>
        <v>0</v>
      </c>
      <c r="R32">
        <f>ROUND(CS32*I32,2)</f>
        <v>0</v>
      </c>
      <c r="S32">
        <f>ROUND(CT32*I32,2)</f>
        <v>0</v>
      </c>
      <c r="T32">
        <f t="shared" si="21"/>
        <v>0</v>
      </c>
      <c r="U32">
        <f>ROUND(CV32*I32,7)</f>
        <v>0</v>
      </c>
      <c r="V32">
        <f>ROUND(CW32*I32,7)</f>
        <v>0</v>
      </c>
      <c r="W32">
        <f t="shared" si="22"/>
        <v>0</v>
      </c>
      <c r="X32">
        <f t="shared" si="23"/>
        <v>0</v>
      </c>
      <c r="Y32">
        <f t="shared" si="24"/>
        <v>0</v>
      </c>
      <c r="AA32">
        <v>50253415</v>
      </c>
      <c r="AB32">
        <f t="shared" si="25"/>
        <v>0</v>
      </c>
      <c r="AC32">
        <f>ROUND((ES32),6)</f>
        <v>0</v>
      </c>
      <c r="AD32">
        <f>ROUND((((ET32)-(EU32))+AE32),6)</f>
        <v>0</v>
      </c>
      <c r="AE32">
        <f>ROUND((EU32),6)</f>
        <v>0</v>
      </c>
      <c r="AF32">
        <f>ROUND((EV32),6)</f>
        <v>0</v>
      </c>
      <c r="AG32">
        <f t="shared" si="26"/>
        <v>0</v>
      </c>
      <c r="AH32">
        <f>(EW32)</f>
        <v>0</v>
      </c>
      <c r="AI32">
        <f>(EX32)</f>
        <v>0</v>
      </c>
      <c r="AJ32">
        <f t="shared" si="27"/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97</v>
      </c>
      <c r="AU32">
        <v>51</v>
      </c>
      <c r="AV32">
        <v>1</v>
      </c>
      <c r="AW32">
        <v>1</v>
      </c>
      <c r="AZ32">
        <v>1</v>
      </c>
      <c r="BA32">
        <v>1</v>
      </c>
      <c r="BB32">
        <v>1</v>
      </c>
      <c r="BC32">
        <v>1</v>
      </c>
      <c r="BD32" t="s">
        <v>3</v>
      </c>
      <c r="BE32" t="s">
        <v>3</v>
      </c>
      <c r="BF32" t="s">
        <v>3</v>
      </c>
      <c r="BG32" t="s">
        <v>3</v>
      </c>
      <c r="BH32">
        <v>3</v>
      </c>
      <c r="BI32">
        <v>2</v>
      </c>
      <c r="BJ32" t="s">
        <v>3</v>
      </c>
      <c r="BM32">
        <v>108001</v>
      </c>
      <c r="BN32">
        <v>0</v>
      </c>
      <c r="BO32" t="s">
        <v>3</v>
      </c>
      <c r="BP32">
        <v>0</v>
      </c>
      <c r="BQ32">
        <v>3</v>
      </c>
      <c r="BR32">
        <v>0</v>
      </c>
      <c r="BS32">
        <v>1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97</v>
      </c>
      <c r="CA32">
        <v>51</v>
      </c>
      <c r="CB32" t="s">
        <v>3</v>
      </c>
      <c r="CE32">
        <v>0</v>
      </c>
      <c r="CF32">
        <v>0</v>
      </c>
      <c r="CG32">
        <v>0</v>
      </c>
      <c r="CM32">
        <v>0</v>
      </c>
      <c r="CN32" t="s">
        <v>3</v>
      </c>
      <c r="CO32">
        <v>0</v>
      </c>
      <c r="CP32">
        <f>0</f>
        <v>0</v>
      </c>
      <c r="CQ32">
        <f>0</f>
        <v>0</v>
      </c>
      <c r="CR32">
        <f>0</f>
        <v>0</v>
      </c>
      <c r="CS32">
        <f>0</f>
        <v>0</v>
      </c>
      <c r="CT32">
        <f>0</f>
        <v>0</v>
      </c>
      <c r="CU32">
        <f>0</f>
        <v>0</v>
      </c>
      <c r="CV32">
        <f>0</f>
        <v>0</v>
      </c>
      <c r="CW32">
        <f>0</f>
        <v>0</v>
      </c>
      <c r="CX32">
        <f>0</f>
        <v>0</v>
      </c>
      <c r="CY32">
        <f>0</f>
        <v>0</v>
      </c>
      <c r="CZ32">
        <f>0</f>
        <v>0</v>
      </c>
      <c r="DC32" t="s">
        <v>3</v>
      </c>
      <c r="DD32" t="s">
        <v>3</v>
      </c>
      <c r="DE32" t="s">
        <v>3</v>
      </c>
      <c r="DF32" t="s">
        <v>3</v>
      </c>
      <c r="DG32" t="s">
        <v>3</v>
      </c>
      <c r="DH32" t="s">
        <v>3</v>
      </c>
      <c r="DI32" t="s">
        <v>3</v>
      </c>
      <c r="DJ32" t="s">
        <v>3</v>
      </c>
      <c r="DK32" t="s">
        <v>3</v>
      </c>
      <c r="DL32" t="s">
        <v>3</v>
      </c>
      <c r="DM32" t="s">
        <v>3</v>
      </c>
      <c r="DN32">
        <v>0</v>
      </c>
      <c r="DO32">
        <v>0</v>
      </c>
      <c r="DP32">
        <v>1</v>
      </c>
      <c r="DQ32">
        <v>1</v>
      </c>
      <c r="DU32">
        <v>1013</v>
      </c>
      <c r="DV32" t="s">
        <v>60</v>
      </c>
      <c r="DW32" t="s">
        <v>60</v>
      </c>
      <c r="DX32">
        <v>1</v>
      </c>
      <c r="DZ32" t="s">
        <v>3</v>
      </c>
      <c r="EA32" t="s">
        <v>3</v>
      </c>
      <c r="EB32" t="s">
        <v>3</v>
      </c>
      <c r="EC32" t="s">
        <v>3</v>
      </c>
      <c r="EE32">
        <v>49077748</v>
      </c>
      <c r="EF32">
        <v>3</v>
      </c>
      <c r="EG32" t="s">
        <v>52</v>
      </c>
      <c r="EH32">
        <v>0</v>
      </c>
      <c r="EI32" t="s">
        <v>3</v>
      </c>
      <c r="EJ32">
        <v>2</v>
      </c>
      <c r="EK32">
        <v>108001</v>
      </c>
      <c r="EL32" t="s">
        <v>53</v>
      </c>
      <c r="EM32" t="s">
        <v>54</v>
      </c>
      <c r="EO32" t="s">
        <v>3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FQ32">
        <v>0</v>
      </c>
      <c r="FR32">
        <v>0</v>
      </c>
      <c r="FS32">
        <v>0</v>
      </c>
      <c r="FX32">
        <v>97</v>
      </c>
      <c r="FY32">
        <v>51</v>
      </c>
      <c r="GA32" t="s">
        <v>3</v>
      </c>
      <c r="GD32">
        <v>1</v>
      </c>
      <c r="GF32">
        <v>274903907</v>
      </c>
      <c r="GG32">
        <v>2</v>
      </c>
      <c r="GH32">
        <v>1</v>
      </c>
      <c r="GI32">
        <v>-2</v>
      </c>
      <c r="GJ32">
        <v>0</v>
      </c>
      <c r="GK32">
        <v>0</v>
      </c>
      <c r="GL32">
        <f t="shared" si="28"/>
        <v>0</v>
      </c>
      <c r="GM32">
        <f t="shared" si="29"/>
        <v>50.4</v>
      </c>
      <c r="GN32">
        <f t="shared" si="30"/>
        <v>0</v>
      </c>
      <c r="GO32">
        <f t="shared" si="31"/>
        <v>50.4</v>
      </c>
      <c r="GP32">
        <f t="shared" si="32"/>
        <v>0</v>
      </c>
      <c r="GR32">
        <v>0</v>
      </c>
      <c r="GS32">
        <v>3</v>
      </c>
      <c r="GT32">
        <v>0</v>
      </c>
      <c r="GU32" t="s">
        <v>3</v>
      </c>
      <c r="GV32">
        <f t="shared" si="33"/>
        <v>0</v>
      </c>
      <c r="GW32">
        <v>1</v>
      </c>
      <c r="GX32">
        <f t="shared" si="34"/>
        <v>0</v>
      </c>
      <c r="HA32">
        <v>0</v>
      </c>
      <c r="HB32">
        <v>0</v>
      </c>
      <c r="HC32">
        <f>0</f>
        <v>0</v>
      </c>
      <c r="HE32" t="s">
        <v>3</v>
      </c>
      <c r="HF32" t="s">
        <v>3</v>
      </c>
      <c r="HM32" t="s">
        <v>3</v>
      </c>
      <c r="HN32" t="s">
        <v>55</v>
      </c>
      <c r="HO32" t="s">
        <v>56</v>
      </c>
      <c r="HP32" t="s">
        <v>53</v>
      </c>
      <c r="HQ32" t="s">
        <v>53</v>
      </c>
      <c r="HS32">
        <v>0</v>
      </c>
      <c r="IK32">
        <v>0</v>
      </c>
    </row>
    <row r="33" spans="1:245" x14ac:dyDescent="0.2">
      <c r="A33">
        <v>17</v>
      </c>
      <c r="B33">
        <v>1</v>
      </c>
      <c r="C33">
        <f>ROW(SmtRes!A25)</f>
        <v>25</v>
      </c>
      <c r="D33">
        <f>ROW(EtalonRes!A25)</f>
        <v>25</v>
      </c>
      <c r="E33" t="s">
        <v>61</v>
      </c>
      <c r="F33" t="s">
        <v>62</v>
      </c>
      <c r="G33" t="s">
        <v>63</v>
      </c>
      <c r="H33" t="s">
        <v>20</v>
      </c>
      <c r="I33">
        <f>ROUND(64/1000,7)</f>
        <v>6.4000000000000001E-2</v>
      </c>
      <c r="J33">
        <v>0</v>
      </c>
      <c r="K33">
        <f>ROUND(64/1000,7)</f>
        <v>6.4000000000000001E-2</v>
      </c>
      <c r="O33">
        <f t="shared" ref="O33:O43" si="35">ROUND(CP33,2)</f>
        <v>2106.11</v>
      </c>
      <c r="P33">
        <f>SUMIF(SmtRes!AQ22:'SmtRes'!AQ25,"=1",SmtRes!DF22:'SmtRes'!DF25)</f>
        <v>0</v>
      </c>
      <c r="Q33">
        <f>SUMIF(SmtRes!AQ22:'SmtRes'!AQ25,"=1",SmtRes!DG22:'SmtRes'!DG25)</f>
        <v>437.65999999999997</v>
      </c>
      <c r="R33">
        <f>SUMIF(SmtRes!AQ22:'SmtRes'!AQ25,"=1",SmtRes!DH22:'SmtRes'!DH25)</f>
        <v>398.69</v>
      </c>
      <c r="S33">
        <f>SUMIF(SmtRes!AQ22:'SmtRes'!AQ25,"=1",SmtRes!DI22:'SmtRes'!DI25)</f>
        <v>1269.76</v>
      </c>
      <c r="T33">
        <f t="shared" si="21"/>
        <v>0</v>
      </c>
      <c r="U33">
        <f>SUMIF(SmtRes!AQ22:'SmtRes'!AQ25,"=1",SmtRes!CV22:'SmtRes'!CV25)</f>
        <v>3.6966399999999999</v>
      </c>
      <c r="V33">
        <f>SUMIF(SmtRes!AQ22:'SmtRes'!AQ25,"=1",SmtRes!CW22:'SmtRes'!CW25)</f>
        <v>1.0047999999999999</v>
      </c>
      <c r="W33">
        <f t="shared" si="22"/>
        <v>0</v>
      </c>
      <c r="X33">
        <f t="shared" si="23"/>
        <v>1701.82</v>
      </c>
      <c r="Y33">
        <f t="shared" si="24"/>
        <v>900.96</v>
      </c>
      <c r="AA33">
        <v>50253415</v>
      </c>
      <c r="AB33">
        <f t="shared" si="25"/>
        <v>26631.8024</v>
      </c>
      <c r="AC33">
        <f>ROUND((0),6)</f>
        <v>0</v>
      </c>
      <c r="AD33">
        <f>ROUND((((SUM(SmtRes!BR22:'SmtRes'!BR25))-(SUM(SmtRes!BS22:'SmtRes'!BS25)))+AE33),6)</f>
        <v>6791.82</v>
      </c>
      <c r="AE33">
        <f>ROUND((SUM(SmtRes!BS22:'SmtRes'!BS25)),6)</f>
        <v>6229.6030000000001</v>
      </c>
      <c r="AF33">
        <f>ROUND((SUM(SmtRes!BT22:'SmtRes'!BT25)),6)</f>
        <v>19839.982400000001</v>
      </c>
      <c r="AG33">
        <f t="shared" si="26"/>
        <v>0</v>
      </c>
      <c r="AH33">
        <f>(SUM(SmtRes!BU22:'SmtRes'!BU25))</f>
        <v>57.76</v>
      </c>
      <c r="AI33">
        <f>(SUM(SmtRes!BV22:'SmtRes'!BV25))</f>
        <v>15.7</v>
      </c>
      <c r="AJ33">
        <f t="shared" si="27"/>
        <v>0</v>
      </c>
      <c r="AK33">
        <v>32861.405400000003</v>
      </c>
      <c r="AL33">
        <v>0</v>
      </c>
      <c r="AM33">
        <v>6791.82</v>
      </c>
      <c r="AN33">
        <v>6229.6030000000001</v>
      </c>
      <c r="AO33">
        <v>19839.982400000001</v>
      </c>
      <c r="AP33">
        <v>0</v>
      </c>
      <c r="AQ33">
        <v>57.76</v>
      </c>
      <c r="AR33">
        <v>15.7</v>
      </c>
      <c r="AS33">
        <v>0</v>
      </c>
      <c r="AT33">
        <v>102</v>
      </c>
      <c r="AU33">
        <v>54</v>
      </c>
      <c r="AV33">
        <v>1</v>
      </c>
      <c r="AW33">
        <v>1</v>
      </c>
      <c r="AZ33">
        <v>1</v>
      </c>
      <c r="BA33">
        <v>1</v>
      </c>
      <c r="BB33">
        <v>1</v>
      </c>
      <c r="BC33">
        <v>1</v>
      </c>
      <c r="BD33" t="s">
        <v>3</v>
      </c>
      <c r="BE33" t="s">
        <v>3</v>
      </c>
      <c r="BF33" t="s">
        <v>3</v>
      </c>
      <c r="BG33" t="s">
        <v>3</v>
      </c>
      <c r="BH33">
        <v>0</v>
      </c>
      <c r="BI33">
        <v>1</v>
      </c>
      <c r="BJ33" t="s">
        <v>64</v>
      </c>
      <c r="BM33">
        <v>68001</v>
      </c>
      <c r="BN33">
        <v>0</v>
      </c>
      <c r="BO33" t="s">
        <v>3</v>
      </c>
      <c r="BP33">
        <v>0</v>
      </c>
      <c r="BQ33">
        <v>6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102</v>
      </c>
      <c r="CA33">
        <v>54</v>
      </c>
      <c r="CB33" t="s">
        <v>3</v>
      </c>
      <c r="CE33">
        <v>0</v>
      </c>
      <c r="CF33">
        <v>0</v>
      </c>
      <c r="CG33">
        <v>0</v>
      </c>
      <c r="CM33">
        <v>0</v>
      </c>
      <c r="CN33" t="s">
        <v>342</v>
      </c>
      <c r="CO33">
        <v>0</v>
      </c>
      <c r="CP33">
        <f t="shared" ref="CP33:CP43" si="36">(P33+Q33+S33+R33)</f>
        <v>2106.11</v>
      </c>
      <c r="CQ33">
        <f>SUMIF(SmtRes!AQ22:'SmtRes'!AQ25,"=1",SmtRes!AA22:'SmtRes'!AA25)</f>
        <v>0</v>
      </c>
      <c r="CR33">
        <f>SUMIF(SmtRes!AQ22:'SmtRes'!AQ25,"=1",SmtRes!AB22:'SmtRes'!AB25)</f>
        <v>429.37</v>
      </c>
      <c r="CS33">
        <f>SUMIF(SmtRes!AQ22:'SmtRes'!AQ25,"=1",SmtRes!AC22:'SmtRes'!AC25)</f>
        <v>396.79</v>
      </c>
      <c r="CT33">
        <f>SUMIF(SmtRes!AQ22:'SmtRes'!AQ25,"=1",SmtRes!AD22:'SmtRes'!AD25)</f>
        <v>343.49</v>
      </c>
      <c r="CU33">
        <f t="shared" ref="CU33:CU43" si="37">AG33</f>
        <v>0</v>
      </c>
      <c r="CV33">
        <f>SUMIF(SmtRes!AQ22:'SmtRes'!AQ25,"=1",SmtRes!BU22:'SmtRes'!BU25)</f>
        <v>57.76</v>
      </c>
      <c r="CW33">
        <f>SUMIF(SmtRes!AQ22:'SmtRes'!AQ25,"=1",SmtRes!BV22:'SmtRes'!BV25)</f>
        <v>15.7</v>
      </c>
      <c r="CX33">
        <f t="shared" ref="CX33:CX43" si="38">AJ33</f>
        <v>0</v>
      </c>
      <c r="CY33">
        <f>(((S33+R33)*AT33)/100)</f>
        <v>1701.819</v>
      </c>
      <c r="CZ33">
        <f>(((S33+R33)*AU33)/100)</f>
        <v>900.96300000000008</v>
      </c>
      <c r="DC33" t="s">
        <v>3</v>
      </c>
      <c r="DD33" t="s">
        <v>3</v>
      </c>
      <c r="DE33" t="s">
        <v>3</v>
      </c>
      <c r="DF33" t="s">
        <v>3</v>
      </c>
      <c r="DG33" t="s">
        <v>3</v>
      </c>
      <c r="DH33" t="s">
        <v>3</v>
      </c>
      <c r="DI33" t="s">
        <v>3</v>
      </c>
      <c r="DJ33" t="s">
        <v>3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U33">
        <v>1005</v>
      </c>
      <c r="DV33" t="s">
        <v>20</v>
      </c>
      <c r="DW33" t="s">
        <v>20</v>
      </c>
      <c r="DX33">
        <v>1000</v>
      </c>
      <c r="DZ33" t="s">
        <v>3</v>
      </c>
      <c r="EA33" t="s">
        <v>3</v>
      </c>
      <c r="EB33" t="s">
        <v>3</v>
      </c>
      <c r="EC33" t="s">
        <v>3</v>
      </c>
      <c r="EE33">
        <v>49077996</v>
      </c>
      <c r="EF33">
        <v>6</v>
      </c>
      <c r="EG33" t="s">
        <v>43</v>
      </c>
      <c r="EH33">
        <v>102</v>
      </c>
      <c r="EI33" t="s">
        <v>65</v>
      </c>
      <c r="EJ33">
        <v>1</v>
      </c>
      <c r="EK33">
        <v>68001</v>
      </c>
      <c r="EL33" t="s">
        <v>65</v>
      </c>
      <c r="EM33" t="s">
        <v>66</v>
      </c>
      <c r="EO33" t="s">
        <v>3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57.76</v>
      </c>
      <c r="EX33">
        <v>15.7</v>
      </c>
      <c r="EY33">
        <v>0</v>
      </c>
      <c r="FQ33">
        <v>0</v>
      </c>
      <c r="FR33">
        <v>0</v>
      </c>
      <c r="FS33">
        <v>0</v>
      </c>
      <c r="FX33">
        <v>102</v>
      </c>
      <c r="FY33">
        <v>54</v>
      </c>
      <c r="GA33" t="s">
        <v>3</v>
      </c>
      <c r="GD33">
        <v>1</v>
      </c>
      <c r="GF33">
        <v>-883612706</v>
      </c>
      <c r="GG33">
        <v>2</v>
      </c>
      <c r="GH33">
        <v>1</v>
      </c>
      <c r="GI33">
        <v>-2</v>
      </c>
      <c r="GJ33">
        <v>0</v>
      </c>
      <c r="GK33">
        <v>0</v>
      </c>
      <c r="GL33">
        <f t="shared" si="28"/>
        <v>0</v>
      </c>
      <c r="GM33">
        <f t="shared" si="29"/>
        <v>4708.8900000000003</v>
      </c>
      <c r="GN33">
        <f t="shared" si="30"/>
        <v>4708.8900000000003</v>
      </c>
      <c r="GO33">
        <f t="shared" si="31"/>
        <v>0</v>
      </c>
      <c r="GP33">
        <f t="shared" si="32"/>
        <v>0</v>
      </c>
      <c r="GR33">
        <v>0</v>
      </c>
      <c r="GS33">
        <v>3</v>
      </c>
      <c r="GT33">
        <v>0</v>
      </c>
      <c r="GU33" t="s">
        <v>3</v>
      </c>
      <c r="GV33">
        <f t="shared" si="33"/>
        <v>0</v>
      </c>
      <c r="GW33">
        <v>1</v>
      </c>
      <c r="GX33">
        <f t="shared" si="34"/>
        <v>0</v>
      </c>
      <c r="HA33">
        <v>0</v>
      </c>
      <c r="HB33">
        <v>0</v>
      </c>
      <c r="HC33">
        <f t="shared" ref="HC33:HC43" si="39">GV33*GW33</f>
        <v>0</v>
      </c>
      <c r="HE33" t="s">
        <v>3</v>
      </c>
      <c r="HF33" t="s">
        <v>3</v>
      </c>
      <c r="HM33" t="s">
        <v>3</v>
      </c>
      <c r="HN33" t="s">
        <v>67</v>
      </c>
      <c r="HO33" t="s">
        <v>68</v>
      </c>
      <c r="HP33" t="s">
        <v>65</v>
      </c>
      <c r="HQ33" t="s">
        <v>65</v>
      </c>
      <c r="HS33">
        <v>0</v>
      </c>
      <c r="IK33">
        <v>0</v>
      </c>
    </row>
    <row r="34" spans="1:245" x14ac:dyDescent="0.2">
      <c r="A34">
        <v>17</v>
      </c>
      <c r="B34">
        <v>1</v>
      </c>
      <c r="C34">
        <f>ROW(SmtRes!A29)</f>
        <v>29</v>
      </c>
      <c r="D34">
        <f>ROW(EtalonRes!A29)</f>
        <v>29</v>
      </c>
      <c r="E34" t="s">
        <v>69</v>
      </c>
      <c r="F34" t="s">
        <v>70</v>
      </c>
      <c r="G34" t="s">
        <v>71</v>
      </c>
      <c r="H34" t="s">
        <v>41</v>
      </c>
      <c r="I34">
        <f>ROUND(42/100,7)</f>
        <v>0.42</v>
      </c>
      <c r="J34">
        <v>0</v>
      </c>
      <c r="K34">
        <f>ROUND(42/100,7)</f>
        <v>0.42</v>
      </c>
      <c r="O34">
        <f t="shared" si="35"/>
        <v>13515.62</v>
      </c>
      <c r="P34">
        <f>SUMIF(SmtRes!AQ26:'SmtRes'!AQ29,"=1",SmtRes!DF26:'SmtRes'!DF29)</f>
        <v>0</v>
      </c>
      <c r="Q34">
        <f>SUMIF(SmtRes!AQ26:'SmtRes'!AQ29,"=1",SmtRes!DG26:'SmtRes'!DG29)</f>
        <v>1719.63</v>
      </c>
      <c r="R34">
        <f>SUMIF(SmtRes!AQ26:'SmtRes'!AQ29,"=1",SmtRes!DH26:'SmtRes'!DH29)</f>
        <v>1566.53</v>
      </c>
      <c r="S34">
        <f>SUMIF(SmtRes!AQ26:'SmtRes'!AQ29,"=1",SmtRes!DI26:'SmtRes'!DI29)</f>
        <v>10229.459999999999</v>
      </c>
      <c r="T34">
        <f t="shared" si="21"/>
        <v>0</v>
      </c>
      <c r="U34">
        <f>SUMIF(SmtRes!AQ26:'SmtRes'!AQ29,"=1",SmtRes!CV26:'SmtRes'!CV29)</f>
        <v>28.6692</v>
      </c>
      <c r="V34">
        <f>SUMIF(SmtRes!AQ26:'SmtRes'!AQ29,"=1",SmtRes!CW26:'SmtRes'!CW29)</f>
        <v>3.948</v>
      </c>
      <c r="W34">
        <f t="shared" si="22"/>
        <v>0</v>
      </c>
      <c r="X34">
        <f t="shared" si="23"/>
        <v>12031.91</v>
      </c>
      <c r="Y34">
        <f t="shared" si="24"/>
        <v>6369.83</v>
      </c>
      <c r="AA34">
        <v>50253415</v>
      </c>
      <c r="AB34">
        <f t="shared" si="25"/>
        <v>28422.2906</v>
      </c>
      <c r="AC34">
        <f>ROUND((0),6)</f>
        <v>0</v>
      </c>
      <c r="AD34">
        <f>ROUND((((SUM(SmtRes!BR26:'SmtRes'!BR29))-(SUM(SmtRes!BS26:'SmtRes'!BS29)))+AE34),6)</f>
        <v>4066.44</v>
      </c>
      <c r="AE34">
        <f>ROUND((SUM(SmtRes!BS26:'SmtRes'!BS29)),6)</f>
        <v>3729.826</v>
      </c>
      <c r="AF34">
        <f>ROUND((SUM(SmtRes!BT26:'SmtRes'!BT29)),6)</f>
        <v>24355.850600000002</v>
      </c>
      <c r="AG34">
        <f t="shared" si="26"/>
        <v>0</v>
      </c>
      <c r="AH34">
        <f>(SUM(SmtRes!BU26:'SmtRes'!BU29))</f>
        <v>68.260000000000005</v>
      </c>
      <c r="AI34">
        <f>(SUM(SmtRes!BV26:'SmtRes'!BV29))</f>
        <v>9.4</v>
      </c>
      <c r="AJ34">
        <f t="shared" si="27"/>
        <v>0</v>
      </c>
      <c r="AK34">
        <v>32152.116600000001</v>
      </c>
      <c r="AL34">
        <v>0</v>
      </c>
      <c r="AM34">
        <v>4066.44</v>
      </c>
      <c r="AN34">
        <v>3729.8260000000005</v>
      </c>
      <c r="AO34">
        <v>24355.850600000002</v>
      </c>
      <c r="AP34">
        <v>0</v>
      </c>
      <c r="AQ34">
        <v>68.260000000000005</v>
      </c>
      <c r="AR34">
        <v>9.4</v>
      </c>
      <c r="AS34">
        <v>0</v>
      </c>
      <c r="AT34">
        <v>102</v>
      </c>
      <c r="AU34">
        <v>54</v>
      </c>
      <c r="AV34">
        <v>1</v>
      </c>
      <c r="AW34">
        <v>1</v>
      </c>
      <c r="AZ34">
        <v>1</v>
      </c>
      <c r="BA34">
        <v>1</v>
      </c>
      <c r="BB34">
        <v>1</v>
      </c>
      <c r="BC34">
        <v>1</v>
      </c>
      <c r="BD34" t="s">
        <v>3</v>
      </c>
      <c r="BE34" t="s">
        <v>3</v>
      </c>
      <c r="BF34" t="s">
        <v>3</v>
      </c>
      <c r="BG34" t="s">
        <v>3</v>
      </c>
      <c r="BH34">
        <v>0</v>
      </c>
      <c r="BI34">
        <v>1</v>
      </c>
      <c r="BJ34" t="s">
        <v>72</v>
      </c>
      <c r="BM34">
        <v>68001</v>
      </c>
      <c r="BN34">
        <v>0</v>
      </c>
      <c r="BO34" t="s">
        <v>3</v>
      </c>
      <c r="BP34">
        <v>0</v>
      </c>
      <c r="BQ34">
        <v>6</v>
      </c>
      <c r="BR34">
        <v>0</v>
      </c>
      <c r="BS34">
        <v>1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3</v>
      </c>
      <c r="BZ34">
        <v>102</v>
      </c>
      <c r="CA34">
        <v>54</v>
      </c>
      <c r="CB34" t="s">
        <v>3</v>
      </c>
      <c r="CE34">
        <v>0</v>
      </c>
      <c r="CF34">
        <v>0</v>
      </c>
      <c r="CG34">
        <v>0</v>
      </c>
      <c r="CM34">
        <v>0</v>
      </c>
      <c r="CN34" t="s">
        <v>342</v>
      </c>
      <c r="CO34">
        <v>0</v>
      </c>
      <c r="CP34">
        <f t="shared" si="36"/>
        <v>13515.62</v>
      </c>
      <c r="CQ34">
        <f>SUMIF(SmtRes!AQ26:'SmtRes'!AQ29,"=1",SmtRes!AA26:'SmtRes'!AA29)</f>
        <v>0</v>
      </c>
      <c r="CR34">
        <f>SUMIF(SmtRes!AQ26:'SmtRes'!AQ29,"=1",SmtRes!AB26:'SmtRes'!AB29)</f>
        <v>429.37</v>
      </c>
      <c r="CS34">
        <f>SUMIF(SmtRes!AQ26:'SmtRes'!AQ29,"=1",SmtRes!AC26:'SmtRes'!AC29)</f>
        <v>396.79</v>
      </c>
      <c r="CT34">
        <f>SUMIF(SmtRes!AQ26:'SmtRes'!AQ29,"=1",SmtRes!AD26:'SmtRes'!AD29)</f>
        <v>356.81</v>
      </c>
      <c r="CU34">
        <f t="shared" si="37"/>
        <v>0</v>
      </c>
      <c r="CV34">
        <f>SUMIF(SmtRes!AQ26:'SmtRes'!AQ29,"=1",SmtRes!BU26:'SmtRes'!BU29)</f>
        <v>68.260000000000005</v>
      </c>
      <c r="CW34">
        <f>SUMIF(SmtRes!AQ26:'SmtRes'!AQ29,"=1",SmtRes!BV26:'SmtRes'!BV29)</f>
        <v>9.4</v>
      </c>
      <c r="CX34">
        <f t="shared" si="38"/>
        <v>0</v>
      </c>
      <c r="CY34">
        <f>(((S34+R34)*AT34)/100)</f>
        <v>12031.909799999999</v>
      </c>
      <c r="CZ34">
        <f>(((S34+R34)*AU34)/100)</f>
        <v>6369.8345999999992</v>
      </c>
      <c r="DC34" t="s">
        <v>3</v>
      </c>
      <c r="DD34" t="s">
        <v>3</v>
      </c>
      <c r="DE34" t="s">
        <v>3</v>
      </c>
      <c r="DF34" t="s">
        <v>3</v>
      </c>
      <c r="DG34" t="s">
        <v>3</v>
      </c>
      <c r="DH34" t="s">
        <v>3</v>
      </c>
      <c r="DI34" t="s">
        <v>3</v>
      </c>
      <c r="DJ34" t="s">
        <v>3</v>
      </c>
      <c r="DK34" t="s">
        <v>3</v>
      </c>
      <c r="DL34" t="s">
        <v>3</v>
      </c>
      <c r="DM34" t="s">
        <v>3</v>
      </c>
      <c r="DN34">
        <v>0</v>
      </c>
      <c r="DO34">
        <v>0</v>
      </c>
      <c r="DP34">
        <v>1</v>
      </c>
      <c r="DQ34">
        <v>1</v>
      </c>
      <c r="DU34">
        <v>1003</v>
      </c>
      <c r="DV34" t="s">
        <v>41</v>
      </c>
      <c r="DW34" t="s">
        <v>41</v>
      </c>
      <c r="DX34">
        <v>100</v>
      </c>
      <c r="DZ34" t="s">
        <v>3</v>
      </c>
      <c r="EA34" t="s">
        <v>3</v>
      </c>
      <c r="EB34" t="s">
        <v>3</v>
      </c>
      <c r="EC34" t="s">
        <v>3</v>
      </c>
      <c r="EE34">
        <v>49077996</v>
      </c>
      <c r="EF34">
        <v>6</v>
      </c>
      <c r="EG34" t="s">
        <v>43</v>
      </c>
      <c r="EH34">
        <v>102</v>
      </c>
      <c r="EI34" t="s">
        <v>65</v>
      </c>
      <c r="EJ34">
        <v>1</v>
      </c>
      <c r="EK34">
        <v>68001</v>
      </c>
      <c r="EL34" t="s">
        <v>65</v>
      </c>
      <c r="EM34" t="s">
        <v>66</v>
      </c>
      <c r="EO34" t="s">
        <v>3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68.260000000000005</v>
      </c>
      <c r="EX34">
        <v>9.4</v>
      </c>
      <c r="EY34">
        <v>0</v>
      </c>
      <c r="FQ34">
        <v>0</v>
      </c>
      <c r="FR34">
        <v>0</v>
      </c>
      <c r="FS34">
        <v>0</v>
      </c>
      <c r="FX34">
        <v>102</v>
      </c>
      <c r="FY34">
        <v>54</v>
      </c>
      <c r="GA34" t="s">
        <v>3</v>
      </c>
      <c r="GD34">
        <v>1</v>
      </c>
      <c r="GF34">
        <v>1843740892</v>
      </c>
      <c r="GG34">
        <v>2</v>
      </c>
      <c r="GH34">
        <v>1</v>
      </c>
      <c r="GI34">
        <v>-2</v>
      </c>
      <c r="GJ34">
        <v>0</v>
      </c>
      <c r="GK34">
        <v>0</v>
      </c>
      <c r="GL34">
        <f t="shared" si="28"/>
        <v>0</v>
      </c>
      <c r="GM34">
        <f t="shared" si="29"/>
        <v>31917.360000000001</v>
      </c>
      <c r="GN34">
        <f t="shared" si="30"/>
        <v>31917.360000000001</v>
      </c>
      <c r="GO34">
        <f t="shared" si="31"/>
        <v>0</v>
      </c>
      <c r="GP34">
        <f t="shared" si="32"/>
        <v>0</v>
      </c>
      <c r="GR34">
        <v>0</v>
      </c>
      <c r="GS34">
        <v>3</v>
      </c>
      <c r="GT34">
        <v>0</v>
      </c>
      <c r="GU34" t="s">
        <v>3</v>
      </c>
      <c r="GV34">
        <f t="shared" si="33"/>
        <v>0</v>
      </c>
      <c r="GW34">
        <v>1</v>
      </c>
      <c r="GX34">
        <f t="shared" si="34"/>
        <v>0</v>
      </c>
      <c r="HA34">
        <v>0</v>
      </c>
      <c r="HB34">
        <v>0</v>
      </c>
      <c r="HC34">
        <f t="shared" si="39"/>
        <v>0</v>
      </c>
      <c r="HE34" t="s">
        <v>3</v>
      </c>
      <c r="HF34" t="s">
        <v>3</v>
      </c>
      <c r="HM34" t="s">
        <v>3</v>
      </c>
      <c r="HN34" t="s">
        <v>67</v>
      </c>
      <c r="HO34" t="s">
        <v>68</v>
      </c>
      <c r="HP34" t="s">
        <v>65</v>
      </c>
      <c r="HQ34" t="s">
        <v>65</v>
      </c>
      <c r="HS34">
        <v>0</v>
      </c>
      <c r="IK34">
        <v>0</v>
      </c>
    </row>
    <row r="35" spans="1:245" x14ac:dyDescent="0.2">
      <c r="A35">
        <v>17</v>
      </c>
      <c r="B35">
        <v>1</v>
      </c>
      <c r="C35">
        <f>ROW(SmtRes!A43)</f>
        <v>43</v>
      </c>
      <c r="D35">
        <f>ROW(EtalonRes!A43)</f>
        <v>43</v>
      </c>
      <c r="E35" t="s">
        <v>73</v>
      </c>
      <c r="F35" t="s">
        <v>74</v>
      </c>
      <c r="G35" t="s">
        <v>75</v>
      </c>
      <c r="H35" t="s">
        <v>76</v>
      </c>
      <c r="I35">
        <f>ROUND(400/100,7)</f>
        <v>4</v>
      </c>
      <c r="J35">
        <v>0</v>
      </c>
      <c r="K35">
        <f>ROUND(400/100,7)</f>
        <v>4</v>
      </c>
      <c r="O35">
        <f t="shared" si="35"/>
        <v>181383.32</v>
      </c>
      <c r="P35">
        <f>SUMIF(SmtRes!AQ30:'SmtRes'!AQ43,"=1",SmtRes!DF30:'SmtRes'!DF43)</f>
        <v>49834.79</v>
      </c>
      <c r="Q35">
        <f>SUMIF(SmtRes!AQ30:'SmtRes'!AQ43,"=1",SmtRes!DG30:'SmtRes'!DG43)</f>
        <v>42783.65</v>
      </c>
      <c r="R35">
        <f>SUMIF(SmtRes!AQ30:'SmtRes'!AQ43,"=1",SmtRes!DH30:'SmtRes'!DH43)</f>
        <v>13793.1</v>
      </c>
      <c r="S35">
        <f>SUMIF(SmtRes!AQ30:'SmtRes'!AQ43,"=1",SmtRes!DI30:'SmtRes'!DI43)</f>
        <v>74971.78</v>
      </c>
      <c r="T35">
        <f t="shared" si="21"/>
        <v>0</v>
      </c>
      <c r="U35">
        <f>SUMIF(SmtRes!AQ30:'SmtRes'!AQ43,"=1",SmtRes!CV30:'SmtRes'!CV43)</f>
        <v>216.4</v>
      </c>
      <c r="V35">
        <f>SUMIF(SmtRes!AQ30:'SmtRes'!AQ43,"=1",SmtRes!CW30:'SmtRes'!CW43)</f>
        <v>26.880000000000003</v>
      </c>
      <c r="W35">
        <f t="shared" si="22"/>
        <v>0</v>
      </c>
      <c r="X35">
        <f t="shared" si="23"/>
        <v>95866.07</v>
      </c>
      <c r="Y35">
        <f t="shared" si="24"/>
        <v>48820.68</v>
      </c>
      <c r="AA35">
        <v>50253415</v>
      </c>
      <c r="AB35">
        <f t="shared" si="25"/>
        <v>40914.117179000001</v>
      </c>
      <c r="AC35">
        <f>ROUND((SUM(SmtRes!BQ30:'SmtRes'!BQ43)),6)</f>
        <v>11532.196979</v>
      </c>
      <c r="AD35">
        <f>ROUND((((SUM(SmtRes!BR30:'SmtRes'!BR43))-(SUM(SmtRes!BS30:'SmtRes'!BS43)))+AE35),6)</f>
        <v>10638.975200000001</v>
      </c>
      <c r="AE35">
        <f>ROUND((SUM(SmtRes!BS30:'SmtRes'!BS43)),6)</f>
        <v>3448.2741999999998</v>
      </c>
      <c r="AF35">
        <f>ROUND((SUM(SmtRes!BT30:'SmtRes'!BT43)),6)</f>
        <v>18742.945</v>
      </c>
      <c r="AG35">
        <f t="shared" si="26"/>
        <v>0</v>
      </c>
      <c r="AH35">
        <f>(SUM(SmtRes!BU30:'SmtRes'!BU43))</f>
        <v>54.1</v>
      </c>
      <c r="AI35">
        <f>(SUM(SmtRes!BV30:'SmtRes'!BV43))</f>
        <v>6.7200000000000006</v>
      </c>
      <c r="AJ35">
        <f t="shared" si="27"/>
        <v>0</v>
      </c>
      <c r="AK35">
        <v>44362.3913789</v>
      </c>
      <c r="AL35">
        <v>11532.196978900001</v>
      </c>
      <c r="AM35">
        <v>10638.975199999999</v>
      </c>
      <c r="AN35">
        <v>3448.2741999999998</v>
      </c>
      <c r="AO35">
        <v>18742.945</v>
      </c>
      <c r="AP35">
        <v>0</v>
      </c>
      <c r="AQ35">
        <v>54.1</v>
      </c>
      <c r="AR35">
        <v>6.7200000000000006</v>
      </c>
      <c r="AS35">
        <v>0</v>
      </c>
      <c r="AT35">
        <v>108</v>
      </c>
      <c r="AU35">
        <v>55</v>
      </c>
      <c r="AV35">
        <v>1</v>
      </c>
      <c r="AW35">
        <v>1</v>
      </c>
      <c r="AZ35">
        <v>1</v>
      </c>
      <c r="BA35">
        <v>1</v>
      </c>
      <c r="BB35">
        <v>1</v>
      </c>
      <c r="BC35">
        <v>1</v>
      </c>
      <c r="BD35" t="s">
        <v>3</v>
      </c>
      <c r="BE35" t="s">
        <v>3</v>
      </c>
      <c r="BF35" t="s">
        <v>3</v>
      </c>
      <c r="BG35" t="s">
        <v>3</v>
      </c>
      <c r="BH35">
        <v>0</v>
      </c>
      <c r="BI35">
        <v>1</v>
      </c>
      <c r="BJ35" t="s">
        <v>77</v>
      </c>
      <c r="BM35">
        <v>10001</v>
      </c>
      <c r="BN35">
        <v>0</v>
      </c>
      <c r="BO35" t="s">
        <v>3</v>
      </c>
      <c r="BP35">
        <v>0</v>
      </c>
      <c r="BQ35">
        <v>2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108</v>
      </c>
      <c r="CA35">
        <v>55</v>
      </c>
      <c r="CB35" t="s">
        <v>3</v>
      </c>
      <c r="CE35">
        <v>0</v>
      </c>
      <c r="CF35">
        <v>0</v>
      </c>
      <c r="CG35">
        <v>0</v>
      </c>
      <c r="CM35">
        <v>0</v>
      </c>
      <c r="CN35" t="s">
        <v>341</v>
      </c>
      <c r="CO35">
        <v>0</v>
      </c>
      <c r="CP35">
        <f t="shared" si="36"/>
        <v>181383.32</v>
      </c>
      <c r="CQ35">
        <f>SUMIF(SmtRes!AQ30:'SmtRes'!AQ43,"=1",SmtRes!AA30:'SmtRes'!AA43)</f>
        <v>252175.21000000002</v>
      </c>
      <c r="CR35">
        <f>SUMIF(SmtRes!AQ30:'SmtRes'!AQ43,"=1",SmtRes!AB30:'SmtRes'!AB43)</f>
        <v>2555.1999999999998</v>
      </c>
      <c r="CS35">
        <f>SUMIF(SmtRes!AQ30:'SmtRes'!AQ43,"=1",SmtRes!AC30:'SmtRes'!AC43)</f>
        <v>929.79</v>
      </c>
      <c r="CT35">
        <f>SUMIF(SmtRes!AQ30:'SmtRes'!AQ43,"=1",SmtRes!AD30:'SmtRes'!AD43)</f>
        <v>346.45</v>
      </c>
      <c r="CU35">
        <f t="shared" si="37"/>
        <v>0</v>
      </c>
      <c r="CV35">
        <f>SUMIF(SmtRes!AQ30:'SmtRes'!AQ43,"=1",SmtRes!BU30:'SmtRes'!BU43)</f>
        <v>54.1</v>
      </c>
      <c r="CW35">
        <f>SUMIF(SmtRes!AQ30:'SmtRes'!AQ43,"=1",SmtRes!BV30:'SmtRes'!BV43)</f>
        <v>6.7200000000000006</v>
      </c>
      <c r="CX35">
        <f t="shared" si="38"/>
        <v>0</v>
      </c>
      <c r="CY35">
        <f>(((S35+R35)*AT35)/100)</f>
        <v>95866.070400000011</v>
      </c>
      <c r="CZ35">
        <f>(((S35+R35)*AU35)/100)</f>
        <v>48820.684000000001</v>
      </c>
      <c r="DC35" t="s">
        <v>3</v>
      </c>
      <c r="DD35" t="s">
        <v>3</v>
      </c>
      <c r="DE35" t="s">
        <v>3</v>
      </c>
      <c r="DF35" t="s">
        <v>3</v>
      </c>
      <c r="DG35" t="s">
        <v>3</v>
      </c>
      <c r="DH35" t="s">
        <v>3</v>
      </c>
      <c r="DI35" t="s">
        <v>3</v>
      </c>
      <c r="DJ35" t="s">
        <v>3</v>
      </c>
      <c r="DK35" t="s">
        <v>3</v>
      </c>
      <c r="DL35" t="s">
        <v>3</v>
      </c>
      <c r="DM35" t="s">
        <v>3</v>
      </c>
      <c r="DN35">
        <v>0</v>
      </c>
      <c r="DO35">
        <v>0</v>
      </c>
      <c r="DP35">
        <v>1</v>
      </c>
      <c r="DQ35">
        <v>1</v>
      </c>
      <c r="DU35">
        <v>1005</v>
      </c>
      <c r="DV35" t="s">
        <v>76</v>
      </c>
      <c r="DW35" t="s">
        <v>76</v>
      </c>
      <c r="DX35">
        <v>100</v>
      </c>
      <c r="DZ35" t="s">
        <v>3</v>
      </c>
      <c r="EA35" t="s">
        <v>3</v>
      </c>
      <c r="EB35" t="s">
        <v>3</v>
      </c>
      <c r="EC35" t="s">
        <v>3</v>
      </c>
      <c r="EE35">
        <v>49077871</v>
      </c>
      <c r="EF35">
        <v>2</v>
      </c>
      <c r="EG35" t="s">
        <v>22</v>
      </c>
      <c r="EH35">
        <v>10</v>
      </c>
      <c r="EI35" t="s">
        <v>78</v>
      </c>
      <c r="EJ35">
        <v>1</v>
      </c>
      <c r="EK35">
        <v>10001</v>
      </c>
      <c r="EL35" t="s">
        <v>78</v>
      </c>
      <c r="EM35" t="s">
        <v>79</v>
      </c>
      <c r="EO35" t="s">
        <v>3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54.1</v>
      </c>
      <c r="EX35">
        <v>6.72</v>
      </c>
      <c r="EY35">
        <v>0</v>
      </c>
      <c r="FQ35">
        <v>0</v>
      </c>
      <c r="FR35">
        <v>0</v>
      </c>
      <c r="FS35">
        <v>0</v>
      </c>
      <c r="FX35">
        <v>108</v>
      </c>
      <c r="FY35">
        <v>55</v>
      </c>
      <c r="GA35" t="s">
        <v>3</v>
      </c>
      <c r="GD35">
        <v>1</v>
      </c>
      <c r="GF35">
        <v>-1912015037</v>
      </c>
      <c r="GG35">
        <v>2</v>
      </c>
      <c r="GH35">
        <v>1</v>
      </c>
      <c r="GI35">
        <v>-2</v>
      </c>
      <c r="GJ35">
        <v>0</v>
      </c>
      <c r="GK35">
        <v>0</v>
      </c>
      <c r="GL35">
        <f t="shared" si="28"/>
        <v>0</v>
      </c>
      <c r="GM35">
        <f t="shared" si="29"/>
        <v>326070.07</v>
      </c>
      <c r="GN35">
        <f t="shared" si="30"/>
        <v>326070.07</v>
      </c>
      <c r="GO35">
        <f t="shared" si="31"/>
        <v>0</v>
      </c>
      <c r="GP35">
        <f t="shared" si="32"/>
        <v>0</v>
      </c>
      <c r="GR35">
        <v>0</v>
      </c>
      <c r="GS35">
        <v>3</v>
      </c>
      <c r="GT35">
        <v>0</v>
      </c>
      <c r="GU35" t="s">
        <v>3</v>
      </c>
      <c r="GV35">
        <f t="shared" si="33"/>
        <v>0</v>
      </c>
      <c r="GW35">
        <v>1</v>
      </c>
      <c r="GX35">
        <f t="shared" si="34"/>
        <v>0</v>
      </c>
      <c r="HA35">
        <v>0</v>
      </c>
      <c r="HB35">
        <v>0</v>
      </c>
      <c r="HC35">
        <f t="shared" si="39"/>
        <v>0</v>
      </c>
      <c r="HE35" t="s">
        <v>3</v>
      </c>
      <c r="HF35" t="s">
        <v>3</v>
      </c>
      <c r="HM35" t="s">
        <v>3</v>
      </c>
      <c r="HN35" t="s">
        <v>80</v>
      </c>
      <c r="HO35" t="s">
        <v>81</v>
      </c>
      <c r="HP35" t="s">
        <v>78</v>
      </c>
      <c r="HQ35" t="s">
        <v>78</v>
      </c>
      <c r="HS35">
        <v>0</v>
      </c>
      <c r="IK35">
        <v>0</v>
      </c>
    </row>
    <row r="36" spans="1:245" x14ac:dyDescent="0.2">
      <c r="A36">
        <v>18</v>
      </c>
      <c r="B36">
        <v>1</v>
      </c>
      <c r="C36">
        <v>40</v>
      </c>
      <c r="E36" t="s">
        <v>82</v>
      </c>
      <c r="F36" t="s">
        <v>83</v>
      </c>
      <c r="G36" t="s">
        <v>84</v>
      </c>
      <c r="H36" t="s">
        <v>85</v>
      </c>
      <c r="I36">
        <f>I35*J36</f>
        <v>4.04</v>
      </c>
      <c r="J36">
        <v>1.01</v>
      </c>
      <c r="K36">
        <v>1.01</v>
      </c>
      <c r="O36">
        <f t="shared" si="35"/>
        <v>0</v>
      </c>
      <c r="P36">
        <f>ROUND(CQ36*I36,2)</f>
        <v>0</v>
      </c>
      <c r="Q36">
        <f>ROUND(CR36*I36,2)</f>
        <v>0</v>
      </c>
      <c r="R36">
        <f>ROUND(CS36*I36,2)</f>
        <v>0</v>
      </c>
      <c r="S36">
        <f>ROUND(CT36*I36,2)</f>
        <v>0</v>
      </c>
      <c r="T36">
        <f t="shared" si="21"/>
        <v>0</v>
      </c>
      <c r="U36">
        <f>ROUND(CV36*I36,7)</f>
        <v>0</v>
      </c>
      <c r="V36">
        <f>ROUND(CW36*I36,7)</f>
        <v>0</v>
      </c>
      <c r="W36">
        <f t="shared" si="22"/>
        <v>0</v>
      </c>
      <c r="X36">
        <f t="shared" si="23"/>
        <v>0</v>
      </c>
      <c r="Y36">
        <f t="shared" si="24"/>
        <v>0</v>
      </c>
      <c r="AA36">
        <v>50253415</v>
      </c>
      <c r="AB36">
        <f t="shared" si="25"/>
        <v>0</v>
      </c>
      <c r="AC36">
        <f>ROUND((ES36),6)</f>
        <v>0</v>
      </c>
      <c r="AD36">
        <f>ROUND((((ET36)-(EU36))+AE36),6)</f>
        <v>0</v>
      </c>
      <c r="AE36">
        <f t="shared" ref="AE36:AF38" si="40">ROUND((EU36),6)</f>
        <v>0</v>
      </c>
      <c r="AF36">
        <f t="shared" si="40"/>
        <v>0</v>
      </c>
      <c r="AG36">
        <f t="shared" si="26"/>
        <v>0</v>
      </c>
      <c r="AH36">
        <f t="shared" ref="AH36:AI38" si="41">(EW36)</f>
        <v>0</v>
      </c>
      <c r="AI36">
        <f t="shared" si="41"/>
        <v>0</v>
      </c>
      <c r="AJ36">
        <f t="shared" si="27"/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108</v>
      </c>
      <c r="AU36">
        <v>55</v>
      </c>
      <c r="AV36">
        <v>1</v>
      </c>
      <c r="AW36">
        <v>1</v>
      </c>
      <c r="AZ36">
        <v>1</v>
      </c>
      <c r="BA36">
        <v>1</v>
      </c>
      <c r="BB36">
        <v>1</v>
      </c>
      <c r="BC36">
        <v>1</v>
      </c>
      <c r="BD36" t="s">
        <v>3</v>
      </c>
      <c r="BE36" t="s">
        <v>3</v>
      </c>
      <c r="BF36" t="s">
        <v>3</v>
      </c>
      <c r="BG36" t="s">
        <v>3</v>
      </c>
      <c r="BH36">
        <v>3</v>
      </c>
      <c r="BI36">
        <v>1</v>
      </c>
      <c r="BJ36" t="s">
        <v>3</v>
      </c>
      <c r="BM36">
        <v>10001</v>
      </c>
      <c r="BN36">
        <v>0</v>
      </c>
      <c r="BO36" t="s">
        <v>3</v>
      </c>
      <c r="BP36">
        <v>0</v>
      </c>
      <c r="BQ36">
        <v>2</v>
      </c>
      <c r="BR36">
        <v>0</v>
      </c>
      <c r="BS36">
        <v>1</v>
      </c>
      <c r="BT36">
        <v>1</v>
      </c>
      <c r="BU36">
        <v>1</v>
      </c>
      <c r="BV36">
        <v>1</v>
      </c>
      <c r="BW36">
        <v>1</v>
      </c>
      <c r="BX36">
        <v>1</v>
      </c>
      <c r="BY36" t="s">
        <v>3</v>
      </c>
      <c r="BZ36">
        <v>108</v>
      </c>
      <c r="CA36">
        <v>55</v>
      </c>
      <c r="CB36" t="s">
        <v>3</v>
      </c>
      <c r="CE36">
        <v>0</v>
      </c>
      <c r="CF36">
        <v>0</v>
      </c>
      <c r="CG36">
        <v>0</v>
      </c>
      <c r="CM36">
        <v>0</v>
      </c>
      <c r="CN36" t="s">
        <v>3</v>
      </c>
      <c r="CO36">
        <v>0</v>
      </c>
      <c r="CP36">
        <f t="shared" si="36"/>
        <v>0</v>
      </c>
      <c r="CQ36">
        <f>ROUND(AL36*BC36,2)</f>
        <v>0</v>
      </c>
      <c r="CR36">
        <f>ROUND(AM36*BB36,2)</f>
        <v>0</v>
      </c>
      <c r="CS36">
        <f>ROUND(AN36*BS36,2)</f>
        <v>0</v>
      </c>
      <c r="CT36">
        <f>ROUND(AO36*BA36,2)</f>
        <v>0</v>
      </c>
      <c r="CU36">
        <f t="shared" si="37"/>
        <v>0</v>
      </c>
      <c r="CV36">
        <f t="shared" ref="CV36:CW38" si="42">AH36</f>
        <v>0</v>
      </c>
      <c r="CW36">
        <f t="shared" si="42"/>
        <v>0</v>
      </c>
      <c r="CX36">
        <f t="shared" si="38"/>
        <v>0</v>
      </c>
      <c r="CY36">
        <f>(((S36+R36)*AT36)/100)</f>
        <v>0</v>
      </c>
      <c r="CZ36">
        <f>(((S36+R36)*AU36)/100)</f>
        <v>0</v>
      </c>
      <c r="DC36" t="s">
        <v>3</v>
      </c>
      <c r="DD36" t="s">
        <v>3</v>
      </c>
      <c r="DE36" t="s">
        <v>3</v>
      </c>
      <c r="DF36" t="s">
        <v>3</v>
      </c>
      <c r="DG36" t="s">
        <v>3</v>
      </c>
      <c r="DH36" t="s">
        <v>3</v>
      </c>
      <c r="DI36" t="s">
        <v>3</v>
      </c>
      <c r="DJ36" t="s">
        <v>3</v>
      </c>
      <c r="DK36" t="s">
        <v>3</v>
      </c>
      <c r="DL36" t="s">
        <v>3</v>
      </c>
      <c r="DM36" t="s">
        <v>3</v>
      </c>
      <c r="DN36">
        <v>0</v>
      </c>
      <c r="DO36">
        <v>0</v>
      </c>
      <c r="DP36">
        <v>1</v>
      </c>
      <c r="DQ36">
        <v>1</v>
      </c>
      <c r="DU36">
        <v>1007</v>
      </c>
      <c r="DV36" t="s">
        <v>85</v>
      </c>
      <c r="DW36" t="s">
        <v>85</v>
      </c>
      <c r="DX36">
        <v>1</v>
      </c>
      <c r="DZ36" t="s">
        <v>3</v>
      </c>
      <c r="EA36" t="s">
        <v>3</v>
      </c>
      <c r="EB36" t="s">
        <v>3</v>
      </c>
      <c r="EC36" t="s">
        <v>3</v>
      </c>
      <c r="EE36">
        <v>49077871</v>
      </c>
      <c r="EF36">
        <v>2</v>
      </c>
      <c r="EG36" t="s">
        <v>22</v>
      </c>
      <c r="EH36">
        <v>10</v>
      </c>
      <c r="EI36" t="s">
        <v>78</v>
      </c>
      <c r="EJ36">
        <v>1</v>
      </c>
      <c r="EK36">
        <v>10001</v>
      </c>
      <c r="EL36" t="s">
        <v>78</v>
      </c>
      <c r="EM36" t="s">
        <v>79</v>
      </c>
      <c r="EO36" t="s">
        <v>3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0</v>
      </c>
      <c r="FQ36">
        <v>0</v>
      </c>
      <c r="FR36">
        <v>0</v>
      </c>
      <c r="FS36">
        <v>0</v>
      </c>
      <c r="FX36">
        <v>108</v>
      </c>
      <c r="FY36">
        <v>55</v>
      </c>
      <c r="GA36" t="s">
        <v>3</v>
      </c>
      <c r="GD36">
        <v>1</v>
      </c>
      <c r="GF36">
        <v>758329700</v>
      </c>
      <c r="GG36">
        <v>2</v>
      </c>
      <c r="GH36">
        <v>1</v>
      </c>
      <c r="GI36">
        <v>-2</v>
      </c>
      <c r="GJ36">
        <v>0</v>
      </c>
      <c r="GK36">
        <v>0</v>
      </c>
      <c r="GL36">
        <f t="shared" si="28"/>
        <v>0</v>
      </c>
      <c r="GM36">
        <f t="shared" si="29"/>
        <v>0</v>
      </c>
      <c r="GN36">
        <f t="shared" si="30"/>
        <v>0</v>
      </c>
      <c r="GO36">
        <f t="shared" si="31"/>
        <v>0</v>
      </c>
      <c r="GP36">
        <f t="shared" si="32"/>
        <v>0</v>
      </c>
      <c r="GR36">
        <v>0</v>
      </c>
      <c r="GS36">
        <v>3</v>
      </c>
      <c r="GT36">
        <v>0</v>
      </c>
      <c r="GU36" t="s">
        <v>3</v>
      </c>
      <c r="GV36">
        <f t="shared" si="33"/>
        <v>0</v>
      </c>
      <c r="GW36">
        <v>1</v>
      </c>
      <c r="GX36">
        <f t="shared" si="34"/>
        <v>0</v>
      </c>
      <c r="HA36">
        <v>0</v>
      </c>
      <c r="HB36">
        <v>0</v>
      </c>
      <c r="HC36">
        <f t="shared" si="39"/>
        <v>0</v>
      </c>
      <c r="HE36" t="s">
        <v>3</v>
      </c>
      <c r="HF36" t="s">
        <v>3</v>
      </c>
      <c r="HM36" t="s">
        <v>3</v>
      </c>
      <c r="HN36" t="s">
        <v>80</v>
      </c>
      <c r="HO36" t="s">
        <v>81</v>
      </c>
      <c r="HP36" t="s">
        <v>78</v>
      </c>
      <c r="HQ36" t="s">
        <v>78</v>
      </c>
      <c r="HS36">
        <v>0</v>
      </c>
      <c r="IK36">
        <v>0</v>
      </c>
    </row>
    <row r="37" spans="1:245" x14ac:dyDescent="0.2">
      <c r="A37">
        <v>18</v>
      </c>
      <c r="B37">
        <v>1</v>
      </c>
      <c r="C37">
        <v>41</v>
      </c>
      <c r="E37" t="s">
        <v>86</v>
      </c>
      <c r="F37" t="s">
        <v>87</v>
      </c>
      <c r="G37" t="s">
        <v>88</v>
      </c>
      <c r="H37" t="s">
        <v>89</v>
      </c>
      <c r="I37">
        <f>I35*J37</f>
        <v>400</v>
      </c>
      <c r="J37">
        <v>100</v>
      </c>
      <c r="K37">
        <v>100</v>
      </c>
      <c r="O37">
        <f t="shared" si="35"/>
        <v>0</v>
      </c>
      <c r="P37">
        <f>ROUND(CQ37*I37,2)</f>
        <v>0</v>
      </c>
      <c r="Q37">
        <f>ROUND(CR37*I37,2)</f>
        <v>0</v>
      </c>
      <c r="R37">
        <f>ROUND(CS37*I37,2)</f>
        <v>0</v>
      </c>
      <c r="S37">
        <f>ROUND(CT37*I37,2)</f>
        <v>0</v>
      </c>
      <c r="T37">
        <f t="shared" si="21"/>
        <v>0</v>
      </c>
      <c r="U37">
        <f>ROUND(CV37*I37,7)</f>
        <v>0</v>
      </c>
      <c r="V37">
        <f>ROUND(CW37*I37,7)</f>
        <v>0</v>
      </c>
      <c r="W37">
        <f t="shared" si="22"/>
        <v>0</v>
      </c>
      <c r="X37">
        <f t="shared" si="23"/>
        <v>0</v>
      </c>
      <c r="Y37">
        <f t="shared" si="24"/>
        <v>0</v>
      </c>
      <c r="AA37">
        <v>50253415</v>
      </c>
      <c r="AB37">
        <f t="shared" si="25"/>
        <v>0</v>
      </c>
      <c r="AC37">
        <f>ROUND((ES37),6)</f>
        <v>0</v>
      </c>
      <c r="AD37">
        <f>ROUND((((ET37)-(EU37))+AE37),6)</f>
        <v>0</v>
      </c>
      <c r="AE37">
        <f t="shared" si="40"/>
        <v>0</v>
      </c>
      <c r="AF37">
        <f t="shared" si="40"/>
        <v>0</v>
      </c>
      <c r="AG37">
        <f t="shared" si="26"/>
        <v>0</v>
      </c>
      <c r="AH37">
        <f t="shared" si="41"/>
        <v>0</v>
      </c>
      <c r="AI37">
        <f t="shared" si="41"/>
        <v>0</v>
      </c>
      <c r="AJ37">
        <f t="shared" si="27"/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108</v>
      </c>
      <c r="AU37">
        <v>55</v>
      </c>
      <c r="AV37">
        <v>1</v>
      </c>
      <c r="AW37">
        <v>1</v>
      </c>
      <c r="AZ37">
        <v>1</v>
      </c>
      <c r="BA37">
        <v>1</v>
      </c>
      <c r="BB37">
        <v>1</v>
      </c>
      <c r="BC37">
        <v>1</v>
      </c>
      <c r="BD37" t="s">
        <v>3</v>
      </c>
      <c r="BE37" t="s">
        <v>3</v>
      </c>
      <c r="BF37" t="s">
        <v>3</v>
      </c>
      <c r="BG37" t="s">
        <v>3</v>
      </c>
      <c r="BH37">
        <v>3</v>
      </c>
      <c r="BI37">
        <v>1</v>
      </c>
      <c r="BJ37" t="s">
        <v>3</v>
      </c>
      <c r="BM37">
        <v>10001</v>
      </c>
      <c r="BN37">
        <v>0</v>
      </c>
      <c r="BO37" t="s">
        <v>3</v>
      </c>
      <c r="BP37">
        <v>0</v>
      </c>
      <c r="BQ37">
        <v>2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108</v>
      </c>
      <c r="CA37">
        <v>55</v>
      </c>
      <c r="CB37" t="s">
        <v>3</v>
      </c>
      <c r="CE37">
        <v>0</v>
      </c>
      <c r="CF37">
        <v>0</v>
      </c>
      <c r="CG37">
        <v>0</v>
      </c>
      <c r="CM37">
        <v>0</v>
      </c>
      <c r="CN37" t="s">
        <v>3</v>
      </c>
      <c r="CO37">
        <v>0</v>
      </c>
      <c r="CP37">
        <f t="shared" si="36"/>
        <v>0</v>
      </c>
      <c r="CQ37">
        <f>ROUND(AL37*BC37,2)</f>
        <v>0</v>
      </c>
      <c r="CR37">
        <f>ROUND(AM37*BB37,2)</f>
        <v>0</v>
      </c>
      <c r="CS37">
        <f>ROUND(AN37*BS37,2)</f>
        <v>0</v>
      </c>
      <c r="CT37">
        <f>ROUND(AO37*BA37,2)</f>
        <v>0</v>
      </c>
      <c r="CU37">
        <f t="shared" si="37"/>
        <v>0</v>
      </c>
      <c r="CV37">
        <f t="shared" si="42"/>
        <v>0</v>
      </c>
      <c r="CW37">
        <f t="shared" si="42"/>
        <v>0</v>
      </c>
      <c r="CX37">
        <f t="shared" si="38"/>
        <v>0</v>
      </c>
      <c r="CY37">
        <f>(((S37+R37)*AT37)/100)</f>
        <v>0</v>
      </c>
      <c r="CZ37">
        <f>(((S37+R37)*AU37)/100)</f>
        <v>0</v>
      </c>
      <c r="DC37" t="s">
        <v>3</v>
      </c>
      <c r="DD37" t="s">
        <v>3</v>
      </c>
      <c r="DE37" t="s">
        <v>3</v>
      </c>
      <c r="DF37" t="s">
        <v>3</v>
      </c>
      <c r="DG37" t="s">
        <v>3</v>
      </c>
      <c r="DH37" t="s">
        <v>3</v>
      </c>
      <c r="DI37" t="s">
        <v>3</v>
      </c>
      <c r="DJ37" t="s">
        <v>3</v>
      </c>
      <c r="DK37" t="s">
        <v>3</v>
      </c>
      <c r="DL37" t="s">
        <v>3</v>
      </c>
      <c r="DM37" t="s">
        <v>3</v>
      </c>
      <c r="DN37">
        <v>0</v>
      </c>
      <c r="DO37">
        <v>0</v>
      </c>
      <c r="DP37">
        <v>1</v>
      </c>
      <c r="DQ37">
        <v>1</v>
      </c>
      <c r="DU37">
        <v>1005</v>
      </c>
      <c r="DV37" t="s">
        <v>89</v>
      </c>
      <c r="DW37" t="s">
        <v>89</v>
      </c>
      <c r="DX37">
        <v>1</v>
      </c>
      <c r="DZ37" t="s">
        <v>3</v>
      </c>
      <c r="EA37" t="s">
        <v>3</v>
      </c>
      <c r="EB37" t="s">
        <v>3</v>
      </c>
      <c r="EC37" t="s">
        <v>3</v>
      </c>
      <c r="EE37">
        <v>49077871</v>
      </c>
      <c r="EF37">
        <v>2</v>
      </c>
      <c r="EG37" t="s">
        <v>22</v>
      </c>
      <c r="EH37">
        <v>10</v>
      </c>
      <c r="EI37" t="s">
        <v>78</v>
      </c>
      <c r="EJ37">
        <v>1</v>
      </c>
      <c r="EK37">
        <v>10001</v>
      </c>
      <c r="EL37" t="s">
        <v>78</v>
      </c>
      <c r="EM37" t="s">
        <v>79</v>
      </c>
      <c r="EO37" t="s">
        <v>3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FQ37">
        <v>0</v>
      </c>
      <c r="FR37">
        <v>0</v>
      </c>
      <c r="FS37">
        <v>0</v>
      </c>
      <c r="FX37">
        <v>108</v>
      </c>
      <c r="FY37">
        <v>55</v>
      </c>
      <c r="GA37" t="s">
        <v>3</v>
      </c>
      <c r="GD37">
        <v>1</v>
      </c>
      <c r="GF37">
        <v>1510392584</v>
      </c>
      <c r="GG37">
        <v>2</v>
      </c>
      <c r="GH37">
        <v>1</v>
      </c>
      <c r="GI37">
        <v>-2</v>
      </c>
      <c r="GJ37">
        <v>0</v>
      </c>
      <c r="GK37">
        <v>0</v>
      </c>
      <c r="GL37">
        <f t="shared" si="28"/>
        <v>0</v>
      </c>
      <c r="GM37">
        <f t="shared" si="29"/>
        <v>0</v>
      </c>
      <c r="GN37">
        <f t="shared" si="30"/>
        <v>0</v>
      </c>
      <c r="GO37">
        <f t="shared" si="31"/>
        <v>0</v>
      </c>
      <c r="GP37">
        <f t="shared" si="32"/>
        <v>0</v>
      </c>
      <c r="GR37">
        <v>0</v>
      </c>
      <c r="GS37">
        <v>3</v>
      </c>
      <c r="GT37">
        <v>0</v>
      </c>
      <c r="GU37" t="s">
        <v>3</v>
      </c>
      <c r="GV37">
        <f t="shared" si="33"/>
        <v>0</v>
      </c>
      <c r="GW37">
        <v>1</v>
      </c>
      <c r="GX37">
        <f t="shared" si="34"/>
        <v>0</v>
      </c>
      <c r="HA37">
        <v>0</v>
      </c>
      <c r="HB37">
        <v>0</v>
      </c>
      <c r="HC37">
        <f t="shared" si="39"/>
        <v>0</v>
      </c>
      <c r="HE37" t="s">
        <v>3</v>
      </c>
      <c r="HF37" t="s">
        <v>3</v>
      </c>
      <c r="HM37" t="s">
        <v>3</v>
      </c>
      <c r="HN37" t="s">
        <v>80</v>
      </c>
      <c r="HO37" t="s">
        <v>81</v>
      </c>
      <c r="HP37" t="s">
        <v>78</v>
      </c>
      <c r="HQ37" t="s">
        <v>78</v>
      </c>
      <c r="HS37">
        <v>0</v>
      </c>
      <c r="IK37">
        <v>0</v>
      </c>
    </row>
    <row r="38" spans="1:245" x14ac:dyDescent="0.2">
      <c r="A38">
        <v>17</v>
      </c>
      <c r="B38">
        <v>1</v>
      </c>
      <c r="E38" t="s">
        <v>90</v>
      </c>
      <c r="F38" t="s">
        <v>3</v>
      </c>
      <c r="G38" t="s">
        <v>91</v>
      </c>
      <c r="H38" t="s">
        <v>89</v>
      </c>
      <c r="I38">
        <v>0</v>
      </c>
      <c r="J38">
        <v>0</v>
      </c>
      <c r="K38">
        <v>0</v>
      </c>
      <c r="O38">
        <f t="shared" si="35"/>
        <v>0</v>
      </c>
      <c r="P38">
        <f>ROUND(CQ38*I38,2)</f>
        <v>0</v>
      </c>
      <c r="Q38">
        <f>ROUND(CR38*I38,2)</f>
        <v>0</v>
      </c>
      <c r="R38">
        <f>ROUND(CS38*I38,2)</f>
        <v>0</v>
      </c>
      <c r="S38">
        <f>ROUND(CT38*I38,2)</f>
        <v>0</v>
      </c>
      <c r="T38">
        <f t="shared" si="21"/>
        <v>0</v>
      </c>
      <c r="U38">
        <f>ROUND(CV38*I38,7)</f>
        <v>0</v>
      </c>
      <c r="V38">
        <f>ROUND(CW38*I38,7)</f>
        <v>0</v>
      </c>
      <c r="W38">
        <f t="shared" si="22"/>
        <v>0</v>
      </c>
      <c r="X38">
        <f t="shared" si="23"/>
        <v>0</v>
      </c>
      <c r="Y38">
        <f t="shared" si="24"/>
        <v>0</v>
      </c>
      <c r="AA38">
        <v>50253415</v>
      </c>
      <c r="AB38">
        <f t="shared" si="25"/>
        <v>407.1</v>
      </c>
      <c r="AC38">
        <f>ROUND((ES38),6)</f>
        <v>407.1</v>
      </c>
      <c r="AD38">
        <f>ROUND((((ET38)-(EU38))+AE38),6)</f>
        <v>0</v>
      </c>
      <c r="AE38">
        <f t="shared" si="40"/>
        <v>0</v>
      </c>
      <c r="AF38">
        <f t="shared" si="40"/>
        <v>0</v>
      </c>
      <c r="AG38">
        <f t="shared" si="26"/>
        <v>0</v>
      </c>
      <c r="AH38">
        <f t="shared" si="41"/>
        <v>0</v>
      </c>
      <c r="AI38">
        <f t="shared" si="41"/>
        <v>0</v>
      </c>
      <c r="AJ38">
        <f t="shared" si="27"/>
        <v>0</v>
      </c>
      <c r="AK38">
        <v>407.1</v>
      </c>
      <c r="AL38">
        <v>407.1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1</v>
      </c>
      <c r="AW38">
        <v>1</v>
      </c>
      <c r="AZ38">
        <v>1</v>
      </c>
      <c r="BA38">
        <v>1</v>
      </c>
      <c r="BB38">
        <v>1</v>
      </c>
      <c r="BC38">
        <v>0.83</v>
      </c>
      <c r="BD38" t="s">
        <v>3</v>
      </c>
      <c r="BE38" t="s">
        <v>3</v>
      </c>
      <c r="BF38" t="s">
        <v>3</v>
      </c>
      <c r="BG38" t="s">
        <v>3</v>
      </c>
      <c r="BH38">
        <v>3</v>
      </c>
      <c r="BI38">
        <v>1</v>
      </c>
      <c r="BJ38" t="s">
        <v>92</v>
      </c>
      <c r="BM38">
        <v>500001</v>
      </c>
      <c r="BN38">
        <v>0</v>
      </c>
      <c r="BO38" t="s">
        <v>93</v>
      </c>
      <c r="BP38">
        <v>1</v>
      </c>
      <c r="BQ38">
        <v>8</v>
      </c>
      <c r="BR38">
        <v>0</v>
      </c>
      <c r="BS38">
        <v>1</v>
      </c>
      <c r="BT38">
        <v>1</v>
      </c>
      <c r="BU38">
        <v>1</v>
      </c>
      <c r="BV38">
        <v>1</v>
      </c>
      <c r="BW38">
        <v>1</v>
      </c>
      <c r="BX38">
        <v>1</v>
      </c>
      <c r="BY38" t="s">
        <v>3</v>
      </c>
      <c r="BZ38">
        <v>0</v>
      </c>
      <c r="CA38">
        <v>0</v>
      </c>
      <c r="CB38" t="s">
        <v>3</v>
      </c>
      <c r="CE38">
        <v>0</v>
      </c>
      <c r="CF38">
        <v>0</v>
      </c>
      <c r="CG38">
        <v>0</v>
      </c>
      <c r="CM38">
        <v>0</v>
      </c>
      <c r="CN38" t="s">
        <v>3</v>
      </c>
      <c r="CO38">
        <v>0</v>
      </c>
      <c r="CP38">
        <f t="shared" si="36"/>
        <v>0</v>
      </c>
      <c r="CQ38">
        <f>ROUND(AL38*BC38,2)</f>
        <v>337.89</v>
      </c>
      <c r="CR38">
        <f>ROUND(AM38*BB38,2)</f>
        <v>0</v>
      </c>
      <c r="CS38">
        <f>ROUND(AN38*BS38,2)</f>
        <v>0</v>
      </c>
      <c r="CT38">
        <f>ROUND(AO38*BA38,2)</f>
        <v>0</v>
      </c>
      <c r="CU38">
        <f t="shared" si="37"/>
        <v>0</v>
      </c>
      <c r="CV38">
        <f t="shared" si="42"/>
        <v>0</v>
      </c>
      <c r="CW38">
        <f t="shared" si="42"/>
        <v>0</v>
      </c>
      <c r="CX38">
        <f t="shared" si="38"/>
        <v>0</v>
      </c>
      <c r="CY38">
        <f>0</f>
        <v>0</v>
      </c>
      <c r="CZ38">
        <f>0</f>
        <v>0</v>
      </c>
      <c r="DC38" t="s">
        <v>3</v>
      </c>
      <c r="DD38" t="s">
        <v>3</v>
      </c>
      <c r="DE38" t="s">
        <v>3</v>
      </c>
      <c r="DF38" t="s">
        <v>3</v>
      </c>
      <c r="DG38" t="s">
        <v>3</v>
      </c>
      <c r="DH38" t="s">
        <v>3</v>
      </c>
      <c r="DI38" t="s">
        <v>3</v>
      </c>
      <c r="DJ38" t="s">
        <v>3</v>
      </c>
      <c r="DK38" t="s">
        <v>3</v>
      </c>
      <c r="DL38" t="s">
        <v>3</v>
      </c>
      <c r="DM38" t="s">
        <v>3</v>
      </c>
      <c r="DN38">
        <v>0</v>
      </c>
      <c r="DO38">
        <v>0</v>
      </c>
      <c r="DP38">
        <v>1</v>
      </c>
      <c r="DQ38">
        <v>1</v>
      </c>
      <c r="DU38">
        <v>1005</v>
      </c>
      <c r="DV38" t="s">
        <v>89</v>
      </c>
      <c r="DW38" t="s">
        <v>89</v>
      </c>
      <c r="DX38">
        <v>1</v>
      </c>
      <c r="DZ38" t="s">
        <v>3</v>
      </c>
      <c r="EA38" t="s">
        <v>3</v>
      </c>
      <c r="EB38" t="s">
        <v>3</v>
      </c>
      <c r="EC38" t="s">
        <v>3</v>
      </c>
      <c r="EE38">
        <v>49077804</v>
      </c>
      <c r="EF38">
        <v>8</v>
      </c>
      <c r="EG38" t="s">
        <v>94</v>
      </c>
      <c r="EH38">
        <v>0</v>
      </c>
      <c r="EI38" t="s">
        <v>3</v>
      </c>
      <c r="EJ38">
        <v>1</v>
      </c>
      <c r="EK38">
        <v>500001</v>
      </c>
      <c r="EL38" t="s">
        <v>95</v>
      </c>
      <c r="EM38" t="s">
        <v>96</v>
      </c>
      <c r="EO38" t="s">
        <v>3</v>
      </c>
      <c r="EQ38">
        <v>0</v>
      </c>
      <c r="ER38">
        <v>407.1</v>
      </c>
      <c r="ES38">
        <v>407.1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0</v>
      </c>
      <c r="FQ38">
        <v>0</v>
      </c>
      <c r="FR38">
        <v>0</v>
      </c>
      <c r="FS38">
        <v>0</v>
      </c>
      <c r="FX38">
        <v>0</v>
      </c>
      <c r="FY38">
        <v>0</v>
      </c>
      <c r="GA38" t="s">
        <v>3</v>
      </c>
      <c r="GD38">
        <v>1</v>
      </c>
      <c r="GF38">
        <v>1412819827</v>
      </c>
      <c r="GG38">
        <v>2</v>
      </c>
      <c r="GH38">
        <v>1</v>
      </c>
      <c r="GI38">
        <v>2</v>
      </c>
      <c r="GJ38">
        <v>0</v>
      </c>
      <c r="GK38">
        <v>0</v>
      </c>
      <c r="GL38">
        <f t="shared" si="28"/>
        <v>0</v>
      </c>
      <c r="GM38">
        <f t="shared" si="29"/>
        <v>0</v>
      </c>
      <c r="GN38">
        <f t="shared" si="30"/>
        <v>0</v>
      </c>
      <c r="GO38">
        <f t="shared" si="31"/>
        <v>0</v>
      </c>
      <c r="GP38">
        <f t="shared" si="32"/>
        <v>0</v>
      </c>
      <c r="GR38">
        <v>0</v>
      </c>
      <c r="GS38">
        <v>3</v>
      </c>
      <c r="GT38">
        <v>0</v>
      </c>
      <c r="GU38" t="s">
        <v>3</v>
      </c>
      <c r="GV38">
        <f t="shared" si="33"/>
        <v>0</v>
      </c>
      <c r="GW38">
        <v>1</v>
      </c>
      <c r="GX38">
        <f t="shared" si="34"/>
        <v>0</v>
      </c>
      <c r="HA38">
        <v>0</v>
      </c>
      <c r="HB38">
        <v>0</v>
      </c>
      <c r="HC38">
        <f t="shared" si="39"/>
        <v>0</v>
      </c>
      <c r="HE38" t="s">
        <v>3</v>
      </c>
      <c r="HF38" t="s">
        <v>3</v>
      </c>
      <c r="HM38" t="s">
        <v>3</v>
      </c>
      <c r="HN38" t="s">
        <v>3</v>
      </c>
      <c r="HO38" t="s">
        <v>3</v>
      </c>
      <c r="HP38" t="s">
        <v>3</v>
      </c>
      <c r="HQ38" t="s">
        <v>3</v>
      </c>
      <c r="HS38">
        <v>0</v>
      </c>
      <c r="IK38">
        <v>0</v>
      </c>
    </row>
    <row r="39" spans="1:245" x14ac:dyDescent="0.2">
      <c r="A39">
        <v>17</v>
      </c>
      <c r="B39">
        <v>1</v>
      </c>
      <c r="C39">
        <f>ROW(SmtRes!A58)</f>
        <v>58</v>
      </c>
      <c r="D39">
        <f>ROW(EtalonRes!A58)</f>
        <v>58</v>
      </c>
      <c r="E39" t="s">
        <v>97</v>
      </c>
      <c r="F39" t="s">
        <v>98</v>
      </c>
      <c r="G39" t="s">
        <v>99</v>
      </c>
      <c r="H39" t="s">
        <v>76</v>
      </c>
      <c r="I39">
        <f>ROUND(20/100,7)</f>
        <v>0.2</v>
      </c>
      <c r="J39">
        <v>0</v>
      </c>
      <c r="K39">
        <f>ROUND(20/100,7)</f>
        <v>0.2</v>
      </c>
      <c r="O39">
        <f t="shared" si="35"/>
        <v>30291.77</v>
      </c>
      <c r="P39">
        <f>SUMIF(SmtRes!AQ44:'SmtRes'!AQ58,"=1",SmtRes!DF44:'SmtRes'!DF58)</f>
        <v>1324.1699999999994</v>
      </c>
      <c r="Q39">
        <f>SUMIF(SmtRes!AQ44:'SmtRes'!AQ58,"=1",SmtRes!DG44:'SmtRes'!DG58)</f>
        <v>6197.88</v>
      </c>
      <c r="R39">
        <f>SUMIF(SmtRes!AQ44:'SmtRes'!AQ58,"=1",SmtRes!DH44:'SmtRes'!DH58)</f>
        <v>1944.88</v>
      </c>
      <c r="S39">
        <f>SUMIF(SmtRes!AQ44:'SmtRes'!AQ58,"=1",SmtRes!DI44:'SmtRes'!DI58)</f>
        <v>20824.84</v>
      </c>
      <c r="T39">
        <f t="shared" si="21"/>
        <v>0</v>
      </c>
      <c r="U39">
        <f>SUMIF(SmtRes!AQ44:'SmtRes'!AQ58,"=1",SmtRes!CV44:'SmtRes'!CV58)</f>
        <v>59.6</v>
      </c>
      <c r="V39">
        <f>SUMIF(SmtRes!AQ44:'SmtRes'!AQ58,"=1",SmtRes!CW44:'SmtRes'!CW58)</f>
        <v>3.698</v>
      </c>
      <c r="W39">
        <f t="shared" si="22"/>
        <v>0</v>
      </c>
      <c r="X39">
        <f t="shared" si="23"/>
        <v>24591.3</v>
      </c>
      <c r="Y39">
        <f t="shared" si="24"/>
        <v>12523.35</v>
      </c>
      <c r="AA39">
        <v>50253415</v>
      </c>
      <c r="AB39">
        <f t="shared" si="25"/>
        <v>144622.64966900001</v>
      </c>
      <c r="AC39">
        <f>ROUND((SUM(SmtRes!BQ44:'SmtRes'!BQ58)),6)</f>
        <v>9572.3982689999993</v>
      </c>
      <c r="AD39">
        <f>ROUND((((SUM(SmtRes!BR44:'SmtRes'!BR58))-(SUM(SmtRes!BS44:'SmtRes'!BS58)))+AE39),6)</f>
        <v>30926.071400000001</v>
      </c>
      <c r="AE39">
        <f>ROUND((SUM(SmtRes!BS44:'SmtRes'!BS58)),6)</f>
        <v>9724.4084000000003</v>
      </c>
      <c r="AF39">
        <f>ROUND((SUM(SmtRes!BT44:'SmtRes'!BT58)),6)</f>
        <v>104124.18</v>
      </c>
      <c r="AG39">
        <f t="shared" si="26"/>
        <v>0</v>
      </c>
      <c r="AH39">
        <f>(SUM(SmtRes!BU44:'SmtRes'!BU58))</f>
        <v>298</v>
      </c>
      <c r="AI39">
        <f>(SUM(SmtRes!BV44:'SmtRes'!BV58))</f>
        <v>18.490000000000002</v>
      </c>
      <c r="AJ39">
        <f t="shared" si="27"/>
        <v>0</v>
      </c>
      <c r="AK39">
        <v>154347.05806900002</v>
      </c>
      <c r="AL39">
        <v>9572.3982690000048</v>
      </c>
      <c r="AM39">
        <v>30926.071400000001</v>
      </c>
      <c r="AN39">
        <v>9724.4084000000003</v>
      </c>
      <c r="AO39">
        <v>104124.18000000001</v>
      </c>
      <c r="AP39">
        <v>0</v>
      </c>
      <c r="AQ39">
        <v>298</v>
      </c>
      <c r="AR39">
        <v>18.490000000000002</v>
      </c>
      <c r="AS39">
        <v>0</v>
      </c>
      <c r="AT39">
        <v>108</v>
      </c>
      <c r="AU39">
        <v>55</v>
      </c>
      <c r="AV39">
        <v>1</v>
      </c>
      <c r="AW39">
        <v>1</v>
      </c>
      <c r="AZ39">
        <v>1</v>
      </c>
      <c r="BA39">
        <v>1</v>
      </c>
      <c r="BB39">
        <v>1</v>
      </c>
      <c r="BC39">
        <v>1</v>
      </c>
      <c r="BD39" t="s">
        <v>3</v>
      </c>
      <c r="BE39" t="s">
        <v>3</v>
      </c>
      <c r="BF39" t="s">
        <v>3</v>
      </c>
      <c r="BG39" t="s">
        <v>3</v>
      </c>
      <c r="BH39">
        <v>0</v>
      </c>
      <c r="BI39">
        <v>1</v>
      </c>
      <c r="BJ39" t="s">
        <v>100</v>
      </c>
      <c r="BM39">
        <v>10001</v>
      </c>
      <c r="BN39">
        <v>0</v>
      </c>
      <c r="BO39" t="s">
        <v>3</v>
      </c>
      <c r="BP39">
        <v>0</v>
      </c>
      <c r="BQ39">
        <v>2</v>
      </c>
      <c r="BR39">
        <v>0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3</v>
      </c>
      <c r="BZ39">
        <v>108</v>
      </c>
      <c r="CA39">
        <v>55</v>
      </c>
      <c r="CB39" t="s">
        <v>3</v>
      </c>
      <c r="CE39">
        <v>0</v>
      </c>
      <c r="CF39">
        <v>0</v>
      </c>
      <c r="CG39">
        <v>0</v>
      </c>
      <c r="CM39">
        <v>0</v>
      </c>
      <c r="CN39" t="s">
        <v>3</v>
      </c>
      <c r="CO39">
        <v>0</v>
      </c>
      <c r="CP39">
        <f t="shared" si="36"/>
        <v>30291.77</v>
      </c>
      <c r="CQ39">
        <f>SUMIF(SmtRes!AQ44:'SmtRes'!AQ58,"=1",SmtRes!AA44:'SmtRes'!AA58)</f>
        <v>260360.69</v>
      </c>
      <c r="CR39">
        <f>SUMIF(SmtRes!AQ44:'SmtRes'!AQ58,"=1",SmtRes!AB44:'SmtRes'!AB58)</f>
        <v>2555.1999999999998</v>
      </c>
      <c r="CS39">
        <f>SUMIF(SmtRes!AQ44:'SmtRes'!AQ58,"=1",SmtRes!AC44:'SmtRes'!AC58)</f>
        <v>929.79</v>
      </c>
      <c r="CT39">
        <f>SUMIF(SmtRes!AQ44:'SmtRes'!AQ58,"=1",SmtRes!AD44:'SmtRes'!AD58)</f>
        <v>349.41</v>
      </c>
      <c r="CU39">
        <f t="shared" si="37"/>
        <v>0</v>
      </c>
      <c r="CV39">
        <f>SUMIF(SmtRes!AQ44:'SmtRes'!AQ58,"=1",SmtRes!BU44:'SmtRes'!BU58)</f>
        <v>298</v>
      </c>
      <c r="CW39">
        <f>SUMIF(SmtRes!AQ44:'SmtRes'!AQ58,"=1",SmtRes!BV44:'SmtRes'!BV58)</f>
        <v>18.490000000000002</v>
      </c>
      <c r="CX39">
        <f t="shared" si="38"/>
        <v>0</v>
      </c>
      <c r="CY39">
        <f>(((S39+R39)*AT39)/100)</f>
        <v>24591.297600000002</v>
      </c>
      <c r="CZ39">
        <f>(((S39+R39)*AU39)/100)</f>
        <v>12523.346000000001</v>
      </c>
      <c r="DC39" t="s">
        <v>3</v>
      </c>
      <c r="DD39" t="s">
        <v>3</v>
      </c>
      <c r="DE39" t="s">
        <v>3</v>
      </c>
      <c r="DF39" t="s">
        <v>3</v>
      </c>
      <c r="DG39" t="s">
        <v>3</v>
      </c>
      <c r="DH39" t="s">
        <v>3</v>
      </c>
      <c r="DI39" t="s">
        <v>3</v>
      </c>
      <c r="DJ39" t="s">
        <v>3</v>
      </c>
      <c r="DK39" t="s">
        <v>3</v>
      </c>
      <c r="DL39" t="s">
        <v>3</v>
      </c>
      <c r="DM39" t="s">
        <v>3</v>
      </c>
      <c r="DN39">
        <v>0</v>
      </c>
      <c r="DO39">
        <v>0</v>
      </c>
      <c r="DP39">
        <v>1</v>
      </c>
      <c r="DQ39">
        <v>1</v>
      </c>
      <c r="DU39">
        <v>1005</v>
      </c>
      <c r="DV39" t="s">
        <v>76</v>
      </c>
      <c r="DW39" t="s">
        <v>76</v>
      </c>
      <c r="DX39">
        <v>100</v>
      </c>
      <c r="DZ39" t="s">
        <v>3</v>
      </c>
      <c r="EA39" t="s">
        <v>3</v>
      </c>
      <c r="EB39" t="s">
        <v>3</v>
      </c>
      <c r="EC39" t="s">
        <v>3</v>
      </c>
      <c r="EE39">
        <v>49077871</v>
      </c>
      <c r="EF39">
        <v>2</v>
      </c>
      <c r="EG39" t="s">
        <v>22</v>
      </c>
      <c r="EH39">
        <v>10</v>
      </c>
      <c r="EI39" t="s">
        <v>78</v>
      </c>
      <c r="EJ39">
        <v>1</v>
      </c>
      <c r="EK39">
        <v>10001</v>
      </c>
      <c r="EL39" t="s">
        <v>78</v>
      </c>
      <c r="EM39" t="s">
        <v>79</v>
      </c>
      <c r="EO39" t="s">
        <v>3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298</v>
      </c>
      <c r="EX39">
        <v>18.489999999999998</v>
      </c>
      <c r="EY39">
        <v>0</v>
      </c>
      <c r="FQ39">
        <v>0</v>
      </c>
      <c r="FR39">
        <v>0</v>
      </c>
      <c r="FS39">
        <v>0</v>
      </c>
      <c r="FX39">
        <v>108</v>
      </c>
      <c r="FY39">
        <v>55</v>
      </c>
      <c r="GA39" t="s">
        <v>3</v>
      </c>
      <c r="GD39">
        <v>1</v>
      </c>
      <c r="GF39">
        <v>-984520981</v>
      </c>
      <c r="GG39">
        <v>2</v>
      </c>
      <c r="GH39">
        <v>1</v>
      </c>
      <c r="GI39">
        <v>-2</v>
      </c>
      <c r="GJ39">
        <v>0</v>
      </c>
      <c r="GK39">
        <v>0</v>
      </c>
      <c r="GL39">
        <f t="shared" si="28"/>
        <v>0</v>
      </c>
      <c r="GM39">
        <f t="shared" si="29"/>
        <v>67406.42</v>
      </c>
      <c r="GN39">
        <f t="shared" si="30"/>
        <v>67406.42</v>
      </c>
      <c r="GO39">
        <f t="shared" si="31"/>
        <v>0</v>
      </c>
      <c r="GP39">
        <f t="shared" si="32"/>
        <v>0</v>
      </c>
      <c r="GR39">
        <v>0</v>
      </c>
      <c r="GS39">
        <v>3</v>
      </c>
      <c r="GT39">
        <v>0</v>
      </c>
      <c r="GU39" t="s">
        <v>3</v>
      </c>
      <c r="GV39">
        <f t="shared" si="33"/>
        <v>0</v>
      </c>
      <c r="GW39">
        <v>1</v>
      </c>
      <c r="GX39">
        <f t="shared" si="34"/>
        <v>0</v>
      </c>
      <c r="HA39">
        <v>0</v>
      </c>
      <c r="HB39">
        <v>0</v>
      </c>
      <c r="HC39">
        <f t="shared" si="39"/>
        <v>0</v>
      </c>
      <c r="HE39" t="s">
        <v>3</v>
      </c>
      <c r="HF39" t="s">
        <v>3</v>
      </c>
      <c r="HM39" t="s">
        <v>3</v>
      </c>
      <c r="HN39" t="s">
        <v>80</v>
      </c>
      <c r="HO39" t="s">
        <v>81</v>
      </c>
      <c r="HP39" t="s">
        <v>78</v>
      </c>
      <c r="HQ39" t="s">
        <v>78</v>
      </c>
      <c r="HS39">
        <v>0</v>
      </c>
      <c r="IK39">
        <v>0</v>
      </c>
    </row>
    <row r="40" spans="1:245" x14ac:dyDescent="0.2">
      <c r="A40">
        <v>18</v>
      </c>
      <c r="B40">
        <v>1</v>
      </c>
      <c r="C40">
        <v>53</v>
      </c>
      <c r="E40" t="s">
        <v>101</v>
      </c>
      <c r="F40" t="s">
        <v>102</v>
      </c>
      <c r="G40" t="s">
        <v>103</v>
      </c>
      <c r="H40" t="s">
        <v>104</v>
      </c>
      <c r="I40">
        <f>I39*J40</f>
        <v>0</v>
      </c>
      <c r="J40">
        <v>0</v>
      </c>
      <c r="K40">
        <v>0</v>
      </c>
      <c r="O40">
        <f t="shared" si="35"/>
        <v>0</v>
      </c>
      <c r="P40">
        <f>ROUND(CQ40*I40,2)</f>
        <v>0</v>
      </c>
      <c r="Q40">
        <f>ROUND(CR40*I40,2)</f>
        <v>0</v>
      </c>
      <c r="R40">
        <f>ROUND(CS40*I40,2)</f>
        <v>0</v>
      </c>
      <c r="S40">
        <f>ROUND(CT40*I40,2)</f>
        <v>0</v>
      </c>
      <c r="T40">
        <f t="shared" si="21"/>
        <v>0</v>
      </c>
      <c r="U40">
        <f>ROUND(CV40*I40,7)</f>
        <v>0</v>
      </c>
      <c r="V40">
        <f>ROUND(CW40*I40,7)</f>
        <v>0</v>
      </c>
      <c r="W40">
        <f t="shared" si="22"/>
        <v>0</v>
      </c>
      <c r="X40">
        <f t="shared" si="23"/>
        <v>0</v>
      </c>
      <c r="Y40">
        <f t="shared" si="24"/>
        <v>0</v>
      </c>
      <c r="AA40">
        <v>50253415</v>
      </c>
      <c r="AB40">
        <f t="shared" si="25"/>
        <v>55898.18</v>
      </c>
      <c r="AC40">
        <f>ROUND((ES40),6)</f>
        <v>55898.18</v>
      </c>
      <c r="AD40">
        <f>ROUND((((ET40)-(EU40))+AE40),6)</f>
        <v>0</v>
      </c>
      <c r="AE40">
        <f t="shared" ref="AE40:AF43" si="43">ROUND((EU40),6)</f>
        <v>0</v>
      </c>
      <c r="AF40">
        <f t="shared" si="43"/>
        <v>0</v>
      </c>
      <c r="AG40">
        <f t="shared" si="26"/>
        <v>0</v>
      </c>
      <c r="AH40">
        <f t="shared" ref="AH40:AI43" si="44">(EW40)</f>
        <v>0</v>
      </c>
      <c r="AI40">
        <f t="shared" si="44"/>
        <v>0</v>
      </c>
      <c r="AJ40">
        <f t="shared" si="27"/>
        <v>0</v>
      </c>
      <c r="AK40">
        <v>55898.18</v>
      </c>
      <c r="AL40">
        <v>55898.18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108</v>
      </c>
      <c r="AU40">
        <v>55</v>
      </c>
      <c r="AV40">
        <v>1</v>
      </c>
      <c r="AW40">
        <v>1</v>
      </c>
      <c r="AZ40">
        <v>1</v>
      </c>
      <c r="BA40">
        <v>1</v>
      </c>
      <c r="BB40">
        <v>1</v>
      </c>
      <c r="BC40">
        <v>1.36</v>
      </c>
      <c r="BD40" t="s">
        <v>3</v>
      </c>
      <c r="BE40" t="s">
        <v>3</v>
      </c>
      <c r="BF40" t="s">
        <v>3</v>
      </c>
      <c r="BG40" t="s">
        <v>3</v>
      </c>
      <c r="BH40">
        <v>3</v>
      </c>
      <c r="BI40">
        <v>1</v>
      </c>
      <c r="BJ40" t="s">
        <v>105</v>
      </c>
      <c r="BM40">
        <v>10001</v>
      </c>
      <c r="BN40">
        <v>0</v>
      </c>
      <c r="BO40" t="s">
        <v>102</v>
      </c>
      <c r="BP40">
        <v>1</v>
      </c>
      <c r="BQ40">
        <v>2</v>
      </c>
      <c r="BR40">
        <v>0</v>
      </c>
      <c r="BS40">
        <v>1</v>
      </c>
      <c r="BT40">
        <v>1</v>
      </c>
      <c r="BU40">
        <v>1</v>
      </c>
      <c r="BV40">
        <v>1</v>
      </c>
      <c r="BW40">
        <v>1</v>
      </c>
      <c r="BX40">
        <v>1</v>
      </c>
      <c r="BY40" t="s">
        <v>3</v>
      </c>
      <c r="BZ40">
        <v>108</v>
      </c>
      <c r="CA40">
        <v>55</v>
      </c>
      <c r="CB40" t="s">
        <v>3</v>
      </c>
      <c r="CE40">
        <v>0</v>
      </c>
      <c r="CF40">
        <v>0</v>
      </c>
      <c r="CG40">
        <v>0</v>
      </c>
      <c r="CM40">
        <v>0</v>
      </c>
      <c r="CN40" t="s">
        <v>3</v>
      </c>
      <c r="CO40">
        <v>0</v>
      </c>
      <c r="CP40">
        <f t="shared" si="36"/>
        <v>0</v>
      </c>
      <c r="CQ40">
        <f>ROUND(AL40*BC40,2)</f>
        <v>76021.52</v>
      </c>
      <c r="CR40">
        <f>ROUND(AM40*BB40,2)</f>
        <v>0</v>
      </c>
      <c r="CS40">
        <f>ROUND(AN40*BS40,2)</f>
        <v>0</v>
      </c>
      <c r="CT40">
        <f>ROUND(AO40*BA40,2)</f>
        <v>0</v>
      </c>
      <c r="CU40">
        <f t="shared" si="37"/>
        <v>0</v>
      </c>
      <c r="CV40">
        <f t="shared" ref="CV40:CW43" si="45">AH40</f>
        <v>0</v>
      </c>
      <c r="CW40">
        <f t="shared" si="45"/>
        <v>0</v>
      </c>
      <c r="CX40">
        <f t="shared" si="38"/>
        <v>0</v>
      </c>
      <c r="CY40">
        <f>(((S40+R40)*AT40)/100)</f>
        <v>0</v>
      </c>
      <c r="CZ40">
        <f>(((S40+R40)*AU40)/100)</f>
        <v>0</v>
      </c>
      <c r="DC40" t="s">
        <v>3</v>
      </c>
      <c r="DD40" t="s">
        <v>3</v>
      </c>
      <c r="DE40" t="s">
        <v>3</v>
      </c>
      <c r="DF40" t="s">
        <v>3</v>
      </c>
      <c r="DG40" t="s">
        <v>3</v>
      </c>
      <c r="DH40" t="s">
        <v>3</v>
      </c>
      <c r="DI40" t="s">
        <v>3</v>
      </c>
      <c r="DJ40" t="s">
        <v>3</v>
      </c>
      <c r="DK40" t="s">
        <v>3</v>
      </c>
      <c r="DL40" t="s">
        <v>3</v>
      </c>
      <c r="DM40" t="s">
        <v>3</v>
      </c>
      <c r="DN40">
        <v>0</v>
      </c>
      <c r="DO40">
        <v>0</v>
      </c>
      <c r="DP40">
        <v>1</v>
      </c>
      <c r="DQ40">
        <v>1</v>
      </c>
      <c r="DU40">
        <v>1009</v>
      </c>
      <c r="DV40" t="s">
        <v>104</v>
      </c>
      <c r="DW40" t="s">
        <v>104</v>
      </c>
      <c r="DX40">
        <v>1000</v>
      </c>
      <c r="DZ40" t="s">
        <v>3</v>
      </c>
      <c r="EA40" t="s">
        <v>3</v>
      </c>
      <c r="EB40" t="s">
        <v>3</v>
      </c>
      <c r="EC40" t="s">
        <v>3</v>
      </c>
      <c r="EE40">
        <v>49077871</v>
      </c>
      <c r="EF40">
        <v>2</v>
      </c>
      <c r="EG40" t="s">
        <v>22</v>
      </c>
      <c r="EH40">
        <v>10</v>
      </c>
      <c r="EI40" t="s">
        <v>78</v>
      </c>
      <c r="EJ40">
        <v>1</v>
      </c>
      <c r="EK40">
        <v>10001</v>
      </c>
      <c r="EL40" t="s">
        <v>78</v>
      </c>
      <c r="EM40" t="s">
        <v>79</v>
      </c>
      <c r="EO40" t="s">
        <v>3</v>
      </c>
      <c r="EQ40">
        <v>0</v>
      </c>
      <c r="ER40">
        <v>55898.18</v>
      </c>
      <c r="ES40">
        <v>55898.18</v>
      </c>
      <c r="ET40">
        <v>0</v>
      </c>
      <c r="EU40">
        <v>0</v>
      </c>
      <c r="EV40">
        <v>0</v>
      </c>
      <c r="EW40">
        <v>0</v>
      </c>
      <c r="EX40">
        <v>0</v>
      </c>
      <c r="FQ40">
        <v>0</v>
      </c>
      <c r="FR40">
        <v>0</v>
      </c>
      <c r="FS40">
        <v>0</v>
      </c>
      <c r="FX40">
        <v>108</v>
      </c>
      <c r="FY40">
        <v>55</v>
      </c>
      <c r="GA40" t="s">
        <v>3</v>
      </c>
      <c r="GD40">
        <v>1</v>
      </c>
      <c r="GF40">
        <v>-1856565771</v>
      </c>
      <c r="GG40">
        <v>2</v>
      </c>
      <c r="GH40">
        <v>1</v>
      </c>
      <c r="GI40">
        <v>2</v>
      </c>
      <c r="GJ40">
        <v>0</v>
      </c>
      <c r="GK40">
        <v>0</v>
      </c>
      <c r="GL40">
        <f t="shared" si="28"/>
        <v>0</v>
      </c>
      <c r="GM40">
        <f t="shared" si="29"/>
        <v>0</v>
      </c>
      <c r="GN40">
        <f t="shared" si="30"/>
        <v>0</v>
      </c>
      <c r="GO40">
        <f t="shared" si="31"/>
        <v>0</v>
      </c>
      <c r="GP40">
        <f t="shared" si="32"/>
        <v>0</v>
      </c>
      <c r="GR40">
        <v>0</v>
      </c>
      <c r="GS40">
        <v>3</v>
      </c>
      <c r="GT40">
        <v>0</v>
      </c>
      <c r="GU40" t="s">
        <v>3</v>
      </c>
      <c r="GV40">
        <f t="shared" si="33"/>
        <v>0</v>
      </c>
      <c r="GW40">
        <v>1</v>
      </c>
      <c r="GX40">
        <f t="shared" si="34"/>
        <v>0</v>
      </c>
      <c r="HA40">
        <v>0</v>
      </c>
      <c r="HB40">
        <v>0</v>
      </c>
      <c r="HC40">
        <f t="shared" si="39"/>
        <v>0</v>
      </c>
      <c r="HE40" t="s">
        <v>3</v>
      </c>
      <c r="HF40" t="s">
        <v>3</v>
      </c>
      <c r="HM40" t="s">
        <v>3</v>
      </c>
      <c r="HN40" t="s">
        <v>80</v>
      </c>
      <c r="HO40" t="s">
        <v>81</v>
      </c>
      <c r="HP40" t="s">
        <v>78</v>
      </c>
      <c r="HQ40" t="s">
        <v>78</v>
      </c>
      <c r="HS40">
        <v>0</v>
      </c>
      <c r="IK40">
        <v>0</v>
      </c>
    </row>
    <row r="41" spans="1:245" x14ac:dyDescent="0.2">
      <c r="A41">
        <v>18</v>
      </c>
      <c r="B41">
        <v>1</v>
      </c>
      <c r="C41">
        <v>55</v>
      </c>
      <c r="E41" t="s">
        <v>106</v>
      </c>
      <c r="F41" t="s">
        <v>83</v>
      </c>
      <c r="G41" t="s">
        <v>84</v>
      </c>
      <c r="H41" t="s">
        <v>85</v>
      </c>
      <c r="I41">
        <f>I39*J41</f>
        <v>0.50800000000000001</v>
      </c>
      <c r="J41">
        <v>2.54</v>
      </c>
      <c r="K41">
        <v>2.54</v>
      </c>
      <c r="O41">
        <f t="shared" si="35"/>
        <v>0</v>
      </c>
      <c r="P41">
        <f>ROUND(CQ41*I41,2)</f>
        <v>0</v>
      </c>
      <c r="Q41">
        <f>ROUND(CR41*I41,2)</f>
        <v>0</v>
      </c>
      <c r="R41">
        <f>ROUND(CS41*I41,2)</f>
        <v>0</v>
      </c>
      <c r="S41">
        <f>ROUND(CT41*I41,2)</f>
        <v>0</v>
      </c>
      <c r="T41">
        <f t="shared" si="21"/>
        <v>0</v>
      </c>
      <c r="U41">
        <f>ROUND(CV41*I41,7)</f>
        <v>0</v>
      </c>
      <c r="V41">
        <f>ROUND(CW41*I41,7)</f>
        <v>0</v>
      </c>
      <c r="W41">
        <f t="shared" si="22"/>
        <v>0</v>
      </c>
      <c r="X41">
        <f t="shared" si="23"/>
        <v>0</v>
      </c>
      <c r="Y41">
        <f t="shared" si="24"/>
        <v>0</v>
      </c>
      <c r="AA41">
        <v>50253415</v>
      </c>
      <c r="AB41">
        <f t="shared" si="25"/>
        <v>0</v>
      </c>
      <c r="AC41">
        <f>ROUND((ES41),6)</f>
        <v>0</v>
      </c>
      <c r="AD41">
        <f>ROUND((((ET41)-(EU41))+AE41),6)</f>
        <v>0</v>
      </c>
      <c r="AE41">
        <f t="shared" si="43"/>
        <v>0</v>
      </c>
      <c r="AF41">
        <f t="shared" si="43"/>
        <v>0</v>
      </c>
      <c r="AG41">
        <f t="shared" si="26"/>
        <v>0</v>
      </c>
      <c r="AH41">
        <f t="shared" si="44"/>
        <v>0</v>
      </c>
      <c r="AI41">
        <f t="shared" si="44"/>
        <v>0</v>
      </c>
      <c r="AJ41">
        <f t="shared" si="27"/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108</v>
      </c>
      <c r="AU41">
        <v>55</v>
      </c>
      <c r="AV41">
        <v>1</v>
      </c>
      <c r="AW41">
        <v>1</v>
      </c>
      <c r="AZ41">
        <v>1</v>
      </c>
      <c r="BA41">
        <v>1</v>
      </c>
      <c r="BB41">
        <v>1</v>
      </c>
      <c r="BC41">
        <v>1</v>
      </c>
      <c r="BD41" t="s">
        <v>3</v>
      </c>
      <c r="BE41" t="s">
        <v>3</v>
      </c>
      <c r="BF41" t="s">
        <v>3</v>
      </c>
      <c r="BG41" t="s">
        <v>3</v>
      </c>
      <c r="BH41">
        <v>3</v>
      </c>
      <c r="BI41">
        <v>1</v>
      </c>
      <c r="BJ41" t="s">
        <v>3</v>
      </c>
      <c r="BM41">
        <v>10001</v>
      </c>
      <c r="BN41">
        <v>0</v>
      </c>
      <c r="BO41" t="s">
        <v>3</v>
      </c>
      <c r="BP41">
        <v>0</v>
      </c>
      <c r="BQ41">
        <v>2</v>
      </c>
      <c r="BR41">
        <v>0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3</v>
      </c>
      <c r="BZ41">
        <v>108</v>
      </c>
      <c r="CA41">
        <v>55</v>
      </c>
      <c r="CB41" t="s">
        <v>3</v>
      </c>
      <c r="CE41">
        <v>0</v>
      </c>
      <c r="CF41">
        <v>0</v>
      </c>
      <c r="CG41">
        <v>0</v>
      </c>
      <c r="CM41">
        <v>0</v>
      </c>
      <c r="CN41" t="s">
        <v>3</v>
      </c>
      <c r="CO41">
        <v>0</v>
      </c>
      <c r="CP41">
        <f t="shared" si="36"/>
        <v>0</v>
      </c>
      <c r="CQ41">
        <f>ROUND(AL41*BC41,2)</f>
        <v>0</v>
      </c>
      <c r="CR41">
        <f>ROUND(AM41*BB41,2)</f>
        <v>0</v>
      </c>
      <c r="CS41">
        <f>ROUND(AN41*BS41,2)</f>
        <v>0</v>
      </c>
      <c r="CT41">
        <f>ROUND(AO41*BA41,2)</f>
        <v>0</v>
      </c>
      <c r="CU41">
        <f t="shared" si="37"/>
        <v>0</v>
      </c>
      <c r="CV41">
        <f t="shared" si="45"/>
        <v>0</v>
      </c>
      <c r="CW41">
        <f t="shared" si="45"/>
        <v>0</v>
      </c>
      <c r="CX41">
        <f t="shared" si="38"/>
        <v>0</v>
      </c>
      <c r="CY41">
        <f>(((S41+R41)*AT41)/100)</f>
        <v>0</v>
      </c>
      <c r="CZ41">
        <f>(((S41+R41)*AU41)/100)</f>
        <v>0</v>
      </c>
      <c r="DC41" t="s">
        <v>3</v>
      </c>
      <c r="DD41" t="s">
        <v>3</v>
      </c>
      <c r="DE41" t="s">
        <v>3</v>
      </c>
      <c r="DF41" t="s">
        <v>3</v>
      </c>
      <c r="DG41" t="s">
        <v>3</v>
      </c>
      <c r="DH41" t="s">
        <v>3</v>
      </c>
      <c r="DI41" t="s">
        <v>3</v>
      </c>
      <c r="DJ41" t="s">
        <v>3</v>
      </c>
      <c r="DK41" t="s">
        <v>3</v>
      </c>
      <c r="DL41" t="s">
        <v>3</v>
      </c>
      <c r="DM41" t="s">
        <v>3</v>
      </c>
      <c r="DN41">
        <v>0</v>
      </c>
      <c r="DO41">
        <v>0</v>
      </c>
      <c r="DP41">
        <v>1</v>
      </c>
      <c r="DQ41">
        <v>1</v>
      </c>
      <c r="DU41">
        <v>1007</v>
      </c>
      <c r="DV41" t="s">
        <v>85</v>
      </c>
      <c r="DW41" t="s">
        <v>85</v>
      </c>
      <c r="DX41">
        <v>1</v>
      </c>
      <c r="DZ41" t="s">
        <v>3</v>
      </c>
      <c r="EA41" t="s">
        <v>3</v>
      </c>
      <c r="EB41" t="s">
        <v>3</v>
      </c>
      <c r="EC41" t="s">
        <v>3</v>
      </c>
      <c r="EE41">
        <v>49077871</v>
      </c>
      <c r="EF41">
        <v>2</v>
      </c>
      <c r="EG41" t="s">
        <v>22</v>
      </c>
      <c r="EH41">
        <v>10</v>
      </c>
      <c r="EI41" t="s">
        <v>78</v>
      </c>
      <c r="EJ41">
        <v>1</v>
      </c>
      <c r="EK41">
        <v>10001</v>
      </c>
      <c r="EL41" t="s">
        <v>78</v>
      </c>
      <c r="EM41" t="s">
        <v>79</v>
      </c>
      <c r="EO41" t="s">
        <v>3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FQ41">
        <v>0</v>
      </c>
      <c r="FR41">
        <v>0</v>
      </c>
      <c r="FS41">
        <v>0</v>
      </c>
      <c r="FX41">
        <v>108</v>
      </c>
      <c r="FY41">
        <v>55</v>
      </c>
      <c r="GA41" t="s">
        <v>3</v>
      </c>
      <c r="GD41">
        <v>1</v>
      </c>
      <c r="GF41">
        <v>758329700</v>
      </c>
      <c r="GG41">
        <v>2</v>
      </c>
      <c r="GH41">
        <v>1</v>
      </c>
      <c r="GI41">
        <v>-2</v>
      </c>
      <c r="GJ41">
        <v>0</v>
      </c>
      <c r="GK41">
        <v>0</v>
      </c>
      <c r="GL41">
        <f t="shared" si="28"/>
        <v>0</v>
      </c>
      <c r="GM41">
        <f t="shared" si="29"/>
        <v>0</v>
      </c>
      <c r="GN41">
        <f t="shared" si="30"/>
        <v>0</v>
      </c>
      <c r="GO41">
        <f t="shared" si="31"/>
        <v>0</v>
      </c>
      <c r="GP41">
        <f t="shared" si="32"/>
        <v>0</v>
      </c>
      <c r="GR41">
        <v>0</v>
      </c>
      <c r="GS41">
        <v>3</v>
      </c>
      <c r="GT41">
        <v>0</v>
      </c>
      <c r="GU41" t="s">
        <v>3</v>
      </c>
      <c r="GV41">
        <f t="shared" si="33"/>
        <v>0</v>
      </c>
      <c r="GW41">
        <v>1</v>
      </c>
      <c r="GX41">
        <f t="shared" si="34"/>
        <v>0</v>
      </c>
      <c r="HA41">
        <v>0</v>
      </c>
      <c r="HB41">
        <v>0</v>
      </c>
      <c r="HC41">
        <f t="shared" si="39"/>
        <v>0</v>
      </c>
      <c r="HE41" t="s">
        <v>3</v>
      </c>
      <c r="HF41" t="s">
        <v>3</v>
      </c>
      <c r="HM41" t="s">
        <v>3</v>
      </c>
      <c r="HN41" t="s">
        <v>80</v>
      </c>
      <c r="HO41" t="s">
        <v>81</v>
      </c>
      <c r="HP41" t="s">
        <v>78</v>
      </c>
      <c r="HQ41" t="s">
        <v>78</v>
      </c>
      <c r="HS41">
        <v>0</v>
      </c>
      <c r="IK41">
        <v>0</v>
      </c>
    </row>
    <row r="42" spans="1:245" x14ac:dyDescent="0.2">
      <c r="A42">
        <v>17</v>
      </c>
      <c r="B42">
        <v>1</v>
      </c>
      <c r="E42" t="s">
        <v>107</v>
      </c>
      <c r="F42" t="s">
        <v>108</v>
      </c>
      <c r="G42" t="s">
        <v>109</v>
      </c>
      <c r="H42" t="s">
        <v>85</v>
      </c>
      <c r="I42">
        <v>0.50800000000000001</v>
      </c>
      <c r="J42">
        <v>0</v>
      </c>
      <c r="K42">
        <v>0.50800000000000001</v>
      </c>
      <c r="O42">
        <f t="shared" si="35"/>
        <v>8291.5300000000007</v>
      </c>
      <c r="P42">
        <f>ROUND(CQ42*I42,2)</f>
        <v>8291.5300000000007</v>
      </c>
      <c r="Q42">
        <f>ROUND(CR42*I42,2)</f>
        <v>0</v>
      </c>
      <c r="R42">
        <f>ROUND(CS42*I42,2)</f>
        <v>0</v>
      </c>
      <c r="S42">
        <f>ROUND(CT42*I42,2)</f>
        <v>0</v>
      </c>
      <c r="T42">
        <f t="shared" si="21"/>
        <v>0</v>
      </c>
      <c r="U42">
        <f>ROUND(CV42*I42,7)</f>
        <v>0</v>
      </c>
      <c r="V42">
        <f>ROUND(CW42*I42,7)</f>
        <v>0</v>
      </c>
      <c r="W42">
        <f t="shared" si="22"/>
        <v>0</v>
      </c>
      <c r="X42">
        <f t="shared" si="23"/>
        <v>0</v>
      </c>
      <c r="Y42">
        <f t="shared" si="24"/>
        <v>0</v>
      </c>
      <c r="AA42">
        <v>50253415</v>
      </c>
      <c r="AB42">
        <f t="shared" si="25"/>
        <v>16655</v>
      </c>
      <c r="AC42">
        <f>ROUND((ES42),6)</f>
        <v>16655</v>
      </c>
      <c r="AD42">
        <f>ROUND((((ET42)-(EU42))+AE42),6)</f>
        <v>0</v>
      </c>
      <c r="AE42">
        <f t="shared" si="43"/>
        <v>0</v>
      </c>
      <c r="AF42">
        <f t="shared" si="43"/>
        <v>0</v>
      </c>
      <c r="AG42">
        <f t="shared" si="26"/>
        <v>0</v>
      </c>
      <c r="AH42">
        <f t="shared" si="44"/>
        <v>0</v>
      </c>
      <c r="AI42">
        <f t="shared" si="44"/>
        <v>0</v>
      </c>
      <c r="AJ42">
        <f t="shared" si="27"/>
        <v>0</v>
      </c>
      <c r="AK42">
        <v>16655</v>
      </c>
      <c r="AL42">
        <v>16655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1</v>
      </c>
      <c r="AW42">
        <v>1</v>
      </c>
      <c r="AZ42">
        <v>1</v>
      </c>
      <c r="BA42">
        <v>1</v>
      </c>
      <c r="BB42">
        <v>1</v>
      </c>
      <c r="BC42">
        <v>0.98</v>
      </c>
      <c r="BD42" t="s">
        <v>3</v>
      </c>
      <c r="BE42" t="s">
        <v>3</v>
      </c>
      <c r="BF42" t="s">
        <v>3</v>
      </c>
      <c r="BG42" t="s">
        <v>3</v>
      </c>
      <c r="BH42">
        <v>3</v>
      </c>
      <c r="BI42">
        <v>1</v>
      </c>
      <c r="BJ42" t="s">
        <v>110</v>
      </c>
      <c r="BM42">
        <v>500001</v>
      </c>
      <c r="BN42">
        <v>0</v>
      </c>
      <c r="BO42" t="s">
        <v>108</v>
      </c>
      <c r="BP42">
        <v>1</v>
      </c>
      <c r="BQ42">
        <v>8</v>
      </c>
      <c r="BR42">
        <v>0</v>
      </c>
      <c r="BS42">
        <v>1</v>
      </c>
      <c r="BT42">
        <v>1</v>
      </c>
      <c r="BU42">
        <v>1</v>
      </c>
      <c r="BV42">
        <v>1</v>
      </c>
      <c r="BW42">
        <v>1</v>
      </c>
      <c r="BX42">
        <v>1</v>
      </c>
      <c r="BY42" t="s">
        <v>3</v>
      </c>
      <c r="BZ42">
        <v>0</v>
      </c>
      <c r="CA42">
        <v>0</v>
      </c>
      <c r="CB42" t="s">
        <v>3</v>
      </c>
      <c r="CE42">
        <v>0</v>
      </c>
      <c r="CF42">
        <v>0</v>
      </c>
      <c r="CG42">
        <v>0</v>
      </c>
      <c r="CM42">
        <v>0</v>
      </c>
      <c r="CN42" t="s">
        <v>3</v>
      </c>
      <c r="CO42">
        <v>0</v>
      </c>
      <c r="CP42">
        <f t="shared" si="36"/>
        <v>8291.5300000000007</v>
      </c>
      <c r="CQ42">
        <f>ROUND(AL42*BC42,2)</f>
        <v>16321.9</v>
      </c>
      <c r="CR42">
        <f>ROUND(AM42*BB42,2)</f>
        <v>0</v>
      </c>
      <c r="CS42">
        <f>ROUND(AN42*BS42,2)</f>
        <v>0</v>
      </c>
      <c r="CT42">
        <f>ROUND(AO42*BA42,2)</f>
        <v>0</v>
      </c>
      <c r="CU42">
        <f t="shared" si="37"/>
        <v>0</v>
      </c>
      <c r="CV42">
        <f t="shared" si="45"/>
        <v>0</v>
      </c>
      <c r="CW42">
        <f t="shared" si="45"/>
        <v>0</v>
      </c>
      <c r="CX42">
        <f t="shared" si="38"/>
        <v>0</v>
      </c>
      <c r="CY42">
        <f>0</f>
        <v>0</v>
      </c>
      <c r="CZ42">
        <f>0</f>
        <v>0</v>
      </c>
      <c r="DC42" t="s">
        <v>3</v>
      </c>
      <c r="DD42" t="s">
        <v>3</v>
      </c>
      <c r="DE42" t="s">
        <v>3</v>
      </c>
      <c r="DF42" t="s">
        <v>3</v>
      </c>
      <c r="DG42" t="s">
        <v>3</v>
      </c>
      <c r="DH42" t="s">
        <v>3</v>
      </c>
      <c r="DI42" t="s">
        <v>3</v>
      </c>
      <c r="DJ42" t="s">
        <v>3</v>
      </c>
      <c r="DK42" t="s">
        <v>3</v>
      </c>
      <c r="DL42" t="s">
        <v>3</v>
      </c>
      <c r="DM42" t="s">
        <v>3</v>
      </c>
      <c r="DN42">
        <v>0</v>
      </c>
      <c r="DO42">
        <v>0</v>
      </c>
      <c r="DP42">
        <v>1</v>
      </c>
      <c r="DQ42">
        <v>1</v>
      </c>
      <c r="DU42">
        <v>1007</v>
      </c>
      <c r="DV42" t="s">
        <v>85</v>
      </c>
      <c r="DW42" t="s">
        <v>85</v>
      </c>
      <c r="DX42">
        <v>1</v>
      </c>
      <c r="DZ42" t="s">
        <v>3</v>
      </c>
      <c r="EA42" t="s">
        <v>3</v>
      </c>
      <c r="EB42" t="s">
        <v>3</v>
      </c>
      <c r="EC42" t="s">
        <v>3</v>
      </c>
      <c r="EE42">
        <v>49077804</v>
      </c>
      <c r="EF42">
        <v>8</v>
      </c>
      <c r="EG42" t="s">
        <v>94</v>
      </c>
      <c r="EH42">
        <v>0</v>
      </c>
      <c r="EI42" t="s">
        <v>3</v>
      </c>
      <c r="EJ42">
        <v>1</v>
      </c>
      <c r="EK42">
        <v>500001</v>
      </c>
      <c r="EL42" t="s">
        <v>95</v>
      </c>
      <c r="EM42" t="s">
        <v>96</v>
      </c>
      <c r="EO42" t="s">
        <v>3</v>
      </c>
      <c r="EQ42">
        <v>0</v>
      </c>
      <c r="ER42">
        <v>16655</v>
      </c>
      <c r="ES42">
        <v>16655</v>
      </c>
      <c r="ET42">
        <v>0</v>
      </c>
      <c r="EU42">
        <v>0</v>
      </c>
      <c r="EV42">
        <v>0</v>
      </c>
      <c r="EW42">
        <v>0</v>
      </c>
      <c r="EX42">
        <v>0</v>
      </c>
      <c r="EY42">
        <v>0</v>
      </c>
      <c r="FQ42">
        <v>0</v>
      </c>
      <c r="FR42">
        <v>0</v>
      </c>
      <c r="FS42">
        <v>0</v>
      </c>
      <c r="FX42">
        <v>0</v>
      </c>
      <c r="FY42">
        <v>0</v>
      </c>
      <c r="GA42" t="s">
        <v>3</v>
      </c>
      <c r="GD42">
        <v>1</v>
      </c>
      <c r="GF42">
        <v>1931767545</v>
      </c>
      <c r="GG42">
        <v>2</v>
      </c>
      <c r="GH42">
        <v>1</v>
      </c>
      <c r="GI42">
        <v>2</v>
      </c>
      <c r="GJ42">
        <v>0</v>
      </c>
      <c r="GK42">
        <v>0</v>
      </c>
      <c r="GL42">
        <f t="shared" si="28"/>
        <v>0</v>
      </c>
      <c r="GM42">
        <f t="shared" si="29"/>
        <v>8291.5300000000007</v>
      </c>
      <c r="GN42">
        <f t="shared" si="30"/>
        <v>8291.5300000000007</v>
      </c>
      <c r="GO42">
        <f t="shared" si="31"/>
        <v>0</v>
      </c>
      <c r="GP42">
        <f t="shared" si="32"/>
        <v>0</v>
      </c>
      <c r="GR42">
        <v>0</v>
      </c>
      <c r="GS42">
        <v>3</v>
      </c>
      <c r="GT42">
        <v>0</v>
      </c>
      <c r="GU42" t="s">
        <v>3</v>
      </c>
      <c r="GV42">
        <f t="shared" si="33"/>
        <v>0</v>
      </c>
      <c r="GW42">
        <v>1</v>
      </c>
      <c r="GX42">
        <f t="shared" si="34"/>
        <v>0</v>
      </c>
      <c r="HA42">
        <v>0</v>
      </c>
      <c r="HB42">
        <v>0</v>
      </c>
      <c r="HC42">
        <f t="shared" si="39"/>
        <v>0</v>
      </c>
      <c r="HE42" t="s">
        <v>3</v>
      </c>
      <c r="HF42" t="s">
        <v>3</v>
      </c>
      <c r="HM42" t="s">
        <v>3</v>
      </c>
      <c r="HN42" t="s">
        <v>3</v>
      </c>
      <c r="HO42" t="s">
        <v>3</v>
      </c>
      <c r="HP42" t="s">
        <v>3</v>
      </c>
      <c r="HQ42" t="s">
        <v>3</v>
      </c>
      <c r="HS42">
        <v>0</v>
      </c>
      <c r="IK42">
        <v>0</v>
      </c>
    </row>
    <row r="43" spans="1:245" x14ac:dyDescent="0.2">
      <c r="A43">
        <v>17</v>
      </c>
      <c r="B43">
        <v>1</v>
      </c>
      <c r="E43" t="s">
        <v>111</v>
      </c>
      <c r="F43" t="s">
        <v>112</v>
      </c>
      <c r="G43" t="s">
        <v>113</v>
      </c>
      <c r="H43" t="s">
        <v>114</v>
      </c>
      <c r="I43">
        <v>2</v>
      </c>
      <c r="J43">
        <v>0</v>
      </c>
      <c r="K43">
        <v>2</v>
      </c>
      <c r="O43">
        <f t="shared" si="35"/>
        <v>2163.42</v>
      </c>
      <c r="P43">
        <f>ROUND(CQ43*I43,2)</f>
        <v>2163.42</v>
      </c>
      <c r="Q43">
        <f>ROUND(CR43*I43,2)</f>
        <v>0</v>
      </c>
      <c r="R43">
        <f>ROUND(CS43*I43,2)</f>
        <v>0</v>
      </c>
      <c r="S43">
        <f>ROUND(CT43*I43,2)</f>
        <v>0</v>
      </c>
      <c r="T43">
        <f t="shared" si="21"/>
        <v>0</v>
      </c>
      <c r="U43">
        <f>ROUND(CV43*I43,7)</f>
        <v>0</v>
      </c>
      <c r="V43">
        <f>ROUND(CW43*I43,7)</f>
        <v>0</v>
      </c>
      <c r="W43">
        <f t="shared" si="22"/>
        <v>0</v>
      </c>
      <c r="X43">
        <f t="shared" si="23"/>
        <v>0</v>
      </c>
      <c r="Y43">
        <f t="shared" si="24"/>
        <v>0</v>
      </c>
      <c r="AA43">
        <v>50253415</v>
      </c>
      <c r="AB43">
        <f t="shared" si="25"/>
        <v>740.9</v>
      </c>
      <c r="AC43">
        <f>ROUND((ES43),6)</f>
        <v>740.9</v>
      </c>
      <c r="AD43">
        <f>ROUND((((ET43)-(EU43))+AE43),6)</f>
        <v>0</v>
      </c>
      <c r="AE43">
        <f t="shared" si="43"/>
        <v>0</v>
      </c>
      <c r="AF43">
        <f t="shared" si="43"/>
        <v>0</v>
      </c>
      <c r="AG43">
        <f t="shared" si="26"/>
        <v>0</v>
      </c>
      <c r="AH43">
        <f t="shared" si="44"/>
        <v>0</v>
      </c>
      <c r="AI43">
        <f t="shared" si="44"/>
        <v>0</v>
      </c>
      <c r="AJ43">
        <f t="shared" si="27"/>
        <v>0</v>
      </c>
      <c r="AK43">
        <v>740.9</v>
      </c>
      <c r="AL43">
        <v>740.9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1</v>
      </c>
      <c r="AW43">
        <v>1</v>
      </c>
      <c r="AZ43">
        <v>1</v>
      </c>
      <c r="BA43">
        <v>1</v>
      </c>
      <c r="BB43">
        <v>1</v>
      </c>
      <c r="BC43">
        <v>1.46</v>
      </c>
      <c r="BD43" t="s">
        <v>3</v>
      </c>
      <c r="BE43" t="s">
        <v>3</v>
      </c>
      <c r="BF43" t="s">
        <v>3</v>
      </c>
      <c r="BG43" t="s">
        <v>3</v>
      </c>
      <c r="BH43">
        <v>3</v>
      </c>
      <c r="BI43">
        <v>1</v>
      </c>
      <c r="BJ43" t="s">
        <v>115</v>
      </c>
      <c r="BM43">
        <v>500001</v>
      </c>
      <c r="BN43">
        <v>0</v>
      </c>
      <c r="BO43" t="s">
        <v>112</v>
      </c>
      <c r="BP43">
        <v>1</v>
      </c>
      <c r="BQ43">
        <v>8</v>
      </c>
      <c r="BR43">
        <v>0</v>
      </c>
      <c r="BS43">
        <v>1</v>
      </c>
      <c r="BT43">
        <v>1</v>
      </c>
      <c r="BU43">
        <v>1</v>
      </c>
      <c r="BV43">
        <v>1</v>
      </c>
      <c r="BW43">
        <v>1</v>
      </c>
      <c r="BX43">
        <v>1</v>
      </c>
      <c r="BY43" t="s">
        <v>3</v>
      </c>
      <c r="BZ43">
        <v>0</v>
      </c>
      <c r="CA43">
        <v>0</v>
      </c>
      <c r="CB43" t="s">
        <v>3</v>
      </c>
      <c r="CE43">
        <v>0</v>
      </c>
      <c r="CF43">
        <v>0</v>
      </c>
      <c r="CG43">
        <v>0</v>
      </c>
      <c r="CM43">
        <v>0</v>
      </c>
      <c r="CN43" t="s">
        <v>3</v>
      </c>
      <c r="CO43">
        <v>0</v>
      </c>
      <c r="CP43">
        <f t="shared" si="36"/>
        <v>2163.42</v>
      </c>
      <c r="CQ43">
        <f>ROUND(AL43*BC43,2)</f>
        <v>1081.71</v>
      </c>
      <c r="CR43">
        <f>ROUND(AM43*BB43,2)</f>
        <v>0</v>
      </c>
      <c r="CS43">
        <f>ROUND(AN43*BS43,2)</f>
        <v>0</v>
      </c>
      <c r="CT43">
        <f>ROUND(AO43*BA43,2)</f>
        <v>0</v>
      </c>
      <c r="CU43">
        <f t="shared" si="37"/>
        <v>0</v>
      </c>
      <c r="CV43">
        <f t="shared" si="45"/>
        <v>0</v>
      </c>
      <c r="CW43">
        <f t="shared" si="45"/>
        <v>0</v>
      </c>
      <c r="CX43">
        <f t="shared" si="38"/>
        <v>0</v>
      </c>
      <c r="CY43">
        <f>0</f>
        <v>0</v>
      </c>
      <c r="CZ43">
        <f>0</f>
        <v>0</v>
      </c>
      <c r="DC43" t="s">
        <v>3</v>
      </c>
      <c r="DD43" t="s">
        <v>3</v>
      </c>
      <c r="DE43" t="s">
        <v>3</v>
      </c>
      <c r="DF43" t="s">
        <v>3</v>
      </c>
      <c r="DG43" t="s">
        <v>3</v>
      </c>
      <c r="DH43" t="s">
        <v>3</v>
      </c>
      <c r="DI43" t="s">
        <v>3</v>
      </c>
      <c r="DJ43" t="s">
        <v>3</v>
      </c>
      <c r="DK43" t="s">
        <v>3</v>
      </c>
      <c r="DL43" t="s">
        <v>3</v>
      </c>
      <c r="DM43" t="s">
        <v>3</v>
      </c>
      <c r="DN43">
        <v>0</v>
      </c>
      <c r="DO43">
        <v>0</v>
      </c>
      <c r="DP43">
        <v>1</v>
      </c>
      <c r="DQ43">
        <v>1</v>
      </c>
      <c r="DU43">
        <v>1013</v>
      </c>
      <c r="DV43" t="s">
        <v>114</v>
      </c>
      <c r="DW43" t="s">
        <v>114</v>
      </c>
      <c r="DX43">
        <v>1</v>
      </c>
      <c r="DZ43" t="s">
        <v>3</v>
      </c>
      <c r="EA43" t="s">
        <v>3</v>
      </c>
      <c r="EB43" t="s">
        <v>3</v>
      </c>
      <c r="EC43" t="s">
        <v>3</v>
      </c>
      <c r="EE43">
        <v>49077804</v>
      </c>
      <c r="EF43">
        <v>8</v>
      </c>
      <c r="EG43" t="s">
        <v>94</v>
      </c>
      <c r="EH43">
        <v>0</v>
      </c>
      <c r="EI43" t="s">
        <v>3</v>
      </c>
      <c r="EJ43">
        <v>1</v>
      </c>
      <c r="EK43">
        <v>500001</v>
      </c>
      <c r="EL43" t="s">
        <v>95</v>
      </c>
      <c r="EM43" t="s">
        <v>96</v>
      </c>
      <c r="EO43" t="s">
        <v>3</v>
      </c>
      <c r="EQ43">
        <v>0</v>
      </c>
      <c r="ER43">
        <v>740.9</v>
      </c>
      <c r="ES43">
        <v>740.9</v>
      </c>
      <c r="ET43">
        <v>0</v>
      </c>
      <c r="EU43">
        <v>0</v>
      </c>
      <c r="EV43">
        <v>0</v>
      </c>
      <c r="EW43">
        <v>0</v>
      </c>
      <c r="EX43">
        <v>0</v>
      </c>
      <c r="EY43">
        <v>0</v>
      </c>
      <c r="FQ43">
        <v>0</v>
      </c>
      <c r="FR43">
        <v>0</v>
      </c>
      <c r="FS43">
        <v>0</v>
      </c>
      <c r="FX43">
        <v>0</v>
      </c>
      <c r="FY43">
        <v>0</v>
      </c>
      <c r="GA43" t="s">
        <v>3</v>
      </c>
      <c r="GD43">
        <v>1</v>
      </c>
      <c r="GF43">
        <v>679029297</v>
      </c>
      <c r="GG43">
        <v>2</v>
      </c>
      <c r="GH43">
        <v>1</v>
      </c>
      <c r="GI43">
        <v>2</v>
      </c>
      <c r="GJ43">
        <v>0</v>
      </c>
      <c r="GK43">
        <v>0</v>
      </c>
      <c r="GL43">
        <f t="shared" si="28"/>
        <v>0</v>
      </c>
      <c r="GM43">
        <f t="shared" si="29"/>
        <v>2163.42</v>
      </c>
      <c r="GN43">
        <f t="shared" si="30"/>
        <v>2163.42</v>
      </c>
      <c r="GO43">
        <f t="shared" si="31"/>
        <v>0</v>
      </c>
      <c r="GP43">
        <f t="shared" si="32"/>
        <v>0</v>
      </c>
      <c r="GR43">
        <v>0</v>
      </c>
      <c r="GS43">
        <v>3</v>
      </c>
      <c r="GT43">
        <v>0</v>
      </c>
      <c r="GU43" t="s">
        <v>3</v>
      </c>
      <c r="GV43">
        <f t="shared" si="33"/>
        <v>0</v>
      </c>
      <c r="GW43">
        <v>1</v>
      </c>
      <c r="GX43">
        <f t="shared" si="34"/>
        <v>0</v>
      </c>
      <c r="HA43">
        <v>0</v>
      </c>
      <c r="HB43">
        <v>0</v>
      </c>
      <c r="HC43">
        <f t="shared" si="39"/>
        <v>0</v>
      </c>
      <c r="HE43" t="s">
        <v>3</v>
      </c>
      <c r="HF43" t="s">
        <v>3</v>
      </c>
      <c r="HM43" t="s">
        <v>3</v>
      </c>
      <c r="HN43" t="s">
        <v>3</v>
      </c>
      <c r="HO43" t="s">
        <v>3</v>
      </c>
      <c r="HP43" t="s">
        <v>3</v>
      </c>
      <c r="HQ43" t="s">
        <v>3</v>
      </c>
      <c r="HS43">
        <v>0</v>
      </c>
      <c r="IK43">
        <v>0</v>
      </c>
    </row>
    <row r="45" spans="1:245" x14ac:dyDescent="0.2">
      <c r="A45" s="2">
        <v>51</v>
      </c>
      <c r="B45" s="2">
        <f>B24</f>
        <v>1</v>
      </c>
      <c r="C45" s="2">
        <f>A24</f>
        <v>4</v>
      </c>
      <c r="D45" s="2">
        <f>ROW(A24)</f>
        <v>24</v>
      </c>
      <c r="E45" s="2"/>
      <c r="F45" s="2" t="str">
        <f>IF(F24&lt;&gt;"",F24,"")</f>
        <v>Новый раздел</v>
      </c>
      <c r="G45" s="2" t="str">
        <f>IF(G24&lt;&gt;"",G24,"")</f>
        <v>1. Подготовительные работы</v>
      </c>
      <c r="H45" s="2">
        <v>0</v>
      </c>
      <c r="I45" s="2"/>
      <c r="J45" s="2"/>
      <c r="K45" s="2"/>
      <c r="L45" s="2"/>
      <c r="M45" s="2"/>
      <c r="N45" s="2"/>
      <c r="O45" s="2">
        <f t="shared" ref="O45:T45" si="46">ROUND(AB45,2)</f>
        <v>250253.75</v>
      </c>
      <c r="P45" s="2">
        <f t="shared" si="46"/>
        <v>62015.43</v>
      </c>
      <c r="Q45" s="2">
        <f t="shared" si="46"/>
        <v>56769.64</v>
      </c>
      <c r="R45" s="2">
        <f t="shared" si="46"/>
        <v>19171.650000000001</v>
      </c>
      <c r="S45" s="2">
        <f t="shared" si="46"/>
        <v>112297.03</v>
      </c>
      <c r="T45" s="2">
        <f t="shared" si="46"/>
        <v>0</v>
      </c>
      <c r="U45" s="2">
        <f>AH45</f>
        <v>322.41984000000002</v>
      </c>
      <c r="V45" s="2">
        <f>AI45</f>
        <v>38.397800000000004</v>
      </c>
      <c r="W45" s="2">
        <f>ROUND(AJ45,2)</f>
        <v>0</v>
      </c>
      <c r="X45" s="2">
        <f>ROUND(AK45,2)</f>
        <v>140277.48000000001</v>
      </c>
      <c r="Y45" s="2">
        <f>ROUND(AL45,2)</f>
        <v>71783.78</v>
      </c>
      <c r="Z45" s="2"/>
      <c r="AA45" s="2"/>
      <c r="AB45" s="2">
        <f>ROUND(SUMIF(AA28:AA43,"=50253415",O28:O43),2)</f>
        <v>250253.75</v>
      </c>
      <c r="AC45" s="2">
        <f>ROUND(SUMIF(AA28:AA43,"=50253415",P28:P43),2)</f>
        <v>62015.43</v>
      </c>
      <c r="AD45" s="2">
        <f>ROUND(SUMIF(AA28:AA43,"=50253415",Q28:Q43),2)</f>
        <v>56769.64</v>
      </c>
      <c r="AE45" s="2">
        <f>ROUND(SUMIF(AA28:AA43,"=50253415",R28:R43),2)</f>
        <v>19171.650000000001</v>
      </c>
      <c r="AF45" s="2">
        <f>ROUND(SUMIF(AA28:AA43,"=50253415",S28:S43),2)</f>
        <v>112297.03</v>
      </c>
      <c r="AG45" s="2">
        <f>ROUND(SUMIF(AA28:AA43,"=50253415",T28:T43),2)</f>
        <v>0</v>
      </c>
      <c r="AH45" s="2">
        <f>SUMIF(AA28:AA43,"=50253415",U28:U43)</f>
        <v>322.41984000000002</v>
      </c>
      <c r="AI45" s="2">
        <f>SUMIF(AA28:AA43,"=50253415",V28:V43)</f>
        <v>38.397800000000004</v>
      </c>
      <c r="AJ45" s="2">
        <f>ROUND(SUMIF(AA28:AA43,"=50253415",W28:W43),2)</f>
        <v>0</v>
      </c>
      <c r="AK45" s="2">
        <f>ROUND(SUMIF(AA28:AA43,"=50253415",X28:X43),2)</f>
        <v>140277.48000000001</v>
      </c>
      <c r="AL45" s="2">
        <f>ROUND(SUMIF(AA28:AA43,"=50253415",Y28:Y43),2)</f>
        <v>71783.78</v>
      </c>
      <c r="AM45" s="2"/>
      <c r="AN45" s="2"/>
      <c r="AO45" s="2">
        <f t="shared" ref="AO45:BD45" si="47">ROUND(BX45,2)</f>
        <v>0</v>
      </c>
      <c r="AP45" s="2">
        <f t="shared" si="47"/>
        <v>0</v>
      </c>
      <c r="AQ45" s="2">
        <f t="shared" si="47"/>
        <v>0</v>
      </c>
      <c r="AR45" s="2">
        <f t="shared" si="47"/>
        <v>462315.01</v>
      </c>
      <c r="AS45" s="2">
        <f t="shared" si="47"/>
        <v>454979.48</v>
      </c>
      <c r="AT45" s="2">
        <f t="shared" si="47"/>
        <v>7335.53</v>
      </c>
      <c r="AU45" s="2">
        <f t="shared" si="47"/>
        <v>0</v>
      </c>
      <c r="AV45" s="2">
        <f t="shared" si="47"/>
        <v>62015.43</v>
      </c>
      <c r="AW45" s="2">
        <f t="shared" si="47"/>
        <v>62015.43</v>
      </c>
      <c r="AX45" s="2">
        <f t="shared" si="47"/>
        <v>0</v>
      </c>
      <c r="AY45" s="2">
        <f t="shared" si="47"/>
        <v>62015.43</v>
      </c>
      <c r="AZ45" s="2">
        <f t="shared" si="47"/>
        <v>0</v>
      </c>
      <c r="BA45" s="2">
        <f t="shared" si="47"/>
        <v>0</v>
      </c>
      <c r="BB45" s="2">
        <f t="shared" si="47"/>
        <v>0</v>
      </c>
      <c r="BC45" s="2">
        <f t="shared" si="47"/>
        <v>0</v>
      </c>
      <c r="BD45" s="2">
        <f t="shared" si="47"/>
        <v>0</v>
      </c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>
        <f>ROUND(SUMIF(AA28:AA43,"=50253415",FQ28:FQ43),2)</f>
        <v>0</v>
      </c>
      <c r="BY45" s="2">
        <f>ROUND(SUMIF(AA28:AA43,"=50253415",FR28:FR43),2)</f>
        <v>0</v>
      </c>
      <c r="BZ45" s="2">
        <f>ROUND(SUMIF(AA28:AA43,"=50253415",GL28:GL43),2)</f>
        <v>0</v>
      </c>
      <c r="CA45" s="2">
        <f>ROUND(SUMIF(AA28:AA43,"=50253415",GM28:GM43),2)</f>
        <v>462315.01</v>
      </c>
      <c r="CB45" s="2">
        <f>ROUND(SUMIF(AA28:AA43,"=50253415",GN28:GN43),2)</f>
        <v>454979.48</v>
      </c>
      <c r="CC45" s="2">
        <f>ROUND(SUMIF(AA28:AA43,"=50253415",GO28:GO43),2)</f>
        <v>7335.53</v>
      </c>
      <c r="CD45" s="2">
        <f>ROUND(SUMIF(AA28:AA43,"=50253415",GP28:GP43),2)</f>
        <v>0</v>
      </c>
      <c r="CE45" s="2">
        <f>AC45-BX45</f>
        <v>62015.43</v>
      </c>
      <c r="CF45" s="2">
        <f>AC45-BY45</f>
        <v>62015.43</v>
      </c>
      <c r="CG45" s="2">
        <f>BX45-BZ45</f>
        <v>0</v>
      </c>
      <c r="CH45" s="2">
        <f>AC45-BX45-BY45+BZ45</f>
        <v>62015.43</v>
      </c>
      <c r="CI45" s="2">
        <f>BY45-BZ45</f>
        <v>0</v>
      </c>
      <c r="CJ45" s="2">
        <f>ROUND(SUMIF(AA28:AA43,"=50253415",GX28:GX43),2)</f>
        <v>0</v>
      </c>
      <c r="CK45" s="2">
        <f>ROUND(SUMIF(AA28:AA43,"=50253415",GY28:GY43),2)</f>
        <v>0</v>
      </c>
      <c r="CL45" s="2">
        <f>ROUND(SUMIF(AA28:AA43,"=50253415",GZ28:GZ43),2)</f>
        <v>0</v>
      </c>
      <c r="CM45" s="2">
        <f>ROUND(SUMIF(AA28:AA43,"=50253415",HD28:HD43),2)</f>
        <v>0</v>
      </c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>
        <v>0</v>
      </c>
    </row>
    <row r="47" spans="1:245" x14ac:dyDescent="0.2">
      <c r="A47" s="4">
        <v>50</v>
      </c>
      <c r="B47" s="4">
        <v>1</v>
      </c>
      <c r="C47" s="4">
        <v>0</v>
      </c>
      <c r="D47" s="4">
        <v>1</v>
      </c>
      <c r="E47" s="4">
        <v>201</v>
      </c>
      <c r="F47" s="4">
        <f>ROUND(Source!O45,O47)</f>
        <v>250253.75</v>
      </c>
      <c r="G47" s="4" t="s">
        <v>116</v>
      </c>
      <c r="H47" s="4" t="s">
        <v>117</v>
      </c>
      <c r="I47" s="4"/>
      <c r="J47" s="4"/>
      <c r="K47" s="4">
        <v>201</v>
      </c>
      <c r="L47" s="4">
        <v>1</v>
      </c>
      <c r="M47" s="4">
        <v>1</v>
      </c>
      <c r="N47" s="4" t="s">
        <v>3</v>
      </c>
      <c r="O47" s="4">
        <v>2</v>
      </c>
      <c r="P47" s="4"/>
      <c r="Q47" s="4"/>
      <c r="R47" s="4"/>
      <c r="S47" s="4"/>
      <c r="T47" s="4"/>
      <c r="U47" s="4"/>
      <c r="V47" s="4"/>
      <c r="W47" s="4">
        <v>250253.75</v>
      </c>
      <c r="X47" s="4">
        <v>1</v>
      </c>
      <c r="Y47" s="4">
        <v>250253.75</v>
      </c>
      <c r="Z47" s="4"/>
      <c r="AA47" s="4"/>
      <c r="AB47" s="4"/>
    </row>
    <row r="48" spans="1:245" x14ac:dyDescent="0.2">
      <c r="A48" s="4">
        <v>50</v>
      </c>
      <c r="B48" s="4">
        <v>0</v>
      </c>
      <c r="C48" s="4">
        <v>0</v>
      </c>
      <c r="D48" s="4">
        <v>1</v>
      </c>
      <c r="E48" s="4">
        <v>202</v>
      </c>
      <c r="F48" s="4">
        <f>ROUND(Source!P45,O48)</f>
        <v>62015.43</v>
      </c>
      <c r="G48" s="4" t="s">
        <v>118</v>
      </c>
      <c r="H48" s="4" t="s">
        <v>119</v>
      </c>
      <c r="I48" s="4"/>
      <c r="J48" s="4"/>
      <c r="K48" s="4">
        <v>202</v>
      </c>
      <c r="L48" s="4">
        <v>2</v>
      </c>
      <c r="M48" s="4">
        <v>3</v>
      </c>
      <c r="N48" s="4" t="s">
        <v>3</v>
      </c>
      <c r="O48" s="4">
        <v>2</v>
      </c>
      <c r="P48" s="4"/>
      <c r="Q48" s="4"/>
      <c r="R48" s="4"/>
      <c r="S48" s="4"/>
      <c r="T48" s="4"/>
      <c r="U48" s="4"/>
      <c r="V48" s="4"/>
      <c r="W48" s="4">
        <v>62015.43</v>
      </c>
      <c r="X48" s="4">
        <v>1</v>
      </c>
      <c r="Y48" s="4">
        <v>62015.43</v>
      </c>
      <c r="Z48" s="4"/>
      <c r="AA48" s="4"/>
      <c r="AB48" s="4"/>
    </row>
    <row r="49" spans="1:28" x14ac:dyDescent="0.2">
      <c r="A49" s="4">
        <v>50</v>
      </c>
      <c r="B49" s="4">
        <v>0</v>
      </c>
      <c r="C49" s="4">
        <v>0</v>
      </c>
      <c r="D49" s="4">
        <v>1</v>
      </c>
      <c r="E49" s="4">
        <v>222</v>
      </c>
      <c r="F49" s="4">
        <f>ROUND(Source!AO45,O49)</f>
        <v>0</v>
      </c>
      <c r="G49" s="4" t="s">
        <v>120</v>
      </c>
      <c r="H49" s="4" t="s">
        <v>121</v>
      </c>
      <c r="I49" s="4"/>
      <c r="J49" s="4"/>
      <c r="K49" s="4">
        <v>222</v>
      </c>
      <c r="L49" s="4">
        <v>3</v>
      </c>
      <c r="M49" s="4">
        <v>3</v>
      </c>
      <c r="N49" s="4" t="s">
        <v>3</v>
      </c>
      <c r="O49" s="4">
        <v>2</v>
      </c>
      <c r="P49" s="4"/>
      <c r="Q49" s="4"/>
      <c r="R49" s="4"/>
      <c r="S49" s="4"/>
      <c r="T49" s="4"/>
      <c r="U49" s="4"/>
      <c r="V49" s="4"/>
      <c r="W49" s="4">
        <v>0</v>
      </c>
      <c r="X49" s="4">
        <v>1</v>
      </c>
      <c r="Y49" s="4">
        <v>0</v>
      </c>
      <c r="Z49" s="4"/>
      <c r="AA49" s="4"/>
      <c r="AB49" s="4"/>
    </row>
    <row r="50" spans="1:28" x14ac:dyDescent="0.2">
      <c r="A50" s="4">
        <v>50</v>
      </c>
      <c r="B50" s="4">
        <v>0</v>
      </c>
      <c r="C50" s="4">
        <v>0</v>
      </c>
      <c r="D50" s="4">
        <v>1</v>
      </c>
      <c r="E50" s="4">
        <v>225</v>
      </c>
      <c r="F50" s="4">
        <f>ROUND(Source!AV45,O50)</f>
        <v>62015.43</v>
      </c>
      <c r="G50" s="4" t="s">
        <v>122</v>
      </c>
      <c r="H50" s="4" t="s">
        <v>123</v>
      </c>
      <c r="I50" s="4"/>
      <c r="J50" s="4"/>
      <c r="K50" s="4">
        <v>225</v>
      </c>
      <c r="L50" s="4">
        <v>4</v>
      </c>
      <c r="M50" s="4">
        <v>3</v>
      </c>
      <c r="N50" s="4" t="s">
        <v>3</v>
      </c>
      <c r="O50" s="4">
        <v>2</v>
      </c>
      <c r="P50" s="4"/>
      <c r="Q50" s="4"/>
      <c r="R50" s="4"/>
      <c r="S50" s="4"/>
      <c r="T50" s="4"/>
      <c r="U50" s="4"/>
      <c r="V50" s="4"/>
      <c r="W50" s="4">
        <v>62015.43</v>
      </c>
      <c r="X50" s="4">
        <v>1</v>
      </c>
      <c r="Y50" s="4">
        <v>62015.43</v>
      </c>
      <c r="Z50" s="4"/>
      <c r="AA50" s="4"/>
      <c r="AB50" s="4"/>
    </row>
    <row r="51" spans="1:28" x14ac:dyDescent="0.2">
      <c r="A51" s="4">
        <v>50</v>
      </c>
      <c r="B51" s="4">
        <v>1</v>
      </c>
      <c r="C51" s="4">
        <v>0</v>
      </c>
      <c r="D51" s="4">
        <v>1</v>
      </c>
      <c r="E51" s="4">
        <v>226</v>
      </c>
      <c r="F51" s="4">
        <f>ROUND(Source!AW45,O51)</f>
        <v>62015.43</v>
      </c>
      <c r="G51" s="4" t="s">
        <v>124</v>
      </c>
      <c r="H51" s="4" t="s">
        <v>125</v>
      </c>
      <c r="I51" s="4"/>
      <c r="J51" s="4"/>
      <c r="K51" s="4">
        <v>226</v>
      </c>
      <c r="L51" s="4">
        <v>5</v>
      </c>
      <c r="M51" s="4">
        <v>1</v>
      </c>
      <c r="N51" s="4" t="s">
        <v>3</v>
      </c>
      <c r="O51" s="4">
        <v>2</v>
      </c>
      <c r="P51" s="4"/>
      <c r="Q51" s="4"/>
      <c r="R51" s="4"/>
      <c r="S51" s="4"/>
      <c r="T51" s="4"/>
      <c r="U51" s="4"/>
      <c r="V51" s="4"/>
      <c r="W51" s="4">
        <v>62015.43</v>
      </c>
      <c r="X51" s="4">
        <v>1</v>
      </c>
      <c r="Y51" s="4">
        <v>62015.43</v>
      </c>
      <c r="Z51" s="4"/>
      <c r="AA51" s="4"/>
      <c r="AB51" s="4"/>
    </row>
    <row r="52" spans="1:28" x14ac:dyDescent="0.2">
      <c r="A52" s="4">
        <v>50</v>
      </c>
      <c r="B52" s="4">
        <v>0</v>
      </c>
      <c r="C52" s="4">
        <v>0</v>
      </c>
      <c r="D52" s="4">
        <v>1</v>
      </c>
      <c r="E52" s="4">
        <v>227</v>
      </c>
      <c r="F52" s="4">
        <f>ROUND(Source!AX45,O52)</f>
        <v>0</v>
      </c>
      <c r="G52" s="4" t="s">
        <v>126</v>
      </c>
      <c r="H52" s="4" t="s">
        <v>127</v>
      </c>
      <c r="I52" s="4"/>
      <c r="J52" s="4"/>
      <c r="K52" s="4">
        <v>227</v>
      </c>
      <c r="L52" s="4">
        <v>6</v>
      </c>
      <c r="M52" s="4">
        <v>3</v>
      </c>
      <c r="N52" s="4" t="s">
        <v>3</v>
      </c>
      <c r="O52" s="4">
        <v>2</v>
      </c>
      <c r="P52" s="4"/>
      <c r="Q52" s="4"/>
      <c r="R52" s="4"/>
      <c r="S52" s="4"/>
      <c r="T52" s="4"/>
      <c r="U52" s="4"/>
      <c r="V52" s="4"/>
      <c r="W52" s="4">
        <v>0</v>
      </c>
      <c r="X52" s="4">
        <v>1</v>
      </c>
      <c r="Y52" s="4">
        <v>0</v>
      </c>
      <c r="Z52" s="4"/>
      <c r="AA52" s="4"/>
      <c r="AB52" s="4"/>
    </row>
    <row r="53" spans="1:28" x14ac:dyDescent="0.2">
      <c r="A53" s="4">
        <v>50</v>
      </c>
      <c r="B53" s="4">
        <v>0</v>
      </c>
      <c r="C53" s="4">
        <v>0</v>
      </c>
      <c r="D53" s="4">
        <v>1</v>
      </c>
      <c r="E53" s="4">
        <v>228</v>
      </c>
      <c r="F53" s="4">
        <f>ROUND(Source!AY45,O53)</f>
        <v>62015.43</v>
      </c>
      <c r="G53" s="4" t="s">
        <v>128</v>
      </c>
      <c r="H53" s="4" t="s">
        <v>129</v>
      </c>
      <c r="I53" s="4"/>
      <c r="J53" s="4"/>
      <c r="K53" s="4">
        <v>228</v>
      </c>
      <c r="L53" s="4">
        <v>7</v>
      </c>
      <c r="M53" s="4">
        <v>3</v>
      </c>
      <c r="N53" s="4" t="s">
        <v>3</v>
      </c>
      <c r="O53" s="4">
        <v>2</v>
      </c>
      <c r="P53" s="4"/>
      <c r="Q53" s="4"/>
      <c r="R53" s="4"/>
      <c r="S53" s="4"/>
      <c r="T53" s="4"/>
      <c r="U53" s="4"/>
      <c r="V53" s="4"/>
      <c r="W53" s="4">
        <v>62015.43</v>
      </c>
      <c r="X53" s="4">
        <v>1</v>
      </c>
      <c r="Y53" s="4">
        <v>62015.43</v>
      </c>
      <c r="Z53" s="4"/>
      <c r="AA53" s="4"/>
      <c r="AB53" s="4"/>
    </row>
    <row r="54" spans="1:28" x14ac:dyDescent="0.2">
      <c r="A54" s="4">
        <v>50</v>
      </c>
      <c r="B54" s="4">
        <v>0</v>
      </c>
      <c r="C54" s="4">
        <v>0</v>
      </c>
      <c r="D54" s="4">
        <v>1</v>
      </c>
      <c r="E54" s="4">
        <v>216</v>
      </c>
      <c r="F54" s="4">
        <f>ROUND(Source!AP45,O54)</f>
        <v>0</v>
      </c>
      <c r="G54" s="4" t="s">
        <v>130</v>
      </c>
      <c r="H54" s="4" t="s">
        <v>131</v>
      </c>
      <c r="I54" s="4"/>
      <c r="J54" s="4"/>
      <c r="K54" s="4">
        <v>216</v>
      </c>
      <c r="L54" s="4">
        <v>8</v>
      </c>
      <c r="M54" s="4">
        <v>3</v>
      </c>
      <c r="N54" s="4" t="s">
        <v>3</v>
      </c>
      <c r="O54" s="4">
        <v>2</v>
      </c>
      <c r="P54" s="4"/>
      <c r="Q54" s="4"/>
      <c r="R54" s="4"/>
      <c r="S54" s="4"/>
      <c r="T54" s="4"/>
      <c r="U54" s="4"/>
      <c r="V54" s="4"/>
      <c r="W54" s="4">
        <v>0</v>
      </c>
      <c r="X54" s="4">
        <v>1</v>
      </c>
      <c r="Y54" s="4">
        <v>0</v>
      </c>
      <c r="Z54" s="4"/>
      <c r="AA54" s="4"/>
      <c r="AB54" s="4"/>
    </row>
    <row r="55" spans="1:28" x14ac:dyDescent="0.2">
      <c r="A55" s="4">
        <v>50</v>
      </c>
      <c r="B55" s="4">
        <v>0</v>
      </c>
      <c r="C55" s="4">
        <v>0</v>
      </c>
      <c r="D55" s="4">
        <v>1</v>
      </c>
      <c r="E55" s="4">
        <v>223</v>
      </c>
      <c r="F55" s="4">
        <f>ROUND(Source!AQ45,O55)</f>
        <v>0</v>
      </c>
      <c r="G55" s="4" t="s">
        <v>132</v>
      </c>
      <c r="H55" s="4" t="s">
        <v>133</v>
      </c>
      <c r="I55" s="4"/>
      <c r="J55" s="4"/>
      <c r="K55" s="4">
        <v>223</v>
      </c>
      <c r="L55" s="4">
        <v>9</v>
      </c>
      <c r="M55" s="4">
        <v>3</v>
      </c>
      <c r="N55" s="4" t="s">
        <v>3</v>
      </c>
      <c r="O55" s="4">
        <v>2</v>
      </c>
      <c r="P55" s="4"/>
      <c r="Q55" s="4"/>
      <c r="R55" s="4"/>
      <c r="S55" s="4"/>
      <c r="T55" s="4"/>
      <c r="U55" s="4"/>
      <c r="V55" s="4"/>
      <c r="W55" s="4">
        <v>0</v>
      </c>
      <c r="X55" s="4">
        <v>1</v>
      </c>
      <c r="Y55" s="4">
        <v>0</v>
      </c>
      <c r="Z55" s="4"/>
      <c r="AA55" s="4"/>
      <c r="AB55" s="4"/>
    </row>
    <row r="56" spans="1:28" x14ac:dyDescent="0.2">
      <c r="A56" s="4">
        <v>50</v>
      </c>
      <c r="B56" s="4">
        <v>0</v>
      </c>
      <c r="C56" s="4">
        <v>0</v>
      </c>
      <c r="D56" s="4">
        <v>1</v>
      </c>
      <c r="E56" s="4">
        <v>229</v>
      </c>
      <c r="F56" s="4">
        <f>ROUND(Source!AZ45,O56)</f>
        <v>0</v>
      </c>
      <c r="G56" s="4" t="s">
        <v>134</v>
      </c>
      <c r="H56" s="4" t="s">
        <v>135</v>
      </c>
      <c r="I56" s="4"/>
      <c r="J56" s="4"/>
      <c r="K56" s="4">
        <v>229</v>
      </c>
      <c r="L56" s="4">
        <v>10</v>
      </c>
      <c r="M56" s="4">
        <v>3</v>
      </c>
      <c r="N56" s="4" t="s">
        <v>3</v>
      </c>
      <c r="O56" s="4">
        <v>2</v>
      </c>
      <c r="P56" s="4"/>
      <c r="Q56" s="4"/>
      <c r="R56" s="4"/>
      <c r="S56" s="4"/>
      <c r="T56" s="4"/>
      <c r="U56" s="4"/>
      <c r="V56" s="4"/>
      <c r="W56" s="4">
        <v>0</v>
      </c>
      <c r="X56" s="4">
        <v>1</v>
      </c>
      <c r="Y56" s="4">
        <v>0</v>
      </c>
      <c r="Z56" s="4"/>
      <c r="AA56" s="4"/>
      <c r="AB56" s="4"/>
    </row>
    <row r="57" spans="1:28" x14ac:dyDescent="0.2">
      <c r="A57" s="4">
        <v>50</v>
      </c>
      <c r="B57" s="4">
        <v>1</v>
      </c>
      <c r="C57" s="4">
        <v>0</v>
      </c>
      <c r="D57" s="4">
        <v>1</v>
      </c>
      <c r="E57" s="4">
        <v>203</v>
      </c>
      <c r="F57" s="4">
        <f>ROUND(Source!Q45,O57)</f>
        <v>56769.64</v>
      </c>
      <c r="G57" s="4" t="s">
        <v>136</v>
      </c>
      <c r="H57" s="4" t="s">
        <v>137</v>
      </c>
      <c r="I57" s="4"/>
      <c r="J57" s="4"/>
      <c r="K57" s="4">
        <v>203</v>
      </c>
      <c r="L57" s="4">
        <v>11</v>
      </c>
      <c r="M57" s="4">
        <v>1</v>
      </c>
      <c r="N57" s="4" t="s">
        <v>3</v>
      </c>
      <c r="O57" s="4">
        <v>2</v>
      </c>
      <c r="P57" s="4"/>
      <c r="Q57" s="4"/>
      <c r="R57" s="4"/>
      <c r="S57" s="4"/>
      <c r="T57" s="4"/>
      <c r="U57" s="4"/>
      <c r="V57" s="4"/>
      <c r="W57" s="4">
        <v>56769.64</v>
      </c>
      <c r="X57" s="4">
        <v>1</v>
      </c>
      <c r="Y57" s="4">
        <v>56769.64</v>
      </c>
      <c r="Z57" s="4"/>
      <c r="AA57" s="4"/>
      <c r="AB57" s="4"/>
    </row>
    <row r="58" spans="1:28" x14ac:dyDescent="0.2">
      <c r="A58" s="4">
        <v>50</v>
      </c>
      <c r="B58" s="4">
        <v>0</v>
      </c>
      <c r="C58" s="4">
        <v>0</v>
      </c>
      <c r="D58" s="4">
        <v>1</v>
      </c>
      <c r="E58" s="4">
        <v>231</v>
      </c>
      <c r="F58" s="4">
        <f>ROUND(Source!BB45,O58)</f>
        <v>0</v>
      </c>
      <c r="G58" s="4" t="s">
        <v>138</v>
      </c>
      <c r="H58" s="4" t="s">
        <v>139</v>
      </c>
      <c r="I58" s="4"/>
      <c r="J58" s="4"/>
      <c r="K58" s="4">
        <v>231</v>
      </c>
      <c r="L58" s="4">
        <v>12</v>
      </c>
      <c r="M58" s="4">
        <v>3</v>
      </c>
      <c r="N58" s="4" t="s">
        <v>3</v>
      </c>
      <c r="O58" s="4">
        <v>2</v>
      </c>
      <c r="P58" s="4"/>
      <c r="Q58" s="4"/>
      <c r="R58" s="4"/>
      <c r="S58" s="4"/>
      <c r="T58" s="4"/>
      <c r="U58" s="4"/>
      <c r="V58" s="4"/>
      <c r="W58" s="4">
        <v>0</v>
      </c>
      <c r="X58" s="4">
        <v>1</v>
      </c>
      <c r="Y58" s="4">
        <v>0</v>
      </c>
      <c r="Z58" s="4"/>
      <c r="AA58" s="4"/>
      <c r="AB58" s="4"/>
    </row>
    <row r="59" spans="1:28" x14ac:dyDescent="0.2">
      <c r="A59" s="4">
        <v>50</v>
      </c>
      <c r="B59" s="4">
        <v>1</v>
      </c>
      <c r="C59" s="4">
        <v>0</v>
      </c>
      <c r="D59" s="4">
        <v>1</v>
      </c>
      <c r="E59" s="4">
        <v>204</v>
      </c>
      <c r="F59" s="4">
        <f>ROUND(Source!R45,O59)</f>
        <v>19171.650000000001</v>
      </c>
      <c r="G59" s="4" t="s">
        <v>140</v>
      </c>
      <c r="H59" s="4" t="s">
        <v>141</v>
      </c>
      <c r="I59" s="4"/>
      <c r="J59" s="4"/>
      <c r="K59" s="4">
        <v>204</v>
      </c>
      <c r="L59" s="4">
        <v>13</v>
      </c>
      <c r="M59" s="4">
        <v>1</v>
      </c>
      <c r="N59" s="4" t="s">
        <v>3</v>
      </c>
      <c r="O59" s="4">
        <v>2</v>
      </c>
      <c r="P59" s="4"/>
      <c r="Q59" s="4"/>
      <c r="R59" s="4"/>
      <c r="S59" s="4"/>
      <c r="T59" s="4"/>
      <c r="U59" s="4"/>
      <c r="V59" s="4"/>
      <c r="W59" s="4">
        <v>19171.650000000001</v>
      </c>
      <c r="X59" s="4">
        <v>1</v>
      </c>
      <c r="Y59" s="4">
        <v>19171.650000000001</v>
      </c>
      <c r="Z59" s="4"/>
      <c r="AA59" s="4"/>
      <c r="AB59" s="4"/>
    </row>
    <row r="60" spans="1:28" x14ac:dyDescent="0.2">
      <c r="A60" s="4">
        <v>50</v>
      </c>
      <c r="B60" s="4">
        <v>1</v>
      </c>
      <c r="C60" s="4">
        <v>0</v>
      </c>
      <c r="D60" s="4">
        <v>1</v>
      </c>
      <c r="E60" s="4">
        <v>205</v>
      </c>
      <c r="F60" s="4">
        <f>ROUND(Source!S45,O60)</f>
        <v>112297.03</v>
      </c>
      <c r="G60" s="4" t="s">
        <v>142</v>
      </c>
      <c r="H60" s="4" t="s">
        <v>143</v>
      </c>
      <c r="I60" s="4"/>
      <c r="J60" s="4"/>
      <c r="K60" s="4">
        <v>205</v>
      </c>
      <c r="L60" s="4">
        <v>14</v>
      </c>
      <c r="M60" s="4">
        <v>1</v>
      </c>
      <c r="N60" s="4" t="s">
        <v>3</v>
      </c>
      <c r="O60" s="4">
        <v>2</v>
      </c>
      <c r="P60" s="4"/>
      <c r="Q60" s="4"/>
      <c r="R60" s="4"/>
      <c r="S60" s="4"/>
      <c r="T60" s="4"/>
      <c r="U60" s="4"/>
      <c r="V60" s="4"/>
      <c r="W60" s="4">
        <v>112297.03</v>
      </c>
      <c r="X60" s="4">
        <v>1</v>
      </c>
      <c r="Y60" s="4">
        <v>112297.03</v>
      </c>
      <c r="Z60" s="4"/>
      <c r="AA60" s="4"/>
      <c r="AB60" s="4"/>
    </row>
    <row r="61" spans="1:28" x14ac:dyDescent="0.2">
      <c r="A61" s="4">
        <v>50</v>
      </c>
      <c r="B61" s="4">
        <v>0</v>
      </c>
      <c r="C61" s="4">
        <v>0</v>
      </c>
      <c r="D61" s="4">
        <v>1</v>
      </c>
      <c r="E61" s="4">
        <v>232</v>
      </c>
      <c r="F61" s="4">
        <f>ROUND(Source!BC45,O61)</f>
        <v>0</v>
      </c>
      <c r="G61" s="4" t="s">
        <v>144</v>
      </c>
      <c r="H61" s="4" t="s">
        <v>145</v>
      </c>
      <c r="I61" s="4"/>
      <c r="J61" s="4"/>
      <c r="K61" s="4">
        <v>232</v>
      </c>
      <c r="L61" s="4">
        <v>15</v>
      </c>
      <c r="M61" s="4">
        <v>3</v>
      </c>
      <c r="N61" s="4" t="s">
        <v>3</v>
      </c>
      <c r="O61" s="4">
        <v>2</v>
      </c>
      <c r="P61" s="4"/>
      <c r="Q61" s="4"/>
      <c r="R61" s="4"/>
      <c r="S61" s="4"/>
      <c r="T61" s="4"/>
      <c r="U61" s="4"/>
      <c r="V61" s="4"/>
      <c r="W61" s="4">
        <v>0</v>
      </c>
      <c r="X61" s="4">
        <v>1</v>
      </c>
      <c r="Y61" s="4">
        <v>0</v>
      </c>
      <c r="Z61" s="4"/>
      <c r="AA61" s="4"/>
      <c r="AB61" s="4"/>
    </row>
    <row r="62" spans="1:28" x14ac:dyDescent="0.2">
      <c r="A62" s="4">
        <v>50</v>
      </c>
      <c r="B62" s="4">
        <v>0</v>
      </c>
      <c r="C62" s="4">
        <v>0</v>
      </c>
      <c r="D62" s="4">
        <v>1</v>
      </c>
      <c r="E62" s="4">
        <v>214</v>
      </c>
      <c r="F62" s="4">
        <f>ROUND(Source!AS45,O62)</f>
        <v>454979.48</v>
      </c>
      <c r="G62" s="4" t="s">
        <v>146</v>
      </c>
      <c r="H62" s="4" t="s">
        <v>147</v>
      </c>
      <c r="I62" s="4"/>
      <c r="J62" s="4"/>
      <c r="K62" s="4">
        <v>214</v>
      </c>
      <c r="L62" s="4">
        <v>16</v>
      </c>
      <c r="M62" s="4">
        <v>3</v>
      </c>
      <c r="N62" s="4" t="s">
        <v>3</v>
      </c>
      <c r="O62" s="4">
        <v>2</v>
      </c>
      <c r="P62" s="4"/>
      <c r="Q62" s="4"/>
      <c r="R62" s="4"/>
      <c r="S62" s="4"/>
      <c r="T62" s="4"/>
      <c r="U62" s="4"/>
      <c r="V62" s="4"/>
      <c r="W62" s="4">
        <v>454979.48</v>
      </c>
      <c r="X62" s="4">
        <v>1</v>
      </c>
      <c r="Y62" s="4">
        <v>454979.48</v>
      </c>
      <c r="Z62" s="4"/>
      <c r="AA62" s="4"/>
      <c r="AB62" s="4"/>
    </row>
    <row r="63" spans="1:28" x14ac:dyDescent="0.2">
      <c r="A63" s="4">
        <v>50</v>
      </c>
      <c r="B63" s="4">
        <v>0</v>
      </c>
      <c r="C63" s="4">
        <v>0</v>
      </c>
      <c r="D63" s="4">
        <v>1</v>
      </c>
      <c r="E63" s="4">
        <v>215</v>
      </c>
      <c r="F63" s="4">
        <f>ROUND(Source!AT45,O63)</f>
        <v>7335.53</v>
      </c>
      <c r="G63" s="4" t="s">
        <v>148</v>
      </c>
      <c r="H63" s="4" t="s">
        <v>149</v>
      </c>
      <c r="I63" s="4"/>
      <c r="J63" s="4"/>
      <c r="K63" s="4">
        <v>215</v>
      </c>
      <c r="L63" s="4">
        <v>17</v>
      </c>
      <c r="M63" s="4">
        <v>3</v>
      </c>
      <c r="N63" s="4" t="s">
        <v>3</v>
      </c>
      <c r="O63" s="4">
        <v>2</v>
      </c>
      <c r="P63" s="4"/>
      <c r="Q63" s="4"/>
      <c r="R63" s="4"/>
      <c r="S63" s="4"/>
      <c r="T63" s="4"/>
      <c r="U63" s="4"/>
      <c r="V63" s="4"/>
      <c r="W63" s="4">
        <v>7335.53</v>
      </c>
      <c r="X63" s="4">
        <v>1</v>
      </c>
      <c r="Y63" s="4">
        <v>7335.53</v>
      </c>
      <c r="Z63" s="4"/>
      <c r="AA63" s="4"/>
      <c r="AB63" s="4"/>
    </row>
    <row r="64" spans="1:28" x14ac:dyDescent="0.2">
      <c r="A64" s="4">
        <v>50</v>
      </c>
      <c r="B64" s="4">
        <v>0</v>
      </c>
      <c r="C64" s="4">
        <v>0</v>
      </c>
      <c r="D64" s="4">
        <v>1</v>
      </c>
      <c r="E64" s="4">
        <v>217</v>
      </c>
      <c r="F64" s="4">
        <f>ROUND(Source!AU45,O64)</f>
        <v>0</v>
      </c>
      <c r="G64" s="4" t="s">
        <v>150</v>
      </c>
      <c r="H64" s="4" t="s">
        <v>151</v>
      </c>
      <c r="I64" s="4"/>
      <c r="J64" s="4"/>
      <c r="K64" s="4">
        <v>217</v>
      </c>
      <c r="L64" s="4">
        <v>18</v>
      </c>
      <c r="M64" s="4">
        <v>3</v>
      </c>
      <c r="N64" s="4" t="s">
        <v>3</v>
      </c>
      <c r="O64" s="4">
        <v>2</v>
      </c>
      <c r="P64" s="4"/>
      <c r="Q64" s="4"/>
      <c r="R64" s="4"/>
      <c r="S64" s="4"/>
      <c r="T64" s="4"/>
      <c r="U64" s="4"/>
      <c r="V64" s="4"/>
      <c r="W64" s="4">
        <v>0</v>
      </c>
      <c r="X64" s="4">
        <v>1</v>
      </c>
      <c r="Y64" s="4">
        <v>0</v>
      </c>
      <c r="Z64" s="4"/>
      <c r="AA64" s="4"/>
      <c r="AB64" s="4"/>
    </row>
    <row r="65" spans="1:206" x14ac:dyDescent="0.2">
      <c r="A65" s="4">
        <v>50</v>
      </c>
      <c r="B65" s="4">
        <v>0</v>
      </c>
      <c r="C65" s="4">
        <v>0</v>
      </c>
      <c r="D65" s="4">
        <v>1</v>
      </c>
      <c r="E65" s="4">
        <v>230</v>
      </c>
      <c r="F65" s="4">
        <f>ROUND(Source!BA45,O65)</f>
        <v>0</v>
      </c>
      <c r="G65" s="4" t="s">
        <v>152</v>
      </c>
      <c r="H65" s="4" t="s">
        <v>153</v>
      </c>
      <c r="I65" s="4"/>
      <c r="J65" s="4"/>
      <c r="K65" s="4">
        <v>230</v>
      </c>
      <c r="L65" s="4">
        <v>19</v>
      </c>
      <c r="M65" s="4">
        <v>3</v>
      </c>
      <c r="N65" s="4" t="s">
        <v>3</v>
      </c>
      <c r="O65" s="4">
        <v>2</v>
      </c>
      <c r="P65" s="4"/>
      <c r="Q65" s="4"/>
      <c r="R65" s="4"/>
      <c r="S65" s="4"/>
      <c r="T65" s="4"/>
      <c r="U65" s="4"/>
      <c r="V65" s="4"/>
      <c r="W65" s="4">
        <v>0</v>
      </c>
      <c r="X65" s="4">
        <v>1</v>
      </c>
      <c r="Y65" s="4">
        <v>0</v>
      </c>
      <c r="Z65" s="4"/>
      <c r="AA65" s="4"/>
      <c r="AB65" s="4"/>
    </row>
    <row r="66" spans="1:206" x14ac:dyDescent="0.2">
      <c r="A66" s="4">
        <v>50</v>
      </c>
      <c r="B66" s="4">
        <v>0</v>
      </c>
      <c r="C66" s="4">
        <v>0</v>
      </c>
      <c r="D66" s="4">
        <v>1</v>
      </c>
      <c r="E66" s="4">
        <v>206</v>
      </c>
      <c r="F66" s="4">
        <f>ROUND(Source!T45,O66)</f>
        <v>0</v>
      </c>
      <c r="G66" s="4" t="s">
        <v>154</v>
      </c>
      <c r="H66" s="4" t="s">
        <v>155</v>
      </c>
      <c r="I66" s="4"/>
      <c r="J66" s="4"/>
      <c r="K66" s="4">
        <v>206</v>
      </c>
      <c r="L66" s="4">
        <v>20</v>
      </c>
      <c r="M66" s="4">
        <v>3</v>
      </c>
      <c r="N66" s="4" t="s">
        <v>3</v>
      </c>
      <c r="O66" s="4">
        <v>2</v>
      </c>
      <c r="P66" s="4"/>
      <c r="Q66" s="4"/>
      <c r="R66" s="4"/>
      <c r="S66" s="4"/>
      <c r="T66" s="4"/>
      <c r="U66" s="4"/>
      <c r="V66" s="4"/>
      <c r="W66" s="4">
        <v>0</v>
      </c>
      <c r="X66" s="4">
        <v>1</v>
      </c>
      <c r="Y66" s="4">
        <v>0</v>
      </c>
      <c r="Z66" s="4"/>
      <c r="AA66" s="4"/>
      <c r="AB66" s="4"/>
    </row>
    <row r="67" spans="1:206" x14ac:dyDescent="0.2">
      <c r="A67" s="4">
        <v>50</v>
      </c>
      <c r="B67" s="4">
        <v>0</v>
      </c>
      <c r="C67" s="4">
        <v>0</v>
      </c>
      <c r="D67" s="4">
        <v>1</v>
      </c>
      <c r="E67" s="4">
        <v>207</v>
      </c>
      <c r="F67" s="4">
        <f>ROUND(Source!U45,O67)</f>
        <v>322.41984000000002</v>
      </c>
      <c r="G67" s="4" t="s">
        <v>156</v>
      </c>
      <c r="H67" s="4" t="s">
        <v>157</v>
      </c>
      <c r="I67" s="4"/>
      <c r="J67" s="4"/>
      <c r="K67" s="4">
        <v>207</v>
      </c>
      <c r="L67" s="4">
        <v>21</v>
      </c>
      <c r="M67" s="4">
        <v>3</v>
      </c>
      <c r="N67" s="4" t="s">
        <v>3</v>
      </c>
      <c r="O67" s="4">
        <v>7</v>
      </c>
      <c r="P67" s="4"/>
      <c r="Q67" s="4"/>
      <c r="R67" s="4"/>
      <c r="S67" s="4"/>
      <c r="T67" s="4"/>
      <c r="U67" s="4"/>
      <c r="V67" s="4"/>
      <c r="W67" s="4">
        <v>322.41984000000002</v>
      </c>
      <c r="X67" s="4">
        <v>1</v>
      </c>
      <c r="Y67" s="4">
        <v>322.41984000000002</v>
      </c>
      <c r="Z67" s="4"/>
      <c r="AA67" s="4"/>
      <c r="AB67" s="4"/>
    </row>
    <row r="68" spans="1:206" x14ac:dyDescent="0.2">
      <c r="A68" s="4">
        <v>50</v>
      </c>
      <c r="B68" s="4">
        <v>0</v>
      </c>
      <c r="C68" s="4">
        <v>0</v>
      </c>
      <c r="D68" s="4">
        <v>1</v>
      </c>
      <c r="E68" s="4">
        <v>208</v>
      </c>
      <c r="F68" s="4">
        <f>ROUND(Source!V45,O68)</f>
        <v>38.397799999999997</v>
      </c>
      <c r="G68" s="4" t="s">
        <v>158</v>
      </c>
      <c r="H68" s="4" t="s">
        <v>159</v>
      </c>
      <c r="I68" s="4"/>
      <c r="J68" s="4"/>
      <c r="K68" s="4">
        <v>208</v>
      </c>
      <c r="L68" s="4">
        <v>22</v>
      </c>
      <c r="M68" s="4">
        <v>3</v>
      </c>
      <c r="N68" s="4" t="s">
        <v>3</v>
      </c>
      <c r="O68" s="4">
        <v>7</v>
      </c>
      <c r="P68" s="4"/>
      <c r="Q68" s="4"/>
      <c r="R68" s="4"/>
      <c r="S68" s="4"/>
      <c r="T68" s="4"/>
      <c r="U68" s="4"/>
      <c r="V68" s="4"/>
      <c r="W68" s="4">
        <v>38.397799999999997</v>
      </c>
      <c r="X68" s="4">
        <v>1</v>
      </c>
      <c r="Y68" s="4">
        <v>38.397799999999997</v>
      </c>
      <c r="Z68" s="4"/>
      <c r="AA68" s="4"/>
      <c r="AB68" s="4"/>
    </row>
    <row r="69" spans="1:206" x14ac:dyDescent="0.2">
      <c r="A69" s="4">
        <v>50</v>
      </c>
      <c r="B69" s="4">
        <v>0</v>
      </c>
      <c r="C69" s="4">
        <v>0</v>
      </c>
      <c r="D69" s="4">
        <v>1</v>
      </c>
      <c r="E69" s="4">
        <v>209</v>
      </c>
      <c r="F69" s="4">
        <f>ROUND(Source!W45,O69)</f>
        <v>0</v>
      </c>
      <c r="G69" s="4" t="s">
        <v>160</v>
      </c>
      <c r="H69" s="4" t="s">
        <v>161</v>
      </c>
      <c r="I69" s="4"/>
      <c r="J69" s="4"/>
      <c r="K69" s="4">
        <v>209</v>
      </c>
      <c r="L69" s="4">
        <v>23</v>
      </c>
      <c r="M69" s="4">
        <v>3</v>
      </c>
      <c r="N69" s="4" t="s">
        <v>3</v>
      </c>
      <c r="O69" s="4">
        <v>2</v>
      </c>
      <c r="P69" s="4"/>
      <c r="Q69" s="4"/>
      <c r="R69" s="4"/>
      <c r="S69" s="4"/>
      <c r="T69" s="4"/>
      <c r="U69" s="4"/>
      <c r="V69" s="4"/>
      <c r="W69" s="4">
        <v>0</v>
      </c>
      <c r="X69" s="4">
        <v>1</v>
      </c>
      <c r="Y69" s="4">
        <v>0</v>
      </c>
      <c r="Z69" s="4"/>
      <c r="AA69" s="4"/>
      <c r="AB69" s="4"/>
    </row>
    <row r="70" spans="1:206" x14ac:dyDescent="0.2">
      <c r="A70" s="4">
        <v>50</v>
      </c>
      <c r="B70" s="4">
        <v>0</v>
      </c>
      <c r="C70" s="4">
        <v>0</v>
      </c>
      <c r="D70" s="4">
        <v>1</v>
      </c>
      <c r="E70" s="4">
        <v>233</v>
      </c>
      <c r="F70" s="4">
        <f>ROUND(Source!BD45,O70)</f>
        <v>0</v>
      </c>
      <c r="G70" s="4" t="s">
        <v>162</v>
      </c>
      <c r="H70" s="4" t="s">
        <v>163</v>
      </c>
      <c r="I70" s="4"/>
      <c r="J70" s="4"/>
      <c r="K70" s="4">
        <v>233</v>
      </c>
      <c r="L70" s="4">
        <v>24</v>
      </c>
      <c r="M70" s="4">
        <v>3</v>
      </c>
      <c r="N70" s="4" t="s">
        <v>3</v>
      </c>
      <c r="O70" s="4">
        <v>2</v>
      </c>
      <c r="P70" s="4"/>
      <c r="Q70" s="4"/>
      <c r="R70" s="4"/>
      <c r="S70" s="4"/>
      <c r="T70" s="4"/>
      <c r="U70" s="4"/>
      <c r="V70" s="4"/>
      <c r="W70" s="4">
        <v>0</v>
      </c>
      <c r="X70" s="4">
        <v>1</v>
      </c>
      <c r="Y70" s="4">
        <v>0</v>
      </c>
      <c r="Z70" s="4"/>
      <c r="AA70" s="4"/>
      <c r="AB70" s="4"/>
    </row>
    <row r="71" spans="1:206" x14ac:dyDescent="0.2">
      <c r="A71" s="4">
        <v>50</v>
      </c>
      <c r="B71" s="4">
        <v>1</v>
      </c>
      <c r="C71" s="4">
        <v>0</v>
      </c>
      <c r="D71" s="4">
        <v>1</v>
      </c>
      <c r="E71" s="4">
        <v>210</v>
      </c>
      <c r="F71" s="4">
        <f>ROUND(Source!X45,O71)</f>
        <v>140277.48000000001</v>
      </c>
      <c r="G71" s="4" t="s">
        <v>164</v>
      </c>
      <c r="H71" s="4" t="s">
        <v>165</v>
      </c>
      <c r="I71" s="4"/>
      <c r="J71" s="4"/>
      <c r="K71" s="4">
        <v>210</v>
      </c>
      <c r="L71" s="4">
        <v>25</v>
      </c>
      <c r="M71" s="4">
        <v>1</v>
      </c>
      <c r="N71" s="4" t="s">
        <v>3</v>
      </c>
      <c r="O71" s="4">
        <v>2</v>
      </c>
      <c r="P71" s="4"/>
      <c r="Q71" s="4"/>
      <c r="R71" s="4"/>
      <c r="S71" s="4"/>
      <c r="T71" s="4"/>
      <c r="U71" s="4"/>
      <c r="V71" s="4"/>
      <c r="W71" s="4">
        <v>140277.48000000001</v>
      </c>
      <c r="X71" s="4">
        <v>1</v>
      </c>
      <c r="Y71" s="4">
        <v>140277.48000000001</v>
      </c>
      <c r="Z71" s="4"/>
      <c r="AA71" s="4"/>
      <c r="AB71" s="4"/>
    </row>
    <row r="72" spans="1:206" x14ac:dyDescent="0.2">
      <c r="A72" s="4">
        <v>50</v>
      </c>
      <c r="B72" s="4">
        <v>1</v>
      </c>
      <c r="C72" s="4">
        <v>0</v>
      </c>
      <c r="D72" s="4">
        <v>1</v>
      </c>
      <c r="E72" s="4">
        <v>211</v>
      </c>
      <c r="F72" s="4">
        <f>ROUND(Source!Y45,O72)</f>
        <v>71783.78</v>
      </c>
      <c r="G72" s="4" t="s">
        <v>166</v>
      </c>
      <c r="H72" s="4" t="s">
        <v>167</v>
      </c>
      <c r="I72" s="4"/>
      <c r="J72" s="4"/>
      <c r="K72" s="4">
        <v>211</v>
      </c>
      <c r="L72" s="4">
        <v>26</v>
      </c>
      <c r="M72" s="4">
        <v>1</v>
      </c>
      <c r="N72" s="4" t="s">
        <v>3</v>
      </c>
      <c r="O72" s="4">
        <v>2</v>
      </c>
      <c r="P72" s="4"/>
      <c r="Q72" s="4"/>
      <c r="R72" s="4"/>
      <c r="S72" s="4"/>
      <c r="T72" s="4"/>
      <c r="U72" s="4"/>
      <c r="V72" s="4"/>
      <c r="W72" s="4">
        <v>71783.78</v>
      </c>
      <c r="X72" s="4">
        <v>1</v>
      </c>
      <c r="Y72" s="4">
        <v>71783.78</v>
      </c>
      <c r="Z72" s="4"/>
      <c r="AA72" s="4"/>
      <c r="AB72" s="4"/>
    </row>
    <row r="73" spans="1:206" x14ac:dyDescent="0.2">
      <c r="A73" s="4">
        <v>50</v>
      </c>
      <c r="B73" s="4">
        <v>1</v>
      </c>
      <c r="C73" s="4">
        <v>0</v>
      </c>
      <c r="D73" s="4">
        <v>1</v>
      </c>
      <c r="E73" s="4">
        <v>224</v>
      </c>
      <c r="F73" s="4">
        <f>ROUND(Source!AR45,O73)</f>
        <v>462315.01</v>
      </c>
      <c r="G73" s="4" t="s">
        <v>168</v>
      </c>
      <c r="H73" s="4" t="s">
        <v>169</v>
      </c>
      <c r="I73" s="4"/>
      <c r="J73" s="4"/>
      <c r="K73" s="4">
        <v>224</v>
      </c>
      <c r="L73" s="4">
        <v>27</v>
      </c>
      <c r="M73" s="4">
        <v>1</v>
      </c>
      <c r="N73" s="4" t="s">
        <v>3</v>
      </c>
      <c r="O73" s="4">
        <v>2</v>
      </c>
      <c r="P73" s="4"/>
      <c r="Q73" s="4"/>
      <c r="R73" s="4"/>
      <c r="S73" s="4"/>
      <c r="T73" s="4"/>
      <c r="U73" s="4"/>
      <c r="V73" s="4"/>
      <c r="W73" s="4">
        <v>462315.01</v>
      </c>
      <c r="X73" s="4">
        <v>1</v>
      </c>
      <c r="Y73" s="4">
        <v>462315.01</v>
      </c>
      <c r="Z73" s="4"/>
      <c r="AA73" s="4"/>
      <c r="AB73" s="4"/>
    </row>
    <row r="75" spans="1:206" x14ac:dyDescent="0.2">
      <c r="A75" s="2">
        <v>51</v>
      </c>
      <c r="B75" s="2">
        <f>B20</f>
        <v>1</v>
      </c>
      <c r="C75" s="2">
        <f>A20</f>
        <v>3</v>
      </c>
      <c r="D75" s="2">
        <f>ROW(A20)</f>
        <v>20</v>
      </c>
      <c r="E75" s="2"/>
      <c r="F75" s="2" t="str">
        <f>IF(F20&lt;&gt;"",F20,"")</f>
        <v>Новая локальная смета</v>
      </c>
      <c r="G75" s="2" t="str">
        <f>IF(G20&lt;&gt;"",G20,"")</f>
        <v>Новая локальная смета</v>
      </c>
      <c r="H75" s="2">
        <v>0</v>
      </c>
      <c r="I75" s="2"/>
      <c r="J75" s="2"/>
      <c r="K75" s="2"/>
      <c r="L75" s="2"/>
      <c r="M75" s="2"/>
      <c r="N75" s="2"/>
      <c r="O75" s="2">
        <f t="shared" ref="O75:T75" si="48">ROUND(O45+AB75,2)</f>
        <v>250253.75</v>
      </c>
      <c r="P75" s="2">
        <f t="shared" si="48"/>
        <v>62015.43</v>
      </c>
      <c r="Q75" s="2">
        <f t="shared" si="48"/>
        <v>56769.64</v>
      </c>
      <c r="R75" s="2">
        <f t="shared" si="48"/>
        <v>19171.650000000001</v>
      </c>
      <c r="S75" s="2">
        <f t="shared" si="48"/>
        <v>112297.03</v>
      </c>
      <c r="T75" s="2">
        <f t="shared" si="48"/>
        <v>0</v>
      </c>
      <c r="U75" s="2">
        <f>U45+AH75</f>
        <v>322.41984000000002</v>
      </c>
      <c r="V75" s="2">
        <f>V45+AI75</f>
        <v>38.397800000000004</v>
      </c>
      <c r="W75" s="2">
        <f>ROUND(W45+AJ75,2)</f>
        <v>0</v>
      </c>
      <c r="X75" s="2">
        <f>ROUND(X45+AK75,2)</f>
        <v>140277.48000000001</v>
      </c>
      <c r="Y75" s="2">
        <f>ROUND(Y45+AL75,2)</f>
        <v>71783.78</v>
      </c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>
        <f t="shared" ref="AO75:BD75" si="49">ROUND(AO45+BX75,2)</f>
        <v>0</v>
      </c>
      <c r="AP75" s="2">
        <f t="shared" si="49"/>
        <v>0</v>
      </c>
      <c r="AQ75" s="2">
        <f t="shared" si="49"/>
        <v>0</v>
      </c>
      <c r="AR75" s="2">
        <f t="shared" si="49"/>
        <v>462315.01</v>
      </c>
      <c r="AS75" s="2">
        <f t="shared" si="49"/>
        <v>454979.48</v>
      </c>
      <c r="AT75" s="2">
        <f t="shared" si="49"/>
        <v>7335.53</v>
      </c>
      <c r="AU75" s="2">
        <f t="shared" si="49"/>
        <v>0</v>
      </c>
      <c r="AV75" s="2">
        <f t="shared" si="49"/>
        <v>62015.43</v>
      </c>
      <c r="AW75" s="2">
        <f t="shared" si="49"/>
        <v>62015.43</v>
      </c>
      <c r="AX75" s="2">
        <f t="shared" si="49"/>
        <v>0</v>
      </c>
      <c r="AY75" s="2">
        <f t="shared" si="49"/>
        <v>62015.43</v>
      </c>
      <c r="AZ75" s="2">
        <f t="shared" si="49"/>
        <v>0</v>
      </c>
      <c r="BA75" s="2">
        <f t="shared" si="49"/>
        <v>0</v>
      </c>
      <c r="BB75" s="2">
        <f t="shared" si="49"/>
        <v>0</v>
      </c>
      <c r="BC75" s="2">
        <f t="shared" si="49"/>
        <v>0</v>
      </c>
      <c r="BD75" s="2">
        <f t="shared" si="49"/>
        <v>0</v>
      </c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>
        <v>0</v>
      </c>
    </row>
    <row r="77" spans="1:206" x14ac:dyDescent="0.2">
      <c r="A77" s="4">
        <v>50</v>
      </c>
      <c r="B77" s="4">
        <v>1</v>
      </c>
      <c r="C77" s="4">
        <v>0</v>
      </c>
      <c r="D77" s="4">
        <v>1</v>
      </c>
      <c r="E77" s="4">
        <v>201</v>
      </c>
      <c r="F77" s="4">
        <f>ROUND(Source!O75,O77)</f>
        <v>250253.75</v>
      </c>
      <c r="G77" s="4" t="s">
        <v>116</v>
      </c>
      <c r="H77" s="4" t="s">
        <v>117</v>
      </c>
      <c r="I77" s="4"/>
      <c r="J77" s="4"/>
      <c r="K77" s="4">
        <v>201</v>
      </c>
      <c r="L77" s="4">
        <v>1</v>
      </c>
      <c r="M77" s="4">
        <v>1</v>
      </c>
      <c r="N77" s="4" t="s">
        <v>3</v>
      </c>
      <c r="O77" s="4">
        <v>2</v>
      </c>
      <c r="P77" s="4"/>
      <c r="Q77" s="4"/>
      <c r="R77" s="4"/>
      <c r="S77" s="4"/>
      <c r="T77" s="4"/>
      <c r="U77" s="4"/>
      <c r="V77" s="4"/>
      <c r="W77" s="4">
        <v>250253.75</v>
      </c>
      <c r="X77" s="4">
        <v>1</v>
      </c>
      <c r="Y77" s="4">
        <v>250253.75</v>
      </c>
      <c r="Z77" s="4"/>
      <c r="AA77" s="4"/>
      <c r="AB77" s="4"/>
    </row>
    <row r="78" spans="1:206" x14ac:dyDescent="0.2">
      <c r="A78" s="4">
        <v>50</v>
      </c>
      <c r="B78" s="4">
        <v>0</v>
      </c>
      <c r="C78" s="4">
        <v>0</v>
      </c>
      <c r="D78" s="4">
        <v>1</v>
      </c>
      <c r="E78" s="4">
        <v>202</v>
      </c>
      <c r="F78" s="4">
        <f>ROUND(Source!P75,O78)</f>
        <v>62015.43</v>
      </c>
      <c r="G78" s="4" t="s">
        <v>118</v>
      </c>
      <c r="H78" s="4" t="s">
        <v>119</v>
      </c>
      <c r="I78" s="4"/>
      <c r="J78" s="4"/>
      <c r="K78" s="4">
        <v>202</v>
      </c>
      <c r="L78" s="4">
        <v>2</v>
      </c>
      <c r="M78" s="4">
        <v>3</v>
      </c>
      <c r="N78" s="4" t="s">
        <v>3</v>
      </c>
      <c r="O78" s="4">
        <v>2</v>
      </c>
      <c r="P78" s="4"/>
      <c r="Q78" s="4"/>
      <c r="R78" s="4"/>
      <c r="S78" s="4"/>
      <c r="T78" s="4"/>
      <c r="U78" s="4"/>
      <c r="V78" s="4"/>
      <c r="W78" s="4">
        <v>62015.43</v>
      </c>
      <c r="X78" s="4">
        <v>1</v>
      </c>
      <c r="Y78" s="4">
        <v>62015.43</v>
      </c>
      <c r="Z78" s="4"/>
      <c r="AA78" s="4"/>
      <c r="AB78" s="4"/>
    </row>
    <row r="79" spans="1:206" x14ac:dyDescent="0.2">
      <c r="A79" s="4">
        <v>50</v>
      </c>
      <c r="B79" s="4">
        <v>0</v>
      </c>
      <c r="C79" s="4">
        <v>0</v>
      </c>
      <c r="D79" s="4">
        <v>1</v>
      </c>
      <c r="E79" s="4">
        <v>222</v>
      </c>
      <c r="F79" s="4">
        <f>ROUND(Source!AO75,O79)</f>
        <v>0</v>
      </c>
      <c r="G79" s="4" t="s">
        <v>120</v>
      </c>
      <c r="H79" s="4" t="s">
        <v>121</v>
      </c>
      <c r="I79" s="4"/>
      <c r="J79" s="4"/>
      <c r="K79" s="4">
        <v>222</v>
      </c>
      <c r="L79" s="4">
        <v>3</v>
      </c>
      <c r="M79" s="4">
        <v>3</v>
      </c>
      <c r="N79" s="4" t="s">
        <v>3</v>
      </c>
      <c r="O79" s="4">
        <v>2</v>
      </c>
      <c r="P79" s="4"/>
      <c r="Q79" s="4"/>
      <c r="R79" s="4"/>
      <c r="S79" s="4"/>
      <c r="T79" s="4"/>
      <c r="U79" s="4"/>
      <c r="V79" s="4"/>
      <c r="W79" s="4">
        <v>0</v>
      </c>
      <c r="X79" s="4">
        <v>1</v>
      </c>
      <c r="Y79" s="4">
        <v>0</v>
      </c>
      <c r="Z79" s="4"/>
      <c r="AA79" s="4"/>
      <c r="AB79" s="4"/>
    </row>
    <row r="80" spans="1:206" x14ac:dyDescent="0.2">
      <c r="A80" s="4">
        <v>50</v>
      </c>
      <c r="B80" s="4">
        <v>0</v>
      </c>
      <c r="C80" s="4">
        <v>0</v>
      </c>
      <c r="D80" s="4">
        <v>1</v>
      </c>
      <c r="E80" s="4">
        <v>225</v>
      </c>
      <c r="F80" s="4">
        <f>ROUND(Source!AV75,O80)</f>
        <v>62015.43</v>
      </c>
      <c r="G80" s="4" t="s">
        <v>122</v>
      </c>
      <c r="H80" s="4" t="s">
        <v>123</v>
      </c>
      <c r="I80" s="4"/>
      <c r="J80" s="4"/>
      <c r="K80" s="4">
        <v>225</v>
      </c>
      <c r="L80" s="4">
        <v>4</v>
      </c>
      <c r="M80" s="4">
        <v>3</v>
      </c>
      <c r="N80" s="4" t="s">
        <v>3</v>
      </c>
      <c r="O80" s="4">
        <v>2</v>
      </c>
      <c r="P80" s="4"/>
      <c r="Q80" s="4"/>
      <c r="R80" s="4"/>
      <c r="S80" s="4"/>
      <c r="T80" s="4"/>
      <c r="U80" s="4"/>
      <c r="V80" s="4"/>
      <c r="W80" s="4">
        <v>62015.43</v>
      </c>
      <c r="X80" s="4">
        <v>1</v>
      </c>
      <c r="Y80" s="4">
        <v>62015.43</v>
      </c>
      <c r="Z80" s="4"/>
      <c r="AA80" s="4"/>
      <c r="AB80" s="4"/>
    </row>
    <row r="81" spans="1:28" x14ac:dyDescent="0.2">
      <c r="A81" s="4">
        <v>50</v>
      </c>
      <c r="B81" s="4">
        <v>1</v>
      </c>
      <c r="C81" s="4">
        <v>0</v>
      </c>
      <c r="D81" s="4">
        <v>1</v>
      </c>
      <c r="E81" s="4">
        <v>226</v>
      </c>
      <c r="F81" s="4">
        <f>ROUND(Source!AW75,O81)</f>
        <v>62015.43</v>
      </c>
      <c r="G81" s="4" t="s">
        <v>124</v>
      </c>
      <c r="H81" s="4" t="s">
        <v>125</v>
      </c>
      <c r="I81" s="4"/>
      <c r="J81" s="4"/>
      <c r="K81" s="4">
        <v>226</v>
      </c>
      <c r="L81" s="4">
        <v>5</v>
      </c>
      <c r="M81" s="4">
        <v>1</v>
      </c>
      <c r="N81" s="4" t="s">
        <v>3</v>
      </c>
      <c r="O81" s="4">
        <v>2</v>
      </c>
      <c r="P81" s="4"/>
      <c r="Q81" s="4"/>
      <c r="R81" s="4"/>
      <c r="S81" s="4"/>
      <c r="T81" s="4"/>
      <c r="U81" s="4"/>
      <c r="V81" s="4"/>
      <c r="W81" s="4">
        <v>62015.43</v>
      </c>
      <c r="X81" s="4">
        <v>1</v>
      </c>
      <c r="Y81" s="4">
        <v>62015.43</v>
      </c>
      <c r="Z81" s="4"/>
      <c r="AA81" s="4"/>
      <c r="AB81" s="4"/>
    </row>
    <row r="82" spans="1:28" x14ac:dyDescent="0.2">
      <c r="A82" s="4">
        <v>50</v>
      </c>
      <c r="B82" s="4">
        <v>0</v>
      </c>
      <c r="C82" s="4">
        <v>0</v>
      </c>
      <c r="D82" s="4">
        <v>1</v>
      </c>
      <c r="E82" s="4">
        <v>227</v>
      </c>
      <c r="F82" s="4">
        <f>ROUND(Source!AX75,O82)</f>
        <v>0</v>
      </c>
      <c r="G82" s="4" t="s">
        <v>126</v>
      </c>
      <c r="H82" s="4" t="s">
        <v>127</v>
      </c>
      <c r="I82" s="4"/>
      <c r="J82" s="4"/>
      <c r="K82" s="4">
        <v>227</v>
      </c>
      <c r="L82" s="4">
        <v>6</v>
      </c>
      <c r="M82" s="4">
        <v>3</v>
      </c>
      <c r="N82" s="4" t="s">
        <v>3</v>
      </c>
      <c r="O82" s="4">
        <v>2</v>
      </c>
      <c r="P82" s="4"/>
      <c r="Q82" s="4"/>
      <c r="R82" s="4"/>
      <c r="S82" s="4"/>
      <c r="T82" s="4"/>
      <c r="U82" s="4"/>
      <c r="V82" s="4"/>
      <c r="W82" s="4">
        <v>0</v>
      </c>
      <c r="X82" s="4">
        <v>1</v>
      </c>
      <c r="Y82" s="4">
        <v>0</v>
      </c>
      <c r="Z82" s="4"/>
      <c r="AA82" s="4"/>
      <c r="AB82" s="4"/>
    </row>
    <row r="83" spans="1:28" x14ac:dyDescent="0.2">
      <c r="A83" s="4">
        <v>50</v>
      </c>
      <c r="B83" s="4">
        <v>0</v>
      </c>
      <c r="C83" s="4">
        <v>0</v>
      </c>
      <c r="D83" s="4">
        <v>1</v>
      </c>
      <c r="E83" s="4">
        <v>228</v>
      </c>
      <c r="F83" s="4">
        <f>ROUND(Source!AY75,O83)</f>
        <v>62015.43</v>
      </c>
      <c r="G83" s="4" t="s">
        <v>128</v>
      </c>
      <c r="H83" s="4" t="s">
        <v>129</v>
      </c>
      <c r="I83" s="4"/>
      <c r="J83" s="4"/>
      <c r="K83" s="4">
        <v>228</v>
      </c>
      <c r="L83" s="4">
        <v>7</v>
      </c>
      <c r="M83" s="4">
        <v>3</v>
      </c>
      <c r="N83" s="4" t="s">
        <v>3</v>
      </c>
      <c r="O83" s="4">
        <v>2</v>
      </c>
      <c r="P83" s="4"/>
      <c r="Q83" s="4"/>
      <c r="R83" s="4"/>
      <c r="S83" s="4"/>
      <c r="T83" s="4"/>
      <c r="U83" s="4"/>
      <c r="V83" s="4"/>
      <c r="W83" s="4">
        <v>62015.43</v>
      </c>
      <c r="X83" s="4">
        <v>1</v>
      </c>
      <c r="Y83" s="4">
        <v>62015.43</v>
      </c>
      <c r="Z83" s="4"/>
      <c r="AA83" s="4"/>
      <c r="AB83" s="4"/>
    </row>
    <row r="84" spans="1:28" x14ac:dyDescent="0.2">
      <c r="A84" s="4">
        <v>50</v>
      </c>
      <c r="B84" s="4">
        <v>0</v>
      </c>
      <c r="C84" s="4">
        <v>0</v>
      </c>
      <c r="D84" s="4">
        <v>1</v>
      </c>
      <c r="E84" s="4">
        <v>216</v>
      </c>
      <c r="F84" s="4">
        <f>ROUND(Source!AP75,O84)</f>
        <v>0</v>
      </c>
      <c r="G84" s="4" t="s">
        <v>130</v>
      </c>
      <c r="H84" s="4" t="s">
        <v>131</v>
      </c>
      <c r="I84" s="4"/>
      <c r="J84" s="4"/>
      <c r="K84" s="4">
        <v>216</v>
      </c>
      <c r="L84" s="4">
        <v>8</v>
      </c>
      <c r="M84" s="4">
        <v>3</v>
      </c>
      <c r="N84" s="4" t="s">
        <v>3</v>
      </c>
      <c r="O84" s="4">
        <v>2</v>
      </c>
      <c r="P84" s="4"/>
      <c r="Q84" s="4"/>
      <c r="R84" s="4"/>
      <c r="S84" s="4"/>
      <c r="T84" s="4"/>
      <c r="U84" s="4"/>
      <c r="V84" s="4"/>
      <c r="W84" s="4">
        <v>0</v>
      </c>
      <c r="X84" s="4">
        <v>1</v>
      </c>
      <c r="Y84" s="4">
        <v>0</v>
      </c>
      <c r="Z84" s="4"/>
      <c r="AA84" s="4"/>
      <c r="AB84" s="4"/>
    </row>
    <row r="85" spans="1:28" x14ac:dyDescent="0.2">
      <c r="A85" s="4">
        <v>50</v>
      </c>
      <c r="B85" s="4">
        <v>0</v>
      </c>
      <c r="C85" s="4">
        <v>0</v>
      </c>
      <c r="D85" s="4">
        <v>1</v>
      </c>
      <c r="E85" s="4">
        <v>223</v>
      </c>
      <c r="F85" s="4">
        <f>ROUND(Source!AQ75,O85)</f>
        <v>0</v>
      </c>
      <c r="G85" s="4" t="s">
        <v>132</v>
      </c>
      <c r="H85" s="4" t="s">
        <v>133</v>
      </c>
      <c r="I85" s="4"/>
      <c r="J85" s="4"/>
      <c r="K85" s="4">
        <v>223</v>
      </c>
      <c r="L85" s="4">
        <v>9</v>
      </c>
      <c r="M85" s="4">
        <v>3</v>
      </c>
      <c r="N85" s="4" t="s">
        <v>3</v>
      </c>
      <c r="O85" s="4">
        <v>2</v>
      </c>
      <c r="P85" s="4"/>
      <c r="Q85" s="4"/>
      <c r="R85" s="4"/>
      <c r="S85" s="4"/>
      <c r="T85" s="4"/>
      <c r="U85" s="4"/>
      <c r="V85" s="4"/>
      <c r="W85" s="4">
        <v>0</v>
      </c>
      <c r="X85" s="4">
        <v>1</v>
      </c>
      <c r="Y85" s="4">
        <v>0</v>
      </c>
      <c r="Z85" s="4"/>
      <c r="AA85" s="4"/>
      <c r="AB85" s="4"/>
    </row>
    <row r="86" spans="1:28" x14ac:dyDescent="0.2">
      <c r="A86" s="4">
        <v>50</v>
      </c>
      <c r="B86" s="4">
        <v>0</v>
      </c>
      <c r="C86" s="4">
        <v>0</v>
      </c>
      <c r="D86" s="4">
        <v>1</v>
      </c>
      <c r="E86" s="4">
        <v>229</v>
      </c>
      <c r="F86" s="4">
        <f>ROUND(Source!AZ75,O86)</f>
        <v>0</v>
      </c>
      <c r="G86" s="4" t="s">
        <v>134</v>
      </c>
      <c r="H86" s="4" t="s">
        <v>135</v>
      </c>
      <c r="I86" s="4"/>
      <c r="J86" s="4"/>
      <c r="K86" s="4">
        <v>229</v>
      </c>
      <c r="L86" s="4">
        <v>10</v>
      </c>
      <c r="M86" s="4">
        <v>3</v>
      </c>
      <c r="N86" s="4" t="s">
        <v>3</v>
      </c>
      <c r="O86" s="4">
        <v>2</v>
      </c>
      <c r="P86" s="4"/>
      <c r="Q86" s="4"/>
      <c r="R86" s="4"/>
      <c r="S86" s="4"/>
      <c r="T86" s="4"/>
      <c r="U86" s="4"/>
      <c r="V86" s="4"/>
      <c r="W86" s="4">
        <v>0</v>
      </c>
      <c r="X86" s="4">
        <v>1</v>
      </c>
      <c r="Y86" s="4">
        <v>0</v>
      </c>
      <c r="Z86" s="4"/>
      <c r="AA86" s="4"/>
      <c r="AB86" s="4"/>
    </row>
    <row r="87" spans="1:28" x14ac:dyDescent="0.2">
      <c r="A87" s="4">
        <v>50</v>
      </c>
      <c r="B87" s="4">
        <v>1</v>
      </c>
      <c r="C87" s="4">
        <v>0</v>
      </c>
      <c r="D87" s="4">
        <v>1</v>
      </c>
      <c r="E87" s="4">
        <v>203</v>
      </c>
      <c r="F87" s="4">
        <f>ROUND(Source!Q75,O87)</f>
        <v>56769.64</v>
      </c>
      <c r="G87" s="4" t="s">
        <v>136</v>
      </c>
      <c r="H87" s="4" t="s">
        <v>137</v>
      </c>
      <c r="I87" s="4"/>
      <c r="J87" s="4"/>
      <c r="K87" s="4">
        <v>203</v>
      </c>
      <c r="L87" s="4">
        <v>11</v>
      </c>
      <c r="M87" s="4">
        <v>1</v>
      </c>
      <c r="N87" s="4" t="s">
        <v>3</v>
      </c>
      <c r="O87" s="4">
        <v>2</v>
      </c>
      <c r="P87" s="4"/>
      <c r="Q87" s="4"/>
      <c r="R87" s="4"/>
      <c r="S87" s="4"/>
      <c r="T87" s="4"/>
      <c r="U87" s="4"/>
      <c r="V87" s="4"/>
      <c r="W87" s="4">
        <v>56769.64</v>
      </c>
      <c r="X87" s="4">
        <v>1</v>
      </c>
      <c r="Y87" s="4">
        <v>56769.64</v>
      </c>
      <c r="Z87" s="4"/>
      <c r="AA87" s="4"/>
      <c r="AB87" s="4"/>
    </row>
    <row r="88" spans="1:28" x14ac:dyDescent="0.2">
      <c r="A88" s="4">
        <v>50</v>
      </c>
      <c r="B88" s="4">
        <v>0</v>
      </c>
      <c r="C88" s="4">
        <v>0</v>
      </c>
      <c r="D88" s="4">
        <v>1</v>
      </c>
      <c r="E88" s="4">
        <v>231</v>
      </c>
      <c r="F88" s="4">
        <f>ROUND(Source!BB75,O88)</f>
        <v>0</v>
      </c>
      <c r="G88" s="4" t="s">
        <v>138</v>
      </c>
      <c r="H88" s="4" t="s">
        <v>139</v>
      </c>
      <c r="I88" s="4"/>
      <c r="J88" s="4"/>
      <c r="K88" s="4">
        <v>231</v>
      </c>
      <c r="L88" s="4">
        <v>12</v>
      </c>
      <c r="M88" s="4">
        <v>3</v>
      </c>
      <c r="N88" s="4" t="s">
        <v>3</v>
      </c>
      <c r="O88" s="4">
        <v>2</v>
      </c>
      <c r="P88" s="4"/>
      <c r="Q88" s="4"/>
      <c r="R88" s="4"/>
      <c r="S88" s="4"/>
      <c r="T88" s="4"/>
      <c r="U88" s="4"/>
      <c r="V88" s="4"/>
      <c r="W88" s="4">
        <v>0</v>
      </c>
      <c r="X88" s="4">
        <v>1</v>
      </c>
      <c r="Y88" s="4">
        <v>0</v>
      </c>
      <c r="Z88" s="4"/>
      <c r="AA88" s="4"/>
      <c r="AB88" s="4"/>
    </row>
    <row r="89" spans="1:28" x14ac:dyDescent="0.2">
      <c r="A89" s="4">
        <v>50</v>
      </c>
      <c r="B89" s="4">
        <v>1</v>
      </c>
      <c r="C89" s="4">
        <v>0</v>
      </c>
      <c r="D89" s="4">
        <v>1</v>
      </c>
      <c r="E89" s="4">
        <v>204</v>
      </c>
      <c r="F89" s="4">
        <f>ROUND(Source!R75,O89)</f>
        <v>19171.650000000001</v>
      </c>
      <c r="G89" s="4" t="s">
        <v>140</v>
      </c>
      <c r="H89" s="4" t="s">
        <v>141</v>
      </c>
      <c r="I89" s="4"/>
      <c r="J89" s="4"/>
      <c r="K89" s="4">
        <v>204</v>
      </c>
      <c r="L89" s="4">
        <v>13</v>
      </c>
      <c r="M89" s="4">
        <v>1</v>
      </c>
      <c r="N89" s="4" t="s">
        <v>3</v>
      </c>
      <c r="O89" s="4">
        <v>2</v>
      </c>
      <c r="P89" s="4"/>
      <c r="Q89" s="4"/>
      <c r="R89" s="4"/>
      <c r="S89" s="4"/>
      <c r="T89" s="4"/>
      <c r="U89" s="4"/>
      <c r="V89" s="4"/>
      <c r="W89" s="4">
        <v>19171.650000000001</v>
      </c>
      <c r="X89" s="4">
        <v>1</v>
      </c>
      <c r="Y89" s="4">
        <v>19171.650000000001</v>
      </c>
      <c r="Z89" s="4"/>
      <c r="AA89" s="4"/>
      <c r="AB89" s="4"/>
    </row>
    <row r="90" spans="1:28" x14ac:dyDescent="0.2">
      <c r="A90" s="4">
        <v>50</v>
      </c>
      <c r="B90" s="4">
        <v>1</v>
      </c>
      <c r="C90" s="4">
        <v>0</v>
      </c>
      <c r="D90" s="4">
        <v>1</v>
      </c>
      <c r="E90" s="4">
        <v>205</v>
      </c>
      <c r="F90" s="4">
        <f>ROUND(Source!S75,O90)</f>
        <v>112297.03</v>
      </c>
      <c r="G90" s="4" t="s">
        <v>142</v>
      </c>
      <c r="H90" s="4" t="s">
        <v>143</v>
      </c>
      <c r="I90" s="4"/>
      <c r="J90" s="4"/>
      <c r="K90" s="4">
        <v>205</v>
      </c>
      <c r="L90" s="4">
        <v>14</v>
      </c>
      <c r="M90" s="4">
        <v>1</v>
      </c>
      <c r="N90" s="4" t="s">
        <v>3</v>
      </c>
      <c r="O90" s="4">
        <v>2</v>
      </c>
      <c r="P90" s="4"/>
      <c r="Q90" s="4"/>
      <c r="R90" s="4"/>
      <c r="S90" s="4"/>
      <c r="T90" s="4"/>
      <c r="U90" s="4"/>
      <c r="V90" s="4"/>
      <c r="W90" s="4">
        <v>112297.03</v>
      </c>
      <c r="X90" s="4">
        <v>1</v>
      </c>
      <c r="Y90" s="4">
        <v>112297.03</v>
      </c>
      <c r="Z90" s="4"/>
      <c r="AA90" s="4"/>
      <c r="AB90" s="4"/>
    </row>
    <row r="91" spans="1:28" x14ac:dyDescent="0.2">
      <c r="A91" s="4">
        <v>50</v>
      </c>
      <c r="B91" s="4">
        <v>0</v>
      </c>
      <c r="C91" s="4">
        <v>0</v>
      </c>
      <c r="D91" s="4">
        <v>1</v>
      </c>
      <c r="E91" s="4">
        <v>232</v>
      </c>
      <c r="F91" s="4">
        <f>ROUND(Source!BC75,O91)</f>
        <v>0</v>
      </c>
      <c r="G91" s="4" t="s">
        <v>144</v>
      </c>
      <c r="H91" s="4" t="s">
        <v>145</v>
      </c>
      <c r="I91" s="4"/>
      <c r="J91" s="4"/>
      <c r="K91" s="4">
        <v>232</v>
      </c>
      <c r="L91" s="4">
        <v>15</v>
      </c>
      <c r="M91" s="4">
        <v>3</v>
      </c>
      <c r="N91" s="4" t="s">
        <v>3</v>
      </c>
      <c r="O91" s="4">
        <v>2</v>
      </c>
      <c r="P91" s="4"/>
      <c r="Q91" s="4"/>
      <c r="R91" s="4"/>
      <c r="S91" s="4"/>
      <c r="T91" s="4"/>
      <c r="U91" s="4"/>
      <c r="V91" s="4"/>
      <c r="W91" s="4">
        <v>0</v>
      </c>
      <c r="X91" s="4">
        <v>1</v>
      </c>
      <c r="Y91" s="4">
        <v>0</v>
      </c>
      <c r="Z91" s="4"/>
      <c r="AA91" s="4"/>
      <c r="AB91" s="4"/>
    </row>
    <row r="92" spans="1:28" x14ac:dyDescent="0.2">
      <c r="A92" s="4">
        <v>50</v>
      </c>
      <c r="B92" s="4">
        <v>0</v>
      </c>
      <c r="C92" s="4">
        <v>0</v>
      </c>
      <c r="D92" s="4">
        <v>1</v>
      </c>
      <c r="E92" s="4">
        <v>214</v>
      </c>
      <c r="F92" s="4">
        <f>ROUND(Source!AS75,O92)</f>
        <v>454979.48</v>
      </c>
      <c r="G92" s="4" t="s">
        <v>146</v>
      </c>
      <c r="H92" s="4" t="s">
        <v>147</v>
      </c>
      <c r="I92" s="4"/>
      <c r="J92" s="4"/>
      <c r="K92" s="4">
        <v>214</v>
      </c>
      <c r="L92" s="4">
        <v>16</v>
      </c>
      <c r="M92" s="4">
        <v>3</v>
      </c>
      <c r="N92" s="4" t="s">
        <v>3</v>
      </c>
      <c r="O92" s="4">
        <v>2</v>
      </c>
      <c r="P92" s="4"/>
      <c r="Q92" s="4"/>
      <c r="R92" s="4"/>
      <c r="S92" s="4"/>
      <c r="T92" s="4"/>
      <c r="U92" s="4"/>
      <c r="V92" s="4"/>
      <c r="W92" s="4">
        <v>454979.48</v>
      </c>
      <c r="X92" s="4">
        <v>1</v>
      </c>
      <c r="Y92" s="4">
        <v>454979.48</v>
      </c>
      <c r="Z92" s="4"/>
      <c r="AA92" s="4"/>
      <c r="AB92" s="4"/>
    </row>
    <row r="93" spans="1:28" x14ac:dyDescent="0.2">
      <c r="A93" s="4">
        <v>50</v>
      </c>
      <c r="B93" s="4">
        <v>0</v>
      </c>
      <c r="C93" s="4">
        <v>0</v>
      </c>
      <c r="D93" s="4">
        <v>1</v>
      </c>
      <c r="E93" s="4">
        <v>215</v>
      </c>
      <c r="F93" s="4">
        <f>ROUND(Source!AT75,O93)</f>
        <v>7335.53</v>
      </c>
      <c r="G93" s="4" t="s">
        <v>148</v>
      </c>
      <c r="H93" s="4" t="s">
        <v>149</v>
      </c>
      <c r="I93" s="4"/>
      <c r="J93" s="4"/>
      <c r="K93" s="4">
        <v>215</v>
      </c>
      <c r="L93" s="4">
        <v>17</v>
      </c>
      <c r="M93" s="4">
        <v>3</v>
      </c>
      <c r="N93" s="4" t="s">
        <v>3</v>
      </c>
      <c r="O93" s="4">
        <v>2</v>
      </c>
      <c r="P93" s="4"/>
      <c r="Q93" s="4"/>
      <c r="R93" s="4"/>
      <c r="S93" s="4"/>
      <c r="T93" s="4"/>
      <c r="U93" s="4"/>
      <c r="V93" s="4"/>
      <c r="W93" s="4">
        <v>7335.53</v>
      </c>
      <c r="X93" s="4">
        <v>1</v>
      </c>
      <c r="Y93" s="4">
        <v>7335.53</v>
      </c>
      <c r="Z93" s="4"/>
      <c r="AA93" s="4"/>
      <c r="AB93" s="4"/>
    </row>
    <row r="94" spans="1:28" x14ac:dyDescent="0.2">
      <c r="A94" s="4">
        <v>50</v>
      </c>
      <c r="B94" s="4">
        <v>0</v>
      </c>
      <c r="C94" s="4">
        <v>0</v>
      </c>
      <c r="D94" s="4">
        <v>1</v>
      </c>
      <c r="E94" s="4">
        <v>217</v>
      </c>
      <c r="F94" s="4">
        <f>ROUND(Source!AU75,O94)</f>
        <v>0</v>
      </c>
      <c r="G94" s="4" t="s">
        <v>150</v>
      </c>
      <c r="H94" s="4" t="s">
        <v>151</v>
      </c>
      <c r="I94" s="4"/>
      <c r="J94" s="4"/>
      <c r="K94" s="4">
        <v>217</v>
      </c>
      <c r="L94" s="4">
        <v>18</v>
      </c>
      <c r="M94" s="4">
        <v>3</v>
      </c>
      <c r="N94" s="4" t="s">
        <v>3</v>
      </c>
      <c r="O94" s="4">
        <v>2</v>
      </c>
      <c r="P94" s="4"/>
      <c r="Q94" s="4"/>
      <c r="R94" s="4"/>
      <c r="S94" s="4"/>
      <c r="T94" s="4"/>
      <c r="U94" s="4"/>
      <c r="V94" s="4"/>
      <c r="W94" s="4">
        <v>0</v>
      </c>
      <c r="X94" s="4">
        <v>1</v>
      </c>
      <c r="Y94" s="4">
        <v>0</v>
      </c>
      <c r="Z94" s="4"/>
      <c r="AA94" s="4"/>
      <c r="AB94" s="4"/>
    </row>
    <row r="95" spans="1:28" x14ac:dyDescent="0.2">
      <c r="A95" s="4">
        <v>50</v>
      </c>
      <c r="B95" s="4">
        <v>0</v>
      </c>
      <c r="C95" s="4">
        <v>0</v>
      </c>
      <c r="D95" s="4">
        <v>1</v>
      </c>
      <c r="E95" s="4">
        <v>230</v>
      </c>
      <c r="F95" s="4">
        <f>ROUND(Source!BA75,O95)</f>
        <v>0</v>
      </c>
      <c r="G95" s="4" t="s">
        <v>152</v>
      </c>
      <c r="H95" s="4" t="s">
        <v>153</v>
      </c>
      <c r="I95" s="4"/>
      <c r="J95" s="4"/>
      <c r="K95" s="4">
        <v>230</v>
      </c>
      <c r="L95" s="4">
        <v>19</v>
      </c>
      <c r="M95" s="4">
        <v>3</v>
      </c>
      <c r="N95" s="4" t="s">
        <v>3</v>
      </c>
      <c r="O95" s="4">
        <v>2</v>
      </c>
      <c r="P95" s="4"/>
      <c r="Q95" s="4"/>
      <c r="R95" s="4"/>
      <c r="S95" s="4"/>
      <c r="T95" s="4"/>
      <c r="U95" s="4"/>
      <c r="V95" s="4"/>
      <c r="W95" s="4">
        <v>0</v>
      </c>
      <c r="X95" s="4">
        <v>1</v>
      </c>
      <c r="Y95" s="4">
        <v>0</v>
      </c>
      <c r="Z95" s="4"/>
      <c r="AA95" s="4"/>
      <c r="AB95" s="4"/>
    </row>
    <row r="96" spans="1:28" x14ac:dyDescent="0.2">
      <c r="A96" s="4">
        <v>50</v>
      </c>
      <c r="B96" s="4">
        <v>0</v>
      </c>
      <c r="C96" s="4">
        <v>0</v>
      </c>
      <c r="D96" s="4">
        <v>1</v>
      </c>
      <c r="E96" s="4">
        <v>206</v>
      </c>
      <c r="F96" s="4">
        <f>ROUND(Source!T75,O96)</f>
        <v>0</v>
      </c>
      <c r="G96" s="4" t="s">
        <v>154</v>
      </c>
      <c r="H96" s="4" t="s">
        <v>155</v>
      </c>
      <c r="I96" s="4"/>
      <c r="J96" s="4"/>
      <c r="K96" s="4">
        <v>206</v>
      </c>
      <c r="L96" s="4">
        <v>20</v>
      </c>
      <c r="M96" s="4">
        <v>3</v>
      </c>
      <c r="N96" s="4" t="s">
        <v>3</v>
      </c>
      <c r="O96" s="4">
        <v>2</v>
      </c>
      <c r="P96" s="4"/>
      <c r="Q96" s="4"/>
      <c r="R96" s="4"/>
      <c r="S96" s="4"/>
      <c r="T96" s="4"/>
      <c r="U96" s="4"/>
      <c r="V96" s="4"/>
      <c r="W96" s="4">
        <v>0</v>
      </c>
      <c r="X96" s="4">
        <v>1</v>
      </c>
      <c r="Y96" s="4">
        <v>0</v>
      </c>
      <c r="Z96" s="4"/>
      <c r="AA96" s="4"/>
      <c r="AB96" s="4"/>
    </row>
    <row r="97" spans="1:206" x14ac:dyDescent="0.2">
      <c r="A97" s="4">
        <v>50</v>
      </c>
      <c r="B97" s="4">
        <v>0</v>
      </c>
      <c r="C97" s="4">
        <v>0</v>
      </c>
      <c r="D97" s="4">
        <v>1</v>
      </c>
      <c r="E97" s="4">
        <v>207</v>
      </c>
      <c r="F97" s="4">
        <f>ROUND(Source!U75,O97)</f>
        <v>322.41984000000002</v>
      </c>
      <c r="G97" s="4" t="s">
        <v>156</v>
      </c>
      <c r="H97" s="4" t="s">
        <v>157</v>
      </c>
      <c r="I97" s="4"/>
      <c r="J97" s="4"/>
      <c r="K97" s="4">
        <v>207</v>
      </c>
      <c r="L97" s="4">
        <v>21</v>
      </c>
      <c r="M97" s="4">
        <v>3</v>
      </c>
      <c r="N97" s="4" t="s">
        <v>3</v>
      </c>
      <c r="O97" s="4">
        <v>7</v>
      </c>
      <c r="P97" s="4"/>
      <c r="Q97" s="4"/>
      <c r="R97" s="4"/>
      <c r="S97" s="4"/>
      <c r="T97" s="4"/>
      <c r="U97" s="4"/>
      <c r="V97" s="4"/>
      <c r="W97" s="4">
        <v>322.41984000000002</v>
      </c>
      <c r="X97" s="4">
        <v>1</v>
      </c>
      <c r="Y97" s="4">
        <v>322.41984000000002</v>
      </c>
      <c r="Z97" s="4"/>
      <c r="AA97" s="4"/>
      <c r="AB97" s="4"/>
    </row>
    <row r="98" spans="1:206" x14ac:dyDescent="0.2">
      <c r="A98" s="4">
        <v>50</v>
      </c>
      <c r="B98" s="4">
        <v>0</v>
      </c>
      <c r="C98" s="4">
        <v>0</v>
      </c>
      <c r="D98" s="4">
        <v>1</v>
      </c>
      <c r="E98" s="4">
        <v>208</v>
      </c>
      <c r="F98" s="4">
        <f>ROUND(Source!V75,O98)</f>
        <v>38.397799999999997</v>
      </c>
      <c r="G98" s="4" t="s">
        <v>158</v>
      </c>
      <c r="H98" s="4" t="s">
        <v>159</v>
      </c>
      <c r="I98" s="4"/>
      <c r="J98" s="4"/>
      <c r="K98" s="4">
        <v>208</v>
      </c>
      <c r="L98" s="4">
        <v>22</v>
      </c>
      <c r="M98" s="4">
        <v>3</v>
      </c>
      <c r="N98" s="4" t="s">
        <v>3</v>
      </c>
      <c r="O98" s="4">
        <v>7</v>
      </c>
      <c r="P98" s="4"/>
      <c r="Q98" s="4"/>
      <c r="R98" s="4"/>
      <c r="S98" s="4"/>
      <c r="T98" s="4"/>
      <c r="U98" s="4"/>
      <c r="V98" s="4"/>
      <c r="W98" s="4">
        <v>38.397799999999997</v>
      </c>
      <c r="X98" s="4">
        <v>1</v>
      </c>
      <c r="Y98" s="4">
        <v>38.397799999999997</v>
      </c>
      <c r="Z98" s="4"/>
      <c r="AA98" s="4"/>
      <c r="AB98" s="4"/>
    </row>
    <row r="99" spans="1:206" x14ac:dyDescent="0.2">
      <c r="A99" s="4">
        <v>50</v>
      </c>
      <c r="B99" s="4">
        <v>0</v>
      </c>
      <c r="C99" s="4">
        <v>0</v>
      </c>
      <c r="D99" s="4">
        <v>1</v>
      </c>
      <c r="E99" s="4">
        <v>209</v>
      </c>
      <c r="F99" s="4">
        <f>ROUND(Source!W75,O99)</f>
        <v>0</v>
      </c>
      <c r="G99" s="4" t="s">
        <v>160</v>
      </c>
      <c r="H99" s="4" t="s">
        <v>161</v>
      </c>
      <c r="I99" s="4"/>
      <c r="J99" s="4"/>
      <c r="K99" s="4">
        <v>209</v>
      </c>
      <c r="L99" s="4">
        <v>23</v>
      </c>
      <c r="M99" s="4">
        <v>3</v>
      </c>
      <c r="N99" s="4" t="s">
        <v>3</v>
      </c>
      <c r="O99" s="4">
        <v>2</v>
      </c>
      <c r="P99" s="4"/>
      <c r="Q99" s="4"/>
      <c r="R99" s="4"/>
      <c r="S99" s="4"/>
      <c r="T99" s="4"/>
      <c r="U99" s="4"/>
      <c r="V99" s="4"/>
      <c r="W99" s="4">
        <v>0</v>
      </c>
      <c r="X99" s="4">
        <v>1</v>
      </c>
      <c r="Y99" s="4">
        <v>0</v>
      </c>
      <c r="Z99" s="4"/>
      <c r="AA99" s="4"/>
      <c r="AB99" s="4"/>
    </row>
    <row r="100" spans="1:206" x14ac:dyDescent="0.2">
      <c r="A100" s="4">
        <v>50</v>
      </c>
      <c r="B100" s="4">
        <v>0</v>
      </c>
      <c r="C100" s="4">
        <v>0</v>
      </c>
      <c r="D100" s="4">
        <v>1</v>
      </c>
      <c r="E100" s="4">
        <v>233</v>
      </c>
      <c r="F100" s="4">
        <f>ROUND(Source!BD75,O100)</f>
        <v>0</v>
      </c>
      <c r="G100" s="4" t="s">
        <v>162</v>
      </c>
      <c r="H100" s="4" t="s">
        <v>163</v>
      </c>
      <c r="I100" s="4"/>
      <c r="J100" s="4"/>
      <c r="K100" s="4">
        <v>233</v>
      </c>
      <c r="L100" s="4">
        <v>24</v>
      </c>
      <c r="M100" s="4">
        <v>3</v>
      </c>
      <c r="N100" s="4" t="s">
        <v>3</v>
      </c>
      <c r="O100" s="4">
        <v>2</v>
      </c>
      <c r="P100" s="4"/>
      <c r="Q100" s="4"/>
      <c r="R100" s="4"/>
      <c r="S100" s="4"/>
      <c r="T100" s="4"/>
      <c r="U100" s="4"/>
      <c r="V100" s="4"/>
      <c r="W100" s="4">
        <v>0</v>
      </c>
      <c r="X100" s="4">
        <v>1</v>
      </c>
      <c r="Y100" s="4">
        <v>0</v>
      </c>
      <c r="Z100" s="4"/>
      <c r="AA100" s="4"/>
      <c r="AB100" s="4"/>
    </row>
    <row r="101" spans="1:206" x14ac:dyDescent="0.2">
      <c r="A101" s="4">
        <v>50</v>
      </c>
      <c r="B101" s="4">
        <v>1</v>
      </c>
      <c r="C101" s="4">
        <v>0</v>
      </c>
      <c r="D101" s="4">
        <v>1</v>
      </c>
      <c r="E101" s="4">
        <v>210</v>
      </c>
      <c r="F101" s="4">
        <f>ROUND(Source!X75,O101)</f>
        <v>140277.48000000001</v>
      </c>
      <c r="G101" s="4" t="s">
        <v>164</v>
      </c>
      <c r="H101" s="4" t="s">
        <v>165</v>
      </c>
      <c r="I101" s="4"/>
      <c r="J101" s="4"/>
      <c r="K101" s="4">
        <v>210</v>
      </c>
      <c r="L101" s="4">
        <v>25</v>
      </c>
      <c r="M101" s="4">
        <v>1</v>
      </c>
      <c r="N101" s="4" t="s">
        <v>3</v>
      </c>
      <c r="O101" s="4">
        <v>2</v>
      </c>
      <c r="P101" s="4"/>
      <c r="Q101" s="4"/>
      <c r="R101" s="4"/>
      <c r="S101" s="4"/>
      <c r="T101" s="4"/>
      <c r="U101" s="4"/>
      <c r="V101" s="4"/>
      <c r="W101" s="4">
        <v>140277.48000000001</v>
      </c>
      <c r="X101" s="4">
        <v>1</v>
      </c>
      <c r="Y101" s="4">
        <v>140277.48000000001</v>
      </c>
      <c r="Z101" s="4"/>
      <c r="AA101" s="4"/>
      <c r="AB101" s="4"/>
    </row>
    <row r="102" spans="1:206" x14ac:dyDescent="0.2">
      <c r="A102" s="4">
        <v>50</v>
      </c>
      <c r="B102" s="4">
        <v>1</v>
      </c>
      <c r="C102" s="4">
        <v>0</v>
      </c>
      <c r="D102" s="4">
        <v>1</v>
      </c>
      <c r="E102" s="4">
        <v>211</v>
      </c>
      <c r="F102" s="4">
        <f>ROUND(Source!Y75,O102)</f>
        <v>71783.78</v>
      </c>
      <c r="G102" s="4" t="s">
        <v>166</v>
      </c>
      <c r="H102" s="4" t="s">
        <v>167</v>
      </c>
      <c r="I102" s="4"/>
      <c r="J102" s="4"/>
      <c r="K102" s="4">
        <v>211</v>
      </c>
      <c r="L102" s="4">
        <v>26</v>
      </c>
      <c r="M102" s="4">
        <v>1</v>
      </c>
      <c r="N102" s="4" t="s">
        <v>3</v>
      </c>
      <c r="O102" s="4">
        <v>2</v>
      </c>
      <c r="P102" s="4"/>
      <c r="Q102" s="4"/>
      <c r="R102" s="4"/>
      <c r="S102" s="4"/>
      <c r="T102" s="4"/>
      <c r="U102" s="4"/>
      <c r="V102" s="4"/>
      <c r="W102" s="4">
        <v>71783.78</v>
      </c>
      <c r="X102" s="4">
        <v>1</v>
      </c>
      <c r="Y102" s="4">
        <v>71783.78</v>
      </c>
      <c r="Z102" s="4"/>
      <c r="AA102" s="4"/>
      <c r="AB102" s="4"/>
    </row>
    <row r="103" spans="1:206" x14ac:dyDescent="0.2">
      <c r="A103" s="4">
        <v>50</v>
      </c>
      <c r="B103" s="4">
        <v>1</v>
      </c>
      <c r="C103" s="4">
        <v>0</v>
      </c>
      <c r="D103" s="4">
        <v>1</v>
      </c>
      <c r="E103" s="4">
        <v>224</v>
      </c>
      <c r="F103" s="4">
        <f>ROUND(Source!AR75,O103)</f>
        <v>462315.01</v>
      </c>
      <c r="G103" s="4" t="s">
        <v>168</v>
      </c>
      <c r="H103" s="4" t="s">
        <v>169</v>
      </c>
      <c r="I103" s="4"/>
      <c r="J103" s="4"/>
      <c r="K103" s="4">
        <v>224</v>
      </c>
      <c r="L103" s="4">
        <v>27</v>
      </c>
      <c r="M103" s="4">
        <v>1</v>
      </c>
      <c r="N103" s="4" t="s">
        <v>3</v>
      </c>
      <c r="O103" s="4">
        <v>2</v>
      </c>
      <c r="P103" s="4"/>
      <c r="Q103" s="4"/>
      <c r="R103" s="4"/>
      <c r="S103" s="4"/>
      <c r="T103" s="4"/>
      <c r="U103" s="4"/>
      <c r="V103" s="4"/>
      <c r="W103" s="4">
        <v>462315.01</v>
      </c>
      <c r="X103" s="4">
        <v>1</v>
      </c>
      <c r="Y103" s="4">
        <v>462315.01</v>
      </c>
      <c r="Z103" s="4"/>
      <c r="AA103" s="4"/>
      <c r="AB103" s="4"/>
    </row>
    <row r="105" spans="1:206" x14ac:dyDescent="0.2">
      <c r="A105" s="2">
        <v>51</v>
      </c>
      <c r="B105" s="2">
        <f>B12</f>
        <v>165</v>
      </c>
      <c r="C105" s="2">
        <f>A12</f>
        <v>1</v>
      </c>
      <c r="D105" s="2">
        <f>ROW(A12)</f>
        <v>12</v>
      </c>
      <c r="E105" s="2"/>
      <c r="F105" s="2" t="str">
        <f>IF(F12&lt;&gt;"",F12,"")</f>
        <v>Новый объект_(Копия)</v>
      </c>
      <c r="G105" s="2" t="str">
        <f>IF(G12&lt;&gt;"",G12,"")</f>
        <v>МОДУЛЬ  КБ-172  пересчет 01.06.2026</v>
      </c>
      <c r="H105" s="2">
        <v>0</v>
      </c>
      <c r="I105" s="2"/>
      <c r="J105" s="2"/>
      <c r="K105" s="2"/>
      <c r="L105" s="2"/>
      <c r="M105" s="2"/>
      <c r="N105" s="2"/>
      <c r="O105" s="2">
        <f t="shared" ref="O105:T105" si="50">ROUND(O75,2)</f>
        <v>250253.75</v>
      </c>
      <c r="P105" s="2">
        <f t="shared" si="50"/>
        <v>62015.43</v>
      </c>
      <c r="Q105" s="2">
        <f t="shared" si="50"/>
        <v>56769.64</v>
      </c>
      <c r="R105" s="2">
        <f t="shared" si="50"/>
        <v>19171.650000000001</v>
      </c>
      <c r="S105" s="2">
        <f t="shared" si="50"/>
        <v>112297.03</v>
      </c>
      <c r="T105" s="2">
        <f t="shared" si="50"/>
        <v>0</v>
      </c>
      <c r="U105" s="2">
        <f>U75</f>
        <v>322.41984000000002</v>
      </c>
      <c r="V105" s="2">
        <f>V75</f>
        <v>38.397800000000004</v>
      </c>
      <c r="W105" s="2">
        <f>ROUND(W75,2)</f>
        <v>0</v>
      </c>
      <c r="X105" s="2">
        <f>ROUND(X75,2)</f>
        <v>140277.48000000001</v>
      </c>
      <c r="Y105" s="2">
        <f>ROUND(Y75,2)</f>
        <v>71783.78</v>
      </c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>
        <f t="shared" ref="AO105:BD105" si="51">ROUND(AO75,2)</f>
        <v>0</v>
      </c>
      <c r="AP105" s="2">
        <f t="shared" si="51"/>
        <v>0</v>
      </c>
      <c r="AQ105" s="2">
        <f t="shared" si="51"/>
        <v>0</v>
      </c>
      <c r="AR105" s="2">
        <f t="shared" si="51"/>
        <v>462315.01</v>
      </c>
      <c r="AS105" s="2">
        <f t="shared" si="51"/>
        <v>454979.48</v>
      </c>
      <c r="AT105" s="2">
        <f t="shared" si="51"/>
        <v>7335.53</v>
      </c>
      <c r="AU105" s="2">
        <f t="shared" si="51"/>
        <v>0</v>
      </c>
      <c r="AV105" s="2">
        <f t="shared" si="51"/>
        <v>62015.43</v>
      </c>
      <c r="AW105" s="2">
        <f t="shared" si="51"/>
        <v>62015.43</v>
      </c>
      <c r="AX105" s="2">
        <f t="shared" si="51"/>
        <v>0</v>
      </c>
      <c r="AY105" s="2">
        <f t="shared" si="51"/>
        <v>62015.43</v>
      </c>
      <c r="AZ105" s="2">
        <f t="shared" si="51"/>
        <v>0</v>
      </c>
      <c r="BA105" s="2">
        <f t="shared" si="51"/>
        <v>0</v>
      </c>
      <c r="BB105" s="2">
        <f t="shared" si="51"/>
        <v>0</v>
      </c>
      <c r="BC105" s="2">
        <f t="shared" si="51"/>
        <v>0</v>
      </c>
      <c r="BD105" s="2">
        <f t="shared" si="51"/>
        <v>0</v>
      </c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>
        <v>0</v>
      </c>
    </row>
    <row r="107" spans="1:206" x14ac:dyDescent="0.2">
      <c r="A107" s="4">
        <v>50</v>
      </c>
      <c r="B107" s="4">
        <v>0</v>
      </c>
      <c r="C107" s="4">
        <v>0</v>
      </c>
      <c r="D107" s="4">
        <v>1</v>
      </c>
      <c r="E107" s="4">
        <v>201</v>
      </c>
      <c r="F107" s="4">
        <f>ROUND(Source!O105,O107)</f>
        <v>250253.75</v>
      </c>
      <c r="G107" s="4" t="s">
        <v>116</v>
      </c>
      <c r="H107" s="4" t="s">
        <v>117</v>
      </c>
      <c r="I107" s="4"/>
      <c r="J107" s="4"/>
      <c r="K107" s="4">
        <v>201</v>
      </c>
      <c r="L107" s="4">
        <v>1</v>
      </c>
      <c r="M107" s="4">
        <v>1</v>
      </c>
      <c r="N107" s="4" t="s">
        <v>3</v>
      </c>
      <c r="O107" s="4">
        <v>2</v>
      </c>
      <c r="P107" s="4"/>
      <c r="Q107" s="4"/>
      <c r="R107" s="4"/>
      <c r="S107" s="4"/>
      <c r="T107" s="4"/>
      <c r="U107" s="4"/>
      <c r="V107" s="4"/>
      <c r="W107" s="4">
        <v>250253.75</v>
      </c>
      <c r="X107" s="4">
        <v>1</v>
      </c>
      <c r="Y107" s="4">
        <v>250253.75</v>
      </c>
      <c r="Z107" s="4"/>
      <c r="AA107" s="4"/>
      <c r="AB107" s="4"/>
    </row>
    <row r="108" spans="1:206" x14ac:dyDescent="0.2">
      <c r="A108" s="4">
        <v>50</v>
      </c>
      <c r="B108" s="4">
        <v>0</v>
      </c>
      <c r="C108" s="4">
        <v>0</v>
      </c>
      <c r="D108" s="4">
        <v>1</v>
      </c>
      <c r="E108" s="4">
        <v>202</v>
      </c>
      <c r="F108" s="4">
        <f>ROUND(Source!P105,O108)</f>
        <v>62015.43</v>
      </c>
      <c r="G108" s="4" t="s">
        <v>118</v>
      </c>
      <c r="H108" s="4" t="s">
        <v>119</v>
      </c>
      <c r="I108" s="4"/>
      <c r="J108" s="4"/>
      <c r="K108" s="4">
        <v>202</v>
      </c>
      <c r="L108" s="4">
        <v>2</v>
      </c>
      <c r="M108" s="4">
        <v>3</v>
      </c>
      <c r="N108" s="4" t="s">
        <v>3</v>
      </c>
      <c r="O108" s="4">
        <v>2</v>
      </c>
      <c r="P108" s="4"/>
      <c r="Q108" s="4"/>
      <c r="R108" s="4"/>
      <c r="S108" s="4"/>
      <c r="T108" s="4"/>
      <c r="U108" s="4"/>
      <c r="V108" s="4"/>
      <c r="W108" s="4">
        <v>62015.43</v>
      </c>
      <c r="X108" s="4">
        <v>1</v>
      </c>
      <c r="Y108" s="4">
        <v>62015.43</v>
      </c>
      <c r="Z108" s="4"/>
      <c r="AA108" s="4"/>
      <c r="AB108" s="4"/>
    </row>
    <row r="109" spans="1:206" x14ac:dyDescent="0.2">
      <c r="A109" s="4">
        <v>50</v>
      </c>
      <c r="B109" s="4">
        <v>0</v>
      </c>
      <c r="C109" s="4">
        <v>0</v>
      </c>
      <c r="D109" s="4">
        <v>1</v>
      </c>
      <c r="E109" s="4">
        <v>222</v>
      </c>
      <c r="F109" s="4">
        <f>ROUND(Source!AO105,O109)</f>
        <v>0</v>
      </c>
      <c r="G109" s="4" t="s">
        <v>120</v>
      </c>
      <c r="H109" s="4" t="s">
        <v>121</v>
      </c>
      <c r="I109" s="4"/>
      <c r="J109" s="4"/>
      <c r="K109" s="4">
        <v>222</v>
      </c>
      <c r="L109" s="4">
        <v>3</v>
      </c>
      <c r="M109" s="4">
        <v>3</v>
      </c>
      <c r="N109" s="4" t="s">
        <v>3</v>
      </c>
      <c r="O109" s="4">
        <v>2</v>
      </c>
      <c r="P109" s="4"/>
      <c r="Q109" s="4"/>
      <c r="R109" s="4"/>
      <c r="S109" s="4"/>
      <c r="T109" s="4"/>
      <c r="U109" s="4"/>
      <c r="V109" s="4"/>
      <c r="W109" s="4">
        <v>0</v>
      </c>
      <c r="X109" s="4">
        <v>1</v>
      </c>
      <c r="Y109" s="4">
        <v>0</v>
      </c>
      <c r="Z109" s="4"/>
      <c r="AA109" s="4"/>
      <c r="AB109" s="4"/>
    </row>
    <row r="110" spans="1:206" x14ac:dyDescent="0.2">
      <c r="A110" s="4">
        <v>50</v>
      </c>
      <c r="B110" s="4">
        <v>0</v>
      </c>
      <c r="C110" s="4">
        <v>0</v>
      </c>
      <c r="D110" s="4">
        <v>1</v>
      </c>
      <c r="E110" s="4">
        <v>225</v>
      </c>
      <c r="F110" s="4">
        <f>ROUND(Source!AV105,O110)</f>
        <v>62015.43</v>
      </c>
      <c r="G110" s="4" t="s">
        <v>122</v>
      </c>
      <c r="H110" s="4" t="s">
        <v>123</v>
      </c>
      <c r="I110" s="4"/>
      <c r="J110" s="4"/>
      <c r="K110" s="4">
        <v>225</v>
      </c>
      <c r="L110" s="4">
        <v>4</v>
      </c>
      <c r="M110" s="4">
        <v>3</v>
      </c>
      <c r="N110" s="4" t="s">
        <v>3</v>
      </c>
      <c r="O110" s="4">
        <v>2</v>
      </c>
      <c r="P110" s="4"/>
      <c r="Q110" s="4"/>
      <c r="R110" s="4"/>
      <c r="S110" s="4"/>
      <c r="T110" s="4"/>
      <c r="U110" s="4"/>
      <c r="V110" s="4"/>
      <c r="W110" s="4">
        <v>62015.43</v>
      </c>
      <c r="X110" s="4">
        <v>1</v>
      </c>
      <c r="Y110" s="4">
        <v>62015.43</v>
      </c>
      <c r="Z110" s="4"/>
      <c r="AA110" s="4"/>
      <c r="AB110" s="4"/>
    </row>
    <row r="111" spans="1:206" x14ac:dyDescent="0.2">
      <c r="A111" s="4">
        <v>50</v>
      </c>
      <c r="B111" s="4">
        <v>0</v>
      </c>
      <c r="C111" s="4">
        <v>0</v>
      </c>
      <c r="D111" s="4">
        <v>1</v>
      </c>
      <c r="E111" s="4">
        <v>226</v>
      </c>
      <c r="F111" s="4">
        <f>ROUND(Source!AW105,O111)</f>
        <v>62015.43</v>
      </c>
      <c r="G111" s="4" t="s">
        <v>124</v>
      </c>
      <c r="H111" s="4" t="s">
        <v>125</v>
      </c>
      <c r="I111" s="4"/>
      <c r="J111" s="4"/>
      <c r="K111" s="4">
        <v>226</v>
      </c>
      <c r="L111" s="4">
        <v>5</v>
      </c>
      <c r="M111" s="4">
        <v>1</v>
      </c>
      <c r="N111" s="4" t="s">
        <v>3</v>
      </c>
      <c r="O111" s="4">
        <v>2</v>
      </c>
      <c r="P111" s="4"/>
      <c r="Q111" s="4"/>
      <c r="R111" s="4"/>
      <c r="S111" s="4"/>
      <c r="T111" s="4"/>
      <c r="U111" s="4"/>
      <c r="V111" s="4"/>
      <c r="W111" s="4">
        <v>62015.43</v>
      </c>
      <c r="X111" s="4">
        <v>1</v>
      </c>
      <c r="Y111" s="4">
        <v>62015.43</v>
      </c>
      <c r="Z111" s="4"/>
      <c r="AA111" s="4"/>
      <c r="AB111" s="4"/>
    </row>
    <row r="112" spans="1:206" x14ac:dyDescent="0.2">
      <c r="A112" s="4">
        <v>50</v>
      </c>
      <c r="B112" s="4">
        <v>0</v>
      </c>
      <c r="C112" s="4">
        <v>0</v>
      </c>
      <c r="D112" s="4">
        <v>1</v>
      </c>
      <c r="E112" s="4">
        <v>227</v>
      </c>
      <c r="F112" s="4">
        <f>ROUND(Source!AX105,O112)</f>
        <v>0</v>
      </c>
      <c r="G112" s="4" t="s">
        <v>126</v>
      </c>
      <c r="H112" s="4" t="s">
        <v>127</v>
      </c>
      <c r="I112" s="4"/>
      <c r="J112" s="4"/>
      <c r="K112" s="4">
        <v>227</v>
      </c>
      <c r="L112" s="4">
        <v>6</v>
      </c>
      <c r="M112" s="4">
        <v>3</v>
      </c>
      <c r="N112" s="4" t="s">
        <v>3</v>
      </c>
      <c r="O112" s="4">
        <v>2</v>
      </c>
      <c r="P112" s="4"/>
      <c r="Q112" s="4"/>
      <c r="R112" s="4"/>
      <c r="S112" s="4"/>
      <c r="T112" s="4"/>
      <c r="U112" s="4"/>
      <c r="V112" s="4"/>
      <c r="W112" s="4">
        <v>0</v>
      </c>
      <c r="X112" s="4">
        <v>1</v>
      </c>
      <c r="Y112" s="4">
        <v>0</v>
      </c>
      <c r="Z112" s="4"/>
      <c r="AA112" s="4"/>
      <c r="AB112" s="4"/>
    </row>
    <row r="113" spans="1:28" x14ac:dyDescent="0.2">
      <c r="A113" s="4">
        <v>50</v>
      </c>
      <c r="B113" s="4">
        <v>0</v>
      </c>
      <c r="C113" s="4">
        <v>0</v>
      </c>
      <c r="D113" s="4">
        <v>1</v>
      </c>
      <c r="E113" s="4">
        <v>228</v>
      </c>
      <c r="F113" s="4">
        <f>ROUND(Source!AY105,O113)</f>
        <v>62015.43</v>
      </c>
      <c r="G113" s="4" t="s">
        <v>128</v>
      </c>
      <c r="H113" s="4" t="s">
        <v>129</v>
      </c>
      <c r="I113" s="4"/>
      <c r="J113" s="4"/>
      <c r="K113" s="4">
        <v>228</v>
      </c>
      <c r="L113" s="4">
        <v>7</v>
      </c>
      <c r="M113" s="4">
        <v>3</v>
      </c>
      <c r="N113" s="4" t="s">
        <v>3</v>
      </c>
      <c r="O113" s="4">
        <v>2</v>
      </c>
      <c r="P113" s="4"/>
      <c r="Q113" s="4"/>
      <c r="R113" s="4"/>
      <c r="S113" s="4"/>
      <c r="T113" s="4"/>
      <c r="U113" s="4"/>
      <c r="V113" s="4"/>
      <c r="W113" s="4">
        <v>62015.43</v>
      </c>
      <c r="X113" s="4">
        <v>1</v>
      </c>
      <c r="Y113" s="4">
        <v>62015.43</v>
      </c>
      <c r="Z113" s="4"/>
      <c r="AA113" s="4"/>
      <c r="AB113" s="4"/>
    </row>
    <row r="114" spans="1:28" x14ac:dyDescent="0.2">
      <c r="A114" s="4">
        <v>50</v>
      </c>
      <c r="B114" s="4">
        <v>0</v>
      </c>
      <c r="C114" s="4">
        <v>0</v>
      </c>
      <c r="D114" s="4">
        <v>1</v>
      </c>
      <c r="E114" s="4">
        <v>216</v>
      </c>
      <c r="F114" s="4">
        <f>ROUND(Source!AP105,O114)</f>
        <v>0</v>
      </c>
      <c r="G114" s="4" t="s">
        <v>130</v>
      </c>
      <c r="H114" s="4" t="s">
        <v>131</v>
      </c>
      <c r="I114" s="4"/>
      <c r="J114" s="4"/>
      <c r="K114" s="4">
        <v>216</v>
      </c>
      <c r="L114" s="4">
        <v>8</v>
      </c>
      <c r="M114" s="4">
        <v>3</v>
      </c>
      <c r="N114" s="4" t="s">
        <v>3</v>
      </c>
      <c r="O114" s="4">
        <v>2</v>
      </c>
      <c r="P114" s="4"/>
      <c r="Q114" s="4"/>
      <c r="R114" s="4"/>
      <c r="S114" s="4"/>
      <c r="T114" s="4"/>
      <c r="U114" s="4"/>
      <c r="V114" s="4"/>
      <c r="W114" s="4">
        <v>0</v>
      </c>
      <c r="X114" s="4">
        <v>1</v>
      </c>
      <c r="Y114" s="4">
        <v>0</v>
      </c>
      <c r="Z114" s="4"/>
      <c r="AA114" s="4"/>
      <c r="AB114" s="4"/>
    </row>
    <row r="115" spans="1:28" x14ac:dyDescent="0.2">
      <c r="A115" s="4">
        <v>50</v>
      </c>
      <c r="B115" s="4">
        <v>0</v>
      </c>
      <c r="C115" s="4">
        <v>0</v>
      </c>
      <c r="D115" s="4">
        <v>1</v>
      </c>
      <c r="E115" s="4">
        <v>223</v>
      </c>
      <c r="F115" s="4">
        <f>ROUND(Source!AQ105,O115)</f>
        <v>0</v>
      </c>
      <c r="G115" s="4" t="s">
        <v>132</v>
      </c>
      <c r="H115" s="4" t="s">
        <v>133</v>
      </c>
      <c r="I115" s="4"/>
      <c r="J115" s="4"/>
      <c r="K115" s="4">
        <v>223</v>
      </c>
      <c r="L115" s="4">
        <v>9</v>
      </c>
      <c r="M115" s="4">
        <v>3</v>
      </c>
      <c r="N115" s="4" t="s">
        <v>3</v>
      </c>
      <c r="O115" s="4">
        <v>2</v>
      </c>
      <c r="P115" s="4"/>
      <c r="Q115" s="4"/>
      <c r="R115" s="4"/>
      <c r="S115" s="4"/>
      <c r="T115" s="4"/>
      <c r="U115" s="4"/>
      <c r="V115" s="4"/>
      <c r="W115" s="4">
        <v>0</v>
      </c>
      <c r="X115" s="4">
        <v>1</v>
      </c>
      <c r="Y115" s="4">
        <v>0</v>
      </c>
      <c r="Z115" s="4"/>
      <c r="AA115" s="4"/>
      <c r="AB115" s="4"/>
    </row>
    <row r="116" spans="1:28" x14ac:dyDescent="0.2">
      <c r="A116" s="4">
        <v>50</v>
      </c>
      <c r="B116" s="4">
        <v>0</v>
      </c>
      <c r="C116" s="4">
        <v>0</v>
      </c>
      <c r="D116" s="4">
        <v>1</v>
      </c>
      <c r="E116" s="4">
        <v>229</v>
      </c>
      <c r="F116" s="4">
        <f>ROUND(Source!AZ105,O116)</f>
        <v>0</v>
      </c>
      <c r="G116" s="4" t="s">
        <v>134</v>
      </c>
      <c r="H116" s="4" t="s">
        <v>135</v>
      </c>
      <c r="I116" s="4"/>
      <c r="J116" s="4"/>
      <c r="K116" s="4">
        <v>229</v>
      </c>
      <c r="L116" s="4">
        <v>10</v>
      </c>
      <c r="M116" s="4">
        <v>3</v>
      </c>
      <c r="N116" s="4" t="s">
        <v>3</v>
      </c>
      <c r="O116" s="4">
        <v>2</v>
      </c>
      <c r="P116" s="4"/>
      <c r="Q116" s="4"/>
      <c r="R116" s="4"/>
      <c r="S116" s="4"/>
      <c r="T116" s="4"/>
      <c r="U116" s="4"/>
      <c r="V116" s="4"/>
      <c r="W116" s="4">
        <v>0</v>
      </c>
      <c r="X116" s="4">
        <v>1</v>
      </c>
      <c r="Y116" s="4">
        <v>0</v>
      </c>
      <c r="Z116" s="4"/>
      <c r="AA116" s="4"/>
      <c r="AB116" s="4"/>
    </row>
    <row r="117" spans="1:28" x14ac:dyDescent="0.2">
      <c r="A117" s="4">
        <v>50</v>
      </c>
      <c r="B117" s="4">
        <v>0</v>
      </c>
      <c r="C117" s="4">
        <v>0</v>
      </c>
      <c r="D117" s="4">
        <v>1</v>
      </c>
      <c r="E117" s="4">
        <v>203</v>
      </c>
      <c r="F117" s="4">
        <f>ROUND(Source!Q105,O117)</f>
        <v>56769.64</v>
      </c>
      <c r="G117" s="4" t="s">
        <v>136</v>
      </c>
      <c r="H117" s="4" t="s">
        <v>137</v>
      </c>
      <c r="I117" s="4"/>
      <c r="J117" s="4"/>
      <c r="K117" s="4">
        <v>203</v>
      </c>
      <c r="L117" s="4">
        <v>11</v>
      </c>
      <c r="M117" s="4">
        <v>1</v>
      </c>
      <c r="N117" s="4" t="s">
        <v>3</v>
      </c>
      <c r="O117" s="4">
        <v>2</v>
      </c>
      <c r="P117" s="4"/>
      <c r="Q117" s="4"/>
      <c r="R117" s="4"/>
      <c r="S117" s="4"/>
      <c r="T117" s="4"/>
      <c r="U117" s="4"/>
      <c r="V117" s="4"/>
      <c r="W117" s="4">
        <v>56769.64</v>
      </c>
      <c r="X117" s="4">
        <v>1</v>
      </c>
      <c r="Y117" s="4">
        <v>56769.64</v>
      </c>
      <c r="Z117" s="4"/>
      <c r="AA117" s="4"/>
      <c r="AB117" s="4"/>
    </row>
    <row r="118" spans="1:28" x14ac:dyDescent="0.2">
      <c r="A118" s="4">
        <v>50</v>
      </c>
      <c r="B118" s="4">
        <v>0</v>
      </c>
      <c r="C118" s="4">
        <v>0</v>
      </c>
      <c r="D118" s="4">
        <v>1</v>
      </c>
      <c r="E118" s="4">
        <v>231</v>
      </c>
      <c r="F118" s="4">
        <f>ROUND(Source!BB105,O118)</f>
        <v>0</v>
      </c>
      <c r="G118" s="4" t="s">
        <v>138</v>
      </c>
      <c r="H118" s="4" t="s">
        <v>139</v>
      </c>
      <c r="I118" s="4"/>
      <c r="J118" s="4"/>
      <c r="K118" s="4">
        <v>231</v>
      </c>
      <c r="L118" s="4">
        <v>12</v>
      </c>
      <c r="M118" s="4">
        <v>3</v>
      </c>
      <c r="N118" s="4" t="s">
        <v>3</v>
      </c>
      <c r="O118" s="4">
        <v>2</v>
      </c>
      <c r="P118" s="4"/>
      <c r="Q118" s="4"/>
      <c r="R118" s="4"/>
      <c r="S118" s="4"/>
      <c r="T118" s="4"/>
      <c r="U118" s="4"/>
      <c r="V118" s="4"/>
      <c r="W118" s="4">
        <v>0</v>
      </c>
      <c r="X118" s="4">
        <v>1</v>
      </c>
      <c r="Y118" s="4">
        <v>0</v>
      </c>
      <c r="Z118" s="4"/>
      <c r="AA118" s="4"/>
      <c r="AB118" s="4"/>
    </row>
    <row r="119" spans="1:28" x14ac:dyDescent="0.2">
      <c r="A119" s="4">
        <v>50</v>
      </c>
      <c r="B119" s="4">
        <v>0</v>
      </c>
      <c r="C119" s="4">
        <v>0</v>
      </c>
      <c r="D119" s="4">
        <v>1</v>
      </c>
      <c r="E119" s="4">
        <v>204</v>
      </c>
      <c r="F119" s="4">
        <f>ROUND(Source!R105,O119)</f>
        <v>19171.650000000001</v>
      </c>
      <c r="G119" s="4" t="s">
        <v>140</v>
      </c>
      <c r="H119" s="4" t="s">
        <v>141</v>
      </c>
      <c r="I119" s="4"/>
      <c r="J119" s="4"/>
      <c r="K119" s="4">
        <v>204</v>
      </c>
      <c r="L119" s="4">
        <v>13</v>
      </c>
      <c r="M119" s="4">
        <v>1</v>
      </c>
      <c r="N119" s="4" t="s">
        <v>3</v>
      </c>
      <c r="O119" s="4">
        <v>2</v>
      </c>
      <c r="P119" s="4"/>
      <c r="Q119" s="4"/>
      <c r="R119" s="4"/>
      <c r="S119" s="4"/>
      <c r="T119" s="4"/>
      <c r="U119" s="4"/>
      <c r="V119" s="4"/>
      <c r="W119" s="4">
        <v>19171.650000000001</v>
      </c>
      <c r="X119" s="4">
        <v>1</v>
      </c>
      <c r="Y119" s="4">
        <v>19171.650000000001</v>
      </c>
      <c r="Z119" s="4"/>
      <c r="AA119" s="4"/>
      <c r="AB119" s="4"/>
    </row>
    <row r="120" spans="1:28" x14ac:dyDescent="0.2">
      <c r="A120" s="4">
        <v>50</v>
      </c>
      <c r="B120" s="4">
        <v>0</v>
      </c>
      <c r="C120" s="4">
        <v>0</v>
      </c>
      <c r="D120" s="4">
        <v>1</v>
      </c>
      <c r="E120" s="4">
        <v>205</v>
      </c>
      <c r="F120" s="4">
        <f>ROUND(Source!S105,O120)</f>
        <v>112297.03</v>
      </c>
      <c r="G120" s="4" t="s">
        <v>142</v>
      </c>
      <c r="H120" s="4" t="s">
        <v>143</v>
      </c>
      <c r="I120" s="4"/>
      <c r="J120" s="4"/>
      <c r="K120" s="4">
        <v>205</v>
      </c>
      <c r="L120" s="4">
        <v>14</v>
      </c>
      <c r="M120" s="4">
        <v>1</v>
      </c>
      <c r="N120" s="4" t="s">
        <v>3</v>
      </c>
      <c r="O120" s="4">
        <v>2</v>
      </c>
      <c r="P120" s="4"/>
      <c r="Q120" s="4"/>
      <c r="R120" s="4"/>
      <c r="S120" s="4"/>
      <c r="T120" s="4"/>
      <c r="U120" s="4"/>
      <c r="V120" s="4"/>
      <c r="W120" s="4">
        <v>112297.03</v>
      </c>
      <c r="X120" s="4">
        <v>1</v>
      </c>
      <c r="Y120" s="4">
        <v>112297.03</v>
      </c>
      <c r="Z120" s="4"/>
      <c r="AA120" s="4"/>
      <c r="AB120" s="4"/>
    </row>
    <row r="121" spans="1:28" x14ac:dyDescent="0.2">
      <c r="A121" s="4">
        <v>50</v>
      </c>
      <c r="B121" s="4">
        <v>0</v>
      </c>
      <c r="C121" s="4">
        <v>0</v>
      </c>
      <c r="D121" s="4">
        <v>1</v>
      </c>
      <c r="E121" s="4">
        <v>232</v>
      </c>
      <c r="F121" s="4">
        <f>ROUND(Source!BC105,O121)</f>
        <v>0</v>
      </c>
      <c r="G121" s="4" t="s">
        <v>144</v>
      </c>
      <c r="H121" s="4" t="s">
        <v>145</v>
      </c>
      <c r="I121" s="4"/>
      <c r="J121" s="4"/>
      <c r="K121" s="4">
        <v>232</v>
      </c>
      <c r="L121" s="4">
        <v>15</v>
      </c>
      <c r="M121" s="4">
        <v>3</v>
      </c>
      <c r="N121" s="4" t="s">
        <v>3</v>
      </c>
      <c r="O121" s="4">
        <v>2</v>
      </c>
      <c r="P121" s="4"/>
      <c r="Q121" s="4"/>
      <c r="R121" s="4"/>
      <c r="S121" s="4"/>
      <c r="T121" s="4"/>
      <c r="U121" s="4"/>
      <c r="V121" s="4"/>
      <c r="W121" s="4">
        <v>0</v>
      </c>
      <c r="X121" s="4">
        <v>1</v>
      </c>
      <c r="Y121" s="4">
        <v>0</v>
      </c>
      <c r="Z121" s="4"/>
      <c r="AA121" s="4"/>
      <c r="AB121" s="4"/>
    </row>
    <row r="122" spans="1:28" x14ac:dyDescent="0.2">
      <c r="A122" s="4">
        <v>50</v>
      </c>
      <c r="B122" s="4">
        <v>0</v>
      </c>
      <c r="C122" s="4">
        <v>0</v>
      </c>
      <c r="D122" s="4">
        <v>1</v>
      </c>
      <c r="E122" s="4">
        <v>214</v>
      </c>
      <c r="F122" s="4">
        <f>ROUND(Source!AS105,O122)</f>
        <v>454979.48</v>
      </c>
      <c r="G122" s="4" t="s">
        <v>146</v>
      </c>
      <c r="H122" s="4" t="s">
        <v>147</v>
      </c>
      <c r="I122" s="4"/>
      <c r="J122" s="4"/>
      <c r="K122" s="4">
        <v>214</v>
      </c>
      <c r="L122" s="4">
        <v>16</v>
      </c>
      <c r="M122" s="4">
        <v>3</v>
      </c>
      <c r="N122" s="4" t="s">
        <v>3</v>
      </c>
      <c r="O122" s="4">
        <v>2</v>
      </c>
      <c r="P122" s="4"/>
      <c r="Q122" s="4"/>
      <c r="R122" s="4"/>
      <c r="S122" s="4"/>
      <c r="T122" s="4"/>
      <c r="U122" s="4"/>
      <c r="V122" s="4"/>
      <c r="W122" s="4">
        <v>454979.48</v>
      </c>
      <c r="X122" s="4">
        <v>1</v>
      </c>
      <c r="Y122" s="4">
        <v>454979.48</v>
      </c>
      <c r="Z122" s="4"/>
      <c r="AA122" s="4"/>
      <c r="AB122" s="4"/>
    </row>
    <row r="123" spans="1:28" x14ac:dyDescent="0.2">
      <c r="A123" s="4">
        <v>50</v>
      </c>
      <c r="B123" s="4">
        <v>0</v>
      </c>
      <c r="C123" s="4">
        <v>0</v>
      </c>
      <c r="D123" s="4">
        <v>1</v>
      </c>
      <c r="E123" s="4">
        <v>215</v>
      </c>
      <c r="F123" s="4">
        <f>ROUND(Source!AT105,O123)</f>
        <v>7335.53</v>
      </c>
      <c r="G123" s="4" t="s">
        <v>148</v>
      </c>
      <c r="H123" s="4" t="s">
        <v>149</v>
      </c>
      <c r="I123" s="4"/>
      <c r="J123" s="4"/>
      <c r="K123" s="4">
        <v>215</v>
      </c>
      <c r="L123" s="4">
        <v>17</v>
      </c>
      <c r="M123" s="4">
        <v>3</v>
      </c>
      <c r="N123" s="4" t="s">
        <v>3</v>
      </c>
      <c r="O123" s="4">
        <v>2</v>
      </c>
      <c r="P123" s="4"/>
      <c r="Q123" s="4"/>
      <c r="R123" s="4"/>
      <c r="S123" s="4"/>
      <c r="T123" s="4"/>
      <c r="U123" s="4"/>
      <c r="V123" s="4"/>
      <c r="W123" s="4">
        <v>7335.53</v>
      </c>
      <c r="X123" s="4">
        <v>1</v>
      </c>
      <c r="Y123" s="4">
        <v>7335.53</v>
      </c>
      <c r="Z123" s="4"/>
      <c r="AA123" s="4"/>
      <c r="AB123" s="4"/>
    </row>
    <row r="124" spans="1:28" x14ac:dyDescent="0.2">
      <c r="A124" s="4">
        <v>50</v>
      </c>
      <c r="B124" s="4">
        <v>0</v>
      </c>
      <c r="C124" s="4">
        <v>0</v>
      </c>
      <c r="D124" s="4">
        <v>1</v>
      </c>
      <c r="E124" s="4">
        <v>217</v>
      </c>
      <c r="F124" s="4">
        <f>ROUND(Source!AU105,O124)</f>
        <v>0</v>
      </c>
      <c r="G124" s="4" t="s">
        <v>150</v>
      </c>
      <c r="H124" s="4" t="s">
        <v>151</v>
      </c>
      <c r="I124" s="4"/>
      <c r="J124" s="4"/>
      <c r="K124" s="4">
        <v>217</v>
      </c>
      <c r="L124" s="4">
        <v>18</v>
      </c>
      <c r="M124" s="4">
        <v>3</v>
      </c>
      <c r="N124" s="4" t="s">
        <v>3</v>
      </c>
      <c r="O124" s="4">
        <v>2</v>
      </c>
      <c r="P124" s="4"/>
      <c r="Q124" s="4"/>
      <c r="R124" s="4"/>
      <c r="S124" s="4"/>
      <c r="T124" s="4"/>
      <c r="U124" s="4"/>
      <c r="V124" s="4"/>
      <c r="W124" s="4">
        <v>0</v>
      </c>
      <c r="X124" s="4">
        <v>1</v>
      </c>
      <c r="Y124" s="4">
        <v>0</v>
      </c>
      <c r="Z124" s="4"/>
      <c r="AA124" s="4"/>
      <c r="AB124" s="4"/>
    </row>
    <row r="125" spans="1:28" x14ac:dyDescent="0.2">
      <c r="A125" s="4">
        <v>50</v>
      </c>
      <c r="B125" s="4">
        <v>0</v>
      </c>
      <c r="C125" s="4">
        <v>0</v>
      </c>
      <c r="D125" s="4">
        <v>1</v>
      </c>
      <c r="E125" s="4">
        <v>230</v>
      </c>
      <c r="F125" s="4">
        <f>ROUND(Source!BA105,O125)</f>
        <v>0</v>
      </c>
      <c r="G125" s="4" t="s">
        <v>152</v>
      </c>
      <c r="H125" s="4" t="s">
        <v>153</v>
      </c>
      <c r="I125" s="4"/>
      <c r="J125" s="4"/>
      <c r="K125" s="4">
        <v>230</v>
      </c>
      <c r="L125" s="4">
        <v>19</v>
      </c>
      <c r="M125" s="4">
        <v>3</v>
      </c>
      <c r="N125" s="4" t="s">
        <v>3</v>
      </c>
      <c r="O125" s="4">
        <v>2</v>
      </c>
      <c r="P125" s="4"/>
      <c r="Q125" s="4"/>
      <c r="R125" s="4"/>
      <c r="S125" s="4"/>
      <c r="T125" s="4"/>
      <c r="U125" s="4"/>
      <c r="V125" s="4"/>
      <c r="W125" s="4">
        <v>0</v>
      </c>
      <c r="X125" s="4">
        <v>1</v>
      </c>
      <c r="Y125" s="4">
        <v>0</v>
      </c>
      <c r="Z125" s="4"/>
      <c r="AA125" s="4"/>
      <c r="AB125" s="4"/>
    </row>
    <row r="126" spans="1:28" x14ac:dyDescent="0.2">
      <c r="A126" s="4">
        <v>50</v>
      </c>
      <c r="B126" s="4">
        <v>0</v>
      </c>
      <c r="C126" s="4">
        <v>0</v>
      </c>
      <c r="D126" s="4">
        <v>1</v>
      </c>
      <c r="E126" s="4">
        <v>206</v>
      </c>
      <c r="F126" s="4">
        <f>ROUND(Source!T105,O126)</f>
        <v>0</v>
      </c>
      <c r="G126" s="4" t="s">
        <v>154</v>
      </c>
      <c r="H126" s="4" t="s">
        <v>155</v>
      </c>
      <c r="I126" s="4"/>
      <c r="J126" s="4"/>
      <c r="K126" s="4">
        <v>206</v>
      </c>
      <c r="L126" s="4">
        <v>20</v>
      </c>
      <c r="M126" s="4">
        <v>3</v>
      </c>
      <c r="N126" s="4" t="s">
        <v>3</v>
      </c>
      <c r="O126" s="4">
        <v>2</v>
      </c>
      <c r="P126" s="4"/>
      <c r="Q126" s="4"/>
      <c r="R126" s="4"/>
      <c r="S126" s="4"/>
      <c r="T126" s="4"/>
      <c r="U126" s="4"/>
      <c r="V126" s="4"/>
      <c r="W126" s="4">
        <v>0</v>
      </c>
      <c r="X126" s="4">
        <v>1</v>
      </c>
      <c r="Y126" s="4">
        <v>0</v>
      </c>
      <c r="Z126" s="4"/>
      <c r="AA126" s="4"/>
      <c r="AB126" s="4"/>
    </row>
    <row r="127" spans="1:28" x14ac:dyDescent="0.2">
      <c r="A127" s="4">
        <v>50</v>
      </c>
      <c r="B127" s="4">
        <v>0</v>
      </c>
      <c r="C127" s="4">
        <v>0</v>
      </c>
      <c r="D127" s="4">
        <v>1</v>
      </c>
      <c r="E127" s="4">
        <v>207</v>
      </c>
      <c r="F127" s="4">
        <f>ROUND(Source!U105,O127)</f>
        <v>322.41984000000002</v>
      </c>
      <c r="G127" s="4" t="s">
        <v>156</v>
      </c>
      <c r="H127" s="4" t="s">
        <v>157</v>
      </c>
      <c r="I127" s="4"/>
      <c r="J127" s="4"/>
      <c r="K127" s="4">
        <v>207</v>
      </c>
      <c r="L127" s="4">
        <v>21</v>
      </c>
      <c r="M127" s="4">
        <v>3</v>
      </c>
      <c r="N127" s="4" t="s">
        <v>3</v>
      </c>
      <c r="O127" s="4">
        <v>7</v>
      </c>
      <c r="P127" s="4"/>
      <c r="Q127" s="4"/>
      <c r="R127" s="4"/>
      <c r="S127" s="4"/>
      <c r="T127" s="4"/>
      <c r="U127" s="4"/>
      <c r="V127" s="4"/>
      <c r="W127" s="4">
        <v>322.41984000000002</v>
      </c>
      <c r="X127" s="4">
        <v>1</v>
      </c>
      <c r="Y127" s="4">
        <v>322.41984000000002</v>
      </c>
      <c r="Z127" s="4"/>
      <c r="AA127" s="4"/>
      <c r="AB127" s="4"/>
    </row>
    <row r="128" spans="1:28" x14ac:dyDescent="0.2">
      <c r="A128" s="4">
        <v>50</v>
      </c>
      <c r="B128" s="4">
        <v>0</v>
      </c>
      <c r="C128" s="4">
        <v>0</v>
      </c>
      <c r="D128" s="4">
        <v>1</v>
      </c>
      <c r="E128" s="4">
        <v>208</v>
      </c>
      <c r="F128" s="4">
        <f>ROUND(Source!V105,O128)</f>
        <v>38.397799999999997</v>
      </c>
      <c r="G128" s="4" t="s">
        <v>158</v>
      </c>
      <c r="H128" s="4" t="s">
        <v>159</v>
      </c>
      <c r="I128" s="4"/>
      <c r="J128" s="4"/>
      <c r="K128" s="4">
        <v>208</v>
      </c>
      <c r="L128" s="4">
        <v>22</v>
      </c>
      <c r="M128" s="4">
        <v>3</v>
      </c>
      <c r="N128" s="4" t="s">
        <v>3</v>
      </c>
      <c r="O128" s="4">
        <v>7</v>
      </c>
      <c r="P128" s="4"/>
      <c r="Q128" s="4"/>
      <c r="R128" s="4"/>
      <c r="S128" s="4"/>
      <c r="T128" s="4"/>
      <c r="U128" s="4"/>
      <c r="V128" s="4"/>
      <c r="W128" s="4">
        <v>38.397799999999997</v>
      </c>
      <c r="X128" s="4">
        <v>1</v>
      </c>
      <c r="Y128" s="4">
        <v>38.397799999999997</v>
      </c>
      <c r="Z128" s="4"/>
      <c r="AA128" s="4"/>
      <c r="AB128" s="4"/>
    </row>
    <row r="129" spans="1:28" x14ac:dyDescent="0.2">
      <c r="A129" s="4">
        <v>50</v>
      </c>
      <c r="B129" s="4">
        <v>0</v>
      </c>
      <c r="C129" s="4">
        <v>0</v>
      </c>
      <c r="D129" s="4">
        <v>1</v>
      </c>
      <c r="E129" s="4">
        <v>209</v>
      </c>
      <c r="F129" s="4">
        <f>ROUND(Source!W105,O129)</f>
        <v>0</v>
      </c>
      <c r="G129" s="4" t="s">
        <v>160</v>
      </c>
      <c r="H129" s="4" t="s">
        <v>161</v>
      </c>
      <c r="I129" s="4"/>
      <c r="J129" s="4"/>
      <c r="K129" s="4">
        <v>209</v>
      </c>
      <c r="L129" s="4">
        <v>23</v>
      </c>
      <c r="M129" s="4">
        <v>3</v>
      </c>
      <c r="N129" s="4" t="s">
        <v>3</v>
      </c>
      <c r="O129" s="4">
        <v>2</v>
      </c>
      <c r="P129" s="4"/>
      <c r="Q129" s="4"/>
      <c r="R129" s="4"/>
      <c r="S129" s="4"/>
      <c r="T129" s="4"/>
      <c r="U129" s="4"/>
      <c r="V129" s="4"/>
      <c r="W129" s="4">
        <v>0</v>
      </c>
      <c r="X129" s="4">
        <v>1</v>
      </c>
      <c r="Y129" s="4">
        <v>0</v>
      </c>
      <c r="Z129" s="4"/>
      <c r="AA129" s="4"/>
      <c r="AB129" s="4"/>
    </row>
    <row r="130" spans="1:28" x14ac:dyDescent="0.2">
      <c r="A130" s="4">
        <v>50</v>
      </c>
      <c r="B130" s="4">
        <v>0</v>
      </c>
      <c r="C130" s="4">
        <v>0</v>
      </c>
      <c r="D130" s="4">
        <v>1</v>
      </c>
      <c r="E130" s="4">
        <v>233</v>
      </c>
      <c r="F130" s="4">
        <f>ROUND(Source!BD105,O130)</f>
        <v>0</v>
      </c>
      <c r="G130" s="4" t="s">
        <v>162</v>
      </c>
      <c r="H130" s="4" t="s">
        <v>163</v>
      </c>
      <c r="I130" s="4"/>
      <c r="J130" s="4"/>
      <c r="K130" s="4">
        <v>233</v>
      </c>
      <c r="L130" s="4">
        <v>24</v>
      </c>
      <c r="M130" s="4">
        <v>3</v>
      </c>
      <c r="N130" s="4" t="s">
        <v>3</v>
      </c>
      <c r="O130" s="4">
        <v>2</v>
      </c>
      <c r="P130" s="4"/>
      <c r="Q130" s="4"/>
      <c r="R130" s="4"/>
      <c r="S130" s="4"/>
      <c r="T130" s="4"/>
      <c r="U130" s="4"/>
      <c r="V130" s="4"/>
      <c r="W130" s="4">
        <v>0</v>
      </c>
      <c r="X130" s="4">
        <v>1</v>
      </c>
      <c r="Y130" s="4">
        <v>0</v>
      </c>
      <c r="Z130" s="4"/>
      <c r="AA130" s="4"/>
      <c r="AB130" s="4"/>
    </row>
    <row r="131" spans="1:28" x14ac:dyDescent="0.2">
      <c r="A131" s="4">
        <v>50</v>
      </c>
      <c r="B131" s="4">
        <v>0</v>
      </c>
      <c r="C131" s="4">
        <v>0</v>
      </c>
      <c r="D131" s="4">
        <v>1</v>
      </c>
      <c r="E131" s="4">
        <v>210</v>
      </c>
      <c r="F131" s="4">
        <f>ROUND(Source!X105,O131)</f>
        <v>140277.48000000001</v>
      </c>
      <c r="G131" s="4" t="s">
        <v>164</v>
      </c>
      <c r="H131" s="4" t="s">
        <v>165</v>
      </c>
      <c r="I131" s="4"/>
      <c r="J131" s="4"/>
      <c r="K131" s="4">
        <v>210</v>
      </c>
      <c r="L131" s="4">
        <v>25</v>
      </c>
      <c r="M131" s="4">
        <v>1</v>
      </c>
      <c r="N131" s="4" t="s">
        <v>3</v>
      </c>
      <c r="O131" s="4">
        <v>2</v>
      </c>
      <c r="P131" s="4"/>
      <c r="Q131" s="4"/>
      <c r="R131" s="4"/>
      <c r="S131" s="4"/>
      <c r="T131" s="4"/>
      <c r="U131" s="4"/>
      <c r="V131" s="4"/>
      <c r="W131" s="4">
        <v>140277.48000000001</v>
      </c>
      <c r="X131" s="4">
        <v>1</v>
      </c>
      <c r="Y131" s="4">
        <v>140277.48000000001</v>
      </c>
      <c r="Z131" s="4"/>
      <c r="AA131" s="4"/>
      <c r="AB131" s="4"/>
    </row>
    <row r="132" spans="1:28" x14ac:dyDescent="0.2">
      <c r="A132" s="4">
        <v>50</v>
      </c>
      <c r="B132" s="4">
        <v>0</v>
      </c>
      <c r="C132" s="4">
        <v>0</v>
      </c>
      <c r="D132" s="4">
        <v>1</v>
      </c>
      <c r="E132" s="4">
        <v>211</v>
      </c>
      <c r="F132" s="4">
        <f>ROUND(Source!Y105,O132)</f>
        <v>71783.78</v>
      </c>
      <c r="G132" s="4" t="s">
        <v>166</v>
      </c>
      <c r="H132" s="4" t="s">
        <v>167</v>
      </c>
      <c r="I132" s="4"/>
      <c r="J132" s="4"/>
      <c r="K132" s="4">
        <v>211</v>
      </c>
      <c r="L132" s="4">
        <v>26</v>
      </c>
      <c r="M132" s="4">
        <v>1</v>
      </c>
      <c r="N132" s="4" t="s">
        <v>3</v>
      </c>
      <c r="O132" s="4">
        <v>2</v>
      </c>
      <c r="P132" s="4"/>
      <c r="Q132" s="4"/>
      <c r="R132" s="4"/>
      <c r="S132" s="4"/>
      <c r="T132" s="4"/>
      <c r="U132" s="4"/>
      <c r="V132" s="4"/>
      <c r="W132" s="4">
        <v>71783.78</v>
      </c>
      <c r="X132" s="4">
        <v>1</v>
      </c>
      <c r="Y132" s="4">
        <v>71783.78</v>
      </c>
      <c r="Z132" s="4"/>
      <c r="AA132" s="4"/>
      <c r="AB132" s="4"/>
    </row>
    <row r="133" spans="1:28" x14ac:dyDescent="0.2">
      <c r="A133" s="4">
        <v>50</v>
      </c>
      <c r="B133" s="4">
        <v>0</v>
      </c>
      <c r="C133" s="4">
        <v>0</v>
      </c>
      <c r="D133" s="4">
        <v>1</v>
      </c>
      <c r="E133" s="4">
        <v>224</v>
      </c>
      <c r="F133" s="4">
        <f>ROUND(Source!AR105,O133)</f>
        <v>462315.01</v>
      </c>
      <c r="G133" s="4" t="s">
        <v>168</v>
      </c>
      <c r="H133" s="4" t="s">
        <v>169</v>
      </c>
      <c r="I133" s="4"/>
      <c r="J133" s="4"/>
      <c r="K133" s="4">
        <v>224</v>
      </c>
      <c r="L133" s="4">
        <v>27</v>
      </c>
      <c r="M133" s="4">
        <v>1</v>
      </c>
      <c r="N133" s="4" t="s">
        <v>3</v>
      </c>
      <c r="O133" s="4">
        <v>2</v>
      </c>
      <c r="P133" s="4"/>
      <c r="Q133" s="4"/>
      <c r="R133" s="4"/>
      <c r="S133" s="4"/>
      <c r="T133" s="4"/>
      <c r="U133" s="4"/>
      <c r="V133" s="4"/>
      <c r="W133" s="4">
        <v>462315.01</v>
      </c>
      <c r="X133" s="4">
        <v>1</v>
      </c>
      <c r="Y133" s="4">
        <v>462315.01</v>
      </c>
      <c r="Z133" s="4"/>
      <c r="AA133" s="4"/>
      <c r="AB133" s="4"/>
    </row>
    <row r="135" spans="1:28" x14ac:dyDescent="0.2">
      <c r="A135" s="5">
        <v>61</v>
      </c>
      <c r="B135" s="5"/>
      <c r="C135" s="5"/>
      <c r="D135" s="5"/>
      <c r="E135" s="5"/>
      <c r="F135" s="5">
        <v>0</v>
      </c>
      <c r="G135" s="5" t="s">
        <v>170</v>
      </c>
      <c r="H135" s="5" t="s">
        <v>171</v>
      </c>
    </row>
    <row r="136" spans="1:28" x14ac:dyDescent="0.2">
      <c r="A136" s="5">
        <v>61</v>
      </c>
      <c r="B136" s="5"/>
      <c r="C136" s="5"/>
      <c r="D136" s="5"/>
      <c r="E136" s="5"/>
      <c r="F136" s="5">
        <v>2</v>
      </c>
      <c r="G136" s="5" t="s">
        <v>172</v>
      </c>
      <c r="H136" s="5" t="s">
        <v>171</v>
      </c>
    </row>
    <row r="139" spans="1:28" x14ac:dyDescent="0.2">
      <c r="A139">
        <v>70</v>
      </c>
      <c r="B139">
        <v>1</v>
      </c>
      <c r="D139">
        <v>1</v>
      </c>
      <c r="E139" t="s">
        <v>173</v>
      </c>
      <c r="F139" t="s">
        <v>174</v>
      </c>
      <c r="G139">
        <v>1</v>
      </c>
      <c r="H139">
        <v>0</v>
      </c>
      <c r="I139" t="s">
        <v>3</v>
      </c>
      <c r="J139">
        <v>1</v>
      </c>
      <c r="K139">
        <v>0</v>
      </c>
      <c r="L139" t="s">
        <v>3</v>
      </c>
      <c r="M139" t="s">
        <v>3</v>
      </c>
      <c r="N139">
        <v>0</v>
      </c>
      <c r="P139" t="s">
        <v>175</v>
      </c>
    </row>
    <row r="140" spans="1:28" x14ac:dyDescent="0.2">
      <c r="A140">
        <v>70</v>
      </c>
      <c r="B140">
        <v>1</v>
      </c>
      <c r="D140">
        <v>2</v>
      </c>
      <c r="E140" t="s">
        <v>176</v>
      </c>
      <c r="F140" t="s">
        <v>177</v>
      </c>
      <c r="G140">
        <v>0</v>
      </c>
      <c r="H140">
        <v>0</v>
      </c>
      <c r="I140" t="s">
        <v>3</v>
      </c>
      <c r="J140">
        <v>1</v>
      </c>
      <c r="K140">
        <v>0</v>
      </c>
      <c r="L140" t="s">
        <v>3</v>
      </c>
      <c r="M140" t="s">
        <v>3</v>
      </c>
      <c r="N140">
        <v>0</v>
      </c>
      <c r="P140" t="s">
        <v>178</v>
      </c>
    </row>
    <row r="141" spans="1:28" x14ac:dyDescent="0.2">
      <c r="A141">
        <v>70</v>
      </c>
      <c r="B141">
        <v>1</v>
      </c>
      <c r="D141">
        <v>3</v>
      </c>
      <c r="E141" t="s">
        <v>179</v>
      </c>
      <c r="F141" t="s">
        <v>180</v>
      </c>
      <c r="G141">
        <v>0</v>
      </c>
      <c r="H141">
        <v>0</v>
      </c>
      <c r="I141" t="s">
        <v>3</v>
      </c>
      <c r="J141">
        <v>1</v>
      </c>
      <c r="K141">
        <v>0</v>
      </c>
      <c r="L141" t="s">
        <v>3</v>
      </c>
      <c r="M141" t="s">
        <v>3</v>
      </c>
      <c r="N141">
        <v>0</v>
      </c>
      <c r="P141" t="s">
        <v>181</v>
      </c>
    </row>
    <row r="142" spans="1:28" x14ac:dyDescent="0.2">
      <c r="A142">
        <v>70</v>
      </c>
      <c r="B142">
        <v>1</v>
      </c>
      <c r="D142">
        <v>4</v>
      </c>
      <c r="E142" t="s">
        <v>182</v>
      </c>
      <c r="F142" t="s">
        <v>183</v>
      </c>
      <c r="G142">
        <v>1</v>
      </c>
      <c r="H142">
        <v>0</v>
      </c>
      <c r="I142" t="s">
        <v>3</v>
      </c>
      <c r="J142">
        <v>2</v>
      </c>
      <c r="K142">
        <v>0</v>
      </c>
      <c r="L142" t="s">
        <v>3</v>
      </c>
      <c r="M142" t="s">
        <v>3</v>
      </c>
      <c r="N142">
        <v>0</v>
      </c>
      <c r="P142" t="s">
        <v>3</v>
      </c>
    </row>
    <row r="143" spans="1:28" x14ac:dyDescent="0.2">
      <c r="A143">
        <v>70</v>
      </c>
      <c r="B143">
        <v>1</v>
      </c>
      <c r="D143">
        <v>5</v>
      </c>
      <c r="E143" t="s">
        <v>184</v>
      </c>
      <c r="F143" t="s">
        <v>185</v>
      </c>
      <c r="G143">
        <v>0</v>
      </c>
      <c r="H143">
        <v>0</v>
      </c>
      <c r="I143" t="s">
        <v>3</v>
      </c>
      <c r="J143">
        <v>2</v>
      </c>
      <c r="K143">
        <v>0</v>
      </c>
      <c r="L143" t="s">
        <v>3</v>
      </c>
      <c r="M143" t="s">
        <v>3</v>
      </c>
      <c r="N143">
        <v>0</v>
      </c>
      <c r="P143" t="s">
        <v>3</v>
      </c>
    </row>
    <row r="144" spans="1:28" x14ac:dyDescent="0.2">
      <c r="A144">
        <v>70</v>
      </c>
      <c r="B144">
        <v>1</v>
      </c>
      <c r="D144">
        <v>6</v>
      </c>
      <c r="E144" t="s">
        <v>186</v>
      </c>
      <c r="F144" t="s">
        <v>187</v>
      </c>
      <c r="G144">
        <v>0</v>
      </c>
      <c r="H144">
        <v>0</v>
      </c>
      <c r="I144" t="s">
        <v>3</v>
      </c>
      <c r="J144">
        <v>2</v>
      </c>
      <c r="K144">
        <v>0</v>
      </c>
      <c r="L144" t="s">
        <v>3</v>
      </c>
      <c r="M144" t="s">
        <v>3</v>
      </c>
      <c r="N144">
        <v>0</v>
      </c>
      <c r="P144" t="s">
        <v>3</v>
      </c>
    </row>
    <row r="145" spans="1:16" x14ac:dyDescent="0.2">
      <c r="A145">
        <v>70</v>
      </c>
      <c r="B145">
        <v>1</v>
      </c>
      <c r="D145">
        <v>7</v>
      </c>
      <c r="E145" t="s">
        <v>188</v>
      </c>
      <c r="F145" t="s">
        <v>189</v>
      </c>
      <c r="G145">
        <v>0</v>
      </c>
      <c r="H145">
        <v>0</v>
      </c>
      <c r="I145" t="s">
        <v>190</v>
      </c>
      <c r="J145">
        <v>0</v>
      </c>
      <c r="K145">
        <v>0</v>
      </c>
      <c r="L145" t="s">
        <v>3</v>
      </c>
      <c r="M145" t="s">
        <v>3</v>
      </c>
      <c r="N145">
        <v>0</v>
      </c>
      <c r="P145" t="s">
        <v>191</v>
      </c>
    </row>
    <row r="146" spans="1:16" x14ac:dyDescent="0.2">
      <c r="A146">
        <v>70</v>
      </c>
      <c r="B146">
        <v>1</v>
      </c>
      <c r="D146">
        <v>8</v>
      </c>
      <c r="E146" t="s">
        <v>192</v>
      </c>
      <c r="F146" t="s">
        <v>193</v>
      </c>
      <c r="G146">
        <v>1</v>
      </c>
      <c r="H146">
        <v>0</v>
      </c>
      <c r="I146" t="s">
        <v>3</v>
      </c>
      <c r="J146">
        <v>5</v>
      </c>
      <c r="K146">
        <v>0</v>
      </c>
      <c r="L146" t="s">
        <v>3</v>
      </c>
      <c r="M146" t="s">
        <v>3</v>
      </c>
      <c r="N146">
        <v>0</v>
      </c>
      <c r="P146" t="s">
        <v>3</v>
      </c>
    </row>
    <row r="147" spans="1:16" x14ac:dyDescent="0.2">
      <c r="A147">
        <v>70</v>
      </c>
      <c r="B147">
        <v>1</v>
      </c>
      <c r="D147">
        <v>9</v>
      </c>
      <c r="E147" t="s">
        <v>194</v>
      </c>
      <c r="F147" t="s">
        <v>195</v>
      </c>
      <c r="G147">
        <v>0</v>
      </c>
      <c r="H147">
        <v>0</v>
      </c>
      <c r="I147" t="s">
        <v>3</v>
      </c>
      <c r="J147">
        <v>5</v>
      </c>
      <c r="K147">
        <v>0</v>
      </c>
      <c r="L147" t="s">
        <v>3</v>
      </c>
      <c r="M147" t="s">
        <v>3</v>
      </c>
      <c r="N147">
        <v>0</v>
      </c>
      <c r="P147" t="s">
        <v>196</v>
      </c>
    </row>
    <row r="148" spans="1:16" x14ac:dyDescent="0.2">
      <c r="A148">
        <v>70</v>
      </c>
      <c r="B148">
        <v>1</v>
      </c>
      <c r="D148">
        <v>10</v>
      </c>
      <c r="E148" t="s">
        <v>197</v>
      </c>
      <c r="F148" t="s">
        <v>198</v>
      </c>
      <c r="G148">
        <v>0</v>
      </c>
      <c r="H148">
        <v>0</v>
      </c>
      <c r="I148" t="s">
        <v>199</v>
      </c>
      <c r="J148">
        <v>5</v>
      </c>
      <c r="K148">
        <v>0</v>
      </c>
      <c r="L148" t="s">
        <v>3</v>
      </c>
      <c r="M148" t="s">
        <v>3</v>
      </c>
      <c r="N148">
        <v>0</v>
      </c>
      <c r="P148" t="s">
        <v>200</v>
      </c>
    </row>
    <row r="149" spans="1:16" x14ac:dyDescent="0.2">
      <c r="A149">
        <v>70</v>
      </c>
      <c r="B149">
        <v>1</v>
      </c>
      <c r="D149">
        <v>11</v>
      </c>
      <c r="E149" t="s">
        <v>201</v>
      </c>
      <c r="F149" t="s">
        <v>202</v>
      </c>
      <c r="G149">
        <v>0</v>
      </c>
      <c r="H149">
        <v>0</v>
      </c>
      <c r="I149" t="s">
        <v>203</v>
      </c>
      <c r="J149">
        <v>0</v>
      </c>
      <c r="K149">
        <v>0</v>
      </c>
      <c r="L149" t="s">
        <v>3</v>
      </c>
      <c r="M149" t="s">
        <v>3</v>
      </c>
      <c r="N149">
        <v>0</v>
      </c>
      <c r="P149" t="s">
        <v>204</v>
      </c>
    </row>
    <row r="150" spans="1:16" x14ac:dyDescent="0.2">
      <c r="A150">
        <v>70</v>
      </c>
      <c r="B150">
        <v>1</v>
      </c>
      <c r="D150">
        <v>12</v>
      </c>
      <c r="E150" t="s">
        <v>205</v>
      </c>
      <c r="F150" t="s">
        <v>206</v>
      </c>
      <c r="G150">
        <v>0</v>
      </c>
      <c r="H150">
        <v>0</v>
      </c>
      <c r="I150" t="s">
        <v>207</v>
      </c>
      <c r="J150">
        <v>0</v>
      </c>
      <c r="K150">
        <v>0</v>
      </c>
      <c r="L150" t="s">
        <v>3</v>
      </c>
      <c r="M150" t="s">
        <v>3</v>
      </c>
      <c r="N150">
        <v>0</v>
      </c>
      <c r="P150" t="s">
        <v>208</v>
      </c>
    </row>
    <row r="151" spans="1:16" x14ac:dyDescent="0.2">
      <c r="A151">
        <v>70</v>
      </c>
      <c r="B151">
        <v>1</v>
      </c>
      <c r="D151">
        <v>13</v>
      </c>
      <c r="E151" t="s">
        <v>209</v>
      </c>
      <c r="F151" t="s">
        <v>210</v>
      </c>
      <c r="G151">
        <v>0</v>
      </c>
      <c r="H151">
        <v>0</v>
      </c>
      <c r="I151" t="s">
        <v>211</v>
      </c>
      <c r="J151">
        <v>0</v>
      </c>
      <c r="K151">
        <v>0</v>
      </c>
      <c r="L151" t="s">
        <v>3</v>
      </c>
      <c r="M151" t="s">
        <v>3</v>
      </c>
      <c r="N151">
        <v>0</v>
      </c>
      <c r="P151" t="s">
        <v>212</v>
      </c>
    </row>
    <row r="152" spans="1:16" x14ac:dyDescent="0.2">
      <c r="A152">
        <v>70</v>
      </c>
      <c r="B152">
        <v>1</v>
      </c>
      <c r="D152">
        <v>14</v>
      </c>
      <c r="E152" t="s">
        <v>213</v>
      </c>
      <c r="F152" t="s">
        <v>214</v>
      </c>
      <c r="G152">
        <v>0</v>
      </c>
      <c r="H152">
        <v>0</v>
      </c>
      <c r="I152" t="s">
        <v>3</v>
      </c>
      <c r="J152">
        <v>0</v>
      </c>
      <c r="K152">
        <v>0</v>
      </c>
      <c r="L152" t="s">
        <v>3</v>
      </c>
      <c r="M152" t="s">
        <v>3</v>
      </c>
      <c r="N152">
        <v>0</v>
      </c>
      <c r="P152" t="s">
        <v>3</v>
      </c>
    </row>
    <row r="153" spans="1:16" x14ac:dyDescent="0.2">
      <c r="A153">
        <v>70</v>
      </c>
      <c r="B153">
        <v>1</v>
      </c>
      <c r="D153">
        <v>15</v>
      </c>
      <c r="E153" t="s">
        <v>215</v>
      </c>
      <c r="F153" t="s">
        <v>216</v>
      </c>
      <c r="G153">
        <v>0</v>
      </c>
      <c r="H153">
        <v>0</v>
      </c>
      <c r="I153" t="s">
        <v>3</v>
      </c>
      <c r="J153">
        <v>0</v>
      </c>
      <c r="K153">
        <v>0</v>
      </c>
      <c r="L153" t="s">
        <v>3</v>
      </c>
      <c r="M153" t="s">
        <v>3</v>
      </c>
      <c r="N153">
        <v>0</v>
      </c>
      <c r="P153" t="s">
        <v>217</v>
      </c>
    </row>
    <row r="154" spans="1:16" x14ac:dyDescent="0.2">
      <c r="A154">
        <v>70</v>
      </c>
      <c r="B154">
        <v>1</v>
      </c>
      <c r="D154">
        <v>16</v>
      </c>
      <c r="E154" t="s">
        <v>218</v>
      </c>
      <c r="F154" t="s">
        <v>219</v>
      </c>
      <c r="G154">
        <v>0</v>
      </c>
      <c r="H154">
        <v>0</v>
      </c>
      <c r="I154" t="s">
        <v>3</v>
      </c>
      <c r="J154">
        <v>3</v>
      </c>
      <c r="K154">
        <v>0</v>
      </c>
      <c r="L154" t="s">
        <v>3</v>
      </c>
      <c r="M154" t="s">
        <v>3</v>
      </c>
      <c r="N154">
        <v>0</v>
      </c>
      <c r="P154" t="s">
        <v>3</v>
      </c>
    </row>
    <row r="155" spans="1:16" x14ac:dyDescent="0.2">
      <c r="A155">
        <v>70</v>
      </c>
      <c r="B155">
        <v>1</v>
      </c>
      <c r="D155">
        <v>17</v>
      </c>
      <c r="E155" t="s">
        <v>220</v>
      </c>
      <c r="F155" t="s">
        <v>221</v>
      </c>
      <c r="G155">
        <v>1</v>
      </c>
      <c r="H155">
        <v>0</v>
      </c>
      <c r="I155" t="s">
        <v>3</v>
      </c>
      <c r="J155">
        <v>3</v>
      </c>
      <c r="K155">
        <v>0</v>
      </c>
      <c r="L155" t="s">
        <v>3</v>
      </c>
      <c r="M155" t="s">
        <v>3</v>
      </c>
      <c r="N155">
        <v>0</v>
      </c>
      <c r="P155" t="s">
        <v>3</v>
      </c>
    </row>
    <row r="156" spans="1:16" x14ac:dyDescent="0.2">
      <c r="A156">
        <v>70</v>
      </c>
      <c r="B156">
        <v>1</v>
      </c>
      <c r="D156">
        <v>1</v>
      </c>
      <c r="E156" t="s">
        <v>222</v>
      </c>
      <c r="F156" t="s">
        <v>223</v>
      </c>
      <c r="G156">
        <v>0.9</v>
      </c>
      <c r="H156">
        <v>1</v>
      </c>
      <c r="I156" t="s">
        <v>224</v>
      </c>
      <c r="J156">
        <v>0</v>
      </c>
      <c r="K156">
        <v>0</v>
      </c>
      <c r="L156" t="s">
        <v>3</v>
      </c>
      <c r="M156" t="s">
        <v>3</v>
      </c>
      <c r="N156">
        <v>0</v>
      </c>
      <c r="P156" t="s">
        <v>225</v>
      </c>
    </row>
    <row r="157" spans="1:16" x14ac:dyDescent="0.2">
      <c r="A157">
        <v>70</v>
      </c>
      <c r="B157">
        <v>1</v>
      </c>
      <c r="D157">
        <v>2</v>
      </c>
      <c r="E157" t="s">
        <v>226</v>
      </c>
      <c r="F157" t="s">
        <v>227</v>
      </c>
      <c r="G157">
        <v>0.85</v>
      </c>
      <c r="H157">
        <v>1</v>
      </c>
      <c r="I157" t="s">
        <v>228</v>
      </c>
      <c r="J157">
        <v>0</v>
      </c>
      <c r="K157">
        <v>0</v>
      </c>
      <c r="L157" t="s">
        <v>3</v>
      </c>
      <c r="M157" t="s">
        <v>3</v>
      </c>
      <c r="N157">
        <v>0</v>
      </c>
      <c r="P157" t="s">
        <v>229</v>
      </c>
    </row>
    <row r="158" spans="1:16" x14ac:dyDescent="0.2">
      <c r="A158">
        <v>70</v>
      </c>
      <c r="B158">
        <v>1</v>
      </c>
      <c r="D158">
        <v>3</v>
      </c>
      <c r="E158" t="s">
        <v>230</v>
      </c>
      <c r="F158" t="s">
        <v>231</v>
      </c>
      <c r="G158">
        <v>1.03</v>
      </c>
      <c r="H158">
        <v>0</v>
      </c>
      <c r="I158" t="s">
        <v>3</v>
      </c>
      <c r="J158">
        <v>0</v>
      </c>
      <c r="K158">
        <v>0</v>
      </c>
      <c r="L158" t="s">
        <v>3</v>
      </c>
      <c r="M158" t="s">
        <v>3</v>
      </c>
      <c r="N158">
        <v>0</v>
      </c>
      <c r="P158" t="s">
        <v>232</v>
      </c>
    </row>
    <row r="159" spans="1:16" x14ac:dyDescent="0.2">
      <c r="A159">
        <v>70</v>
      </c>
      <c r="B159">
        <v>1</v>
      </c>
      <c r="D159">
        <v>4</v>
      </c>
      <c r="E159" t="s">
        <v>233</v>
      </c>
      <c r="F159" t="s">
        <v>234</v>
      </c>
      <c r="G159">
        <v>1.1499999999999999</v>
      </c>
      <c r="H159">
        <v>0</v>
      </c>
      <c r="I159" t="s">
        <v>3</v>
      </c>
      <c r="J159">
        <v>0</v>
      </c>
      <c r="K159">
        <v>0</v>
      </c>
      <c r="L159" t="s">
        <v>3</v>
      </c>
      <c r="M159" t="s">
        <v>3</v>
      </c>
      <c r="N159">
        <v>0</v>
      </c>
      <c r="P159" t="s">
        <v>235</v>
      </c>
    </row>
    <row r="160" spans="1:16" x14ac:dyDescent="0.2">
      <c r="A160">
        <v>70</v>
      </c>
      <c r="B160">
        <v>1</v>
      </c>
      <c r="D160">
        <v>5</v>
      </c>
      <c r="E160" t="s">
        <v>236</v>
      </c>
      <c r="F160" t="s">
        <v>237</v>
      </c>
      <c r="G160">
        <v>7</v>
      </c>
      <c r="H160">
        <v>0</v>
      </c>
      <c r="I160" t="s">
        <v>3</v>
      </c>
      <c r="J160">
        <v>0</v>
      </c>
      <c r="K160">
        <v>0</v>
      </c>
      <c r="L160" t="s">
        <v>3</v>
      </c>
      <c r="M160" t="s">
        <v>3</v>
      </c>
      <c r="N160">
        <v>0</v>
      </c>
      <c r="P160" t="s">
        <v>3</v>
      </c>
    </row>
    <row r="161" spans="1:50" x14ac:dyDescent="0.2">
      <c r="A161">
        <v>70</v>
      </c>
      <c r="B161">
        <v>1</v>
      </c>
      <c r="D161">
        <v>6</v>
      </c>
      <c r="E161" t="s">
        <v>238</v>
      </c>
      <c r="F161" t="s">
        <v>3</v>
      </c>
      <c r="G161">
        <v>2</v>
      </c>
      <c r="H161">
        <v>0</v>
      </c>
      <c r="I161" t="s">
        <v>3</v>
      </c>
      <c r="J161">
        <v>0</v>
      </c>
      <c r="K161">
        <v>0</v>
      </c>
      <c r="L161" t="s">
        <v>3</v>
      </c>
      <c r="M161" t="s">
        <v>3</v>
      </c>
      <c r="N161">
        <v>0</v>
      </c>
      <c r="P161" t="s">
        <v>3</v>
      </c>
    </row>
    <row r="163" spans="1:50" x14ac:dyDescent="0.2">
      <c r="A163">
        <v>-1</v>
      </c>
    </row>
    <row r="165" spans="1:50" x14ac:dyDescent="0.2">
      <c r="A165" s="3">
        <v>75</v>
      </c>
      <c r="B165" s="3" t="s">
        <v>239</v>
      </c>
      <c r="C165" s="3">
        <v>2026</v>
      </c>
      <c r="D165" s="3">
        <v>0</v>
      </c>
      <c r="E165" s="3">
        <v>2</v>
      </c>
      <c r="F165" s="3">
        <v>1</v>
      </c>
      <c r="G165" s="3">
        <v>0</v>
      </c>
      <c r="H165" s="3">
        <v>1</v>
      </c>
      <c r="I165" s="3">
        <v>0</v>
      </c>
      <c r="J165" s="3">
        <v>3</v>
      </c>
      <c r="K165" s="3">
        <v>0</v>
      </c>
      <c r="L165" s="3">
        <v>0</v>
      </c>
      <c r="M165" s="3">
        <v>0</v>
      </c>
      <c r="N165" s="3">
        <v>50253415</v>
      </c>
      <c r="O165" s="3">
        <v>1</v>
      </c>
    </row>
    <row r="166" spans="1:50" x14ac:dyDescent="0.2">
      <c r="A166" s="6">
        <v>2</v>
      </c>
      <c r="B166" s="6" t="s">
        <v>240</v>
      </c>
      <c r="C166" s="6" t="s">
        <v>241</v>
      </c>
      <c r="D166" s="6">
        <v>0</v>
      </c>
      <c r="E166" s="6">
        <v>0</v>
      </c>
      <c r="F166" s="6">
        <v>0</v>
      </c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>
        <v>50253416</v>
      </c>
    </row>
    <row r="167" spans="1:50" x14ac:dyDescent="0.2">
      <c r="A167" s="6">
        <v>1</v>
      </c>
      <c r="B167" s="6" t="s">
        <v>242</v>
      </c>
      <c r="C167" s="6" t="s">
        <v>243</v>
      </c>
      <c r="D167" s="6">
        <v>2026</v>
      </c>
      <c r="E167" s="6">
        <v>2</v>
      </c>
      <c r="F167" s="6">
        <v>1</v>
      </c>
      <c r="G167" s="6">
        <v>1</v>
      </c>
      <c r="H167" s="6">
        <v>0</v>
      </c>
      <c r="I167" s="6">
        <v>2</v>
      </c>
      <c r="J167" s="6">
        <v>1</v>
      </c>
      <c r="K167" s="6">
        <v>1</v>
      </c>
      <c r="L167" s="6">
        <v>1</v>
      </c>
      <c r="M167" s="6">
        <v>1</v>
      </c>
      <c r="N167" s="6">
        <v>1</v>
      </c>
      <c r="O167" s="6">
        <v>1</v>
      </c>
      <c r="P167" s="6">
        <v>1</v>
      </c>
      <c r="Q167" s="6">
        <v>1</v>
      </c>
      <c r="R167" s="6" t="s">
        <v>3</v>
      </c>
      <c r="S167" s="6" t="s">
        <v>3</v>
      </c>
      <c r="T167" s="6" t="s">
        <v>3</v>
      </c>
      <c r="U167" s="6" t="s">
        <v>3</v>
      </c>
      <c r="V167" s="6" t="s">
        <v>3</v>
      </c>
      <c r="W167" s="6" t="s">
        <v>3</v>
      </c>
      <c r="X167" s="6" t="s">
        <v>3</v>
      </c>
      <c r="Y167" s="6" t="s">
        <v>3</v>
      </c>
      <c r="Z167" s="6" t="s">
        <v>3</v>
      </c>
      <c r="AA167" s="6" t="s">
        <v>3</v>
      </c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>
        <v>50253417</v>
      </c>
      <c r="AO167" s="6"/>
      <c r="AP167" s="6"/>
      <c r="AQ167" s="6"/>
      <c r="AR167" s="6"/>
      <c r="AS167" s="6"/>
      <c r="AT167" s="6"/>
      <c r="AU167" s="6"/>
      <c r="AV167" s="6"/>
      <c r="AW167" s="6"/>
      <c r="AX167" s="6"/>
    </row>
    <row r="171" spans="1:50" x14ac:dyDescent="0.2">
      <c r="A171">
        <v>65</v>
      </c>
      <c r="C171">
        <v>1</v>
      </c>
      <c r="D171">
        <v>0</v>
      </c>
      <c r="E171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3"/>
  <sheetViews>
    <sheetView topLeftCell="A4" workbookViewId="0"/>
  </sheetViews>
  <sheetFormatPr defaultColWidth="9.125" defaultRowHeight="12.85" x14ac:dyDescent="0.2"/>
  <cols>
    <col min="1" max="256" width="9.125" customWidth="1"/>
  </cols>
  <sheetData>
    <row r="1" spans="1:133" x14ac:dyDescent="0.2">
      <c r="A1">
        <v>0</v>
      </c>
      <c r="B1" t="s">
        <v>0</v>
      </c>
      <c r="D1" t="s">
        <v>244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72064</v>
      </c>
      <c r="M1">
        <v>10</v>
      </c>
      <c r="N1">
        <v>12</v>
      </c>
      <c r="O1">
        <v>0</v>
      </c>
      <c r="P1">
        <v>0</v>
      </c>
      <c r="Q1">
        <v>3</v>
      </c>
    </row>
    <row r="12" spans="1:133" x14ac:dyDescent="0.2">
      <c r="A12" s="1">
        <v>1</v>
      </c>
      <c r="B12" s="1">
        <v>51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523</v>
      </c>
      <c r="N12" s="1"/>
      <c r="O12" s="1">
        <v>0</v>
      </c>
      <c r="P12" s="1">
        <v>0</v>
      </c>
      <c r="Q12" s="1">
        <v>7</v>
      </c>
      <c r="R12" s="1">
        <v>0</v>
      </c>
      <c r="S12" s="1"/>
      <c r="T12" s="1">
        <v>4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487096328</v>
      </c>
      <c r="CI12" s="1" t="s">
        <v>3</v>
      </c>
      <c r="CJ12" s="1" t="s">
        <v>3</v>
      </c>
      <c r="CK12" s="1">
        <v>17</v>
      </c>
      <c r="CL12" s="1"/>
      <c r="CM12" s="1"/>
      <c r="CN12" s="1"/>
      <c r="CO12" s="1"/>
      <c r="CP12" s="1"/>
      <c r="CQ12" s="1" t="s">
        <v>12</v>
      </c>
      <c r="CR12" s="1" t="s">
        <v>13</v>
      </c>
      <c r="CS12" s="1">
        <v>46073</v>
      </c>
      <c r="CT12" s="1">
        <v>540</v>
      </c>
      <c r="CU12" s="1">
        <v>17</v>
      </c>
      <c r="CV12" s="1" t="s">
        <v>340</v>
      </c>
      <c r="CW12" s="1"/>
      <c r="CX12" s="1"/>
      <c r="CY12" s="1">
        <v>0</v>
      </c>
      <c r="CZ12" s="1" t="s">
        <v>3</v>
      </c>
      <c r="DA12" s="1" t="s">
        <v>3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1</v>
      </c>
      <c r="C14" s="1">
        <v>0</v>
      </c>
      <c r="D14" s="1">
        <v>50253415</v>
      </c>
      <c r="E14" s="1">
        <v>0</v>
      </c>
      <c r="F14" s="1">
        <v>2</v>
      </c>
      <c r="G14" s="1">
        <v>1</v>
      </c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7">
        <v>3</v>
      </c>
      <c r="B16" s="7">
        <v>1</v>
      </c>
      <c r="C16" s="7" t="s">
        <v>14</v>
      </c>
      <c r="D16" s="7" t="s">
        <v>14</v>
      </c>
      <c r="E16" s="8">
        <f>ROUND((Source!F92)/1000,2)</f>
        <v>454.98</v>
      </c>
      <c r="F16" s="8">
        <f>ROUND((Source!F93)/1000,2)</f>
        <v>7.34</v>
      </c>
      <c r="G16" s="8">
        <f>ROUND((Source!F84)/1000,2)</f>
        <v>0</v>
      </c>
      <c r="H16" s="8">
        <f>ROUND((Source!F94)/1000+(Source!F95)/1000,2)</f>
        <v>0</v>
      </c>
      <c r="I16" s="8">
        <f>E16+F16+G16+H16</f>
        <v>462.32</v>
      </c>
      <c r="J16" s="8">
        <f>ROUND((Source!F90+Source!F89)/1000,2)</f>
        <v>131.47</v>
      </c>
      <c r="K16" s="8">
        <v>312.27</v>
      </c>
      <c r="L16" s="8">
        <v>0</v>
      </c>
      <c r="M16" s="8">
        <v>0</v>
      </c>
      <c r="N16" s="8">
        <f>I16+L16+M16</f>
        <v>462.32</v>
      </c>
      <c r="AI16" s="7">
        <v>0</v>
      </c>
      <c r="AJ16" s="7">
        <v>0</v>
      </c>
      <c r="AK16" s="7" t="s">
        <v>3</v>
      </c>
      <c r="AL16" s="7" t="s">
        <v>3</v>
      </c>
      <c r="AM16" s="7" t="s">
        <v>3</v>
      </c>
      <c r="AN16" s="7">
        <v>0</v>
      </c>
      <c r="AO16" s="7" t="s">
        <v>3</v>
      </c>
      <c r="AP16" s="7" t="s">
        <v>3</v>
      </c>
      <c r="AT16" s="8">
        <v>250253.75</v>
      </c>
      <c r="AU16" s="8">
        <v>62015.43</v>
      </c>
      <c r="AV16" s="8">
        <v>0</v>
      </c>
      <c r="AW16" s="8">
        <v>0</v>
      </c>
      <c r="AX16" s="8">
        <v>0</v>
      </c>
      <c r="AY16" s="8">
        <v>56769.64</v>
      </c>
      <c r="AZ16" s="8">
        <v>19171.650000000001</v>
      </c>
      <c r="BA16" s="8">
        <v>112297.03</v>
      </c>
      <c r="BB16" s="8">
        <v>454979.48</v>
      </c>
      <c r="BC16" s="8">
        <v>7335.53</v>
      </c>
      <c r="BD16" s="8">
        <v>0</v>
      </c>
      <c r="BE16" s="8">
        <v>0</v>
      </c>
      <c r="BF16" s="8">
        <v>322.41984000000002</v>
      </c>
      <c r="BG16" s="8">
        <v>38.397799999999997</v>
      </c>
      <c r="BH16" s="8">
        <v>0</v>
      </c>
      <c r="BI16" s="8">
        <v>140277.48000000001</v>
      </c>
      <c r="BJ16" s="8">
        <v>71783.78</v>
      </c>
      <c r="BK16" s="8">
        <v>462315.01</v>
      </c>
    </row>
    <row r="18" spans="1:16" x14ac:dyDescent="0.2">
      <c r="A18">
        <v>51</v>
      </c>
      <c r="E18">
        <v>454.98</v>
      </c>
      <c r="F18">
        <v>7.34</v>
      </c>
      <c r="G18">
        <v>0</v>
      </c>
      <c r="H18">
        <v>0</v>
      </c>
      <c r="I18">
        <v>462.32</v>
      </c>
      <c r="J18">
        <v>131.47</v>
      </c>
      <c r="K18">
        <v>312.27</v>
      </c>
      <c r="L18">
        <v>0</v>
      </c>
      <c r="M18">
        <v>0</v>
      </c>
      <c r="N18">
        <v>462.32</v>
      </c>
    </row>
    <row r="20" spans="1:16" x14ac:dyDescent="0.2">
      <c r="A20" s="4">
        <v>50</v>
      </c>
      <c r="B20" s="4">
        <f>IF(SourceObSm!F20&lt;&gt;0,1,0)</f>
        <v>1</v>
      </c>
      <c r="C20" s="4">
        <v>0</v>
      </c>
      <c r="D20" s="4">
        <v>1</v>
      </c>
      <c r="E20" s="4">
        <v>201</v>
      </c>
      <c r="F20" s="4">
        <v>250253.75</v>
      </c>
      <c r="G20" s="4" t="s">
        <v>116</v>
      </c>
      <c r="H20" s="4" t="s">
        <v>117</v>
      </c>
      <c r="I20" s="4"/>
      <c r="J20" s="4"/>
      <c r="K20" s="4">
        <v>201</v>
      </c>
      <c r="L20" s="4">
        <v>1</v>
      </c>
      <c r="M20" s="4">
        <v>1</v>
      </c>
      <c r="N20" s="4" t="s">
        <v>3</v>
      </c>
      <c r="O20" s="4">
        <v>2</v>
      </c>
      <c r="P20" s="4"/>
    </row>
    <row r="21" spans="1:16" x14ac:dyDescent="0.2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62015.43</v>
      </c>
      <c r="G21" s="4" t="s">
        <v>118</v>
      </c>
      <c r="H21" s="4" t="s">
        <v>119</v>
      </c>
      <c r="I21" s="4"/>
      <c r="J21" s="4"/>
      <c r="K21" s="4">
        <v>202</v>
      </c>
      <c r="L21" s="4">
        <v>2</v>
      </c>
      <c r="M21" s="4">
        <v>3</v>
      </c>
      <c r="N21" s="4" t="s">
        <v>3</v>
      </c>
      <c r="O21" s="4">
        <v>2</v>
      </c>
      <c r="P21" s="4"/>
    </row>
    <row r="22" spans="1:16" x14ac:dyDescent="0.2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120</v>
      </c>
      <c r="H22" s="4" t="s">
        <v>121</v>
      </c>
      <c r="I22" s="4"/>
      <c r="J22" s="4"/>
      <c r="K22" s="4">
        <v>222</v>
      </c>
      <c r="L22" s="4">
        <v>3</v>
      </c>
      <c r="M22" s="4">
        <v>3</v>
      </c>
      <c r="N22" s="4" t="s">
        <v>3</v>
      </c>
      <c r="O22" s="4">
        <v>2</v>
      </c>
      <c r="P22" s="4"/>
    </row>
    <row r="23" spans="1:16" x14ac:dyDescent="0.2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62015.43</v>
      </c>
      <c r="G23" s="4" t="s">
        <v>122</v>
      </c>
      <c r="H23" s="4" t="s">
        <v>123</v>
      </c>
      <c r="I23" s="4"/>
      <c r="J23" s="4"/>
      <c r="K23" s="4">
        <v>225</v>
      </c>
      <c r="L23" s="4">
        <v>4</v>
      </c>
      <c r="M23" s="4">
        <v>3</v>
      </c>
      <c r="N23" s="4" t="s">
        <v>3</v>
      </c>
      <c r="O23" s="4">
        <v>2</v>
      </c>
      <c r="P23" s="4"/>
    </row>
    <row r="24" spans="1:16" x14ac:dyDescent="0.2">
      <c r="A24" s="4">
        <v>50</v>
      </c>
      <c r="B24" s="4">
        <f>IF(SourceObSm!F24&lt;&gt;0,1,0)</f>
        <v>1</v>
      </c>
      <c r="C24" s="4">
        <v>0</v>
      </c>
      <c r="D24" s="4">
        <v>1</v>
      </c>
      <c r="E24" s="4">
        <v>226</v>
      </c>
      <c r="F24" s="4">
        <v>62015.43</v>
      </c>
      <c r="G24" s="4" t="s">
        <v>124</v>
      </c>
      <c r="H24" s="4" t="s">
        <v>125</v>
      </c>
      <c r="I24" s="4"/>
      <c r="J24" s="4"/>
      <c r="K24" s="4">
        <v>226</v>
      </c>
      <c r="L24" s="4">
        <v>5</v>
      </c>
      <c r="M24" s="4">
        <v>1</v>
      </c>
      <c r="N24" s="4" t="s">
        <v>3</v>
      </c>
      <c r="O24" s="4">
        <v>2</v>
      </c>
      <c r="P24" s="4"/>
    </row>
    <row r="25" spans="1:16" x14ac:dyDescent="0.2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126</v>
      </c>
      <c r="H25" s="4" t="s">
        <v>127</v>
      </c>
      <c r="I25" s="4"/>
      <c r="J25" s="4"/>
      <c r="K25" s="4">
        <v>227</v>
      </c>
      <c r="L25" s="4">
        <v>6</v>
      </c>
      <c r="M25" s="4">
        <v>3</v>
      </c>
      <c r="N25" s="4" t="s">
        <v>3</v>
      </c>
      <c r="O25" s="4">
        <v>2</v>
      </c>
      <c r="P25" s="4"/>
    </row>
    <row r="26" spans="1:16" x14ac:dyDescent="0.2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62015.43</v>
      </c>
      <c r="G26" s="4" t="s">
        <v>128</v>
      </c>
      <c r="H26" s="4" t="s">
        <v>129</v>
      </c>
      <c r="I26" s="4"/>
      <c r="J26" s="4"/>
      <c r="K26" s="4">
        <v>228</v>
      </c>
      <c r="L26" s="4">
        <v>7</v>
      </c>
      <c r="M26" s="4">
        <v>3</v>
      </c>
      <c r="N26" s="4" t="s">
        <v>3</v>
      </c>
      <c r="O26" s="4">
        <v>2</v>
      </c>
      <c r="P26" s="4"/>
    </row>
    <row r="27" spans="1:16" x14ac:dyDescent="0.2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130</v>
      </c>
      <c r="H27" s="4" t="s">
        <v>131</v>
      </c>
      <c r="I27" s="4"/>
      <c r="J27" s="4"/>
      <c r="K27" s="4">
        <v>216</v>
      </c>
      <c r="L27" s="4">
        <v>8</v>
      </c>
      <c r="M27" s="4">
        <v>3</v>
      </c>
      <c r="N27" s="4" t="s">
        <v>3</v>
      </c>
      <c r="O27" s="4">
        <v>2</v>
      </c>
      <c r="P27" s="4"/>
    </row>
    <row r="28" spans="1:16" x14ac:dyDescent="0.2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132</v>
      </c>
      <c r="H28" s="4" t="s">
        <v>133</v>
      </c>
      <c r="I28" s="4"/>
      <c r="J28" s="4"/>
      <c r="K28" s="4">
        <v>223</v>
      </c>
      <c r="L28" s="4">
        <v>9</v>
      </c>
      <c r="M28" s="4">
        <v>3</v>
      </c>
      <c r="N28" s="4" t="s">
        <v>3</v>
      </c>
      <c r="O28" s="4">
        <v>2</v>
      </c>
      <c r="P28" s="4"/>
    </row>
    <row r="29" spans="1:16" x14ac:dyDescent="0.2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134</v>
      </c>
      <c r="H29" s="4" t="s">
        <v>135</v>
      </c>
      <c r="I29" s="4"/>
      <c r="J29" s="4"/>
      <c r="K29" s="4">
        <v>229</v>
      </c>
      <c r="L29" s="4">
        <v>10</v>
      </c>
      <c r="M29" s="4">
        <v>3</v>
      </c>
      <c r="N29" s="4" t="s">
        <v>3</v>
      </c>
      <c r="O29" s="4">
        <v>2</v>
      </c>
      <c r="P29" s="4"/>
    </row>
    <row r="30" spans="1:16" x14ac:dyDescent="0.2">
      <c r="A30" s="4">
        <v>50</v>
      </c>
      <c r="B30" s="4">
        <f>IF(SourceObSm!F30&lt;&gt;0,1,0)</f>
        <v>1</v>
      </c>
      <c r="C30" s="4">
        <v>0</v>
      </c>
      <c r="D30" s="4">
        <v>1</v>
      </c>
      <c r="E30" s="4">
        <v>203</v>
      </c>
      <c r="F30" s="4">
        <v>56769.64</v>
      </c>
      <c r="G30" s="4" t="s">
        <v>136</v>
      </c>
      <c r="H30" s="4" t="s">
        <v>137</v>
      </c>
      <c r="I30" s="4"/>
      <c r="J30" s="4"/>
      <c r="K30" s="4">
        <v>203</v>
      </c>
      <c r="L30" s="4">
        <v>11</v>
      </c>
      <c r="M30" s="4">
        <v>1</v>
      </c>
      <c r="N30" s="4" t="s">
        <v>3</v>
      </c>
      <c r="O30" s="4">
        <v>2</v>
      </c>
      <c r="P30" s="4"/>
    </row>
    <row r="31" spans="1:16" x14ac:dyDescent="0.2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138</v>
      </c>
      <c r="H31" s="4" t="s">
        <v>139</v>
      </c>
      <c r="I31" s="4"/>
      <c r="J31" s="4"/>
      <c r="K31" s="4">
        <v>231</v>
      </c>
      <c r="L31" s="4">
        <v>12</v>
      </c>
      <c r="M31" s="4">
        <v>3</v>
      </c>
      <c r="N31" s="4" t="s">
        <v>3</v>
      </c>
      <c r="O31" s="4">
        <v>2</v>
      </c>
      <c r="P31" s="4"/>
    </row>
    <row r="32" spans="1:16" x14ac:dyDescent="0.2">
      <c r="A32" s="4">
        <v>50</v>
      </c>
      <c r="B32" s="4">
        <f>IF(SourceObSm!F32&lt;&gt;0,1,0)</f>
        <v>1</v>
      </c>
      <c r="C32" s="4">
        <v>0</v>
      </c>
      <c r="D32" s="4">
        <v>1</v>
      </c>
      <c r="E32" s="4">
        <v>204</v>
      </c>
      <c r="F32" s="4">
        <v>19171.650000000001</v>
      </c>
      <c r="G32" s="4" t="s">
        <v>140</v>
      </c>
      <c r="H32" s="4" t="s">
        <v>141</v>
      </c>
      <c r="I32" s="4"/>
      <c r="J32" s="4"/>
      <c r="K32" s="4">
        <v>204</v>
      </c>
      <c r="L32" s="4">
        <v>13</v>
      </c>
      <c r="M32" s="4">
        <v>1</v>
      </c>
      <c r="N32" s="4" t="s">
        <v>3</v>
      </c>
      <c r="O32" s="4">
        <v>2</v>
      </c>
      <c r="P32" s="4"/>
    </row>
    <row r="33" spans="1:16" x14ac:dyDescent="0.2">
      <c r="A33" s="4">
        <v>50</v>
      </c>
      <c r="B33" s="4">
        <f>IF(SourceObSm!F33&lt;&gt;0,1,0)</f>
        <v>1</v>
      </c>
      <c r="C33" s="4">
        <v>0</v>
      </c>
      <c r="D33" s="4">
        <v>1</v>
      </c>
      <c r="E33" s="4">
        <v>205</v>
      </c>
      <c r="F33" s="4">
        <v>112297.03</v>
      </c>
      <c r="G33" s="4" t="s">
        <v>142</v>
      </c>
      <c r="H33" s="4" t="s">
        <v>143</v>
      </c>
      <c r="I33" s="4"/>
      <c r="J33" s="4"/>
      <c r="K33" s="4">
        <v>205</v>
      </c>
      <c r="L33" s="4">
        <v>14</v>
      </c>
      <c r="M33" s="4">
        <v>1</v>
      </c>
      <c r="N33" s="4" t="s">
        <v>3</v>
      </c>
      <c r="O33" s="4">
        <v>2</v>
      </c>
      <c r="P33" s="4"/>
    </row>
    <row r="34" spans="1:16" x14ac:dyDescent="0.2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144</v>
      </c>
      <c r="H34" s="4" t="s">
        <v>145</v>
      </c>
      <c r="I34" s="4"/>
      <c r="J34" s="4"/>
      <c r="K34" s="4">
        <v>232</v>
      </c>
      <c r="L34" s="4">
        <v>15</v>
      </c>
      <c r="M34" s="4">
        <v>3</v>
      </c>
      <c r="N34" s="4" t="s">
        <v>3</v>
      </c>
      <c r="O34" s="4">
        <v>2</v>
      </c>
      <c r="P34" s="4"/>
    </row>
    <row r="35" spans="1:16" x14ac:dyDescent="0.2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454979.48</v>
      </c>
      <c r="G35" s="4" t="s">
        <v>146</v>
      </c>
      <c r="H35" s="4" t="s">
        <v>147</v>
      </c>
      <c r="I35" s="4"/>
      <c r="J35" s="4"/>
      <c r="K35" s="4">
        <v>214</v>
      </c>
      <c r="L35" s="4">
        <v>16</v>
      </c>
      <c r="M35" s="4">
        <v>3</v>
      </c>
      <c r="N35" s="4" t="s">
        <v>3</v>
      </c>
      <c r="O35" s="4">
        <v>2</v>
      </c>
      <c r="P35" s="4"/>
    </row>
    <row r="36" spans="1:16" x14ac:dyDescent="0.2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7335.53</v>
      </c>
      <c r="G36" s="4" t="s">
        <v>148</v>
      </c>
      <c r="H36" s="4" t="s">
        <v>149</v>
      </c>
      <c r="I36" s="4"/>
      <c r="J36" s="4"/>
      <c r="K36" s="4">
        <v>215</v>
      </c>
      <c r="L36" s="4">
        <v>17</v>
      </c>
      <c r="M36" s="4">
        <v>3</v>
      </c>
      <c r="N36" s="4" t="s">
        <v>3</v>
      </c>
      <c r="O36" s="4">
        <v>2</v>
      </c>
      <c r="P36" s="4"/>
    </row>
    <row r="37" spans="1:16" x14ac:dyDescent="0.2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0</v>
      </c>
      <c r="G37" s="4" t="s">
        <v>150</v>
      </c>
      <c r="H37" s="4" t="s">
        <v>151</v>
      </c>
      <c r="I37" s="4"/>
      <c r="J37" s="4"/>
      <c r="K37" s="4">
        <v>217</v>
      </c>
      <c r="L37" s="4">
        <v>18</v>
      </c>
      <c r="M37" s="4">
        <v>3</v>
      </c>
      <c r="N37" s="4" t="s">
        <v>3</v>
      </c>
      <c r="O37" s="4">
        <v>2</v>
      </c>
      <c r="P37" s="4"/>
    </row>
    <row r="38" spans="1:16" x14ac:dyDescent="0.2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152</v>
      </c>
      <c r="H38" s="4" t="s">
        <v>153</v>
      </c>
      <c r="I38" s="4"/>
      <c r="J38" s="4"/>
      <c r="K38" s="4">
        <v>230</v>
      </c>
      <c r="L38" s="4">
        <v>19</v>
      </c>
      <c r="M38" s="4">
        <v>3</v>
      </c>
      <c r="N38" s="4" t="s">
        <v>3</v>
      </c>
      <c r="O38" s="4">
        <v>2</v>
      </c>
      <c r="P38" s="4"/>
    </row>
    <row r="39" spans="1:16" x14ac:dyDescent="0.2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154</v>
      </c>
      <c r="H39" s="4" t="s">
        <v>155</v>
      </c>
      <c r="I39" s="4"/>
      <c r="J39" s="4"/>
      <c r="K39" s="4">
        <v>206</v>
      </c>
      <c r="L39" s="4">
        <v>20</v>
      </c>
      <c r="M39" s="4">
        <v>3</v>
      </c>
      <c r="N39" s="4" t="s">
        <v>3</v>
      </c>
      <c r="O39" s="4">
        <v>2</v>
      </c>
      <c r="P39" s="4"/>
    </row>
    <row r="40" spans="1:16" x14ac:dyDescent="0.2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322.41984000000002</v>
      </c>
      <c r="G40" s="4" t="s">
        <v>156</v>
      </c>
      <c r="H40" s="4" t="s">
        <v>157</v>
      </c>
      <c r="I40" s="4"/>
      <c r="J40" s="4"/>
      <c r="K40" s="4">
        <v>207</v>
      </c>
      <c r="L40" s="4">
        <v>21</v>
      </c>
      <c r="M40" s="4">
        <v>3</v>
      </c>
      <c r="N40" s="4" t="s">
        <v>3</v>
      </c>
      <c r="O40" s="4">
        <v>-1</v>
      </c>
      <c r="P40" s="4"/>
    </row>
    <row r="41" spans="1:16" x14ac:dyDescent="0.2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38.397799999999997</v>
      </c>
      <c r="G41" s="4" t="s">
        <v>158</v>
      </c>
      <c r="H41" s="4" t="s">
        <v>159</v>
      </c>
      <c r="I41" s="4"/>
      <c r="J41" s="4"/>
      <c r="K41" s="4">
        <v>208</v>
      </c>
      <c r="L41" s="4">
        <v>22</v>
      </c>
      <c r="M41" s="4">
        <v>3</v>
      </c>
      <c r="N41" s="4" t="s">
        <v>3</v>
      </c>
      <c r="O41" s="4">
        <v>-1</v>
      </c>
      <c r="P41" s="4"/>
    </row>
    <row r="42" spans="1:16" x14ac:dyDescent="0.2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0</v>
      </c>
      <c r="G42" s="4" t="s">
        <v>160</v>
      </c>
      <c r="H42" s="4" t="s">
        <v>161</v>
      </c>
      <c r="I42" s="4"/>
      <c r="J42" s="4"/>
      <c r="K42" s="4">
        <v>209</v>
      </c>
      <c r="L42" s="4">
        <v>23</v>
      </c>
      <c r="M42" s="4">
        <v>3</v>
      </c>
      <c r="N42" s="4" t="s">
        <v>3</v>
      </c>
      <c r="O42" s="4">
        <v>2</v>
      </c>
      <c r="P42" s="4"/>
    </row>
    <row r="43" spans="1:16" x14ac:dyDescent="0.2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0</v>
      </c>
      <c r="G43" s="4" t="s">
        <v>162</v>
      </c>
      <c r="H43" s="4" t="s">
        <v>163</v>
      </c>
      <c r="I43" s="4"/>
      <c r="J43" s="4"/>
      <c r="K43" s="4">
        <v>233</v>
      </c>
      <c r="L43" s="4">
        <v>24</v>
      </c>
      <c r="M43" s="4">
        <v>3</v>
      </c>
      <c r="N43" s="4" t="s">
        <v>3</v>
      </c>
      <c r="O43" s="4">
        <v>2</v>
      </c>
      <c r="P43" s="4"/>
    </row>
    <row r="44" spans="1:16" x14ac:dyDescent="0.2">
      <c r="A44" s="4">
        <v>50</v>
      </c>
      <c r="B44" s="4">
        <f>IF(SourceObSm!F44&lt;&gt;0,1,0)</f>
        <v>1</v>
      </c>
      <c r="C44" s="4">
        <v>0</v>
      </c>
      <c r="D44" s="4">
        <v>1</v>
      </c>
      <c r="E44" s="4">
        <v>210</v>
      </c>
      <c r="F44" s="4">
        <v>140277.48000000001</v>
      </c>
      <c r="G44" s="4" t="s">
        <v>164</v>
      </c>
      <c r="H44" s="4" t="s">
        <v>165</v>
      </c>
      <c r="I44" s="4"/>
      <c r="J44" s="4"/>
      <c r="K44" s="4">
        <v>210</v>
      </c>
      <c r="L44" s="4">
        <v>25</v>
      </c>
      <c r="M44" s="4">
        <v>1</v>
      </c>
      <c r="N44" s="4" t="s">
        <v>3</v>
      </c>
      <c r="O44" s="4">
        <v>2</v>
      </c>
      <c r="P44" s="4"/>
    </row>
    <row r="45" spans="1:16" x14ac:dyDescent="0.2">
      <c r="A45" s="4">
        <v>50</v>
      </c>
      <c r="B45" s="4">
        <f>IF(SourceObSm!F45&lt;&gt;0,1,0)</f>
        <v>1</v>
      </c>
      <c r="C45" s="4">
        <v>0</v>
      </c>
      <c r="D45" s="4">
        <v>1</v>
      </c>
      <c r="E45" s="4">
        <v>211</v>
      </c>
      <c r="F45" s="4">
        <v>71783.78</v>
      </c>
      <c r="G45" s="4" t="s">
        <v>166</v>
      </c>
      <c r="H45" s="4" t="s">
        <v>167</v>
      </c>
      <c r="I45" s="4"/>
      <c r="J45" s="4"/>
      <c r="K45" s="4">
        <v>211</v>
      </c>
      <c r="L45" s="4">
        <v>26</v>
      </c>
      <c r="M45" s="4">
        <v>1</v>
      </c>
      <c r="N45" s="4" t="s">
        <v>3</v>
      </c>
      <c r="O45" s="4">
        <v>2</v>
      </c>
      <c r="P45" s="4"/>
    </row>
    <row r="46" spans="1:16" x14ac:dyDescent="0.2">
      <c r="A46" s="4">
        <v>50</v>
      </c>
      <c r="B46" s="4">
        <f>IF(SourceObSm!F46&lt;&gt;0,1,0)</f>
        <v>1</v>
      </c>
      <c r="C46" s="4">
        <v>0</v>
      </c>
      <c r="D46" s="4">
        <v>1</v>
      </c>
      <c r="E46" s="4">
        <v>224</v>
      </c>
      <c r="F46" s="4">
        <v>462315.01</v>
      </c>
      <c r="G46" s="4" t="s">
        <v>168</v>
      </c>
      <c r="H46" s="4" t="s">
        <v>169</v>
      </c>
      <c r="I46" s="4"/>
      <c r="J46" s="4"/>
      <c r="K46" s="4">
        <v>224</v>
      </c>
      <c r="L46" s="4">
        <v>27</v>
      </c>
      <c r="M46" s="4">
        <v>1</v>
      </c>
      <c r="N46" s="4" t="s">
        <v>3</v>
      </c>
      <c r="O46" s="4">
        <v>2</v>
      </c>
      <c r="P46" s="4"/>
    </row>
    <row r="48" spans="1:16" x14ac:dyDescent="0.2">
      <c r="A48">
        <v>-1</v>
      </c>
    </row>
    <row r="51" spans="1:50" x14ac:dyDescent="0.2">
      <c r="A51" s="3">
        <v>75</v>
      </c>
      <c r="B51" s="3" t="s">
        <v>239</v>
      </c>
      <c r="C51" s="3">
        <v>2026</v>
      </c>
      <c r="D51" s="3">
        <v>0</v>
      </c>
      <c r="E51" s="3">
        <v>2</v>
      </c>
      <c r="F51" s="3">
        <v>1</v>
      </c>
      <c r="G51" s="3">
        <v>0</v>
      </c>
      <c r="H51" s="3">
        <v>1</v>
      </c>
      <c r="I51" s="3">
        <v>0</v>
      </c>
      <c r="J51" s="3">
        <v>3</v>
      </c>
      <c r="K51" s="3">
        <v>0</v>
      </c>
      <c r="L51" s="3">
        <v>0</v>
      </c>
      <c r="M51" s="3">
        <v>0</v>
      </c>
      <c r="N51" s="3">
        <v>50253415</v>
      </c>
      <c r="O51" s="3">
        <v>1</v>
      </c>
    </row>
    <row r="52" spans="1:50" x14ac:dyDescent="0.2">
      <c r="A52" s="6">
        <v>2</v>
      </c>
      <c r="B52" s="6" t="s">
        <v>240</v>
      </c>
      <c r="C52" s="6" t="s">
        <v>241</v>
      </c>
      <c r="D52" s="6">
        <v>0</v>
      </c>
      <c r="E52" s="6">
        <v>0</v>
      </c>
      <c r="F52" s="6">
        <v>0</v>
      </c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>
        <v>50253416</v>
      </c>
    </row>
    <row r="53" spans="1:50" x14ac:dyDescent="0.2">
      <c r="A53" s="6">
        <v>1</v>
      </c>
      <c r="B53" s="6" t="s">
        <v>242</v>
      </c>
      <c r="C53" s="6" t="s">
        <v>243</v>
      </c>
      <c r="D53" s="6">
        <v>2026</v>
      </c>
      <c r="E53" s="6">
        <v>2</v>
      </c>
      <c r="F53" s="6">
        <v>1</v>
      </c>
      <c r="G53" s="6">
        <v>1</v>
      </c>
      <c r="H53" s="6">
        <v>0</v>
      </c>
      <c r="I53" s="6">
        <v>2</v>
      </c>
      <c r="J53" s="6">
        <v>1</v>
      </c>
      <c r="K53" s="6">
        <v>1</v>
      </c>
      <c r="L53" s="6">
        <v>1</v>
      </c>
      <c r="M53" s="6">
        <v>1</v>
      </c>
      <c r="N53" s="6">
        <v>1</v>
      </c>
      <c r="O53" s="6">
        <v>1</v>
      </c>
      <c r="P53" s="6">
        <v>1</v>
      </c>
      <c r="Q53" s="6">
        <v>1</v>
      </c>
      <c r="R53" s="6" t="s">
        <v>3</v>
      </c>
      <c r="S53" s="6" t="s">
        <v>3</v>
      </c>
      <c r="T53" s="6" t="s">
        <v>3</v>
      </c>
      <c r="U53" s="6" t="s">
        <v>3</v>
      </c>
      <c r="V53" s="6" t="s">
        <v>3</v>
      </c>
      <c r="W53" s="6" t="s">
        <v>3</v>
      </c>
      <c r="X53" s="6" t="s">
        <v>3</v>
      </c>
      <c r="Y53" s="6" t="s">
        <v>3</v>
      </c>
      <c r="Z53" s="6" t="s">
        <v>3</v>
      </c>
      <c r="AA53" s="6" t="s">
        <v>3</v>
      </c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>
        <v>50253417</v>
      </c>
      <c r="AO53" s="6"/>
      <c r="AP53" s="6"/>
      <c r="AQ53" s="6"/>
      <c r="AR53" s="6"/>
      <c r="AS53" s="6"/>
      <c r="AT53" s="6"/>
      <c r="AU53" s="6"/>
      <c r="AV53" s="6"/>
      <c r="AW53" s="6"/>
      <c r="AX53" s="6"/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58"/>
  <sheetViews>
    <sheetView workbookViewId="0"/>
  </sheetViews>
  <sheetFormatPr defaultColWidth="9.125" defaultRowHeight="12.85" x14ac:dyDescent="0.2"/>
  <cols>
    <col min="1" max="256" width="9.125" customWidth="1"/>
  </cols>
  <sheetData>
    <row r="1" spans="1:119" x14ac:dyDescent="0.2">
      <c r="A1">
        <f>ROW(Source!A28)</f>
        <v>28</v>
      </c>
      <c r="B1">
        <v>50253415</v>
      </c>
      <c r="C1">
        <v>50253538</v>
      </c>
      <c r="D1">
        <v>49188735</v>
      </c>
      <c r="E1">
        <v>117</v>
      </c>
      <c r="F1">
        <v>1</v>
      </c>
      <c r="G1">
        <v>1</v>
      </c>
      <c r="H1">
        <v>1</v>
      </c>
      <c r="I1" t="s">
        <v>245</v>
      </c>
      <c r="J1" t="s">
        <v>3</v>
      </c>
      <c r="K1" t="s">
        <v>246</v>
      </c>
      <c r="L1">
        <v>1191</v>
      </c>
      <c r="N1">
        <v>1013</v>
      </c>
      <c r="O1" t="s">
        <v>247</v>
      </c>
      <c r="P1" t="s">
        <v>247</v>
      </c>
      <c r="Q1">
        <v>1</v>
      </c>
      <c r="W1">
        <v>0</v>
      </c>
      <c r="X1">
        <v>-1417349443</v>
      </c>
      <c r="Y1">
        <f t="shared" ref="Y1:Y32" si="0">AT1</f>
        <v>0.84</v>
      </c>
      <c r="AA1">
        <v>0</v>
      </c>
      <c r="AB1">
        <v>0</v>
      </c>
      <c r="AC1">
        <v>0</v>
      </c>
      <c r="AD1">
        <v>0</v>
      </c>
      <c r="AE1">
        <v>0</v>
      </c>
      <c r="AF1">
        <v>0</v>
      </c>
      <c r="AG1">
        <v>0</v>
      </c>
      <c r="AH1">
        <v>0</v>
      </c>
      <c r="AI1">
        <v>1</v>
      </c>
      <c r="AJ1">
        <v>1</v>
      </c>
      <c r="AK1">
        <v>1</v>
      </c>
      <c r="AL1">
        <v>1</v>
      </c>
      <c r="AM1">
        <v>-2</v>
      </c>
      <c r="AN1">
        <v>0</v>
      </c>
      <c r="AO1">
        <v>0</v>
      </c>
      <c r="AP1">
        <v>1</v>
      </c>
      <c r="AQ1">
        <v>1</v>
      </c>
      <c r="AR1">
        <v>0</v>
      </c>
      <c r="AS1" t="s">
        <v>3</v>
      </c>
      <c r="AT1">
        <v>0.84</v>
      </c>
      <c r="AU1" t="s">
        <v>3</v>
      </c>
      <c r="AV1">
        <v>2</v>
      </c>
      <c r="AW1">
        <v>2</v>
      </c>
      <c r="AX1">
        <v>50253542</v>
      </c>
      <c r="AY1">
        <v>1</v>
      </c>
      <c r="AZ1">
        <v>0</v>
      </c>
      <c r="BA1">
        <v>1</v>
      </c>
      <c r="BB1">
        <v>1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V1">
        <v>0</v>
      </c>
      <c r="CW1">
        <v>0</v>
      </c>
      <c r="CX1">
        <f>ROUND(Y1*Source!I28,7)</f>
        <v>2.1</v>
      </c>
      <c r="CY1">
        <f>AD1</f>
        <v>0</v>
      </c>
      <c r="CZ1">
        <f>AH1</f>
        <v>0</v>
      </c>
      <c r="DA1">
        <f>AL1</f>
        <v>1</v>
      </c>
      <c r="DB1">
        <f t="shared" ref="DB1:DB32" si="1">ROUND(ROUND(AT1*CZ1,2),6)</f>
        <v>0</v>
      </c>
      <c r="DC1">
        <f t="shared" ref="DC1:DC32" si="2">ROUND(ROUND(AT1*AG1,2),6)</f>
        <v>0</v>
      </c>
      <c r="DD1" t="s">
        <v>3</v>
      </c>
      <c r="DE1" t="s">
        <v>3</v>
      </c>
      <c r="DF1">
        <f t="shared" ref="DF1:DF16" si="3">ROUND(ROUND(AE1,2)*CX1,2)</f>
        <v>0</v>
      </c>
      <c r="DG1">
        <f>ROUND(ROUND(AF1,2)*CX1,2)</f>
        <v>0</v>
      </c>
      <c r="DH1">
        <f t="shared" ref="DH1:DH32" si="4">ROUND(ROUND(AG1,2)*CX1,2)</f>
        <v>0</v>
      </c>
      <c r="DI1">
        <f t="shared" ref="DI1:DI32" si="5">ROUND(ROUND(AH1,2)*CX1,2)</f>
        <v>0</v>
      </c>
      <c r="DJ1">
        <f>DI1</f>
        <v>0</v>
      </c>
      <c r="DK1">
        <v>0</v>
      </c>
      <c r="DL1" t="s">
        <v>3</v>
      </c>
      <c r="DM1">
        <v>0</v>
      </c>
      <c r="DN1" t="s">
        <v>3</v>
      </c>
      <c r="DO1">
        <v>0</v>
      </c>
    </row>
    <row r="2" spans="1:119" x14ac:dyDescent="0.2">
      <c r="A2">
        <f>ROW(Source!A28)</f>
        <v>28</v>
      </c>
      <c r="B2">
        <v>50253415</v>
      </c>
      <c r="C2">
        <v>50253538</v>
      </c>
      <c r="D2">
        <v>49194793</v>
      </c>
      <c r="E2">
        <v>1</v>
      </c>
      <c r="F2">
        <v>1</v>
      </c>
      <c r="G2">
        <v>1</v>
      </c>
      <c r="H2">
        <v>2</v>
      </c>
      <c r="I2" t="s">
        <v>248</v>
      </c>
      <c r="J2" t="s">
        <v>249</v>
      </c>
      <c r="K2" t="s">
        <v>250</v>
      </c>
      <c r="L2">
        <v>1368</v>
      </c>
      <c r="N2">
        <v>1011</v>
      </c>
      <c r="O2" t="s">
        <v>251</v>
      </c>
      <c r="P2" t="s">
        <v>251</v>
      </c>
      <c r="Q2">
        <v>1</v>
      </c>
      <c r="W2">
        <v>0</v>
      </c>
      <c r="X2">
        <v>1292207217</v>
      </c>
      <c r="Y2">
        <f t="shared" si="0"/>
        <v>0.5</v>
      </c>
      <c r="AA2">
        <v>0</v>
      </c>
      <c r="AB2">
        <v>1278.06</v>
      </c>
      <c r="AC2">
        <v>533</v>
      </c>
      <c r="AD2">
        <v>0</v>
      </c>
      <c r="AE2">
        <v>0</v>
      </c>
      <c r="AF2">
        <v>887.54</v>
      </c>
      <c r="AG2">
        <v>533</v>
      </c>
      <c r="AH2">
        <v>0</v>
      </c>
      <c r="AI2">
        <v>1</v>
      </c>
      <c r="AJ2">
        <v>1.44</v>
      </c>
      <c r="AK2">
        <v>1</v>
      </c>
      <c r="AL2">
        <v>1</v>
      </c>
      <c r="AM2">
        <v>2</v>
      </c>
      <c r="AN2">
        <v>0</v>
      </c>
      <c r="AO2">
        <v>0</v>
      </c>
      <c r="AP2">
        <v>1</v>
      </c>
      <c r="AQ2">
        <v>1</v>
      </c>
      <c r="AR2">
        <v>0</v>
      </c>
      <c r="AS2" t="s">
        <v>3</v>
      </c>
      <c r="AT2">
        <v>0.5</v>
      </c>
      <c r="AU2" t="s">
        <v>3</v>
      </c>
      <c r="AV2">
        <v>1</v>
      </c>
      <c r="AW2">
        <v>2</v>
      </c>
      <c r="AX2">
        <v>50253543</v>
      </c>
      <c r="AY2">
        <v>1</v>
      </c>
      <c r="AZ2">
        <v>0</v>
      </c>
      <c r="BA2">
        <v>2</v>
      </c>
      <c r="BB2">
        <v>1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443.77</v>
      </c>
      <c r="BL2">
        <v>266.5</v>
      </c>
      <c r="BM2">
        <v>0</v>
      </c>
      <c r="BN2">
        <v>0</v>
      </c>
      <c r="BO2">
        <v>0.5</v>
      </c>
      <c r="BP2">
        <v>1</v>
      </c>
      <c r="BQ2">
        <v>0</v>
      </c>
      <c r="BR2">
        <v>443.77</v>
      </c>
      <c r="BS2">
        <v>266.5</v>
      </c>
      <c r="BT2">
        <v>0</v>
      </c>
      <c r="BU2">
        <v>0</v>
      </c>
      <c r="BV2">
        <v>0.5</v>
      </c>
      <c r="BW2">
        <v>1</v>
      </c>
      <c r="CV2">
        <v>0</v>
      </c>
      <c r="CW2">
        <f>ROUND(Y2*Source!I28*DO2,7)</f>
        <v>1.25</v>
      </c>
      <c r="CX2">
        <f>ROUND(Y2*Source!I28,7)</f>
        <v>1.25</v>
      </c>
      <c r="CY2">
        <f>AB2</f>
        <v>1278.06</v>
      </c>
      <c r="CZ2">
        <f>AF2</f>
        <v>887.54</v>
      </c>
      <c r="DA2">
        <f>AJ2</f>
        <v>1.44</v>
      </c>
      <c r="DB2">
        <f t="shared" si="1"/>
        <v>443.77</v>
      </c>
      <c r="DC2">
        <f t="shared" si="2"/>
        <v>266.5</v>
      </c>
      <c r="DD2" t="s">
        <v>3</v>
      </c>
      <c r="DE2" t="s">
        <v>3</v>
      </c>
      <c r="DF2">
        <f t="shared" si="3"/>
        <v>0</v>
      </c>
      <c r="DG2">
        <f>ROUND(ROUND(AF2*AJ2,2)*CX2,2)</f>
        <v>1597.58</v>
      </c>
      <c r="DH2">
        <f t="shared" si="4"/>
        <v>666.25</v>
      </c>
      <c r="DI2">
        <f t="shared" si="5"/>
        <v>0</v>
      </c>
      <c r="DJ2">
        <f>DG2+DH2</f>
        <v>2263.83</v>
      </c>
      <c r="DK2">
        <v>0</v>
      </c>
      <c r="DL2" t="s">
        <v>252</v>
      </c>
      <c r="DM2">
        <v>6</v>
      </c>
      <c r="DN2" t="s">
        <v>247</v>
      </c>
      <c r="DO2">
        <v>1</v>
      </c>
    </row>
    <row r="3" spans="1:119" x14ac:dyDescent="0.2">
      <c r="A3">
        <f>ROW(Source!A28)</f>
        <v>28</v>
      </c>
      <c r="B3">
        <v>50253415</v>
      </c>
      <c r="C3">
        <v>50253538</v>
      </c>
      <c r="D3">
        <v>49194804</v>
      </c>
      <c r="E3">
        <v>1</v>
      </c>
      <c r="F3">
        <v>1</v>
      </c>
      <c r="G3">
        <v>1</v>
      </c>
      <c r="H3">
        <v>2</v>
      </c>
      <c r="I3" t="s">
        <v>253</v>
      </c>
      <c r="J3" t="s">
        <v>254</v>
      </c>
      <c r="K3" t="s">
        <v>255</v>
      </c>
      <c r="L3">
        <v>1368</v>
      </c>
      <c r="N3">
        <v>1011</v>
      </c>
      <c r="O3" t="s">
        <v>251</v>
      </c>
      <c r="P3" t="s">
        <v>251</v>
      </c>
      <c r="Q3">
        <v>1</v>
      </c>
      <c r="W3">
        <v>0</v>
      </c>
      <c r="X3">
        <v>1104301646</v>
      </c>
      <c r="Y3">
        <f t="shared" si="0"/>
        <v>0.34</v>
      </c>
      <c r="AA3">
        <v>0</v>
      </c>
      <c r="AB3">
        <v>2783.52</v>
      </c>
      <c r="AC3">
        <v>533</v>
      </c>
      <c r="AD3">
        <v>0</v>
      </c>
      <c r="AE3">
        <v>0</v>
      </c>
      <c r="AF3">
        <v>1933</v>
      </c>
      <c r="AG3">
        <v>533</v>
      </c>
      <c r="AH3">
        <v>0</v>
      </c>
      <c r="AI3">
        <v>1</v>
      </c>
      <c r="AJ3">
        <v>1.44</v>
      </c>
      <c r="AK3">
        <v>1</v>
      </c>
      <c r="AL3">
        <v>1</v>
      </c>
      <c r="AM3">
        <v>2</v>
      </c>
      <c r="AN3">
        <v>0</v>
      </c>
      <c r="AO3">
        <v>0</v>
      </c>
      <c r="AP3">
        <v>1</v>
      </c>
      <c r="AQ3">
        <v>1</v>
      </c>
      <c r="AR3">
        <v>0</v>
      </c>
      <c r="AS3" t="s">
        <v>3</v>
      </c>
      <c r="AT3">
        <v>0.34</v>
      </c>
      <c r="AU3" t="s">
        <v>3</v>
      </c>
      <c r="AV3">
        <v>1</v>
      </c>
      <c r="AW3">
        <v>2</v>
      </c>
      <c r="AX3">
        <v>50253544</v>
      </c>
      <c r="AY3">
        <v>1</v>
      </c>
      <c r="AZ3">
        <v>0</v>
      </c>
      <c r="BA3">
        <v>3</v>
      </c>
      <c r="BB3">
        <v>1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657.22</v>
      </c>
      <c r="BL3">
        <v>181.22</v>
      </c>
      <c r="BM3">
        <v>0</v>
      </c>
      <c r="BN3">
        <v>0</v>
      </c>
      <c r="BO3">
        <v>0.34</v>
      </c>
      <c r="BP3">
        <v>1</v>
      </c>
      <c r="BQ3">
        <v>0</v>
      </c>
      <c r="BR3">
        <v>657.22</v>
      </c>
      <c r="BS3">
        <v>181.22</v>
      </c>
      <c r="BT3">
        <v>0</v>
      </c>
      <c r="BU3">
        <v>0</v>
      </c>
      <c r="BV3">
        <v>0.34</v>
      </c>
      <c r="BW3">
        <v>1</v>
      </c>
      <c r="CV3">
        <v>0</v>
      </c>
      <c r="CW3">
        <f>ROUND(Y3*Source!I28*DO3,7)</f>
        <v>0.85</v>
      </c>
      <c r="CX3">
        <f>ROUND(Y3*Source!I28,7)</f>
        <v>0.85</v>
      </c>
      <c r="CY3">
        <f>AB3</f>
        <v>2783.52</v>
      </c>
      <c r="CZ3">
        <f>AF3</f>
        <v>1933</v>
      </c>
      <c r="DA3">
        <f>AJ3</f>
        <v>1.44</v>
      </c>
      <c r="DB3">
        <f t="shared" si="1"/>
        <v>657.22</v>
      </c>
      <c r="DC3">
        <f t="shared" si="2"/>
        <v>181.22</v>
      </c>
      <c r="DD3" t="s">
        <v>3</v>
      </c>
      <c r="DE3" t="s">
        <v>3</v>
      </c>
      <c r="DF3">
        <f t="shared" si="3"/>
        <v>0</v>
      </c>
      <c r="DG3">
        <f>ROUND(ROUND(AF3*AJ3,2)*CX3,2)</f>
        <v>2365.9899999999998</v>
      </c>
      <c r="DH3">
        <f t="shared" si="4"/>
        <v>453.05</v>
      </c>
      <c r="DI3">
        <f t="shared" si="5"/>
        <v>0</v>
      </c>
      <c r="DJ3">
        <f>DG3+DH3</f>
        <v>2819.04</v>
      </c>
      <c r="DK3">
        <v>0</v>
      </c>
      <c r="DL3" t="s">
        <v>252</v>
      </c>
      <c r="DM3">
        <v>6</v>
      </c>
      <c r="DN3" t="s">
        <v>247</v>
      </c>
      <c r="DO3">
        <v>1</v>
      </c>
    </row>
    <row r="4" spans="1:119" x14ac:dyDescent="0.2">
      <c r="A4">
        <f>ROW(Source!A29)</f>
        <v>29</v>
      </c>
      <c r="B4">
        <v>50253415</v>
      </c>
      <c r="C4">
        <v>50253545</v>
      </c>
      <c r="D4">
        <v>49188551</v>
      </c>
      <c r="E4">
        <v>117</v>
      </c>
      <c r="F4">
        <v>1</v>
      </c>
      <c r="G4">
        <v>1</v>
      </c>
      <c r="H4">
        <v>1</v>
      </c>
      <c r="I4" t="s">
        <v>256</v>
      </c>
      <c r="J4" t="s">
        <v>3</v>
      </c>
      <c r="K4" t="s">
        <v>257</v>
      </c>
      <c r="L4">
        <v>1191</v>
      </c>
      <c r="N4">
        <v>1013</v>
      </c>
      <c r="O4" t="s">
        <v>247</v>
      </c>
      <c r="P4" t="s">
        <v>247</v>
      </c>
      <c r="Q4">
        <v>1</v>
      </c>
      <c r="W4">
        <v>0</v>
      </c>
      <c r="X4">
        <v>-715079457</v>
      </c>
      <c r="Y4">
        <f t="shared" si="0"/>
        <v>0.81</v>
      </c>
      <c r="AA4">
        <v>0</v>
      </c>
      <c r="AB4">
        <v>0</v>
      </c>
      <c r="AC4">
        <v>0</v>
      </c>
      <c r="AD4">
        <v>374.58</v>
      </c>
      <c r="AE4">
        <v>0</v>
      </c>
      <c r="AF4">
        <v>0</v>
      </c>
      <c r="AG4">
        <v>0</v>
      </c>
      <c r="AH4">
        <v>374.58</v>
      </c>
      <c r="AI4">
        <v>1</v>
      </c>
      <c r="AJ4">
        <v>1</v>
      </c>
      <c r="AK4">
        <v>1</v>
      </c>
      <c r="AL4">
        <v>1</v>
      </c>
      <c r="AM4">
        <v>-2</v>
      </c>
      <c r="AN4">
        <v>0</v>
      </c>
      <c r="AO4">
        <v>0</v>
      </c>
      <c r="AP4">
        <v>1</v>
      </c>
      <c r="AQ4">
        <v>1</v>
      </c>
      <c r="AR4">
        <v>0</v>
      </c>
      <c r="AS4" t="s">
        <v>3</v>
      </c>
      <c r="AT4">
        <v>0.81</v>
      </c>
      <c r="AU4" t="s">
        <v>3</v>
      </c>
      <c r="AV4">
        <v>1</v>
      </c>
      <c r="AW4">
        <v>2</v>
      </c>
      <c r="AX4">
        <v>50253550</v>
      </c>
      <c r="AY4">
        <v>1</v>
      </c>
      <c r="AZ4">
        <v>0</v>
      </c>
      <c r="BA4">
        <v>4</v>
      </c>
      <c r="BB4">
        <v>1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303.40980000000002</v>
      </c>
      <c r="BN4">
        <v>0.81</v>
      </c>
      <c r="BO4">
        <v>0</v>
      </c>
      <c r="BP4">
        <v>1</v>
      </c>
      <c r="BQ4">
        <v>0</v>
      </c>
      <c r="BR4">
        <v>0</v>
      </c>
      <c r="BS4">
        <v>0</v>
      </c>
      <c r="BT4">
        <v>303.40980000000002</v>
      </c>
      <c r="BU4">
        <v>0.81</v>
      </c>
      <c r="BV4">
        <v>0</v>
      </c>
      <c r="BW4">
        <v>1</v>
      </c>
      <c r="CU4">
        <f>ROUND(AT4*Source!I29*AH4*AL4,2)</f>
        <v>303.41000000000003</v>
      </c>
      <c r="CV4">
        <f>ROUND(Y4*Source!I29,7)</f>
        <v>0.81</v>
      </c>
      <c r="CW4">
        <v>0</v>
      </c>
      <c r="CX4">
        <f>ROUND(Y4*Source!I29,7)</f>
        <v>0.81</v>
      </c>
      <c r="CY4">
        <f>AD4</f>
        <v>374.58</v>
      </c>
      <c r="CZ4">
        <f>AH4</f>
        <v>374.58</v>
      </c>
      <c r="DA4">
        <f>AL4</f>
        <v>1</v>
      </c>
      <c r="DB4">
        <f t="shared" si="1"/>
        <v>303.41000000000003</v>
      </c>
      <c r="DC4">
        <f t="shared" si="2"/>
        <v>0</v>
      </c>
      <c r="DD4" t="s">
        <v>3</v>
      </c>
      <c r="DE4" t="s">
        <v>3</v>
      </c>
      <c r="DF4">
        <f t="shared" si="3"/>
        <v>0</v>
      </c>
      <c r="DG4">
        <f>ROUND(ROUND(AF4,2)*CX4,2)</f>
        <v>0</v>
      </c>
      <c r="DH4">
        <f t="shared" si="4"/>
        <v>0</v>
      </c>
      <c r="DI4">
        <f t="shared" si="5"/>
        <v>303.41000000000003</v>
      </c>
      <c r="DJ4">
        <f>DI4</f>
        <v>303.41000000000003</v>
      </c>
      <c r="DK4">
        <v>1</v>
      </c>
      <c r="DL4" t="s">
        <v>3</v>
      </c>
      <c r="DM4">
        <v>0</v>
      </c>
      <c r="DN4" t="s">
        <v>3</v>
      </c>
      <c r="DO4">
        <v>0</v>
      </c>
    </row>
    <row r="5" spans="1:119" x14ac:dyDescent="0.2">
      <c r="A5">
        <f>ROW(Source!A29)</f>
        <v>29</v>
      </c>
      <c r="B5">
        <v>50253415</v>
      </c>
      <c r="C5">
        <v>50253545</v>
      </c>
      <c r="D5">
        <v>49188735</v>
      </c>
      <c r="E5">
        <v>117</v>
      </c>
      <c r="F5">
        <v>1</v>
      </c>
      <c r="G5">
        <v>1</v>
      </c>
      <c r="H5">
        <v>1</v>
      </c>
      <c r="I5" t="s">
        <v>245</v>
      </c>
      <c r="J5" t="s">
        <v>3</v>
      </c>
      <c r="K5" t="s">
        <v>246</v>
      </c>
      <c r="L5">
        <v>1191</v>
      </c>
      <c r="N5">
        <v>1013</v>
      </c>
      <c r="O5" t="s">
        <v>247</v>
      </c>
      <c r="P5" t="s">
        <v>247</v>
      </c>
      <c r="Q5">
        <v>1</v>
      </c>
      <c r="W5">
        <v>0</v>
      </c>
      <c r="X5">
        <v>-1417349443</v>
      </c>
      <c r="Y5">
        <f t="shared" si="0"/>
        <v>0.48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1</v>
      </c>
      <c r="AJ5">
        <v>1</v>
      </c>
      <c r="AK5">
        <v>1</v>
      </c>
      <c r="AL5">
        <v>1</v>
      </c>
      <c r="AM5">
        <v>-2</v>
      </c>
      <c r="AN5">
        <v>0</v>
      </c>
      <c r="AO5">
        <v>0</v>
      </c>
      <c r="AP5">
        <v>1</v>
      </c>
      <c r="AQ5">
        <v>1</v>
      </c>
      <c r="AR5">
        <v>0</v>
      </c>
      <c r="AS5" t="s">
        <v>3</v>
      </c>
      <c r="AT5">
        <v>0.48</v>
      </c>
      <c r="AU5" t="s">
        <v>3</v>
      </c>
      <c r="AV5">
        <v>2</v>
      </c>
      <c r="AW5">
        <v>2</v>
      </c>
      <c r="AX5">
        <v>50253551</v>
      </c>
      <c r="AY5">
        <v>1</v>
      </c>
      <c r="AZ5">
        <v>0</v>
      </c>
      <c r="BA5">
        <v>5</v>
      </c>
      <c r="BB5">
        <v>1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V5">
        <v>0</v>
      </c>
      <c r="CW5">
        <v>0</v>
      </c>
      <c r="CX5">
        <f>ROUND(Y5*Source!I29,7)</f>
        <v>0.48</v>
      </c>
      <c r="CY5">
        <f>AD5</f>
        <v>0</v>
      </c>
      <c r="CZ5">
        <f>AH5</f>
        <v>0</v>
      </c>
      <c r="DA5">
        <f>AL5</f>
        <v>1</v>
      </c>
      <c r="DB5">
        <f t="shared" si="1"/>
        <v>0</v>
      </c>
      <c r="DC5">
        <f t="shared" si="2"/>
        <v>0</v>
      </c>
      <c r="DD5" t="s">
        <v>3</v>
      </c>
      <c r="DE5" t="s">
        <v>3</v>
      </c>
      <c r="DF5">
        <f t="shared" si="3"/>
        <v>0</v>
      </c>
      <c r="DG5">
        <f>ROUND(ROUND(AF5,2)*CX5,2)</f>
        <v>0</v>
      </c>
      <c r="DH5">
        <f t="shared" si="4"/>
        <v>0</v>
      </c>
      <c r="DI5">
        <f t="shared" si="5"/>
        <v>0</v>
      </c>
      <c r="DJ5">
        <f>DI5</f>
        <v>0</v>
      </c>
      <c r="DK5">
        <v>0</v>
      </c>
      <c r="DL5" t="s">
        <v>3</v>
      </c>
      <c r="DM5">
        <v>0</v>
      </c>
      <c r="DN5" t="s">
        <v>3</v>
      </c>
      <c r="DO5">
        <v>0</v>
      </c>
    </row>
    <row r="6" spans="1:119" x14ac:dyDescent="0.2">
      <c r="A6">
        <f>ROW(Source!A29)</f>
        <v>29</v>
      </c>
      <c r="B6">
        <v>50253415</v>
      </c>
      <c r="C6">
        <v>50253545</v>
      </c>
      <c r="D6">
        <v>49195111</v>
      </c>
      <c r="E6">
        <v>1</v>
      </c>
      <c r="F6">
        <v>1</v>
      </c>
      <c r="G6">
        <v>1</v>
      </c>
      <c r="H6">
        <v>2</v>
      </c>
      <c r="I6" t="s">
        <v>258</v>
      </c>
      <c r="J6" t="s">
        <v>259</v>
      </c>
      <c r="K6" t="s">
        <v>260</v>
      </c>
      <c r="L6">
        <v>1368</v>
      </c>
      <c r="N6">
        <v>1011</v>
      </c>
      <c r="O6" t="s">
        <v>251</v>
      </c>
      <c r="P6" t="s">
        <v>251</v>
      </c>
      <c r="Q6">
        <v>1</v>
      </c>
      <c r="W6">
        <v>0</v>
      </c>
      <c r="X6">
        <v>843131152</v>
      </c>
      <c r="Y6">
        <f t="shared" si="0"/>
        <v>0.44</v>
      </c>
      <c r="AA6">
        <v>0</v>
      </c>
      <c r="AB6">
        <v>2903.39</v>
      </c>
      <c r="AC6">
        <v>456.01</v>
      </c>
      <c r="AD6">
        <v>0</v>
      </c>
      <c r="AE6">
        <v>0</v>
      </c>
      <c r="AF6">
        <v>2088.77</v>
      </c>
      <c r="AG6">
        <v>456.01</v>
      </c>
      <c r="AH6">
        <v>0</v>
      </c>
      <c r="AI6">
        <v>1</v>
      </c>
      <c r="AJ6">
        <v>1.39</v>
      </c>
      <c r="AK6">
        <v>1</v>
      </c>
      <c r="AL6">
        <v>1</v>
      </c>
      <c r="AM6">
        <v>2</v>
      </c>
      <c r="AN6">
        <v>0</v>
      </c>
      <c r="AO6">
        <v>0</v>
      </c>
      <c r="AP6">
        <v>1</v>
      </c>
      <c r="AQ6">
        <v>1</v>
      </c>
      <c r="AR6">
        <v>0</v>
      </c>
      <c r="AS6" t="s">
        <v>3</v>
      </c>
      <c r="AT6">
        <v>0.44</v>
      </c>
      <c r="AU6" t="s">
        <v>3</v>
      </c>
      <c r="AV6">
        <v>1</v>
      </c>
      <c r="AW6">
        <v>2</v>
      </c>
      <c r="AX6">
        <v>50253552</v>
      </c>
      <c r="AY6">
        <v>1</v>
      </c>
      <c r="AZ6">
        <v>0</v>
      </c>
      <c r="BA6">
        <v>6</v>
      </c>
      <c r="BB6">
        <v>1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919.05880000000002</v>
      </c>
      <c r="BL6">
        <v>200.64439999999999</v>
      </c>
      <c r="BM6">
        <v>0</v>
      </c>
      <c r="BN6">
        <v>0</v>
      </c>
      <c r="BO6">
        <v>0.44</v>
      </c>
      <c r="BP6">
        <v>1</v>
      </c>
      <c r="BQ6">
        <v>0</v>
      </c>
      <c r="BR6">
        <v>919.05880000000002</v>
      </c>
      <c r="BS6">
        <v>200.64439999999999</v>
      </c>
      <c r="BT6">
        <v>0</v>
      </c>
      <c r="BU6">
        <v>0</v>
      </c>
      <c r="BV6">
        <v>0.44</v>
      </c>
      <c r="BW6">
        <v>1</v>
      </c>
      <c r="CV6">
        <v>0</v>
      </c>
      <c r="CW6">
        <f>ROUND(Y6*Source!I29*DO6,7)</f>
        <v>0.44</v>
      </c>
      <c r="CX6">
        <f>ROUND(Y6*Source!I29,7)</f>
        <v>0.44</v>
      </c>
      <c r="CY6">
        <f>AB6</f>
        <v>2903.39</v>
      </c>
      <c r="CZ6">
        <f>AF6</f>
        <v>2088.77</v>
      </c>
      <c r="DA6">
        <f>AJ6</f>
        <v>1.39</v>
      </c>
      <c r="DB6">
        <f t="shared" si="1"/>
        <v>919.06</v>
      </c>
      <c r="DC6">
        <f t="shared" si="2"/>
        <v>200.64</v>
      </c>
      <c r="DD6" t="s">
        <v>3</v>
      </c>
      <c r="DE6" t="s">
        <v>3</v>
      </c>
      <c r="DF6">
        <f t="shared" si="3"/>
        <v>0</v>
      </c>
      <c r="DG6">
        <f>ROUND(ROUND(AF6*AJ6,2)*CX6,2)</f>
        <v>1277.49</v>
      </c>
      <c r="DH6">
        <f t="shared" si="4"/>
        <v>200.64</v>
      </c>
      <c r="DI6">
        <f t="shared" si="5"/>
        <v>0</v>
      </c>
      <c r="DJ6">
        <f>DG6+DH6</f>
        <v>1478.13</v>
      </c>
      <c r="DK6">
        <v>0</v>
      </c>
      <c r="DL6" t="s">
        <v>261</v>
      </c>
      <c r="DM6">
        <v>5</v>
      </c>
      <c r="DN6" t="s">
        <v>247</v>
      </c>
      <c r="DO6">
        <v>1</v>
      </c>
    </row>
    <row r="7" spans="1:119" x14ac:dyDescent="0.2">
      <c r="A7">
        <f>ROW(Source!A29)</f>
        <v>29</v>
      </c>
      <c r="B7">
        <v>50253415</v>
      </c>
      <c r="C7">
        <v>50253545</v>
      </c>
      <c r="D7">
        <v>49196119</v>
      </c>
      <c r="E7">
        <v>1</v>
      </c>
      <c r="F7">
        <v>1</v>
      </c>
      <c r="G7">
        <v>1</v>
      </c>
      <c r="H7">
        <v>2</v>
      </c>
      <c r="I7" t="s">
        <v>262</v>
      </c>
      <c r="J7" t="s">
        <v>263</v>
      </c>
      <c r="K7" t="s">
        <v>264</v>
      </c>
      <c r="L7">
        <v>1368</v>
      </c>
      <c r="N7">
        <v>1011</v>
      </c>
      <c r="O7" t="s">
        <v>251</v>
      </c>
      <c r="P7" t="s">
        <v>251</v>
      </c>
      <c r="Q7">
        <v>1</v>
      </c>
      <c r="W7">
        <v>0</v>
      </c>
      <c r="X7">
        <v>-849950259</v>
      </c>
      <c r="Y7">
        <f t="shared" si="0"/>
        <v>0.04</v>
      </c>
      <c r="AA7">
        <v>0</v>
      </c>
      <c r="AB7">
        <v>680.88</v>
      </c>
      <c r="AC7">
        <v>396.79</v>
      </c>
      <c r="AD7">
        <v>0</v>
      </c>
      <c r="AE7">
        <v>0</v>
      </c>
      <c r="AF7">
        <v>680.88</v>
      </c>
      <c r="AG7">
        <v>396.79</v>
      </c>
      <c r="AH7">
        <v>0</v>
      </c>
      <c r="AI7">
        <v>1</v>
      </c>
      <c r="AJ7">
        <v>1</v>
      </c>
      <c r="AK7">
        <v>1</v>
      </c>
      <c r="AL7">
        <v>1</v>
      </c>
      <c r="AM7">
        <v>-2</v>
      </c>
      <c r="AN7">
        <v>0</v>
      </c>
      <c r="AO7">
        <v>0</v>
      </c>
      <c r="AP7">
        <v>1</v>
      </c>
      <c r="AQ7">
        <v>1</v>
      </c>
      <c r="AR7">
        <v>0</v>
      </c>
      <c r="AS7" t="s">
        <v>3</v>
      </c>
      <c r="AT7">
        <v>0.04</v>
      </c>
      <c r="AU7" t="s">
        <v>3</v>
      </c>
      <c r="AV7">
        <v>1</v>
      </c>
      <c r="AW7">
        <v>2</v>
      </c>
      <c r="AX7">
        <v>50253553</v>
      </c>
      <c r="AY7">
        <v>1</v>
      </c>
      <c r="AZ7">
        <v>0</v>
      </c>
      <c r="BA7">
        <v>7</v>
      </c>
      <c r="BB7">
        <v>1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27.235199999999999</v>
      </c>
      <c r="BL7">
        <v>15.871600000000001</v>
      </c>
      <c r="BM7">
        <v>0</v>
      </c>
      <c r="BN7">
        <v>0</v>
      </c>
      <c r="BO7">
        <v>0.04</v>
      </c>
      <c r="BP7">
        <v>1</v>
      </c>
      <c r="BQ7">
        <v>0</v>
      </c>
      <c r="BR7">
        <v>27.235199999999999</v>
      </c>
      <c r="BS7">
        <v>15.871600000000001</v>
      </c>
      <c r="BT7">
        <v>0</v>
      </c>
      <c r="BU7">
        <v>0</v>
      </c>
      <c r="BV7">
        <v>0.04</v>
      </c>
      <c r="BW7">
        <v>1</v>
      </c>
      <c r="CV7">
        <v>0</v>
      </c>
      <c r="CW7">
        <f>ROUND(Y7*Source!I29*DO7,7)</f>
        <v>0.04</v>
      </c>
      <c r="CX7">
        <f>ROUND(Y7*Source!I29,7)</f>
        <v>0.04</v>
      </c>
      <c r="CY7">
        <f>AB7</f>
        <v>680.88</v>
      </c>
      <c r="CZ7">
        <f>AF7</f>
        <v>680.88</v>
      </c>
      <c r="DA7">
        <f>AJ7</f>
        <v>1</v>
      </c>
      <c r="DB7">
        <f t="shared" si="1"/>
        <v>27.24</v>
      </c>
      <c r="DC7">
        <f t="shared" si="2"/>
        <v>15.87</v>
      </c>
      <c r="DD7" t="s">
        <v>3</v>
      </c>
      <c r="DE7" t="s">
        <v>3</v>
      </c>
      <c r="DF7">
        <f t="shared" si="3"/>
        <v>0</v>
      </c>
      <c r="DG7">
        <f>ROUND(ROUND(AF7,2)*CX7,2)</f>
        <v>27.24</v>
      </c>
      <c r="DH7">
        <f t="shared" si="4"/>
        <v>15.87</v>
      </c>
      <c r="DI7">
        <f t="shared" si="5"/>
        <v>0</v>
      </c>
      <c r="DJ7">
        <f>DG7+DH7</f>
        <v>43.11</v>
      </c>
      <c r="DK7">
        <v>1</v>
      </c>
      <c r="DL7" t="s">
        <v>265</v>
      </c>
      <c r="DM7">
        <v>4</v>
      </c>
      <c r="DN7" t="s">
        <v>247</v>
      </c>
      <c r="DO7">
        <v>1</v>
      </c>
    </row>
    <row r="8" spans="1:119" x14ac:dyDescent="0.2">
      <c r="A8">
        <f>ROW(Source!A30)</f>
        <v>30</v>
      </c>
      <c r="B8">
        <v>50253415</v>
      </c>
      <c r="C8">
        <v>50253554</v>
      </c>
      <c r="D8">
        <v>49188501</v>
      </c>
      <c r="E8">
        <v>117</v>
      </c>
      <c r="F8">
        <v>1</v>
      </c>
      <c r="G8">
        <v>1</v>
      </c>
      <c r="H8">
        <v>1</v>
      </c>
      <c r="I8" t="s">
        <v>266</v>
      </c>
      <c r="J8" t="s">
        <v>3</v>
      </c>
      <c r="K8" t="s">
        <v>267</v>
      </c>
      <c r="L8">
        <v>1191</v>
      </c>
      <c r="N8">
        <v>1013</v>
      </c>
      <c r="O8" t="s">
        <v>247</v>
      </c>
      <c r="P8" t="s">
        <v>247</v>
      </c>
      <c r="Q8">
        <v>1</v>
      </c>
      <c r="W8">
        <v>0</v>
      </c>
      <c r="X8">
        <v>370475345</v>
      </c>
      <c r="Y8">
        <f t="shared" si="0"/>
        <v>9.64</v>
      </c>
      <c r="AA8">
        <v>0</v>
      </c>
      <c r="AB8">
        <v>0</v>
      </c>
      <c r="AC8">
        <v>0</v>
      </c>
      <c r="AD8">
        <v>322.76</v>
      </c>
      <c r="AE8">
        <v>0</v>
      </c>
      <c r="AF8">
        <v>0</v>
      </c>
      <c r="AG8">
        <v>0</v>
      </c>
      <c r="AH8">
        <v>322.76</v>
      </c>
      <c r="AI8">
        <v>1</v>
      </c>
      <c r="AJ8">
        <v>1</v>
      </c>
      <c r="AK8">
        <v>1</v>
      </c>
      <c r="AL8">
        <v>1</v>
      </c>
      <c r="AM8">
        <v>-2</v>
      </c>
      <c r="AN8">
        <v>0</v>
      </c>
      <c r="AO8">
        <v>0</v>
      </c>
      <c r="AP8">
        <v>1</v>
      </c>
      <c r="AQ8">
        <v>1</v>
      </c>
      <c r="AR8">
        <v>0</v>
      </c>
      <c r="AS8" t="s">
        <v>3</v>
      </c>
      <c r="AT8">
        <v>9.64</v>
      </c>
      <c r="AU8" t="s">
        <v>3</v>
      </c>
      <c r="AV8">
        <v>1</v>
      </c>
      <c r="AW8">
        <v>2</v>
      </c>
      <c r="AX8">
        <v>50253558</v>
      </c>
      <c r="AY8">
        <v>1</v>
      </c>
      <c r="AZ8">
        <v>0</v>
      </c>
      <c r="BA8">
        <v>8</v>
      </c>
      <c r="BB8">
        <v>1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3111.4064000000003</v>
      </c>
      <c r="BN8">
        <v>9.64</v>
      </c>
      <c r="BO8">
        <v>0</v>
      </c>
      <c r="BP8">
        <v>1</v>
      </c>
      <c r="BQ8">
        <v>0</v>
      </c>
      <c r="BR8">
        <v>0</v>
      </c>
      <c r="BS8">
        <v>0</v>
      </c>
      <c r="BT8">
        <v>3111.4064000000003</v>
      </c>
      <c r="BU8">
        <v>9.64</v>
      </c>
      <c r="BV8">
        <v>0</v>
      </c>
      <c r="BW8">
        <v>1</v>
      </c>
      <c r="CU8">
        <f>ROUND(AT8*Source!I30*AH8*AL8,2)</f>
        <v>2177.98</v>
      </c>
      <c r="CV8">
        <f>ROUND(Y8*Source!I30,7)</f>
        <v>6.7480000000000002</v>
      </c>
      <c r="CW8">
        <v>0</v>
      </c>
      <c r="CX8">
        <f>ROUND(Y8*Source!I30,7)</f>
        <v>6.7480000000000002</v>
      </c>
      <c r="CY8">
        <f>AD8</f>
        <v>322.76</v>
      </c>
      <c r="CZ8">
        <f>AH8</f>
        <v>322.76</v>
      </c>
      <c r="DA8">
        <f>AL8</f>
        <v>1</v>
      </c>
      <c r="DB8">
        <f t="shared" si="1"/>
        <v>3111.41</v>
      </c>
      <c r="DC8">
        <f t="shared" si="2"/>
        <v>0</v>
      </c>
      <c r="DD8" t="s">
        <v>3</v>
      </c>
      <c r="DE8" t="s">
        <v>3</v>
      </c>
      <c r="DF8">
        <f t="shared" si="3"/>
        <v>0</v>
      </c>
      <c r="DG8">
        <f>ROUND(ROUND(AF8,2)*CX8,2)</f>
        <v>0</v>
      </c>
      <c r="DH8">
        <f t="shared" si="4"/>
        <v>0</v>
      </c>
      <c r="DI8">
        <f t="shared" si="5"/>
        <v>2177.98</v>
      </c>
      <c r="DJ8">
        <f>DI8</f>
        <v>2177.98</v>
      </c>
      <c r="DK8">
        <v>1</v>
      </c>
      <c r="DL8" t="s">
        <v>3</v>
      </c>
      <c r="DM8">
        <v>0</v>
      </c>
      <c r="DN8" t="s">
        <v>3</v>
      </c>
      <c r="DO8">
        <v>0</v>
      </c>
    </row>
    <row r="9" spans="1:119" x14ac:dyDescent="0.2">
      <c r="A9">
        <f>ROW(Source!A30)</f>
        <v>30</v>
      </c>
      <c r="B9">
        <v>50253415</v>
      </c>
      <c r="C9">
        <v>50253554</v>
      </c>
      <c r="D9">
        <v>49188735</v>
      </c>
      <c r="E9">
        <v>117</v>
      </c>
      <c r="F9">
        <v>1</v>
      </c>
      <c r="G9">
        <v>1</v>
      </c>
      <c r="H9">
        <v>1</v>
      </c>
      <c r="I9" t="s">
        <v>245</v>
      </c>
      <c r="J9" t="s">
        <v>3</v>
      </c>
      <c r="K9" t="s">
        <v>246</v>
      </c>
      <c r="L9">
        <v>1191</v>
      </c>
      <c r="N9">
        <v>1013</v>
      </c>
      <c r="O9" t="s">
        <v>247</v>
      </c>
      <c r="P9" t="s">
        <v>247</v>
      </c>
      <c r="Q9">
        <v>1</v>
      </c>
      <c r="W9">
        <v>0</v>
      </c>
      <c r="X9">
        <v>-1417349443</v>
      </c>
      <c r="Y9">
        <f t="shared" si="0"/>
        <v>0.01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1</v>
      </c>
      <c r="AJ9">
        <v>1</v>
      </c>
      <c r="AK9">
        <v>1</v>
      </c>
      <c r="AL9">
        <v>1</v>
      </c>
      <c r="AM9">
        <v>-2</v>
      </c>
      <c r="AN9">
        <v>0</v>
      </c>
      <c r="AO9">
        <v>0</v>
      </c>
      <c r="AP9">
        <v>1</v>
      </c>
      <c r="AQ9">
        <v>1</v>
      </c>
      <c r="AR9">
        <v>0</v>
      </c>
      <c r="AS9" t="s">
        <v>3</v>
      </c>
      <c r="AT9">
        <v>0.01</v>
      </c>
      <c r="AU9" t="s">
        <v>3</v>
      </c>
      <c r="AV9">
        <v>2</v>
      </c>
      <c r="AW9">
        <v>2</v>
      </c>
      <c r="AX9">
        <v>50253559</v>
      </c>
      <c r="AY9">
        <v>1</v>
      </c>
      <c r="AZ9">
        <v>0</v>
      </c>
      <c r="BA9">
        <v>9</v>
      </c>
      <c r="BB9">
        <v>1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V9">
        <v>0</v>
      </c>
      <c r="CW9">
        <v>0</v>
      </c>
      <c r="CX9">
        <f>ROUND(Y9*Source!I30,7)</f>
        <v>7.0000000000000001E-3</v>
      </c>
      <c r="CY9">
        <f>AD9</f>
        <v>0</v>
      </c>
      <c r="CZ9">
        <f>AH9</f>
        <v>0</v>
      </c>
      <c r="DA9">
        <f>AL9</f>
        <v>1</v>
      </c>
      <c r="DB9">
        <f t="shared" si="1"/>
        <v>0</v>
      </c>
      <c r="DC9">
        <f t="shared" si="2"/>
        <v>0</v>
      </c>
      <c r="DD9" t="s">
        <v>3</v>
      </c>
      <c r="DE9" t="s">
        <v>3</v>
      </c>
      <c r="DF9">
        <f t="shared" si="3"/>
        <v>0</v>
      </c>
      <c r="DG9">
        <f>ROUND(ROUND(AF9,2)*CX9,2)</f>
        <v>0</v>
      </c>
      <c r="DH9">
        <f t="shared" si="4"/>
        <v>0</v>
      </c>
      <c r="DI9">
        <f t="shared" si="5"/>
        <v>0</v>
      </c>
      <c r="DJ9">
        <f>DI9</f>
        <v>0</v>
      </c>
      <c r="DK9">
        <v>0</v>
      </c>
      <c r="DL9" t="s">
        <v>3</v>
      </c>
      <c r="DM9">
        <v>0</v>
      </c>
      <c r="DN9" t="s">
        <v>3</v>
      </c>
      <c r="DO9">
        <v>0</v>
      </c>
    </row>
    <row r="10" spans="1:119" x14ac:dyDescent="0.2">
      <c r="A10">
        <f>ROW(Source!A30)</f>
        <v>30</v>
      </c>
      <c r="B10">
        <v>50253415</v>
      </c>
      <c r="C10">
        <v>50253554</v>
      </c>
      <c r="D10">
        <v>49195411</v>
      </c>
      <c r="E10">
        <v>1</v>
      </c>
      <c r="F10">
        <v>1</v>
      </c>
      <c r="G10">
        <v>1</v>
      </c>
      <c r="H10">
        <v>2</v>
      </c>
      <c r="I10" t="s">
        <v>268</v>
      </c>
      <c r="J10" t="s">
        <v>269</v>
      </c>
      <c r="K10" t="s">
        <v>270</v>
      </c>
      <c r="L10">
        <v>1368</v>
      </c>
      <c r="N10">
        <v>1011</v>
      </c>
      <c r="O10" t="s">
        <v>251</v>
      </c>
      <c r="P10" t="s">
        <v>251</v>
      </c>
      <c r="Q10">
        <v>1</v>
      </c>
      <c r="W10">
        <v>0</v>
      </c>
      <c r="X10">
        <v>945201097</v>
      </c>
      <c r="Y10">
        <f t="shared" si="0"/>
        <v>0.01</v>
      </c>
      <c r="AA10">
        <v>0</v>
      </c>
      <c r="AB10">
        <v>60.83</v>
      </c>
      <c r="AC10">
        <v>352.37</v>
      </c>
      <c r="AD10">
        <v>0</v>
      </c>
      <c r="AE10">
        <v>0</v>
      </c>
      <c r="AF10">
        <v>37.32</v>
      </c>
      <c r="AG10">
        <v>352.37</v>
      </c>
      <c r="AH10">
        <v>0</v>
      </c>
      <c r="AI10">
        <v>1</v>
      </c>
      <c r="AJ10">
        <v>1.63</v>
      </c>
      <c r="AK10">
        <v>1</v>
      </c>
      <c r="AL10">
        <v>1</v>
      </c>
      <c r="AM10">
        <v>2</v>
      </c>
      <c r="AN10">
        <v>0</v>
      </c>
      <c r="AO10">
        <v>0</v>
      </c>
      <c r="AP10">
        <v>1</v>
      </c>
      <c r="AQ10">
        <v>1</v>
      </c>
      <c r="AR10">
        <v>0</v>
      </c>
      <c r="AS10" t="s">
        <v>3</v>
      </c>
      <c r="AT10">
        <v>0.01</v>
      </c>
      <c r="AU10" t="s">
        <v>3</v>
      </c>
      <c r="AV10">
        <v>1</v>
      </c>
      <c r="AW10">
        <v>2</v>
      </c>
      <c r="AX10">
        <v>50253560</v>
      </c>
      <c r="AY10">
        <v>1</v>
      </c>
      <c r="AZ10">
        <v>0</v>
      </c>
      <c r="BA10">
        <v>10</v>
      </c>
      <c r="BB10">
        <v>1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0.37320000000000003</v>
      </c>
      <c r="BL10">
        <v>3.5237000000000003</v>
      </c>
      <c r="BM10">
        <v>0</v>
      </c>
      <c r="BN10">
        <v>0</v>
      </c>
      <c r="BO10">
        <v>0.01</v>
      </c>
      <c r="BP10">
        <v>1</v>
      </c>
      <c r="BQ10">
        <v>0</v>
      </c>
      <c r="BR10">
        <v>0.37320000000000003</v>
      </c>
      <c r="BS10">
        <v>3.5237000000000003</v>
      </c>
      <c r="BT10">
        <v>0</v>
      </c>
      <c r="BU10">
        <v>0</v>
      </c>
      <c r="BV10">
        <v>0.01</v>
      </c>
      <c r="BW10">
        <v>1</v>
      </c>
      <c r="CV10">
        <v>0</v>
      </c>
      <c r="CW10">
        <f>ROUND(Y10*Source!I30*DO10,7)</f>
        <v>7.0000000000000001E-3</v>
      </c>
      <c r="CX10">
        <f>ROUND(Y10*Source!I30,7)</f>
        <v>7.0000000000000001E-3</v>
      </c>
      <c r="CY10">
        <f>AB10</f>
        <v>60.83</v>
      </c>
      <c r="CZ10">
        <f>AF10</f>
        <v>37.32</v>
      </c>
      <c r="DA10">
        <f>AJ10</f>
        <v>1.63</v>
      </c>
      <c r="DB10">
        <f t="shared" si="1"/>
        <v>0.37</v>
      </c>
      <c r="DC10">
        <f t="shared" si="2"/>
        <v>3.52</v>
      </c>
      <c r="DD10" t="s">
        <v>3</v>
      </c>
      <c r="DE10" t="s">
        <v>3</v>
      </c>
      <c r="DF10">
        <f t="shared" si="3"/>
        <v>0</v>
      </c>
      <c r="DG10">
        <f>ROUND(ROUND(AF10*AJ10,2)*CX10,2)</f>
        <v>0.43</v>
      </c>
      <c r="DH10">
        <f t="shared" si="4"/>
        <v>2.4700000000000002</v>
      </c>
      <c r="DI10">
        <f t="shared" si="5"/>
        <v>0</v>
      </c>
      <c r="DJ10">
        <f>DG10+DH10</f>
        <v>2.9000000000000004</v>
      </c>
      <c r="DK10">
        <v>0</v>
      </c>
      <c r="DL10" t="s">
        <v>271</v>
      </c>
      <c r="DM10">
        <v>3</v>
      </c>
      <c r="DN10" t="s">
        <v>247</v>
      </c>
      <c r="DO10">
        <v>1</v>
      </c>
    </row>
    <row r="11" spans="1:119" x14ac:dyDescent="0.2">
      <c r="A11">
        <f>ROW(Source!A31)</f>
        <v>31</v>
      </c>
      <c r="B11">
        <v>50253415</v>
      </c>
      <c r="C11">
        <v>50253561</v>
      </c>
      <c r="D11">
        <v>49188559</v>
      </c>
      <c r="E11">
        <v>117</v>
      </c>
      <c r="F11">
        <v>1</v>
      </c>
      <c r="G11">
        <v>1</v>
      </c>
      <c r="H11">
        <v>1</v>
      </c>
      <c r="I11" t="s">
        <v>272</v>
      </c>
      <c r="J11" t="s">
        <v>3</v>
      </c>
      <c r="K11" t="s">
        <v>273</v>
      </c>
      <c r="L11">
        <v>1191</v>
      </c>
      <c r="N11">
        <v>1013</v>
      </c>
      <c r="O11" t="s">
        <v>247</v>
      </c>
      <c r="P11" t="s">
        <v>247</v>
      </c>
      <c r="Q11">
        <v>1</v>
      </c>
      <c r="W11">
        <v>0</v>
      </c>
      <c r="X11">
        <v>44848675</v>
      </c>
      <c r="Y11">
        <f t="shared" si="0"/>
        <v>9.2799999999999994</v>
      </c>
      <c r="AA11">
        <v>0</v>
      </c>
      <c r="AB11">
        <v>0</v>
      </c>
      <c r="AC11">
        <v>0</v>
      </c>
      <c r="AD11">
        <v>387.9</v>
      </c>
      <c r="AE11">
        <v>0</v>
      </c>
      <c r="AF11">
        <v>0</v>
      </c>
      <c r="AG11">
        <v>0</v>
      </c>
      <c r="AH11">
        <v>387.9</v>
      </c>
      <c r="AI11">
        <v>1</v>
      </c>
      <c r="AJ11">
        <v>1</v>
      </c>
      <c r="AK11">
        <v>1</v>
      </c>
      <c r="AL11">
        <v>1</v>
      </c>
      <c r="AM11">
        <v>-2</v>
      </c>
      <c r="AN11">
        <v>0</v>
      </c>
      <c r="AO11">
        <v>0</v>
      </c>
      <c r="AP11">
        <v>1</v>
      </c>
      <c r="AQ11">
        <v>1</v>
      </c>
      <c r="AR11">
        <v>0</v>
      </c>
      <c r="AS11" t="s">
        <v>3</v>
      </c>
      <c r="AT11">
        <v>9.2799999999999994</v>
      </c>
      <c r="AU11" t="s">
        <v>3</v>
      </c>
      <c r="AV11">
        <v>1</v>
      </c>
      <c r="AW11">
        <v>2</v>
      </c>
      <c r="AX11">
        <v>50253573</v>
      </c>
      <c r="AY11">
        <v>1</v>
      </c>
      <c r="AZ11">
        <v>0</v>
      </c>
      <c r="BA11">
        <v>11</v>
      </c>
      <c r="BB11">
        <v>1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3599.7119999999995</v>
      </c>
      <c r="BN11">
        <v>9.2799999999999994</v>
      </c>
      <c r="BO11">
        <v>0</v>
      </c>
      <c r="BP11">
        <v>1</v>
      </c>
      <c r="BQ11">
        <v>0</v>
      </c>
      <c r="BR11">
        <v>0</v>
      </c>
      <c r="BS11">
        <v>0</v>
      </c>
      <c r="BT11">
        <v>3599.7119999999995</v>
      </c>
      <c r="BU11">
        <v>9.2799999999999994</v>
      </c>
      <c r="BV11">
        <v>0</v>
      </c>
      <c r="BW11">
        <v>1</v>
      </c>
      <c r="CU11">
        <f>ROUND(AT11*Source!I31*AH11*AL11,2)</f>
        <v>2519.8000000000002</v>
      </c>
      <c r="CV11">
        <f>ROUND(Y11*Source!I31,7)</f>
        <v>6.4960000000000004</v>
      </c>
      <c r="CW11">
        <v>0</v>
      </c>
      <c r="CX11">
        <f>ROUND(Y11*Source!I31,7)</f>
        <v>6.4960000000000004</v>
      </c>
      <c r="CY11">
        <f>AD11</f>
        <v>387.9</v>
      </c>
      <c r="CZ11">
        <f>AH11</f>
        <v>387.9</v>
      </c>
      <c r="DA11">
        <f>AL11</f>
        <v>1</v>
      </c>
      <c r="DB11">
        <f t="shared" si="1"/>
        <v>3599.71</v>
      </c>
      <c r="DC11">
        <f t="shared" si="2"/>
        <v>0</v>
      </c>
      <c r="DD11" t="s">
        <v>3</v>
      </c>
      <c r="DE11" t="s">
        <v>3</v>
      </c>
      <c r="DF11">
        <f t="shared" si="3"/>
        <v>0</v>
      </c>
      <c r="DG11">
        <f>ROUND(ROUND(AF11,2)*CX11,2)</f>
        <v>0</v>
      </c>
      <c r="DH11">
        <f t="shared" si="4"/>
        <v>0</v>
      </c>
      <c r="DI11">
        <f t="shared" si="5"/>
        <v>2519.8000000000002</v>
      </c>
      <c r="DJ11">
        <f>DI11</f>
        <v>2519.8000000000002</v>
      </c>
      <c r="DK11">
        <v>1</v>
      </c>
      <c r="DL11" t="s">
        <v>3</v>
      </c>
      <c r="DM11">
        <v>0</v>
      </c>
      <c r="DN11" t="s">
        <v>3</v>
      </c>
      <c r="DO11">
        <v>0</v>
      </c>
    </row>
    <row r="12" spans="1:119" x14ac:dyDescent="0.2">
      <c r="A12">
        <f>ROW(Source!A31)</f>
        <v>31</v>
      </c>
      <c r="B12">
        <v>50253415</v>
      </c>
      <c r="C12">
        <v>50253561</v>
      </c>
      <c r="D12">
        <v>49188735</v>
      </c>
      <c r="E12">
        <v>117</v>
      </c>
      <c r="F12">
        <v>1</v>
      </c>
      <c r="G12">
        <v>1</v>
      </c>
      <c r="H12">
        <v>1</v>
      </c>
      <c r="I12" t="s">
        <v>245</v>
      </c>
      <c r="J12" t="s">
        <v>3</v>
      </c>
      <c r="K12" t="s">
        <v>246</v>
      </c>
      <c r="L12">
        <v>1191</v>
      </c>
      <c r="N12">
        <v>1013</v>
      </c>
      <c r="O12" t="s">
        <v>247</v>
      </c>
      <c r="P12" t="s">
        <v>247</v>
      </c>
      <c r="Q12">
        <v>1</v>
      </c>
      <c r="W12">
        <v>0</v>
      </c>
      <c r="X12">
        <v>-1417349443</v>
      </c>
      <c r="Y12">
        <f t="shared" si="0"/>
        <v>0.4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1</v>
      </c>
      <c r="AJ12">
        <v>1</v>
      </c>
      <c r="AK12">
        <v>1</v>
      </c>
      <c r="AL12">
        <v>1</v>
      </c>
      <c r="AM12">
        <v>-2</v>
      </c>
      <c r="AN12">
        <v>0</v>
      </c>
      <c r="AO12">
        <v>0</v>
      </c>
      <c r="AP12">
        <v>1</v>
      </c>
      <c r="AQ12">
        <v>1</v>
      </c>
      <c r="AR12">
        <v>0</v>
      </c>
      <c r="AS12" t="s">
        <v>3</v>
      </c>
      <c r="AT12">
        <v>0.4</v>
      </c>
      <c r="AU12" t="s">
        <v>3</v>
      </c>
      <c r="AV12">
        <v>2</v>
      </c>
      <c r="AW12">
        <v>2</v>
      </c>
      <c r="AX12">
        <v>50253574</v>
      </c>
      <c r="AY12">
        <v>1</v>
      </c>
      <c r="AZ12">
        <v>0</v>
      </c>
      <c r="BA12">
        <v>12</v>
      </c>
      <c r="BB12">
        <v>1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V12">
        <v>0</v>
      </c>
      <c r="CW12">
        <v>0</v>
      </c>
      <c r="CX12">
        <f>ROUND(Y12*Source!I31,7)</f>
        <v>0.28000000000000003</v>
      </c>
      <c r="CY12">
        <f>AD12</f>
        <v>0</v>
      </c>
      <c r="CZ12">
        <f>AH12</f>
        <v>0</v>
      </c>
      <c r="DA12">
        <f>AL12</f>
        <v>1</v>
      </c>
      <c r="DB12">
        <f t="shared" si="1"/>
        <v>0</v>
      </c>
      <c r="DC12">
        <f t="shared" si="2"/>
        <v>0</v>
      </c>
      <c r="DD12" t="s">
        <v>3</v>
      </c>
      <c r="DE12" t="s">
        <v>3</v>
      </c>
      <c r="DF12">
        <f t="shared" si="3"/>
        <v>0</v>
      </c>
      <c r="DG12">
        <f>ROUND(ROUND(AF12,2)*CX12,2)</f>
        <v>0</v>
      </c>
      <c r="DH12">
        <f t="shared" si="4"/>
        <v>0</v>
      </c>
      <c r="DI12">
        <f t="shared" si="5"/>
        <v>0</v>
      </c>
      <c r="DJ12">
        <f>DI12</f>
        <v>0</v>
      </c>
      <c r="DK12">
        <v>0</v>
      </c>
      <c r="DL12" t="s">
        <v>3</v>
      </c>
      <c r="DM12">
        <v>0</v>
      </c>
      <c r="DN12" t="s">
        <v>3</v>
      </c>
      <c r="DO12">
        <v>0</v>
      </c>
    </row>
    <row r="13" spans="1:119" x14ac:dyDescent="0.2">
      <c r="A13">
        <f>ROW(Source!A31)</f>
        <v>31</v>
      </c>
      <c r="B13">
        <v>50253415</v>
      </c>
      <c r="C13">
        <v>50253561</v>
      </c>
      <c r="D13">
        <v>49195224</v>
      </c>
      <c r="E13">
        <v>1</v>
      </c>
      <c r="F13">
        <v>1</v>
      </c>
      <c r="G13">
        <v>1</v>
      </c>
      <c r="H13">
        <v>2</v>
      </c>
      <c r="I13" t="s">
        <v>274</v>
      </c>
      <c r="J13" t="s">
        <v>275</v>
      </c>
      <c r="K13" t="s">
        <v>276</v>
      </c>
      <c r="L13">
        <v>1368</v>
      </c>
      <c r="N13">
        <v>1011</v>
      </c>
      <c r="O13" t="s">
        <v>251</v>
      </c>
      <c r="P13" t="s">
        <v>251</v>
      </c>
      <c r="Q13">
        <v>1</v>
      </c>
      <c r="W13">
        <v>0</v>
      </c>
      <c r="X13">
        <v>639918019</v>
      </c>
      <c r="Y13">
        <f t="shared" si="0"/>
        <v>0.2</v>
      </c>
      <c r="AA13">
        <v>0</v>
      </c>
      <c r="AB13">
        <v>1720.97</v>
      </c>
      <c r="AC13">
        <v>533</v>
      </c>
      <c r="AD13">
        <v>0</v>
      </c>
      <c r="AE13">
        <v>0</v>
      </c>
      <c r="AF13">
        <v>1720.97</v>
      </c>
      <c r="AG13">
        <v>533</v>
      </c>
      <c r="AH13">
        <v>0</v>
      </c>
      <c r="AI13">
        <v>1</v>
      </c>
      <c r="AJ13">
        <v>1</v>
      </c>
      <c r="AK13">
        <v>1</v>
      </c>
      <c r="AL13">
        <v>1</v>
      </c>
      <c r="AM13">
        <v>-2</v>
      </c>
      <c r="AN13">
        <v>0</v>
      </c>
      <c r="AO13">
        <v>0</v>
      </c>
      <c r="AP13">
        <v>1</v>
      </c>
      <c r="AQ13">
        <v>1</v>
      </c>
      <c r="AR13">
        <v>0</v>
      </c>
      <c r="AS13" t="s">
        <v>3</v>
      </c>
      <c r="AT13">
        <v>0.2</v>
      </c>
      <c r="AU13" t="s">
        <v>3</v>
      </c>
      <c r="AV13">
        <v>1</v>
      </c>
      <c r="AW13">
        <v>2</v>
      </c>
      <c r="AX13">
        <v>50253575</v>
      </c>
      <c r="AY13">
        <v>1</v>
      </c>
      <c r="AZ13">
        <v>0</v>
      </c>
      <c r="BA13">
        <v>13</v>
      </c>
      <c r="BB13">
        <v>1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344.19400000000002</v>
      </c>
      <c r="BL13">
        <v>106.60000000000001</v>
      </c>
      <c r="BM13">
        <v>0</v>
      </c>
      <c r="BN13">
        <v>0</v>
      </c>
      <c r="BO13">
        <v>0.2</v>
      </c>
      <c r="BP13">
        <v>1</v>
      </c>
      <c r="BQ13">
        <v>0</v>
      </c>
      <c r="BR13">
        <v>344.19400000000002</v>
      </c>
      <c r="BS13">
        <v>106.60000000000001</v>
      </c>
      <c r="BT13">
        <v>0</v>
      </c>
      <c r="BU13">
        <v>0</v>
      </c>
      <c r="BV13">
        <v>0.2</v>
      </c>
      <c r="BW13">
        <v>1</v>
      </c>
      <c r="CV13">
        <v>0</v>
      </c>
      <c r="CW13">
        <f>ROUND(Y13*Source!I31*DO13,7)</f>
        <v>0.14000000000000001</v>
      </c>
      <c r="CX13">
        <f>ROUND(Y13*Source!I31,7)</f>
        <v>0.14000000000000001</v>
      </c>
      <c r="CY13">
        <f>AB13</f>
        <v>1720.97</v>
      </c>
      <c r="CZ13">
        <f>AF13</f>
        <v>1720.97</v>
      </c>
      <c r="DA13">
        <f>AJ13</f>
        <v>1</v>
      </c>
      <c r="DB13">
        <f t="shared" si="1"/>
        <v>344.19</v>
      </c>
      <c r="DC13">
        <f t="shared" si="2"/>
        <v>106.6</v>
      </c>
      <c r="DD13" t="s">
        <v>3</v>
      </c>
      <c r="DE13" t="s">
        <v>3</v>
      </c>
      <c r="DF13">
        <f t="shared" si="3"/>
        <v>0</v>
      </c>
      <c r="DG13">
        <f>ROUND(ROUND(AF13,2)*CX13,2)</f>
        <v>240.94</v>
      </c>
      <c r="DH13">
        <f t="shared" si="4"/>
        <v>74.62</v>
      </c>
      <c r="DI13">
        <f t="shared" si="5"/>
        <v>0</v>
      </c>
      <c r="DJ13">
        <f>DG13+DH13</f>
        <v>315.56</v>
      </c>
      <c r="DK13">
        <v>1</v>
      </c>
      <c r="DL13" t="s">
        <v>252</v>
      </c>
      <c r="DM13">
        <v>6</v>
      </c>
      <c r="DN13" t="s">
        <v>247</v>
      </c>
      <c r="DO13">
        <v>1</v>
      </c>
    </row>
    <row r="14" spans="1:119" x14ac:dyDescent="0.2">
      <c r="A14">
        <f>ROW(Source!A31)</f>
        <v>31</v>
      </c>
      <c r="B14">
        <v>50253415</v>
      </c>
      <c r="C14">
        <v>50253561</v>
      </c>
      <c r="D14">
        <v>49195321</v>
      </c>
      <c r="E14">
        <v>1</v>
      </c>
      <c r="F14">
        <v>1</v>
      </c>
      <c r="G14">
        <v>1</v>
      </c>
      <c r="H14">
        <v>2</v>
      </c>
      <c r="I14" t="s">
        <v>277</v>
      </c>
      <c r="J14" t="s">
        <v>278</v>
      </c>
      <c r="K14" t="s">
        <v>279</v>
      </c>
      <c r="L14">
        <v>1368</v>
      </c>
      <c r="N14">
        <v>1011</v>
      </c>
      <c r="O14" t="s">
        <v>251</v>
      </c>
      <c r="P14" t="s">
        <v>251</v>
      </c>
      <c r="Q14">
        <v>1</v>
      </c>
      <c r="W14">
        <v>0</v>
      </c>
      <c r="X14">
        <v>-1620640563</v>
      </c>
      <c r="Y14">
        <f t="shared" si="0"/>
        <v>2.2000000000000002</v>
      </c>
      <c r="AA14">
        <v>0</v>
      </c>
      <c r="AB14">
        <v>2.89</v>
      </c>
      <c r="AC14">
        <v>0</v>
      </c>
      <c r="AD14">
        <v>0</v>
      </c>
      <c r="AE14">
        <v>0</v>
      </c>
      <c r="AF14">
        <v>1.75</v>
      </c>
      <c r="AG14">
        <v>0</v>
      </c>
      <c r="AH14">
        <v>0</v>
      </c>
      <c r="AI14">
        <v>1</v>
      </c>
      <c r="AJ14">
        <v>1.65</v>
      </c>
      <c r="AK14">
        <v>1</v>
      </c>
      <c r="AL14">
        <v>1</v>
      </c>
      <c r="AM14">
        <v>2</v>
      </c>
      <c r="AN14">
        <v>0</v>
      </c>
      <c r="AO14">
        <v>0</v>
      </c>
      <c r="AP14">
        <v>1</v>
      </c>
      <c r="AQ14">
        <v>1</v>
      </c>
      <c r="AR14">
        <v>0</v>
      </c>
      <c r="AS14" t="s">
        <v>3</v>
      </c>
      <c r="AT14">
        <v>2.2000000000000002</v>
      </c>
      <c r="AU14" t="s">
        <v>3</v>
      </c>
      <c r="AV14">
        <v>1</v>
      </c>
      <c r="AW14">
        <v>2</v>
      </c>
      <c r="AX14">
        <v>50253576</v>
      </c>
      <c r="AY14">
        <v>1</v>
      </c>
      <c r="AZ14">
        <v>0</v>
      </c>
      <c r="BA14">
        <v>14</v>
      </c>
      <c r="BB14">
        <v>1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3.8500000000000005</v>
      </c>
      <c r="BL14">
        <v>0</v>
      </c>
      <c r="BM14">
        <v>0</v>
      </c>
      <c r="BN14">
        <v>0</v>
      </c>
      <c r="BO14">
        <v>0</v>
      </c>
      <c r="BP14">
        <v>1</v>
      </c>
      <c r="BQ14">
        <v>0</v>
      </c>
      <c r="BR14">
        <v>3.8500000000000005</v>
      </c>
      <c r="BS14">
        <v>0</v>
      </c>
      <c r="BT14">
        <v>0</v>
      </c>
      <c r="BU14">
        <v>0</v>
      </c>
      <c r="BV14">
        <v>0</v>
      </c>
      <c r="BW14">
        <v>1</v>
      </c>
      <c r="CV14">
        <v>0</v>
      </c>
      <c r="CW14">
        <f>ROUND(Y14*Source!I31*DO14,7)</f>
        <v>0</v>
      </c>
      <c r="CX14">
        <f>ROUND(Y14*Source!I31,7)</f>
        <v>1.54</v>
      </c>
      <c r="CY14">
        <f>AB14</f>
        <v>2.89</v>
      </c>
      <c r="CZ14">
        <f>AF14</f>
        <v>1.75</v>
      </c>
      <c r="DA14">
        <f>AJ14</f>
        <v>1.65</v>
      </c>
      <c r="DB14">
        <f t="shared" si="1"/>
        <v>3.85</v>
      </c>
      <c r="DC14">
        <f t="shared" si="2"/>
        <v>0</v>
      </c>
      <c r="DD14" t="s">
        <v>3</v>
      </c>
      <c r="DE14" t="s">
        <v>3</v>
      </c>
      <c r="DF14">
        <f t="shared" si="3"/>
        <v>0</v>
      </c>
      <c r="DG14">
        <f>ROUND(ROUND(AF14*AJ14,2)*CX14,2)</f>
        <v>4.45</v>
      </c>
      <c r="DH14">
        <f t="shared" si="4"/>
        <v>0</v>
      </c>
      <c r="DI14">
        <f t="shared" si="5"/>
        <v>0</v>
      </c>
      <c r="DJ14">
        <f>DG14+DH14</f>
        <v>4.45</v>
      </c>
      <c r="DK14">
        <v>0</v>
      </c>
      <c r="DL14" t="s">
        <v>3</v>
      </c>
      <c r="DM14">
        <v>0</v>
      </c>
      <c r="DN14" t="s">
        <v>3</v>
      </c>
      <c r="DO14">
        <v>0</v>
      </c>
    </row>
    <row r="15" spans="1:119" x14ac:dyDescent="0.2">
      <c r="A15">
        <f>ROW(Source!A31)</f>
        <v>31</v>
      </c>
      <c r="B15">
        <v>50253415</v>
      </c>
      <c r="C15">
        <v>50253561</v>
      </c>
      <c r="D15">
        <v>49195364</v>
      </c>
      <c r="E15">
        <v>1</v>
      </c>
      <c r="F15">
        <v>1</v>
      </c>
      <c r="G15">
        <v>1</v>
      </c>
      <c r="H15">
        <v>2</v>
      </c>
      <c r="I15" t="s">
        <v>280</v>
      </c>
      <c r="J15" t="s">
        <v>281</v>
      </c>
      <c r="K15" t="s">
        <v>282</v>
      </c>
      <c r="L15">
        <v>1368</v>
      </c>
      <c r="N15">
        <v>1011</v>
      </c>
      <c r="O15" t="s">
        <v>251</v>
      </c>
      <c r="P15" t="s">
        <v>251</v>
      </c>
      <c r="Q15">
        <v>1</v>
      </c>
      <c r="W15">
        <v>0</v>
      </c>
      <c r="X15">
        <v>-697562808</v>
      </c>
      <c r="Y15">
        <f t="shared" si="0"/>
        <v>2.2000000000000002</v>
      </c>
      <c r="AA15">
        <v>0</v>
      </c>
      <c r="AB15">
        <v>13.88</v>
      </c>
      <c r="AC15">
        <v>0</v>
      </c>
      <c r="AD15">
        <v>0</v>
      </c>
      <c r="AE15">
        <v>0</v>
      </c>
      <c r="AF15">
        <v>8.84</v>
      </c>
      <c r="AG15">
        <v>0</v>
      </c>
      <c r="AH15">
        <v>0</v>
      </c>
      <c r="AI15">
        <v>1</v>
      </c>
      <c r="AJ15">
        <v>1.57</v>
      </c>
      <c r="AK15">
        <v>1</v>
      </c>
      <c r="AL15">
        <v>1</v>
      </c>
      <c r="AM15">
        <v>2</v>
      </c>
      <c r="AN15">
        <v>0</v>
      </c>
      <c r="AO15">
        <v>0</v>
      </c>
      <c r="AP15">
        <v>1</v>
      </c>
      <c r="AQ15">
        <v>1</v>
      </c>
      <c r="AR15">
        <v>0</v>
      </c>
      <c r="AS15" t="s">
        <v>3</v>
      </c>
      <c r="AT15">
        <v>2.2000000000000002</v>
      </c>
      <c r="AU15" t="s">
        <v>3</v>
      </c>
      <c r="AV15">
        <v>1</v>
      </c>
      <c r="AW15">
        <v>2</v>
      </c>
      <c r="AX15">
        <v>50253577</v>
      </c>
      <c r="AY15">
        <v>1</v>
      </c>
      <c r="AZ15">
        <v>0</v>
      </c>
      <c r="BA15">
        <v>15</v>
      </c>
      <c r="BB15">
        <v>1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19.448</v>
      </c>
      <c r="BL15">
        <v>0</v>
      </c>
      <c r="BM15">
        <v>0</v>
      </c>
      <c r="BN15">
        <v>0</v>
      </c>
      <c r="BO15">
        <v>0</v>
      </c>
      <c r="BP15">
        <v>1</v>
      </c>
      <c r="BQ15">
        <v>0</v>
      </c>
      <c r="BR15">
        <v>19.448</v>
      </c>
      <c r="BS15">
        <v>0</v>
      </c>
      <c r="BT15">
        <v>0</v>
      </c>
      <c r="BU15">
        <v>0</v>
      </c>
      <c r="BV15">
        <v>0</v>
      </c>
      <c r="BW15">
        <v>1</v>
      </c>
      <c r="CV15">
        <v>0</v>
      </c>
      <c r="CW15">
        <f>ROUND(Y15*Source!I31*DO15,7)</f>
        <v>0</v>
      </c>
      <c r="CX15">
        <f>ROUND(Y15*Source!I31,7)</f>
        <v>1.54</v>
      </c>
      <c r="CY15">
        <f>AB15</f>
        <v>13.88</v>
      </c>
      <c r="CZ15">
        <f>AF15</f>
        <v>8.84</v>
      </c>
      <c r="DA15">
        <f>AJ15</f>
        <v>1.57</v>
      </c>
      <c r="DB15">
        <f t="shared" si="1"/>
        <v>19.45</v>
      </c>
      <c r="DC15">
        <f t="shared" si="2"/>
        <v>0</v>
      </c>
      <c r="DD15" t="s">
        <v>3</v>
      </c>
      <c r="DE15" t="s">
        <v>3</v>
      </c>
      <c r="DF15">
        <f t="shared" si="3"/>
        <v>0</v>
      </c>
      <c r="DG15">
        <f>ROUND(ROUND(AF15*AJ15,2)*CX15,2)</f>
        <v>21.38</v>
      </c>
      <c r="DH15">
        <f t="shared" si="4"/>
        <v>0</v>
      </c>
      <c r="DI15">
        <f t="shared" si="5"/>
        <v>0</v>
      </c>
      <c r="DJ15">
        <f>DG15+DH15</f>
        <v>21.38</v>
      </c>
      <c r="DK15">
        <v>0</v>
      </c>
      <c r="DL15" t="s">
        <v>3</v>
      </c>
      <c r="DM15">
        <v>0</v>
      </c>
      <c r="DN15" t="s">
        <v>3</v>
      </c>
      <c r="DO15">
        <v>0</v>
      </c>
    </row>
    <row r="16" spans="1:119" x14ac:dyDescent="0.2">
      <c r="A16">
        <f>ROW(Source!A31)</f>
        <v>31</v>
      </c>
      <c r="B16">
        <v>50253415</v>
      </c>
      <c r="C16">
        <v>50253561</v>
      </c>
      <c r="D16">
        <v>49196119</v>
      </c>
      <c r="E16">
        <v>1</v>
      </c>
      <c r="F16">
        <v>1</v>
      </c>
      <c r="G16">
        <v>1</v>
      </c>
      <c r="H16">
        <v>2</v>
      </c>
      <c r="I16" t="s">
        <v>262</v>
      </c>
      <c r="J16" t="s">
        <v>263</v>
      </c>
      <c r="K16" t="s">
        <v>264</v>
      </c>
      <c r="L16">
        <v>1368</v>
      </c>
      <c r="N16">
        <v>1011</v>
      </c>
      <c r="O16" t="s">
        <v>251</v>
      </c>
      <c r="P16" t="s">
        <v>251</v>
      </c>
      <c r="Q16">
        <v>1</v>
      </c>
      <c r="W16">
        <v>0</v>
      </c>
      <c r="X16">
        <v>-849950259</v>
      </c>
      <c r="Y16">
        <f t="shared" si="0"/>
        <v>0.2</v>
      </c>
      <c r="AA16">
        <v>0</v>
      </c>
      <c r="AB16">
        <v>680.88</v>
      </c>
      <c r="AC16">
        <v>396.79</v>
      </c>
      <c r="AD16">
        <v>0</v>
      </c>
      <c r="AE16">
        <v>0</v>
      </c>
      <c r="AF16">
        <v>680.88</v>
      </c>
      <c r="AG16">
        <v>396.79</v>
      </c>
      <c r="AH16">
        <v>0</v>
      </c>
      <c r="AI16">
        <v>1</v>
      </c>
      <c r="AJ16">
        <v>1</v>
      </c>
      <c r="AK16">
        <v>1</v>
      </c>
      <c r="AL16">
        <v>1</v>
      </c>
      <c r="AM16">
        <v>-2</v>
      </c>
      <c r="AN16">
        <v>0</v>
      </c>
      <c r="AO16">
        <v>0</v>
      </c>
      <c r="AP16">
        <v>1</v>
      </c>
      <c r="AQ16">
        <v>1</v>
      </c>
      <c r="AR16">
        <v>0</v>
      </c>
      <c r="AS16" t="s">
        <v>3</v>
      </c>
      <c r="AT16">
        <v>0.2</v>
      </c>
      <c r="AU16" t="s">
        <v>3</v>
      </c>
      <c r="AV16">
        <v>1</v>
      </c>
      <c r="AW16">
        <v>2</v>
      </c>
      <c r="AX16">
        <v>50253578</v>
      </c>
      <c r="AY16">
        <v>1</v>
      </c>
      <c r="AZ16">
        <v>0</v>
      </c>
      <c r="BA16">
        <v>16</v>
      </c>
      <c r="BB16">
        <v>1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136.17600000000002</v>
      </c>
      <c r="BL16">
        <v>79.358000000000004</v>
      </c>
      <c r="BM16">
        <v>0</v>
      </c>
      <c r="BN16">
        <v>0</v>
      </c>
      <c r="BO16">
        <v>0.2</v>
      </c>
      <c r="BP16">
        <v>1</v>
      </c>
      <c r="BQ16">
        <v>0</v>
      </c>
      <c r="BR16">
        <v>136.17600000000002</v>
      </c>
      <c r="BS16">
        <v>79.358000000000004</v>
      </c>
      <c r="BT16">
        <v>0</v>
      </c>
      <c r="BU16">
        <v>0</v>
      </c>
      <c r="BV16">
        <v>0.2</v>
      </c>
      <c r="BW16">
        <v>1</v>
      </c>
      <c r="CV16">
        <v>0</v>
      </c>
      <c r="CW16">
        <f>ROUND(Y16*Source!I31*DO16,7)</f>
        <v>0.14000000000000001</v>
      </c>
      <c r="CX16">
        <f>ROUND(Y16*Source!I31,7)</f>
        <v>0.14000000000000001</v>
      </c>
      <c r="CY16">
        <f>AB16</f>
        <v>680.88</v>
      </c>
      <c r="CZ16">
        <f>AF16</f>
        <v>680.88</v>
      </c>
      <c r="DA16">
        <f>AJ16</f>
        <v>1</v>
      </c>
      <c r="DB16">
        <f t="shared" si="1"/>
        <v>136.18</v>
      </c>
      <c r="DC16">
        <f t="shared" si="2"/>
        <v>79.36</v>
      </c>
      <c r="DD16" t="s">
        <v>3</v>
      </c>
      <c r="DE16" t="s">
        <v>3</v>
      </c>
      <c r="DF16">
        <f t="shared" si="3"/>
        <v>0</v>
      </c>
      <c r="DG16">
        <f t="shared" ref="DG16:DG24" si="6">ROUND(ROUND(AF16,2)*CX16,2)</f>
        <v>95.32</v>
      </c>
      <c r="DH16">
        <f t="shared" si="4"/>
        <v>55.55</v>
      </c>
      <c r="DI16">
        <f t="shared" si="5"/>
        <v>0</v>
      </c>
      <c r="DJ16">
        <f>DG16+DH16</f>
        <v>150.87</v>
      </c>
      <c r="DK16">
        <v>1</v>
      </c>
      <c r="DL16" t="s">
        <v>265</v>
      </c>
      <c r="DM16">
        <v>4</v>
      </c>
      <c r="DN16" t="s">
        <v>247</v>
      </c>
      <c r="DO16">
        <v>1</v>
      </c>
    </row>
    <row r="17" spans="1:119" x14ac:dyDescent="0.2">
      <c r="A17">
        <f>ROW(Source!A31)</f>
        <v>31</v>
      </c>
      <c r="B17">
        <v>50253415</v>
      </c>
      <c r="C17">
        <v>50253561</v>
      </c>
      <c r="D17">
        <v>49263062</v>
      </c>
      <c r="E17">
        <v>1</v>
      </c>
      <c r="F17">
        <v>1</v>
      </c>
      <c r="G17">
        <v>1</v>
      </c>
      <c r="H17">
        <v>3</v>
      </c>
      <c r="I17" t="s">
        <v>283</v>
      </c>
      <c r="J17" t="s">
        <v>284</v>
      </c>
      <c r="K17" t="s">
        <v>285</v>
      </c>
      <c r="L17">
        <v>1302</v>
      </c>
      <c r="N17">
        <v>1003</v>
      </c>
      <c r="O17" t="s">
        <v>286</v>
      </c>
      <c r="P17" t="s">
        <v>286</v>
      </c>
      <c r="Q17">
        <v>10</v>
      </c>
      <c r="W17">
        <v>0</v>
      </c>
      <c r="X17">
        <v>530731316</v>
      </c>
      <c r="Y17">
        <f t="shared" si="0"/>
        <v>0.245</v>
      </c>
      <c r="AA17">
        <v>60.34</v>
      </c>
      <c r="AB17">
        <v>0</v>
      </c>
      <c r="AC17">
        <v>0</v>
      </c>
      <c r="AD17">
        <v>0</v>
      </c>
      <c r="AE17">
        <v>37.71</v>
      </c>
      <c r="AF17">
        <v>0</v>
      </c>
      <c r="AG17">
        <v>0</v>
      </c>
      <c r="AH17">
        <v>0</v>
      </c>
      <c r="AI17">
        <v>1.6</v>
      </c>
      <c r="AJ17">
        <v>1</v>
      </c>
      <c r="AK17">
        <v>1</v>
      </c>
      <c r="AL17">
        <v>1</v>
      </c>
      <c r="AM17">
        <v>2</v>
      </c>
      <c r="AN17">
        <v>0</v>
      </c>
      <c r="AO17">
        <v>0</v>
      </c>
      <c r="AP17">
        <v>1</v>
      </c>
      <c r="AQ17">
        <v>1</v>
      </c>
      <c r="AR17">
        <v>0</v>
      </c>
      <c r="AS17" t="s">
        <v>3</v>
      </c>
      <c r="AT17">
        <v>0.245</v>
      </c>
      <c r="AU17" t="s">
        <v>3</v>
      </c>
      <c r="AV17">
        <v>0</v>
      </c>
      <c r="AW17">
        <v>2</v>
      </c>
      <c r="AX17">
        <v>50253579</v>
      </c>
      <c r="AY17">
        <v>1</v>
      </c>
      <c r="AZ17">
        <v>0</v>
      </c>
      <c r="BA17">
        <v>17</v>
      </c>
      <c r="BB17">
        <v>1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9.2389500000000009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1</v>
      </c>
      <c r="BQ17">
        <v>9.2389500000000009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1</v>
      </c>
      <c r="CV17">
        <v>0</v>
      </c>
      <c r="CW17">
        <v>0</v>
      </c>
      <c r="CX17">
        <f>ROUND(Y17*Source!I31,7)</f>
        <v>0.17150000000000001</v>
      </c>
      <c r="CY17">
        <f>AA17</f>
        <v>60.34</v>
      </c>
      <c r="CZ17">
        <f>AE17</f>
        <v>37.71</v>
      </c>
      <c r="DA17">
        <f>AI17</f>
        <v>1.6</v>
      </c>
      <c r="DB17">
        <f t="shared" si="1"/>
        <v>9.24</v>
      </c>
      <c r="DC17">
        <f t="shared" si="2"/>
        <v>0</v>
      </c>
      <c r="DD17" t="s">
        <v>3</v>
      </c>
      <c r="DE17" t="s">
        <v>3</v>
      </c>
      <c r="DF17">
        <f>ROUND(ROUND(AE17*AI17,2)*CX17,2)</f>
        <v>10.35</v>
      </c>
      <c r="DG17">
        <f t="shared" si="6"/>
        <v>0</v>
      </c>
      <c r="DH17">
        <f t="shared" si="4"/>
        <v>0</v>
      </c>
      <c r="DI17">
        <f t="shared" si="5"/>
        <v>0</v>
      </c>
      <c r="DJ17">
        <f>DF17</f>
        <v>10.35</v>
      </c>
      <c r="DK17">
        <v>0</v>
      </c>
      <c r="DL17" t="s">
        <v>3</v>
      </c>
      <c r="DM17">
        <v>0</v>
      </c>
      <c r="DN17" t="s">
        <v>3</v>
      </c>
      <c r="DO17">
        <v>0</v>
      </c>
    </row>
    <row r="18" spans="1:119" x14ac:dyDescent="0.2">
      <c r="A18">
        <f>ROW(Source!A31)</f>
        <v>31</v>
      </c>
      <c r="B18">
        <v>50253415</v>
      </c>
      <c r="C18">
        <v>50253561</v>
      </c>
      <c r="D18">
        <v>49264736</v>
      </c>
      <c r="E18">
        <v>1</v>
      </c>
      <c r="F18">
        <v>1</v>
      </c>
      <c r="G18">
        <v>1</v>
      </c>
      <c r="H18">
        <v>3</v>
      </c>
      <c r="I18" t="s">
        <v>287</v>
      </c>
      <c r="J18" t="s">
        <v>288</v>
      </c>
      <c r="K18" t="s">
        <v>289</v>
      </c>
      <c r="L18">
        <v>1348</v>
      </c>
      <c r="N18">
        <v>1009</v>
      </c>
      <c r="O18" t="s">
        <v>104</v>
      </c>
      <c r="P18" t="s">
        <v>104</v>
      </c>
      <c r="Q18">
        <v>1000</v>
      </c>
      <c r="W18">
        <v>0</v>
      </c>
      <c r="X18">
        <v>-312996078</v>
      </c>
      <c r="Y18">
        <f t="shared" si="0"/>
        <v>1.1E-4</v>
      </c>
      <c r="AA18">
        <v>119029.15</v>
      </c>
      <c r="AB18">
        <v>0</v>
      </c>
      <c r="AC18">
        <v>0</v>
      </c>
      <c r="AD18">
        <v>0</v>
      </c>
      <c r="AE18">
        <v>99190.96</v>
      </c>
      <c r="AF18">
        <v>0</v>
      </c>
      <c r="AG18">
        <v>0</v>
      </c>
      <c r="AH18">
        <v>0</v>
      </c>
      <c r="AI18">
        <v>1.2</v>
      </c>
      <c r="AJ18">
        <v>1</v>
      </c>
      <c r="AK18">
        <v>1</v>
      </c>
      <c r="AL18">
        <v>1</v>
      </c>
      <c r="AM18">
        <v>2</v>
      </c>
      <c r="AN18">
        <v>0</v>
      </c>
      <c r="AO18">
        <v>0</v>
      </c>
      <c r="AP18">
        <v>1</v>
      </c>
      <c r="AQ18">
        <v>1</v>
      </c>
      <c r="AR18">
        <v>0</v>
      </c>
      <c r="AS18" t="s">
        <v>3</v>
      </c>
      <c r="AT18">
        <v>1.1E-4</v>
      </c>
      <c r="AU18" t="s">
        <v>3</v>
      </c>
      <c r="AV18">
        <v>0</v>
      </c>
      <c r="AW18">
        <v>2</v>
      </c>
      <c r="AX18">
        <v>50253580</v>
      </c>
      <c r="AY18">
        <v>1</v>
      </c>
      <c r="AZ18">
        <v>0</v>
      </c>
      <c r="BA18">
        <v>18</v>
      </c>
      <c r="BB18">
        <v>1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10.911005600000001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1</v>
      </c>
      <c r="BQ18">
        <v>10.911005600000001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1</v>
      </c>
      <c r="CV18">
        <v>0</v>
      </c>
      <c r="CW18">
        <v>0</v>
      </c>
      <c r="CX18">
        <f>ROUND(Y18*Source!I31,7)</f>
        <v>7.7000000000000001E-5</v>
      </c>
      <c r="CY18">
        <f>AA18</f>
        <v>119029.15</v>
      </c>
      <c r="CZ18">
        <f>AE18</f>
        <v>99190.96</v>
      </c>
      <c r="DA18">
        <f>AI18</f>
        <v>1.2</v>
      </c>
      <c r="DB18">
        <f t="shared" si="1"/>
        <v>10.91</v>
      </c>
      <c r="DC18">
        <f t="shared" si="2"/>
        <v>0</v>
      </c>
      <c r="DD18" t="s">
        <v>3</v>
      </c>
      <c r="DE18" t="s">
        <v>3</v>
      </c>
      <c r="DF18">
        <f>ROUND(ROUND(AE18*AI18,2)*CX18,2)</f>
        <v>9.17</v>
      </c>
      <c r="DG18">
        <f t="shared" si="6"/>
        <v>0</v>
      </c>
      <c r="DH18">
        <f t="shared" si="4"/>
        <v>0</v>
      </c>
      <c r="DI18">
        <f t="shared" si="5"/>
        <v>0</v>
      </c>
      <c r="DJ18">
        <f>DF18</f>
        <v>9.17</v>
      </c>
      <c r="DK18">
        <v>0</v>
      </c>
      <c r="DL18" t="s">
        <v>3</v>
      </c>
      <c r="DM18">
        <v>0</v>
      </c>
      <c r="DN18" t="s">
        <v>3</v>
      </c>
      <c r="DO18">
        <v>0</v>
      </c>
    </row>
    <row r="19" spans="1:119" x14ac:dyDescent="0.2">
      <c r="A19">
        <f>ROW(Source!A31)</f>
        <v>31</v>
      </c>
      <c r="B19">
        <v>50253415</v>
      </c>
      <c r="C19">
        <v>50253561</v>
      </c>
      <c r="D19">
        <v>49273402</v>
      </c>
      <c r="E19">
        <v>1</v>
      </c>
      <c r="F19">
        <v>1</v>
      </c>
      <c r="G19">
        <v>1</v>
      </c>
      <c r="H19">
        <v>3</v>
      </c>
      <c r="I19" t="s">
        <v>290</v>
      </c>
      <c r="J19" t="s">
        <v>291</v>
      </c>
      <c r="K19" t="s">
        <v>292</v>
      </c>
      <c r="L19">
        <v>1346</v>
      </c>
      <c r="N19">
        <v>1009</v>
      </c>
      <c r="O19" t="s">
        <v>293</v>
      </c>
      <c r="P19" t="s">
        <v>293</v>
      </c>
      <c r="Q19">
        <v>1</v>
      </c>
      <c r="W19">
        <v>0</v>
      </c>
      <c r="X19">
        <v>1865769342</v>
      </c>
      <c r="Y19">
        <f t="shared" si="0"/>
        <v>0.26</v>
      </c>
      <c r="AA19">
        <v>1499.09</v>
      </c>
      <c r="AB19">
        <v>0</v>
      </c>
      <c r="AC19">
        <v>0</v>
      </c>
      <c r="AD19">
        <v>0</v>
      </c>
      <c r="AE19">
        <v>931.11</v>
      </c>
      <c r="AF19">
        <v>0</v>
      </c>
      <c r="AG19">
        <v>0</v>
      </c>
      <c r="AH19">
        <v>0</v>
      </c>
      <c r="AI19">
        <v>1.61</v>
      </c>
      <c r="AJ19">
        <v>1</v>
      </c>
      <c r="AK19">
        <v>1</v>
      </c>
      <c r="AL19">
        <v>1</v>
      </c>
      <c r="AM19">
        <v>2</v>
      </c>
      <c r="AN19">
        <v>0</v>
      </c>
      <c r="AO19">
        <v>0</v>
      </c>
      <c r="AP19">
        <v>1</v>
      </c>
      <c r="AQ19">
        <v>1</v>
      </c>
      <c r="AR19">
        <v>0</v>
      </c>
      <c r="AS19" t="s">
        <v>3</v>
      </c>
      <c r="AT19">
        <v>0.26</v>
      </c>
      <c r="AU19" t="s">
        <v>3</v>
      </c>
      <c r="AV19">
        <v>0</v>
      </c>
      <c r="AW19">
        <v>2</v>
      </c>
      <c r="AX19">
        <v>50253581</v>
      </c>
      <c r="AY19">
        <v>1</v>
      </c>
      <c r="AZ19">
        <v>0</v>
      </c>
      <c r="BA19">
        <v>19</v>
      </c>
      <c r="BB19">
        <v>1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242.08860000000001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1</v>
      </c>
      <c r="BQ19">
        <v>242.08860000000001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1</v>
      </c>
      <c r="CV19">
        <v>0</v>
      </c>
      <c r="CW19">
        <v>0</v>
      </c>
      <c r="CX19">
        <f>ROUND(Y19*Source!I31,7)</f>
        <v>0.182</v>
      </c>
      <c r="CY19">
        <f>AA19</f>
        <v>1499.09</v>
      </c>
      <c r="CZ19">
        <f>AE19</f>
        <v>931.11</v>
      </c>
      <c r="DA19">
        <f>AI19</f>
        <v>1.61</v>
      </c>
      <c r="DB19">
        <f t="shared" si="1"/>
        <v>242.09</v>
      </c>
      <c r="DC19">
        <f t="shared" si="2"/>
        <v>0</v>
      </c>
      <c r="DD19" t="s">
        <v>3</v>
      </c>
      <c r="DE19" t="s">
        <v>3</v>
      </c>
      <c r="DF19">
        <f>ROUND(ROUND(AE19*AI19,2)*CX19,2)</f>
        <v>272.83</v>
      </c>
      <c r="DG19">
        <f t="shared" si="6"/>
        <v>0</v>
      </c>
      <c r="DH19">
        <f t="shared" si="4"/>
        <v>0</v>
      </c>
      <c r="DI19">
        <f t="shared" si="5"/>
        <v>0</v>
      </c>
      <c r="DJ19">
        <f>DF19</f>
        <v>272.83</v>
      </c>
      <c r="DK19">
        <v>0</v>
      </c>
      <c r="DL19" t="s">
        <v>3</v>
      </c>
      <c r="DM19">
        <v>0</v>
      </c>
      <c r="DN19" t="s">
        <v>3</v>
      </c>
      <c r="DO19">
        <v>0</v>
      </c>
    </row>
    <row r="20" spans="1:119" x14ac:dyDescent="0.2">
      <c r="A20">
        <f>ROW(Source!A31)</f>
        <v>31</v>
      </c>
      <c r="B20">
        <v>50253415</v>
      </c>
      <c r="C20">
        <v>50253561</v>
      </c>
      <c r="D20">
        <v>49281613</v>
      </c>
      <c r="E20">
        <v>1</v>
      </c>
      <c r="F20">
        <v>1</v>
      </c>
      <c r="G20">
        <v>1</v>
      </c>
      <c r="H20">
        <v>3</v>
      </c>
      <c r="I20" t="s">
        <v>294</v>
      </c>
      <c r="J20" t="s">
        <v>295</v>
      </c>
      <c r="K20" t="s">
        <v>296</v>
      </c>
      <c r="L20">
        <v>1348</v>
      </c>
      <c r="N20">
        <v>1009</v>
      </c>
      <c r="O20" t="s">
        <v>104</v>
      </c>
      <c r="P20" t="s">
        <v>104</v>
      </c>
      <c r="Q20">
        <v>1000</v>
      </c>
      <c r="W20">
        <v>0</v>
      </c>
      <c r="X20">
        <v>-734320380</v>
      </c>
      <c r="Y20">
        <f t="shared" si="0"/>
        <v>7.2000000000000005E-4</v>
      </c>
      <c r="AA20">
        <v>116604.38</v>
      </c>
      <c r="AB20">
        <v>0</v>
      </c>
      <c r="AC20">
        <v>0</v>
      </c>
      <c r="AD20">
        <v>0</v>
      </c>
      <c r="AE20">
        <v>82698.14</v>
      </c>
      <c r="AF20">
        <v>0</v>
      </c>
      <c r="AG20">
        <v>0</v>
      </c>
      <c r="AH20">
        <v>0</v>
      </c>
      <c r="AI20">
        <v>1.41</v>
      </c>
      <c r="AJ20">
        <v>1</v>
      </c>
      <c r="AK20">
        <v>1</v>
      </c>
      <c r="AL20">
        <v>1</v>
      </c>
      <c r="AM20">
        <v>2</v>
      </c>
      <c r="AN20">
        <v>0</v>
      </c>
      <c r="AO20">
        <v>0</v>
      </c>
      <c r="AP20">
        <v>1</v>
      </c>
      <c r="AQ20">
        <v>1</v>
      </c>
      <c r="AR20">
        <v>0</v>
      </c>
      <c r="AS20" t="s">
        <v>3</v>
      </c>
      <c r="AT20">
        <v>7.2000000000000005E-4</v>
      </c>
      <c r="AU20" t="s">
        <v>3</v>
      </c>
      <c r="AV20">
        <v>0</v>
      </c>
      <c r="AW20">
        <v>2</v>
      </c>
      <c r="AX20">
        <v>50253582</v>
      </c>
      <c r="AY20">
        <v>1</v>
      </c>
      <c r="AZ20">
        <v>0</v>
      </c>
      <c r="BA20">
        <v>20</v>
      </c>
      <c r="BB20">
        <v>1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59.5426608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1</v>
      </c>
      <c r="BQ20">
        <v>59.5426608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1</v>
      </c>
      <c r="CV20">
        <v>0</v>
      </c>
      <c r="CW20">
        <v>0</v>
      </c>
      <c r="CX20">
        <f>ROUND(Y20*Source!I31,7)</f>
        <v>5.04E-4</v>
      </c>
      <c r="CY20">
        <f>AA20</f>
        <v>116604.38</v>
      </c>
      <c r="CZ20">
        <f>AE20</f>
        <v>82698.14</v>
      </c>
      <c r="DA20">
        <f>AI20</f>
        <v>1.41</v>
      </c>
      <c r="DB20">
        <f t="shared" si="1"/>
        <v>59.54</v>
      </c>
      <c r="DC20">
        <f t="shared" si="2"/>
        <v>0</v>
      </c>
      <c r="DD20" t="s">
        <v>3</v>
      </c>
      <c r="DE20" t="s">
        <v>3</v>
      </c>
      <c r="DF20">
        <f>ROUND(ROUND(AE20*AI20,2)*CX20,2)</f>
        <v>58.77</v>
      </c>
      <c r="DG20">
        <f t="shared" si="6"/>
        <v>0</v>
      </c>
      <c r="DH20">
        <f t="shared" si="4"/>
        <v>0</v>
      </c>
      <c r="DI20">
        <f t="shared" si="5"/>
        <v>0</v>
      </c>
      <c r="DJ20">
        <f>DF20</f>
        <v>58.77</v>
      </c>
      <c r="DK20">
        <v>0</v>
      </c>
      <c r="DL20" t="s">
        <v>3</v>
      </c>
      <c r="DM20">
        <v>0</v>
      </c>
      <c r="DN20" t="s">
        <v>3</v>
      </c>
      <c r="DO20">
        <v>0</v>
      </c>
    </row>
    <row r="21" spans="1:119" x14ac:dyDescent="0.2">
      <c r="A21">
        <f>ROW(Source!A31)</f>
        <v>31</v>
      </c>
      <c r="B21">
        <v>50253415</v>
      </c>
      <c r="C21">
        <v>50253561</v>
      </c>
      <c r="D21">
        <v>49194569</v>
      </c>
      <c r="E21">
        <v>117</v>
      </c>
      <c r="F21">
        <v>1</v>
      </c>
      <c r="G21">
        <v>1</v>
      </c>
      <c r="H21">
        <v>3</v>
      </c>
      <c r="I21" t="s">
        <v>58</v>
      </c>
      <c r="J21" t="s">
        <v>3</v>
      </c>
      <c r="K21" t="s">
        <v>59</v>
      </c>
      <c r="L21">
        <v>3277935</v>
      </c>
      <c r="N21">
        <v>1013</v>
      </c>
      <c r="O21" t="s">
        <v>60</v>
      </c>
      <c r="P21" t="s">
        <v>60</v>
      </c>
      <c r="Q21">
        <v>1</v>
      </c>
      <c r="W21">
        <v>0</v>
      </c>
      <c r="X21">
        <v>274903907</v>
      </c>
      <c r="Y21">
        <f t="shared" si="0"/>
        <v>2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1</v>
      </c>
      <c r="AJ21">
        <v>1</v>
      </c>
      <c r="AK21">
        <v>1</v>
      </c>
      <c r="AL21">
        <v>1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 t="s">
        <v>3</v>
      </c>
      <c r="AT21">
        <v>2</v>
      </c>
      <c r="AU21" t="s">
        <v>3</v>
      </c>
      <c r="AV21">
        <v>0</v>
      </c>
      <c r="AW21">
        <v>2</v>
      </c>
      <c r="AX21">
        <v>50253583</v>
      </c>
      <c r="AY21">
        <v>1</v>
      </c>
      <c r="AZ21">
        <v>0</v>
      </c>
      <c r="BA21">
        <v>21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V21">
        <v>0</v>
      </c>
      <c r="CW21">
        <v>0</v>
      </c>
      <c r="CX21">
        <f>ROUND(Y21*Source!I31,7)</f>
        <v>1.4</v>
      </c>
      <c r="CY21">
        <f>AA21</f>
        <v>0</v>
      </c>
      <c r="CZ21">
        <f>AE21</f>
        <v>0</v>
      </c>
      <c r="DA21">
        <f>AI21</f>
        <v>1</v>
      </c>
      <c r="DB21">
        <f t="shared" si="1"/>
        <v>0</v>
      </c>
      <c r="DC21">
        <f t="shared" si="2"/>
        <v>0</v>
      </c>
      <c r="DD21" t="s">
        <v>3</v>
      </c>
      <c r="DE21" t="s">
        <v>3</v>
      </c>
      <c r="DF21">
        <f t="shared" ref="DF21:DF35" si="7">ROUND(ROUND(AE21,2)*CX21,2)</f>
        <v>0</v>
      </c>
      <c r="DG21">
        <f t="shared" si="6"/>
        <v>0</v>
      </c>
      <c r="DH21">
        <f t="shared" si="4"/>
        <v>0</v>
      </c>
      <c r="DI21">
        <f t="shared" si="5"/>
        <v>0</v>
      </c>
      <c r="DJ21">
        <f>DF21</f>
        <v>0</v>
      </c>
      <c r="DK21">
        <v>0</v>
      </c>
      <c r="DL21" t="s">
        <v>3</v>
      </c>
      <c r="DM21">
        <v>0</v>
      </c>
      <c r="DN21" t="s">
        <v>3</v>
      </c>
      <c r="DO21">
        <v>0</v>
      </c>
    </row>
    <row r="22" spans="1:119" x14ac:dyDescent="0.2">
      <c r="A22">
        <f>ROW(Source!A33)</f>
        <v>33</v>
      </c>
      <c r="B22">
        <v>50253415</v>
      </c>
      <c r="C22">
        <v>50253585</v>
      </c>
      <c r="D22">
        <v>49188531</v>
      </c>
      <c r="E22">
        <v>117</v>
      </c>
      <c r="F22">
        <v>1</v>
      </c>
      <c r="G22">
        <v>1</v>
      </c>
      <c r="H22">
        <v>1</v>
      </c>
      <c r="I22" t="s">
        <v>297</v>
      </c>
      <c r="J22" t="s">
        <v>3</v>
      </c>
      <c r="K22" t="s">
        <v>298</v>
      </c>
      <c r="L22">
        <v>1191</v>
      </c>
      <c r="N22">
        <v>1013</v>
      </c>
      <c r="O22" t="s">
        <v>247</v>
      </c>
      <c r="P22" t="s">
        <v>247</v>
      </c>
      <c r="Q22">
        <v>1</v>
      </c>
      <c r="W22">
        <v>0</v>
      </c>
      <c r="X22">
        <v>1682852000</v>
      </c>
      <c r="Y22">
        <f t="shared" si="0"/>
        <v>57.76</v>
      </c>
      <c r="AA22">
        <v>0</v>
      </c>
      <c r="AB22">
        <v>0</v>
      </c>
      <c r="AC22">
        <v>0</v>
      </c>
      <c r="AD22">
        <v>343.49</v>
      </c>
      <c r="AE22">
        <v>0</v>
      </c>
      <c r="AF22">
        <v>0</v>
      </c>
      <c r="AG22">
        <v>0</v>
      </c>
      <c r="AH22">
        <v>343.49</v>
      </c>
      <c r="AI22">
        <v>1</v>
      </c>
      <c r="AJ22">
        <v>1</v>
      </c>
      <c r="AK22">
        <v>1</v>
      </c>
      <c r="AL22">
        <v>1</v>
      </c>
      <c r="AM22">
        <v>-2</v>
      </c>
      <c r="AN22">
        <v>0</v>
      </c>
      <c r="AO22">
        <v>0</v>
      </c>
      <c r="AP22">
        <v>1</v>
      </c>
      <c r="AQ22">
        <v>1</v>
      </c>
      <c r="AR22">
        <v>0</v>
      </c>
      <c r="AS22" t="s">
        <v>3</v>
      </c>
      <c r="AT22">
        <v>57.76</v>
      </c>
      <c r="AU22" t="s">
        <v>3</v>
      </c>
      <c r="AV22">
        <v>1</v>
      </c>
      <c r="AW22">
        <v>2</v>
      </c>
      <c r="AX22">
        <v>50253590</v>
      </c>
      <c r="AY22">
        <v>1</v>
      </c>
      <c r="AZ22">
        <v>0</v>
      </c>
      <c r="BA22">
        <v>22</v>
      </c>
      <c r="BB22">
        <v>1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19839.982400000001</v>
      </c>
      <c r="BN22">
        <v>57.76</v>
      </c>
      <c r="BO22">
        <v>0</v>
      </c>
      <c r="BP22">
        <v>1</v>
      </c>
      <c r="BQ22">
        <v>0</v>
      </c>
      <c r="BR22">
        <v>0</v>
      </c>
      <c r="BS22">
        <v>0</v>
      </c>
      <c r="BT22">
        <v>19839.982400000001</v>
      </c>
      <c r="BU22">
        <v>57.76</v>
      </c>
      <c r="BV22">
        <v>0</v>
      </c>
      <c r="BW22">
        <v>1</v>
      </c>
      <c r="CU22">
        <f>ROUND(AT22*Source!I33*AH22*AL22,2)</f>
        <v>1269.76</v>
      </c>
      <c r="CV22">
        <f>ROUND(Y22*Source!I33,7)</f>
        <v>3.6966399999999999</v>
      </c>
      <c r="CW22">
        <v>0</v>
      </c>
      <c r="CX22">
        <f>ROUND(Y22*Source!I33,7)</f>
        <v>3.6966399999999999</v>
      </c>
      <c r="CY22">
        <f>AD22</f>
        <v>343.49</v>
      </c>
      <c r="CZ22">
        <f>AH22</f>
        <v>343.49</v>
      </c>
      <c r="DA22">
        <f>AL22</f>
        <v>1</v>
      </c>
      <c r="DB22">
        <f t="shared" si="1"/>
        <v>19839.98</v>
      </c>
      <c r="DC22">
        <f t="shared" si="2"/>
        <v>0</v>
      </c>
      <c r="DD22" t="s">
        <v>3</v>
      </c>
      <c r="DE22" t="s">
        <v>3</v>
      </c>
      <c r="DF22">
        <f t="shared" si="7"/>
        <v>0</v>
      </c>
      <c r="DG22">
        <f t="shared" si="6"/>
        <v>0</v>
      </c>
      <c r="DH22">
        <f t="shared" si="4"/>
        <v>0</v>
      </c>
      <c r="DI22">
        <f t="shared" si="5"/>
        <v>1269.76</v>
      </c>
      <c r="DJ22">
        <f>DI22</f>
        <v>1269.76</v>
      </c>
      <c r="DK22">
        <v>1</v>
      </c>
      <c r="DL22" t="s">
        <v>3</v>
      </c>
      <c r="DM22">
        <v>0</v>
      </c>
      <c r="DN22" t="s">
        <v>3</v>
      </c>
      <c r="DO22">
        <v>0</v>
      </c>
    </row>
    <row r="23" spans="1:119" x14ac:dyDescent="0.2">
      <c r="A23">
        <f>ROW(Source!A33)</f>
        <v>33</v>
      </c>
      <c r="B23">
        <v>50253415</v>
      </c>
      <c r="C23">
        <v>50253585</v>
      </c>
      <c r="D23">
        <v>49188735</v>
      </c>
      <c r="E23">
        <v>117</v>
      </c>
      <c r="F23">
        <v>1</v>
      </c>
      <c r="G23">
        <v>1</v>
      </c>
      <c r="H23">
        <v>1</v>
      </c>
      <c r="I23" t="s">
        <v>245</v>
      </c>
      <c r="J23" t="s">
        <v>3</v>
      </c>
      <c r="K23" t="s">
        <v>246</v>
      </c>
      <c r="L23">
        <v>1191</v>
      </c>
      <c r="N23">
        <v>1013</v>
      </c>
      <c r="O23" t="s">
        <v>247</v>
      </c>
      <c r="P23" t="s">
        <v>247</v>
      </c>
      <c r="Q23">
        <v>1</v>
      </c>
      <c r="W23">
        <v>0</v>
      </c>
      <c r="X23">
        <v>-1417349443</v>
      </c>
      <c r="Y23">
        <f t="shared" si="0"/>
        <v>15.7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1</v>
      </c>
      <c r="AJ23">
        <v>1</v>
      </c>
      <c r="AK23">
        <v>1</v>
      </c>
      <c r="AL23">
        <v>1</v>
      </c>
      <c r="AM23">
        <v>-2</v>
      </c>
      <c r="AN23">
        <v>0</v>
      </c>
      <c r="AO23">
        <v>0</v>
      </c>
      <c r="AP23">
        <v>1</v>
      </c>
      <c r="AQ23">
        <v>1</v>
      </c>
      <c r="AR23">
        <v>0</v>
      </c>
      <c r="AS23" t="s">
        <v>3</v>
      </c>
      <c r="AT23">
        <v>15.7</v>
      </c>
      <c r="AU23" t="s">
        <v>3</v>
      </c>
      <c r="AV23">
        <v>2</v>
      </c>
      <c r="AW23">
        <v>2</v>
      </c>
      <c r="AX23">
        <v>50253591</v>
      </c>
      <c r="AY23">
        <v>1</v>
      </c>
      <c r="AZ23">
        <v>0</v>
      </c>
      <c r="BA23">
        <v>23</v>
      </c>
      <c r="BB23">
        <v>1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V23">
        <v>0</v>
      </c>
      <c r="CW23">
        <v>0</v>
      </c>
      <c r="CX23">
        <f>ROUND(Y23*Source!I33,7)</f>
        <v>1.0047999999999999</v>
      </c>
      <c r="CY23">
        <f>AD23</f>
        <v>0</v>
      </c>
      <c r="CZ23">
        <f>AH23</f>
        <v>0</v>
      </c>
      <c r="DA23">
        <f>AL23</f>
        <v>1</v>
      </c>
      <c r="DB23">
        <f t="shared" si="1"/>
        <v>0</v>
      </c>
      <c r="DC23">
        <f t="shared" si="2"/>
        <v>0</v>
      </c>
      <c r="DD23" t="s">
        <v>3</v>
      </c>
      <c r="DE23" t="s">
        <v>3</v>
      </c>
      <c r="DF23">
        <f t="shared" si="7"/>
        <v>0</v>
      </c>
      <c r="DG23">
        <f t="shared" si="6"/>
        <v>0</v>
      </c>
      <c r="DH23">
        <f t="shared" si="4"/>
        <v>0</v>
      </c>
      <c r="DI23">
        <f t="shared" si="5"/>
        <v>0</v>
      </c>
      <c r="DJ23">
        <f>DI23</f>
        <v>0</v>
      </c>
      <c r="DK23">
        <v>0</v>
      </c>
      <c r="DL23" t="s">
        <v>3</v>
      </c>
      <c r="DM23">
        <v>0</v>
      </c>
      <c r="DN23" t="s">
        <v>3</v>
      </c>
      <c r="DO23">
        <v>0</v>
      </c>
    </row>
    <row r="24" spans="1:119" x14ac:dyDescent="0.2">
      <c r="A24">
        <f>ROW(Source!A33)</f>
        <v>33</v>
      </c>
      <c r="B24">
        <v>50253415</v>
      </c>
      <c r="C24">
        <v>50253585</v>
      </c>
      <c r="D24">
        <v>49196327</v>
      </c>
      <c r="E24">
        <v>1</v>
      </c>
      <c r="F24">
        <v>1</v>
      </c>
      <c r="G24">
        <v>1</v>
      </c>
      <c r="H24">
        <v>2</v>
      </c>
      <c r="I24" t="s">
        <v>299</v>
      </c>
      <c r="J24" t="s">
        <v>300</v>
      </c>
      <c r="K24" t="s">
        <v>301</v>
      </c>
      <c r="L24">
        <v>1368</v>
      </c>
      <c r="N24">
        <v>1011</v>
      </c>
      <c r="O24" t="s">
        <v>251</v>
      </c>
      <c r="P24" t="s">
        <v>251</v>
      </c>
      <c r="Q24">
        <v>1</v>
      </c>
      <c r="W24">
        <v>0</v>
      </c>
      <c r="X24">
        <v>1282244495</v>
      </c>
      <c r="Y24">
        <f t="shared" si="0"/>
        <v>15.7</v>
      </c>
      <c r="AA24">
        <v>0</v>
      </c>
      <c r="AB24">
        <v>426.27</v>
      </c>
      <c r="AC24">
        <v>396.79</v>
      </c>
      <c r="AD24">
        <v>0</v>
      </c>
      <c r="AE24">
        <v>0</v>
      </c>
      <c r="AF24">
        <v>426.27</v>
      </c>
      <c r="AG24">
        <v>396.79</v>
      </c>
      <c r="AH24">
        <v>0</v>
      </c>
      <c r="AI24">
        <v>1</v>
      </c>
      <c r="AJ24">
        <v>1</v>
      </c>
      <c r="AK24">
        <v>1</v>
      </c>
      <c r="AL24">
        <v>1</v>
      </c>
      <c r="AM24">
        <v>-2</v>
      </c>
      <c r="AN24">
        <v>0</v>
      </c>
      <c r="AO24">
        <v>0</v>
      </c>
      <c r="AP24">
        <v>1</v>
      </c>
      <c r="AQ24">
        <v>1</v>
      </c>
      <c r="AR24">
        <v>0</v>
      </c>
      <c r="AS24" t="s">
        <v>3</v>
      </c>
      <c r="AT24">
        <v>15.7</v>
      </c>
      <c r="AU24" t="s">
        <v>3</v>
      </c>
      <c r="AV24">
        <v>1</v>
      </c>
      <c r="AW24">
        <v>2</v>
      </c>
      <c r="AX24">
        <v>50253592</v>
      </c>
      <c r="AY24">
        <v>1</v>
      </c>
      <c r="AZ24">
        <v>0</v>
      </c>
      <c r="BA24">
        <v>24</v>
      </c>
      <c r="BB24">
        <v>1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6692.4389999999994</v>
      </c>
      <c r="BL24">
        <v>6229.6030000000001</v>
      </c>
      <c r="BM24">
        <v>0</v>
      </c>
      <c r="BN24">
        <v>0</v>
      </c>
      <c r="BO24">
        <v>15.7</v>
      </c>
      <c r="BP24">
        <v>1</v>
      </c>
      <c r="BQ24">
        <v>0</v>
      </c>
      <c r="BR24">
        <v>6692.4389999999994</v>
      </c>
      <c r="BS24">
        <v>6229.6030000000001</v>
      </c>
      <c r="BT24">
        <v>0</v>
      </c>
      <c r="BU24">
        <v>0</v>
      </c>
      <c r="BV24">
        <v>15.7</v>
      </c>
      <c r="BW24">
        <v>1</v>
      </c>
      <c r="CV24">
        <v>0</v>
      </c>
      <c r="CW24">
        <f>ROUND(Y24*Source!I33*DO24,7)</f>
        <v>1.0047999999999999</v>
      </c>
      <c r="CX24">
        <f>ROUND(Y24*Source!I33,7)</f>
        <v>1.0047999999999999</v>
      </c>
      <c r="CY24">
        <f>AB24</f>
        <v>426.27</v>
      </c>
      <c r="CZ24">
        <f>AF24</f>
        <v>426.27</v>
      </c>
      <c r="DA24">
        <f>AJ24</f>
        <v>1</v>
      </c>
      <c r="DB24">
        <f t="shared" si="1"/>
        <v>6692.44</v>
      </c>
      <c r="DC24">
        <f t="shared" si="2"/>
        <v>6229.6</v>
      </c>
      <c r="DD24" t="s">
        <v>3</v>
      </c>
      <c r="DE24" t="s">
        <v>3</v>
      </c>
      <c r="DF24">
        <f t="shared" si="7"/>
        <v>0</v>
      </c>
      <c r="DG24">
        <f t="shared" si="6"/>
        <v>428.32</v>
      </c>
      <c r="DH24">
        <f t="shared" si="4"/>
        <v>398.69</v>
      </c>
      <c r="DI24">
        <f t="shared" si="5"/>
        <v>0</v>
      </c>
      <c r="DJ24">
        <f>DG24+DH24</f>
        <v>827.01</v>
      </c>
      <c r="DK24">
        <v>1</v>
      </c>
      <c r="DL24" t="s">
        <v>265</v>
      </c>
      <c r="DM24">
        <v>4</v>
      </c>
      <c r="DN24" t="s">
        <v>247</v>
      </c>
      <c r="DO24">
        <v>1</v>
      </c>
    </row>
    <row r="25" spans="1:119" x14ac:dyDescent="0.2">
      <c r="A25">
        <f>ROW(Source!A33)</f>
        <v>33</v>
      </c>
      <c r="B25">
        <v>50253415</v>
      </c>
      <c r="C25">
        <v>50253585</v>
      </c>
      <c r="D25">
        <v>49196724</v>
      </c>
      <c r="E25">
        <v>1</v>
      </c>
      <c r="F25">
        <v>1</v>
      </c>
      <c r="G25">
        <v>1</v>
      </c>
      <c r="H25">
        <v>2</v>
      </c>
      <c r="I25" t="s">
        <v>302</v>
      </c>
      <c r="J25" t="s">
        <v>303</v>
      </c>
      <c r="K25" t="s">
        <v>304</v>
      </c>
      <c r="L25">
        <v>1368</v>
      </c>
      <c r="N25">
        <v>1011</v>
      </c>
      <c r="O25" t="s">
        <v>251</v>
      </c>
      <c r="P25" t="s">
        <v>251</v>
      </c>
      <c r="Q25">
        <v>1</v>
      </c>
      <c r="W25">
        <v>0</v>
      </c>
      <c r="X25">
        <v>584770812</v>
      </c>
      <c r="Y25">
        <f t="shared" si="0"/>
        <v>47.1</v>
      </c>
      <c r="AA25">
        <v>0</v>
      </c>
      <c r="AB25">
        <v>3.1</v>
      </c>
      <c r="AC25">
        <v>0</v>
      </c>
      <c r="AD25">
        <v>0</v>
      </c>
      <c r="AE25">
        <v>0</v>
      </c>
      <c r="AF25">
        <v>2.11</v>
      </c>
      <c r="AG25">
        <v>0</v>
      </c>
      <c r="AH25">
        <v>0</v>
      </c>
      <c r="AI25">
        <v>1</v>
      </c>
      <c r="AJ25">
        <v>1.47</v>
      </c>
      <c r="AK25">
        <v>1</v>
      </c>
      <c r="AL25">
        <v>1</v>
      </c>
      <c r="AM25">
        <v>2</v>
      </c>
      <c r="AN25">
        <v>0</v>
      </c>
      <c r="AO25">
        <v>0</v>
      </c>
      <c r="AP25">
        <v>1</v>
      </c>
      <c r="AQ25">
        <v>1</v>
      </c>
      <c r="AR25">
        <v>0</v>
      </c>
      <c r="AS25" t="s">
        <v>3</v>
      </c>
      <c r="AT25">
        <v>47.1</v>
      </c>
      <c r="AU25" t="s">
        <v>3</v>
      </c>
      <c r="AV25">
        <v>1</v>
      </c>
      <c r="AW25">
        <v>2</v>
      </c>
      <c r="AX25">
        <v>50253593</v>
      </c>
      <c r="AY25">
        <v>1</v>
      </c>
      <c r="AZ25">
        <v>0</v>
      </c>
      <c r="BA25">
        <v>25</v>
      </c>
      <c r="BB25">
        <v>1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99.381</v>
      </c>
      <c r="BL25">
        <v>0</v>
      </c>
      <c r="BM25">
        <v>0</v>
      </c>
      <c r="BN25">
        <v>0</v>
      </c>
      <c r="BO25">
        <v>0</v>
      </c>
      <c r="BP25">
        <v>1</v>
      </c>
      <c r="BQ25">
        <v>0</v>
      </c>
      <c r="BR25">
        <v>99.381</v>
      </c>
      <c r="BS25">
        <v>0</v>
      </c>
      <c r="BT25">
        <v>0</v>
      </c>
      <c r="BU25">
        <v>0</v>
      </c>
      <c r="BV25">
        <v>0</v>
      </c>
      <c r="BW25">
        <v>1</v>
      </c>
      <c r="CV25">
        <v>0</v>
      </c>
      <c r="CW25">
        <f>ROUND(Y25*Source!I33*DO25,7)</f>
        <v>0</v>
      </c>
      <c r="CX25">
        <f>ROUND(Y25*Source!I33,7)</f>
        <v>3.0144000000000002</v>
      </c>
      <c r="CY25">
        <f>AB25</f>
        <v>3.1</v>
      </c>
      <c r="CZ25">
        <f>AF25</f>
        <v>2.11</v>
      </c>
      <c r="DA25">
        <f>AJ25</f>
        <v>1.47</v>
      </c>
      <c r="DB25">
        <f t="shared" si="1"/>
        <v>99.38</v>
      </c>
      <c r="DC25">
        <f t="shared" si="2"/>
        <v>0</v>
      </c>
      <c r="DD25" t="s">
        <v>3</v>
      </c>
      <c r="DE25" t="s">
        <v>3</v>
      </c>
      <c r="DF25">
        <f t="shared" si="7"/>
        <v>0</v>
      </c>
      <c r="DG25">
        <f>ROUND(ROUND(AF25*AJ25,2)*CX25,2)</f>
        <v>9.34</v>
      </c>
      <c r="DH25">
        <f t="shared" si="4"/>
        <v>0</v>
      </c>
      <c r="DI25">
        <f t="shared" si="5"/>
        <v>0</v>
      </c>
      <c r="DJ25">
        <f>DG25+DH25</f>
        <v>9.34</v>
      </c>
      <c r="DK25">
        <v>0</v>
      </c>
      <c r="DL25" t="s">
        <v>3</v>
      </c>
      <c r="DM25">
        <v>0</v>
      </c>
      <c r="DN25" t="s">
        <v>3</v>
      </c>
      <c r="DO25">
        <v>0</v>
      </c>
    </row>
    <row r="26" spans="1:119" x14ac:dyDescent="0.2">
      <c r="A26">
        <f>ROW(Source!A34)</f>
        <v>34</v>
      </c>
      <c r="B26">
        <v>50253415</v>
      </c>
      <c r="C26">
        <v>50253594</v>
      </c>
      <c r="D26">
        <v>49188543</v>
      </c>
      <c r="E26">
        <v>117</v>
      </c>
      <c r="F26">
        <v>1</v>
      </c>
      <c r="G26">
        <v>1</v>
      </c>
      <c r="H26">
        <v>1</v>
      </c>
      <c r="I26" t="s">
        <v>305</v>
      </c>
      <c r="J26" t="s">
        <v>3</v>
      </c>
      <c r="K26" t="s">
        <v>306</v>
      </c>
      <c r="L26">
        <v>1191</v>
      </c>
      <c r="N26">
        <v>1013</v>
      </c>
      <c r="O26" t="s">
        <v>247</v>
      </c>
      <c r="P26" t="s">
        <v>247</v>
      </c>
      <c r="Q26">
        <v>1</v>
      </c>
      <c r="W26">
        <v>0</v>
      </c>
      <c r="X26">
        <v>1426738182</v>
      </c>
      <c r="Y26">
        <f t="shared" si="0"/>
        <v>68.260000000000005</v>
      </c>
      <c r="AA26">
        <v>0</v>
      </c>
      <c r="AB26">
        <v>0</v>
      </c>
      <c r="AC26">
        <v>0</v>
      </c>
      <c r="AD26">
        <v>356.81</v>
      </c>
      <c r="AE26">
        <v>0</v>
      </c>
      <c r="AF26">
        <v>0</v>
      </c>
      <c r="AG26">
        <v>0</v>
      </c>
      <c r="AH26">
        <v>356.81</v>
      </c>
      <c r="AI26">
        <v>1</v>
      </c>
      <c r="AJ26">
        <v>1</v>
      </c>
      <c r="AK26">
        <v>1</v>
      </c>
      <c r="AL26">
        <v>1</v>
      </c>
      <c r="AM26">
        <v>-2</v>
      </c>
      <c r="AN26">
        <v>0</v>
      </c>
      <c r="AO26">
        <v>0</v>
      </c>
      <c r="AP26">
        <v>1</v>
      </c>
      <c r="AQ26">
        <v>1</v>
      </c>
      <c r="AR26">
        <v>0</v>
      </c>
      <c r="AS26" t="s">
        <v>3</v>
      </c>
      <c r="AT26">
        <v>68.260000000000005</v>
      </c>
      <c r="AU26" t="s">
        <v>3</v>
      </c>
      <c r="AV26">
        <v>1</v>
      </c>
      <c r="AW26">
        <v>2</v>
      </c>
      <c r="AX26">
        <v>50253599</v>
      </c>
      <c r="AY26">
        <v>1</v>
      </c>
      <c r="AZ26">
        <v>0</v>
      </c>
      <c r="BA26">
        <v>26</v>
      </c>
      <c r="BB26">
        <v>1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24355.850600000002</v>
      </c>
      <c r="BN26">
        <v>68.260000000000005</v>
      </c>
      <c r="BO26">
        <v>0</v>
      </c>
      <c r="BP26">
        <v>1</v>
      </c>
      <c r="BQ26">
        <v>0</v>
      </c>
      <c r="BR26">
        <v>0</v>
      </c>
      <c r="BS26">
        <v>0</v>
      </c>
      <c r="BT26">
        <v>24355.850600000002</v>
      </c>
      <c r="BU26">
        <v>68.260000000000005</v>
      </c>
      <c r="BV26">
        <v>0</v>
      </c>
      <c r="BW26">
        <v>1</v>
      </c>
      <c r="CU26">
        <f>ROUND(AT26*Source!I34*AH26*AL26,2)</f>
        <v>10229.459999999999</v>
      </c>
      <c r="CV26">
        <f>ROUND(Y26*Source!I34,7)</f>
        <v>28.6692</v>
      </c>
      <c r="CW26">
        <v>0</v>
      </c>
      <c r="CX26">
        <f>ROUND(Y26*Source!I34,7)</f>
        <v>28.6692</v>
      </c>
      <c r="CY26">
        <f>AD26</f>
        <v>356.81</v>
      </c>
      <c r="CZ26">
        <f>AH26</f>
        <v>356.81</v>
      </c>
      <c r="DA26">
        <f>AL26</f>
        <v>1</v>
      </c>
      <c r="DB26">
        <f t="shared" si="1"/>
        <v>24355.85</v>
      </c>
      <c r="DC26">
        <f t="shared" si="2"/>
        <v>0</v>
      </c>
      <c r="DD26" t="s">
        <v>3</v>
      </c>
      <c r="DE26" t="s">
        <v>3</v>
      </c>
      <c r="DF26">
        <f t="shared" si="7"/>
        <v>0</v>
      </c>
      <c r="DG26">
        <f>ROUND(ROUND(AF26,2)*CX26,2)</f>
        <v>0</v>
      </c>
      <c r="DH26">
        <f t="shared" si="4"/>
        <v>0</v>
      </c>
      <c r="DI26">
        <f t="shared" si="5"/>
        <v>10229.459999999999</v>
      </c>
      <c r="DJ26">
        <f>DI26</f>
        <v>10229.459999999999</v>
      </c>
      <c r="DK26">
        <v>1</v>
      </c>
      <c r="DL26" t="s">
        <v>3</v>
      </c>
      <c r="DM26">
        <v>0</v>
      </c>
      <c r="DN26" t="s">
        <v>3</v>
      </c>
      <c r="DO26">
        <v>0</v>
      </c>
    </row>
    <row r="27" spans="1:119" x14ac:dyDescent="0.2">
      <c r="A27">
        <f>ROW(Source!A34)</f>
        <v>34</v>
      </c>
      <c r="B27">
        <v>50253415</v>
      </c>
      <c r="C27">
        <v>50253594</v>
      </c>
      <c r="D27">
        <v>49188735</v>
      </c>
      <c r="E27">
        <v>117</v>
      </c>
      <c r="F27">
        <v>1</v>
      </c>
      <c r="G27">
        <v>1</v>
      </c>
      <c r="H27">
        <v>1</v>
      </c>
      <c r="I27" t="s">
        <v>245</v>
      </c>
      <c r="J27" t="s">
        <v>3</v>
      </c>
      <c r="K27" t="s">
        <v>246</v>
      </c>
      <c r="L27">
        <v>1191</v>
      </c>
      <c r="N27">
        <v>1013</v>
      </c>
      <c r="O27" t="s">
        <v>247</v>
      </c>
      <c r="P27" t="s">
        <v>247</v>
      </c>
      <c r="Q27">
        <v>1</v>
      </c>
      <c r="W27">
        <v>0</v>
      </c>
      <c r="X27">
        <v>-1417349443</v>
      </c>
      <c r="Y27">
        <f t="shared" si="0"/>
        <v>9.4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1</v>
      </c>
      <c r="AJ27">
        <v>1</v>
      </c>
      <c r="AK27">
        <v>1</v>
      </c>
      <c r="AL27">
        <v>1</v>
      </c>
      <c r="AM27">
        <v>-2</v>
      </c>
      <c r="AN27">
        <v>0</v>
      </c>
      <c r="AO27">
        <v>0</v>
      </c>
      <c r="AP27">
        <v>1</v>
      </c>
      <c r="AQ27">
        <v>1</v>
      </c>
      <c r="AR27">
        <v>0</v>
      </c>
      <c r="AS27" t="s">
        <v>3</v>
      </c>
      <c r="AT27">
        <v>9.4</v>
      </c>
      <c r="AU27" t="s">
        <v>3</v>
      </c>
      <c r="AV27">
        <v>2</v>
      </c>
      <c r="AW27">
        <v>2</v>
      </c>
      <c r="AX27">
        <v>50253600</v>
      </c>
      <c r="AY27">
        <v>1</v>
      </c>
      <c r="AZ27">
        <v>0</v>
      </c>
      <c r="BA27">
        <v>27</v>
      </c>
      <c r="BB27">
        <v>1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V27">
        <v>0</v>
      </c>
      <c r="CW27">
        <v>0</v>
      </c>
      <c r="CX27">
        <f>ROUND(Y27*Source!I34,7)</f>
        <v>3.948</v>
      </c>
      <c r="CY27">
        <f>AD27</f>
        <v>0</v>
      </c>
      <c r="CZ27">
        <f>AH27</f>
        <v>0</v>
      </c>
      <c r="DA27">
        <f>AL27</f>
        <v>1</v>
      </c>
      <c r="DB27">
        <f t="shared" si="1"/>
        <v>0</v>
      </c>
      <c r="DC27">
        <f t="shared" si="2"/>
        <v>0</v>
      </c>
      <c r="DD27" t="s">
        <v>3</v>
      </c>
      <c r="DE27" t="s">
        <v>3</v>
      </c>
      <c r="DF27">
        <f t="shared" si="7"/>
        <v>0</v>
      </c>
      <c r="DG27">
        <f>ROUND(ROUND(AF27,2)*CX27,2)</f>
        <v>0</v>
      </c>
      <c r="DH27">
        <f t="shared" si="4"/>
        <v>0</v>
      </c>
      <c r="DI27">
        <f t="shared" si="5"/>
        <v>0</v>
      </c>
      <c r="DJ27">
        <f>DI27</f>
        <v>0</v>
      </c>
      <c r="DK27">
        <v>0</v>
      </c>
      <c r="DL27" t="s">
        <v>3</v>
      </c>
      <c r="DM27">
        <v>0</v>
      </c>
      <c r="DN27" t="s">
        <v>3</v>
      </c>
      <c r="DO27">
        <v>0</v>
      </c>
    </row>
    <row r="28" spans="1:119" x14ac:dyDescent="0.2">
      <c r="A28">
        <f>ROW(Source!A34)</f>
        <v>34</v>
      </c>
      <c r="B28">
        <v>50253415</v>
      </c>
      <c r="C28">
        <v>50253594</v>
      </c>
      <c r="D28">
        <v>49196327</v>
      </c>
      <c r="E28">
        <v>1</v>
      </c>
      <c r="F28">
        <v>1</v>
      </c>
      <c r="G28">
        <v>1</v>
      </c>
      <c r="H28">
        <v>2</v>
      </c>
      <c r="I28" t="s">
        <v>299</v>
      </c>
      <c r="J28" t="s">
        <v>300</v>
      </c>
      <c r="K28" t="s">
        <v>301</v>
      </c>
      <c r="L28">
        <v>1368</v>
      </c>
      <c r="N28">
        <v>1011</v>
      </c>
      <c r="O28" t="s">
        <v>251</v>
      </c>
      <c r="P28" t="s">
        <v>251</v>
      </c>
      <c r="Q28">
        <v>1</v>
      </c>
      <c r="W28">
        <v>0</v>
      </c>
      <c r="X28">
        <v>1282244495</v>
      </c>
      <c r="Y28">
        <f t="shared" si="0"/>
        <v>9.4</v>
      </c>
      <c r="AA28">
        <v>0</v>
      </c>
      <c r="AB28">
        <v>426.27</v>
      </c>
      <c r="AC28">
        <v>396.79</v>
      </c>
      <c r="AD28">
        <v>0</v>
      </c>
      <c r="AE28">
        <v>0</v>
      </c>
      <c r="AF28">
        <v>426.27</v>
      </c>
      <c r="AG28">
        <v>396.79</v>
      </c>
      <c r="AH28">
        <v>0</v>
      </c>
      <c r="AI28">
        <v>1</v>
      </c>
      <c r="AJ28">
        <v>1</v>
      </c>
      <c r="AK28">
        <v>1</v>
      </c>
      <c r="AL28">
        <v>1</v>
      </c>
      <c r="AM28">
        <v>-2</v>
      </c>
      <c r="AN28">
        <v>0</v>
      </c>
      <c r="AO28">
        <v>0</v>
      </c>
      <c r="AP28">
        <v>1</v>
      </c>
      <c r="AQ28">
        <v>1</v>
      </c>
      <c r="AR28">
        <v>0</v>
      </c>
      <c r="AS28" t="s">
        <v>3</v>
      </c>
      <c r="AT28">
        <v>9.4</v>
      </c>
      <c r="AU28" t="s">
        <v>3</v>
      </c>
      <c r="AV28">
        <v>1</v>
      </c>
      <c r="AW28">
        <v>2</v>
      </c>
      <c r="AX28">
        <v>50253601</v>
      </c>
      <c r="AY28">
        <v>1</v>
      </c>
      <c r="AZ28">
        <v>0</v>
      </c>
      <c r="BA28">
        <v>28</v>
      </c>
      <c r="BB28">
        <v>1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4006.9380000000001</v>
      </c>
      <c r="BL28">
        <v>3729.8260000000005</v>
      </c>
      <c r="BM28">
        <v>0</v>
      </c>
      <c r="BN28">
        <v>0</v>
      </c>
      <c r="BO28">
        <v>9.4</v>
      </c>
      <c r="BP28">
        <v>1</v>
      </c>
      <c r="BQ28">
        <v>0</v>
      </c>
      <c r="BR28">
        <v>4006.9380000000001</v>
      </c>
      <c r="BS28">
        <v>3729.8260000000005</v>
      </c>
      <c r="BT28">
        <v>0</v>
      </c>
      <c r="BU28">
        <v>0</v>
      </c>
      <c r="BV28">
        <v>9.4</v>
      </c>
      <c r="BW28">
        <v>1</v>
      </c>
      <c r="CV28">
        <v>0</v>
      </c>
      <c r="CW28">
        <f>ROUND(Y28*Source!I34*DO28,7)</f>
        <v>3.948</v>
      </c>
      <c r="CX28">
        <f>ROUND(Y28*Source!I34,7)</f>
        <v>3.948</v>
      </c>
      <c r="CY28">
        <f>AB28</f>
        <v>426.27</v>
      </c>
      <c r="CZ28">
        <f>AF28</f>
        <v>426.27</v>
      </c>
      <c r="DA28">
        <f>AJ28</f>
        <v>1</v>
      </c>
      <c r="DB28">
        <f t="shared" si="1"/>
        <v>4006.94</v>
      </c>
      <c r="DC28">
        <f t="shared" si="2"/>
        <v>3729.83</v>
      </c>
      <c r="DD28" t="s">
        <v>3</v>
      </c>
      <c r="DE28" t="s">
        <v>3</v>
      </c>
      <c r="DF28">
        <f t="shared" si="7"/>
        <v>0</v>
      </c>
      <c r="DG28">
        <f>ROUND(ROUND(AF28,2)*CX28,2)</f>
        <v>1682.91</v>
      </c>
      <c r="DH28">
        <f t="shared" si="4"/>
        <v>1566.53</v>
      </c>
      <c r="DI28">
        <f t="shared" si="5"/>
        <v>0</v>
      </c>
      <c r="DJ28">
        <f>DG28+DH28</f>
        <v>3249.44</v>
      </c>
      <c r="DK28">
        <v>1</v>
      </c>
      <c r="DL28" t="s">
        <v>265</v>
      </c>
      <c r="DM28">
        <v>4</v>
      </c>
      <c r="DN28" t="s">
        <v>247</v>
      </c>
      <c r="DO28">
        <v>1</v>
      </c>
    </row>
    <row r="29" spans="1:119" x14ac:dyDescent="0.2">
      <c r="A29">
        <f>ROW(Source!A34)</f>
        <v>34</v>
      </c>
      <c r="B29">
        <v>50253415</v>
      </c>
      <c r="C29">
        <v>50253594</v>
      </c>
      <c r="D29">
        <v>49196724</v>
      </c>
      <c r="E29">
        <v>1</v>
      </c>
      <c r="F29">
        <v>1</v>
      </c>
      <c r="G29">
        <v>1</v>
      </c>
      <c r="H29">
        <v>2</v>
      </c>
      <c r="I29" t="s">
        <v>302</v>
      </c>
      <c r="J29" t="s">
        <v>303</v>
      </c>
      <c r="K29" t="s">
        <v>304</v>
      </c>
      <c r="L29">
        <v>1368</v>
      </c>
      <c r="N29">
        <v>1011</v>
      </c>
      <c r="O29" t="s">
        <v>251</v>
      </c>
      <c r="P29" t="s">
        <v>251</v>
      </c>
      <c r="Q29">
        <v>1</v>
      </c>
      <c r="W29">
        <v>0</v>
      </c>
      <c r="X29">
        <v>584770812</v>
      </c>
      <c r="Y29">
        <f t="shared" si="0"/>
        <v>28.2</v>
      </c>
      <c r="AA29">
        <v>0</v>
      </c>
      <c r="AB29">
        <v>3.1</v>
      </c>
      <c r="AC29">
        <v>0</v>
      </c>
      <c r="AD29">
        <v>0</v>
      </c>
      <c r="AE29">
        <v>0</v>
      </c>
      <c r="AF29">
        <v>2.11</v>
      </c>
      <c r="AG29">
        <v>0</v>
      </c>
      <c r="AH29">
        <v>0</v>
      </c>
      <c r="AI29">
        <v>1</v>
      </c>
      <c r="AJ29">
        <v>1.47</v>
      </c>
      <c r="AK29">
        <v>1</v>
      </c>
      <c r="AL29">
        <v>1</v>
      </c>
      <c r="AM29">
        <v>2</v>
      </c>
      <c r="AN29">
        <v>0</v>
      </c>
      <c r="AO29">
        <v>0</v>
      </c>
      <c r="AP29">
        <v>1</v>
      </c>
      <c r="AQ29">
        <v>1</v>
      </c>
      <c r="AR29">
        <v>0</v>
      </c>
      <c r="AS29" t="s">
        <v>3</v>
      </c>
      <c r="AT29">
        <v>28.2</v>
      </c>
      <c r="AU29" t="s">
        <v>3</v>
      </c>
      <c r="AV29">
        <v>1</v>
      </c>
      <c r="AW29">
        <v>2</v>
      </c>
      <c r="AX29">
        <v>50253602</v>
      </c>
      <c r="AY29">
        <v>1</v>
      </c>
      <c r="AZ29">
        <v>0</v>
      </c>
      <c r="BA29">
        <v>29</v>
      </c>
      <c r="BB29">
        <v>1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59.501999999999995</v>
      </c>
      <c r="BL29">
        <v>0</v>
      </c>
      <c r="BM29">
        <v>0</v>
      </c>
      <c r="BN29">
        <v>0</v>
      </c>
      <c r="BO29">
        <v>0</v>
      </c>
      <c r="BP29">
        <v>1</v>
      </c>
      <c r="BQ29">
        <v>0</v>
      </c>
      <c r="BR29">
        <v>59.501999999999995</v>
      </c>
      <c r="BS29">
        <v>0</v>
      </c>
      <c r="BT29">
        <v>0</v>
      </c>
      <c r="BU29">
        <v>0</v>
      </c>
      <c r="BV29">
        <v>0</v>
      </c>
      <c r="BW29">
        <v>1</v>
      </c>
      <c r="CV29">
        <v>0</v>
      </c>
      <c r="CW29">
        <f>ROUND(Y29*Source!I34*DO29,7)</f>
        <v>0</v>
      </c>
      <c r="CX29">
        <f>ROUND(Y29*Source!I34,7)</f>
        <v>11.843999999999999</v>
      </c>
      <c r="CY29">
        <f>AB29</f>
        <v>3.1</v>
      </c>
      <c r="CZ29">
        <f>AF29</f>
        <v>2.11</v>
      </c>
      <c r="DA29">
        <f>AJ29</f>
        <v>1.47</v>
      </c>
      <c r="DB29">
        <f t="shared" si="1"/>
        <v>59.5</v>
      </c>
      <c r="DC29">
        <f t="shared" si="2"/>
        <v>0</v>
      </c>
      <c r="DD29" t="s">
        <v>3</v>
      </c>
      <c r="DE29" t="s">
        <v>3</v>
      </c>
      <c r="DF29">
        <f t="shared" si="7"/>
        <v>0</v>
      </c>
      <c r="DG29">
        <f>ROUND(ROUND(AF29*AJ29,2)*CX29,2)</f>
        <v>36.72</v>
      </c>
      <c r="DH29">
        <f t="shared" si="4"/>
        <v>0</v>
      </c>
      <c r="DI29">
        <f t="shared" si="5"/>
        <v>0</v>
      </c>
      <c r="DJ29">
        <f>DG29+DH29</f>
        <v>36.72</v>
      </c>
      <c r="DK29">
        <v>0</v>
      </c>
      <c r="DL29" t="s">
        <v>3</v>
      </c>
      <c r="DM29">
        <v>0</v>
      </c>
      <c r="DN29" t="s">
        <v>3</v>
      </c>
      <c r="DO29">
        <v>0</v>
      </c>
    </row>
    <row r="30" spans="1:119" x14ac:dyDescent="0.2">
      <c r="A30">
        <f>ROW(Source!A35)</f>
        <v>35</v>
      </c>
      <c r="B30">
        <v>50253415</v>
      </c>
      <c r="C30">
        <v>50253603</v>
      </c>
      <c r="D30">
        <v>49188535</v>
      </c>
      <c r="E30">
        <v>117</v>
      </c>
      <c r="F30">
        <v>1</v>
      </c>
      <c r="G30">
        <v>1</v>
      </c>
      <c r="H30">
        <v>1</v>
      </c>
      <c r="I30" t="s">
        <v>307</v>
      </c>
      <c r="J30" t="s">
        <v>3</v>
      </c>
      <c r="K30" t="s">
        <v>308</v>
      </c>
      <c r="L30">
        <v>1191</v>
      </c>
      <c r="N30">
        <v>1013</v>
      </c>
      <c r="O30" t="s">
        <v>247</v>
      </c>
      <c r="P30" t="s">
        <v>247</v>
      </c>
      <c r="Q30">
        <v>1</v>
      </c>
      <c r="W30">
        <v>0</v>
      </c>
      <c r="X30">
        <v>-907905829</v>
      </c>
      <c r="Y30">
        <f t="shared" si="0"/>
        <v>54.1</v>
      </c>
      <c r="AA30">
        <v>0</v>
      </c>
      <c r="AB30">
        <v>0</v>
      </c>
      <c r="AC30">
        <v>0</v>
      </c>
      <c r="AD30">
        <v>346.45</v>
      </c>
      <c r="AE30">
        <v>0</v>
      </c>
      <c r="AF30">
        <v>0</v>
      </c>
      <c r="AG30">
        <v>0</v>
      </c>
      <c r="AH30">
        <v>346.45</v>
      </c>
      <c r="AI30">
        <v>1</v>
      </c>
      <c r="AJ30">
        <v>1</v>
      </c>
      <c r="AK30">
        <v>1</v>
      </c>
      <c r="AL30">
        <v>1</v>
      </c>
      <c r="AM30">
        <v>-2</v>
      </c>
      <c r="AN30">
        <v>0</v>
      </c>
      <c r="AO30">
        <v>0</v>
      </c>
      <c r="AP30">
        <v>1</v>
      </c>
      <c r="AQ30">
        <v>1</v>
      </c>
      <c r="AR30">
        <v>0</v>
      </c>
      <c r="AS30" t="s">
        <v>3</v>
      </c>
      <c r="AT30">
        <v>54.1</v>
      </c>
      <c r="AU30" t="s">
        <v>3</v>
      </c>
      <c r="AV30">
        <v>1</v>
      </c>
      <c r="AW30">
        <v>2</v>
      </c>
      <c r="AX30">
        <v>50253618</v>
      </c>
      <c r="AY30">
        <v>1</v>
      </c>
      <c r="AZ30">
        <v>0</v>
      </c>
      <c r="BA30">
        <v>30</v>
      </c>
      <c r="BB30">
        <v>1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18742.945</v>
      </c>
      <c r="BN30">
        <v>54.1</v>
      </c>
      <c r="BO30">
        <v>0</v>
      </c>
      <c r="BP30">
        <v>1</v>
      </c>
      <c r="BQ30">
        <v>0</v>
      </c>
      <c r="BR30">
        <v>0</v>
      </c>
      <c r="BS30">
        <v>0</v>
      </c>
      <c r="BT30">
        <v>18742.945</v>
      </c>
      <c r="BU30">
        <v>54.1</v>
      </c>
      <c r="BV30">
        <v>0</v>
      </c>
      <c r="BW30">
        <v>1</v>
      </c>
      <c r="CU30">
        <f>ROUND(AT30*Source!I35*AH30*AL30,2)</f>
        <v>74971.78</v>
      </c>
      <c r="CV30">
        <f>ROUND(Y30*Source!I35,7)</f>
        <v>216.4</v>
      </c>
      <c r="CW30">
        <v>0</v>
      </c>
      <c r="CX30">
        <f>ROUND(Y30*Source!I35,7)</f>
        <v>216.4</v>
      </c>
      <c r="CY30">
        <f>AD30</f>
        <v>346.45</v>
      </c>
      <c r="CZ30">
        <f>AH30</f>
        <v>346.45</v>
      </c>
      <c r="DA30">
        <f>AL30</f>
        <v>1</v>
      </c>
      <c r="DB30">
        <f t="shared" si="1"/>
        <v>18742.95</v>
      </c>
      <c r="DC30">
        <f t="shared" si="2"/>
        <v>0</v>
      </c>
      <c r="DD30" t="s">
        <v>3</v>
      </c>
      <c r="DE30" t="s">
        <v>3</v>
      </c>
      <c r="DF30">
        <f t="shared" si="7"/>
        <v>0</v>
      </c>
      <c r="DG30">
        <f>ROUND(ROUND(AF30,2)*CX30,2)</f>
        <v>0</v>
      </c>
      <c r="DH30">
        <f t="shared" si="4"/>
        <v>0</v>
      </c>
      <c r="DI30">
        <f t="shared" si="5"/>
        <v>74971.78</v>
      </c>
      <c r="DJ30">
        <f>DI30</f>
        <v>74971.78</v>
      </c>
      <c r="DK30">
        <v>1</v>
      </c>
      <c r="DL30" t="s">
        <v>3</v>
      </c>
      <c r="DM30">
        <v>0</v>
      </c>
      <c r="DN30" t="s">
        <v>3</v>
      </c>
      <c r="DO30">
        <v>0</v>
      </c>
    </row>
    <row r="31" spans="1:119" x14ac:dyDescent="0.2">
      <c r="A31">
        <f>ROW(Source!A35)</f>
        <v>35</v>
      </c>
      <c r="B31">
        <v>50253415</v>
      </c>
      <c r="C31">
        <v>50253603</v>
      </c>
      <c r="D31">
        <v>49188735</v>
      </c>
      <c r="E31">
        <v>117</v>
      </c>
      <c r="F31">
        <v>1</v>
      </c>
      <c r="G31">
        <v>1</v>
      </c>
      <c r="H31">
        <v>1</v>
      </c>
      <c r="I31" t="s">
        <v>245</v>
      </c>
      <c r="J31" t="s">
        <v>3</v>
      </c>
      <c r="K31" t="s">
        <v>246</v>
      </c>
      <c r="L31">
        <v>1191</v>
      </c>
      <c r="N31">
        <v>1013</v>
      </c>
      <c r="O31" t="s">
        <v>247</v>
      </c>
      <c r="P31" t="s">
        <v>247</v>
      </c>
      <c r="Q31">
        <v>1</v>
      </c>
      <c r="W31">
        <v>0</v>
      </c>
      <c r="X31">
        <v>-1417349443</v>
      </c>
      <c r="Y31">
        <f t="shared" si="0"/>
        <v>6.72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1</v>
      </c>
      <c r="AJ31">
        <v>1</v>
      </c>
      <c r="AK31">
        <v>1</v>
      </c>
      <c r="AL31">
        <v>1</v>
      </c>
      <c r="AM31">
        <v>-2</v>
      </c>
      <c r="AN31">
        <v>0</v>
      </c>
      <c r="AO31">
        <v>0</v>
      </c>
      <c r="AP31">
        <v>1</v>
      </c>
      <c r="AQ31">
        <v>1</v>
      </c>
      <c r="AR31">
        <v>0</v>
      </c>
      <c r="AS31" t="s">
        <v>3</v>
      </c>
      <c r="AT31">
        <v>6.72</v>
      </c>
      <c r="AU31" t="s">
        <v>3</v>
      </c>
      <c r="AV31">
        <v>2</v>
      </c>
      <c r="AW31">
        <v>2</v>
      </c>
      <c r="AX31">
        <v>50253619</v>
      </c>
      <c r="AY31">
        <v>1</v>
      </c>
      <c r="AZ31">
        <v>0</v>
      </c>
      <c r="BA31">
        <v>31</v>
      </c>
      <c r="BB31">
        <v>1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V31">
        <v>0</v>
      </c>
      <c r="CW31">
        <v>0</v>
      </c>
      <c r="CX31">
        <f>ROUND(Y31*Source!I35,7)</f>
        <v>26.88</v>
      </c>
      <c r="CY31">
        <f>AD31</f>
        <v>0</v>
      </c>
      <c r="CZ31">
        <f>AH31</f>
        <v>0</v>
      </c>
      <c r="DA31">
        <f>AL31</f>
        <v>1</v>
      </c>
      <c r="DB31">
        <f t="shared" si="1"/>
        <v>0</v>
      </c>
      <c r="DC31">
        <f t="shared" si="2"/>
        <v>0</v>
      </c>
      <c r="DD31" t="s">
        <v>3</v>
      </c>
      <c r="DE31" t="s">
        <v>3</v>
      </c>
      <c r="DF31">
        <f t="shared" si="7"/>
        <v>0</v>
      </c>
      <c r="DG31">
        <f>ROUND(ROUND(AF31,2)*CX31,2)</f>
        <v>0</v>
      </c>
      <c r="DH31">
        <f t="shared" si="4"/>
        <v>0</v>
      </c>
      <c r="DI31">
        <f t="shared" si="5"/>
        <v>0</v>
      </c>
      <c r="DJ31">
        <f>DI31</f>
        <v>0</v>
      </c>
      <c r="DK31">
        <v>0</v>
      </c>
      <c r="DL31" t="s">
        <v>3</v>
      </c>
      <c r="DM31">
        <v>0</v>
      </c>
      <c r="DN31" t="s">
        <v>3</v>
      </c>
      <c r="DO31">
        <v>0</v>
      </c>
    </row>
    <row r="32" spans="1:119" x14ac:dyDescent="0.2">
      <c r="A32">
        <f>ROW(Source!A35)</f>
        <v>35</v>
      </c>
      <c r="B32">
        <v>50253415</v>
      </c>
      <c r="C32">
        <v>50253603</v>
      </c>
      <c r="D32">
        <v>49195224</v>
      </c>
      <c r="E32">
        <v>1</v>
      </c>
      <c r="F32">
        <v>1</v>
      </c>
      <c r="G32">
        <v>1</v>
      </c>
      <c r="H32">
        <v>2</v>
      </c>
      <c r="I32" t="s">
        <v>274</v>
      </c>
      <c r="J32" t="s">
        <v>275</v>
      </c>
      <c r="K32" t="s">
        <v>276</v>
      </c>
      <c r="L32">
        <v>1368</v>
      </c>
      <c r="N32">
        <v>1011</v>
      </c>
      <c r="O32" t="s">
        <v>251</v>
      </c>
      <c r="P32" t="s">
        <v>251</v>
      </c>
      <c r="Q32">
        <v>1</v>
      </c>
      <c r="W32">
        <v>0</v>
      </c>
      <c r="X32">
        <v>639918019</v>
      </c>
      <c r="Y32">
        <f t="shared" si="0"/>
        <v>5.74</v>
      </c>
      <c r="AA32">
        <v>0</v>
      </c>
      <c r="AB32">
        <v>1720.97</v>
      </c>
      <c r="AC32">
        <v>533</v>
      </c>
      <c r="AD32">
        <v>0</v>
      </c>
      <c r="AE32">
        <v>0</v>
      </c>
      <c r="AF32">
        <v>1720.97</v>
      </c>
      <c r="AG32">
        <v>533</v>
      </c>
      <c r="AH32">
        <v>0</v>
      </c>
      <c r="AI32">
        <v>1</v>
      </c>
      <c r="AJ32">
        <v>1</v>
      </c>
      <c r="AK32">
        <v>1</v>
      </c>
      <c r="AL32">
        <v>1</v>
      </c>
      <c r="AM32">
        <v>-2</v>
      </c>
      <c r="AN32">
        <v>0</v>
      </c>
      <c r="AO32">
        <v>0</v>
      </c>
      <c r="AP32">
        <v>1</v>
      </c>
      <c r="AQ32">
        <v>1</v>
      </c>
      <c r="AR32">
        <v>0</v>
      </c>
      <c r="AS32" t="s">
        <v>3</v>
      </c>
      <c r="AT32">
        <v>5.74</v>
      </c>
      <c r="AU32" t="s">
        <v>3</v>
      </c>
      <c r="AV32">
        <v>1</v>
      </c>
      <c r="AW32">
        <v>2</v>
      </c>
      <c r="AX32">
        <v>50253620</v>
      </c>
      <c r="AY32">
        <v>1</v>
      </c>
      <c r="AZ32">
        <v>0</v>
      </c>
      <c r="BA32">
        <v>32</v>
      </c>
      <c r="BB32">
        <v>1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9878.3678</v>
      </c>
      <c r="BL32">
        <v>3059.42</v>
      </c>
      <c r="BM32">
        <v>0</v>
      </c>
      <c r="BN32">
        <v>0</v>
      </c>
      <c r="BO32">
        <v>5.74</v>
      </c>
      <c r="BP32">
        <v>1</v>
      </c>
      <c r="BQ32">
        <v>0</v>
      </c>
      <c r="BR32">
        <v>9878.3678</v>
      </c>
      <c r="BS32">
        <v>3059.42</v>
      </c>
      <c r="BT32">
        <v>0</v>
      </c>
      <c r="BU32">
        <v>0</v>
      </c>
      <c r="BV32">
        <v>5.74</v>
      </c>
      <c r="BW32">
        <v>1</v>
      </c>
      <c r="CV32">
        <v>0</v>
      </c>
      <c r="CW32">
        <f>ROUND(Y32*Source!I35*DO32,7)</f>
        <v>22.96</v>
      </c>
      <c r="CX32">
        <f>ROUND(Y32*Source!I35,7)</f>
        <v>22.96</v>
      </c>
      <c r="CY32">
        <f>AB32</f>
        <v>1720.97</v>
      </c>
      <c r="CZ32">
        <f>AF32</f>
        <v>1720.97</v>
      </c>
      <c r="DA32">
        <f>AJ32</f>
        <v>1</v>
      </c>
      <c r="DB32">
        <f t="shared" si="1"/>
        <v>9878.3700000000008</v>
      </c>
      <c r="DC32">
        <f t="shared" si="2"/>
        <v>3059.42</v>
      </c>
      <c r="DD32" t="s">
        <v>3</v>
      </c>
      <c r="DE32" t="s">
        <v>3</v>
      </c>
      <c r="DF32">
        <f t="shared" si="7"/>
        <v>0</v>
      </c>
      <c r="DG32">
        <f>ROUND(ROUND(AF32,2)*CX32,2)</f>
        <v>39513.47</v>
      </c>
      <c r="DH32">
        <f t="shared" si="4"/>
        <v>12237.68</v>
      </c>
      <c r="DI32">
        <f t="shared" si="5"/>
        <v>0</v>
      </c>
      <c r="DJ32">
        <f>DG32+DH32</f>
        <v>51751.15</v>
      </c>
      <c r="DK32">
        <v>1</v>
      </c>
      <c r="DL32" t="s">
        <v>252</v>
      </c>
      <c r="DM32">
        <v>6</v>
      </c>
      <c r="DN32" t="s">
        <v>247</v>
      </c>
      <c r="DO32">
        <v>1</v>
      </c>
    </row>
    <row r="33" spans="1:119" x14ac:dyDescent="0.2">
      <c r="A33">
        <f>ROW(Source!A35)</f>
        <v>35</v>
      </c>
      <c r="B33">
        <v>50253415</v>
      </c>
      <c r="C33">
        <v>50253603</v>
      </c>
      <c r="D33">
        <v>49195593</v>
      </c>
      <c r="E33">
        <v>1</v>
      </c>
      <c r="F33">
        <v>1</v>
      </c>
      <c r="G33">
        <v>1</v>
      </c>
      <c r="H33">
        <v>2</v>
      </c>
      <c r="I33" t="s">
        <v>309</v>
      </c>
      <c r="J33" t="s">
        <v>310</v>
      </c>
      <c r="K33" t="s">
        <v>311</v>
      </c>
      <c r="L33">
        <v>1368</v>
      </c>
      <c r="N33">
        <v>1011</v>
      </c>
      <c r="O33" t="s">
        <v>251</v>
      </c>
      <c r="P33" t="s">
        <v>251</v>
      </c>
      <c r="Q33">
        <v>1</v>
      </c>
      <c r="W33">
        <v>0</v>
      </c>
      <c r="X33">
        <v>1291464883</v>
      </c>
      <c r="Y33">
        <f t="shared" ref="Y33:Y58" si="8">AT33</f>
        <v>0.98</v>
      </c>
      <c r="AA33">
        <v>0</v>
      </c>
      <c r="AB33">
        <v>153.35</v>
      </c>
      <c r="AC33">
        <v>0</v>
      </c>
      <c r="AD33">
        <v>0</v>
      </c>
      <c r="AE33">
        <v>0</v>
      </c>
      <c r="AF33">
        <v>95.25</v>
      </c>
      <c r="AG33">
        <v>0</v>
      </c>
      <c r="AH33">
        <v>0</v>
      </c>
      <c r="AI33">
        <v>1</v>
      </c>
      <c r="AJ33">
        <v>1.61</v>
      </c>
      <c r="AK33">
        <v>1</v>
      </c>
      <c r="AL33">
        <v>1</v>
      </c>
      <c r="AM33">
        <v>2</v>
      </c>
      <c r="AN33">
        <v>0</v>
      </c>
      <c r="AO33">
        <v>0</v>
      </c>
      <c r="AP33">
        <v>1</v>
      </c>
      <c r="AQ33">
        <v>1</v>
      </c>
      <c r="AR33">
        <v>0</v>
      </c>
      <c r="AS33" t="s">
        <v>3</v>
      </c>
      <c r="AT33">
        <v>0.98</v>
      </c>
      <c r="AU33" t="s">
        <v>3</v>
      </c>
      <c r="AV33">
        <v>1</v>
      </c>
      <c r="AW33">
        <v>2</v>
      </c>
      <c r="AX33">
        <v>50253621</v>
      </c>
      <c r="AY33">
        <v>1</v>
      </c>
      <c r="AZ33">
        <v>0</v>
      </c>
      <c r="BA33">
        <v>33</v>
      </c>
      <c r="BB33">
        <v>1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93.344999999999999</v>
      </c>
      <c r="BL33">
        <v>0</v>
      </c>
      <c r="BM33">
        <v>0</v>
      </c>
      <c r="BN33">
        <v>0</v>
      </c>
      <c r="BO33">
        <v>0</v>
      </c>
      <c r="BP33">
        <v>1</v>
      </c>
      <c r="BQ33">
        <v>0</v>
      </c>
      <c r="BR33">
        <v>93.344999999999999</v>
      </c>
      <c r="BS33">
        <v>0</v>
      </c>
      <c r="BT33">
        <v>0</v>
      </c>
      <c r="BU33">
        <v>0</v>
      </c>
      <c r="BV33">
        <v>0</v>
      </c>
      <c r="BW33">
        <v>1</v>
      </c>
      <c r="CV33">
        <v>0</v>
      </c>
      <c r="CW33">
        <f>ROUND(Y33*Source!I35*DO33,7)</f>
        <v>0</v>
      </c>
      <c r="CX33">
        <f>ROUND(Y33*Source!I35,7)</f>
        <v>3.92</v>
      </c>
      <c r="CY33">
        <f>AB33</f>
        <v>153.35</v>
      </c>
      <c r="CZ33">
        <f>AF33</f>
        <v>95.25</v>
      </c>
      <c r="DA33">
        <f>AJ33</f>
        <v>1.61</v>
      </c>
      <c r="DB33">
        <f t="shared" ref="DB33:DB58" si="9">ROUND(ROUND(AT33*CZ33,2),6)</f>
        <v>93.35</v>
      </c>
      <c r="DC33">
        <f t="shared" ref="DC33:DC58" si="10">ROUND(ROUND(AT33*AG33,2),6)</f>
        <v>0</v>
      </c>
      <c r="DD33" t="s">
        <v>3</v>
      </c>
      <c r="DE33" t="s">
        <v>3</v>
      </c>
      <c r="DF33">
        <f t="shared" si="7"/>
        <v>0</v>
      </c>
      <c r="DG33">
        <f>ROUND(ROUND(AF33*AJ33,2)*CX33,2)</f>
        <v>601.13</v>
      </c>
      <c r="DH33">
        <f t="shared" ref="DH33:DH58" si="11">ROUND(ROUND(AG33,2)*CX33,2)</f>
        <v>0</v>
      </c>
      <c r="DI33">
        <f t="shared" ref="DI33:DI58" si="12">ROUND(ROUND(AH33,2)*CX33,2)</f>
        <v>0</v>
      </c>
      <c r="DJ33">
        <f>DG33+DH33</f>
        <v>601.13</v>
      </c>
      <c r="DK33">
        <v>0</v>
      </c>
      <c r="DL33" t="s">
        <v>3</v>
      </c>
      <c r="DM33">
        <v>0</v>
      </c>
      <c r="DN33" t="s">
        <v>3</v>
      </c>
      <c r="DO33">
        <v>0</v>
      </c>
    </row>
    <row r="34" spans="1:119" x14ac:dyDescent="0.2">
      <c r="A34">
        <f>ROW(Source!A35)</f>
        <v>35</v>
      </c>
      <c r="B34">
        <v>50253415</v>
      </c>
      <c r="C34">
        <v>50253603</v>
      </c>
      <c r="D34">
        <v>49196119</v>
      </c>
      <c r="E34">
        <v>1</v>
      </c>
      <c r="F34">
        <v>1</v>
      </c>
      <c r="G34">
        <v>1</v>
      </c>
      <c r="H34">
        <v>2</v>
      </c>
      <c r="I34" t="s">
        <v>262</v>
      </c>
      <c r="J34" t="s">
        <v>263</v>
      </c>
      <c r="K34" t="s">
        <v>264</v>
      </c>
      <c r="L34">
        <v>1368</v>
      </c>
      <c r="N34">
        <v>1011</v>
      </c>
      <c r="O34" t="s">
        <v>251</v>
      </c>
      <c r="P34" t="s">
        <v>251</v>
      </c>
      <c r="Q34">
        <v>1</v>
      </c>
      <c r="W34">
        <v>0</v>
      </c>
      <c r="X34">
        <v>-849950259</v>
      </c>
      <c r="Y34">
        <f t="shared" si="8"/>
        <v>0.98</v>
      </c>
      <c r="AA34">
        <v>0</v>
      </c>
      <c r="AB34">
        <v>680.88</v>
      </c>
      <c r="AC34">
        <v>396.79</v>
      </c>
      <c r="AD34">
        <v>0</v>
      </c>
      <c r="AE34">
        <v>0</v>
      </c>
      <c r="AF34">
        <v>680.88</v>
      </c>
      <c r="AG34">
        <v>396.79</v>
      </c>
      <c r="AH34">
        <v>0</v>
      </c>
      <c r="AI34">
        <v>1</v>
      </c>
      <c r="AJ34">
        <v>1</v>
      </c>
      <c r="AK34">
        <v>1</v>
      </c>
      <c r="AL34">
        <v>1</v>
      </c>
      <c r="AM34">
        <v>-2</v>
      </c>
      <c r="AN34">
        <v>0</v>
      </c>
      <c r="AO34">
        <v>0</v>
      </c>
      <c r="AP34">
        <v>1</v>
      </c>
      <c r="AQ34">
        <v>1</v>
      </c>
      <c r="AR34">
        <v>0</v>
      </c>
      <c r="AS34" t="s">
        <v>3</v>
      </c>
      <c r="AT34">
        <v>0.98</v>
      </c>
      <c r="AU34" t="s">
        <v>3</v>
      </c>
      <c r="AV34">
        <v>1</v>
      </c>
      <c r="AW34">
        <v>2</v>
      </c>
      <c r="AX34">
        <v>50253622</v>
      </c>
      <c r="AY34">
        <v>1</v>
      </c>
      <c r="AZ34">
        <v>0</v>
      </c>
      <c r="BA34">
        <v>34</v>
      </c>
      <c r="BB34">
        <v>1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667.26239999999996</v>
      </c>
      <c r="BL34">
        <v>388.85419999999999</v>
      </c>
      <c r="BM34">
        <v>0</v>
      </c>
      <c r="BN34">
        <v>0</v>
      </c>
      <c r="BO34">
        <v>0.98</v>
      </c>
      <c r="BP34">
        <v>1</v>
      </c>
      <c r="BQ34">
        <v>0</v>
      </c>
      <c r="BR34">
        <v>667.26239999999996</v>
      </c>
      <c r="BS34">
        <v>388.85419999999999</v>
      </c>
      <c r="BT34">
        <v>0</v>
      </c>
      <c r="BU34">
        <v>0</v>
      </c>
      <c r="BV34">
        <v>0.98</v>
      </c>
      <c r="BW34">
        <v>1</v>
      </c>
      <c r="CV34">
        <v>0</v>
      </c>
      <c r="CW34">
        <f>ROUND(Y34*Source!I35*DO34,7)</f>
        <v>3.92</v>
      </c>
      <c r="CX34">
        <f>ROUND(Y34*Source!I35,7)</f>
        <v>3.92</v>
      </c>
      <c r="CY34">
        <f>AB34</f>
        <v>680.88</v>
      </c>
      <c r="CZ34">
        <f>AF34</f>
        <v>680.88</v>
      </c>
      <c r="DA34">
        <f>AJ34</f>
        <v>1</v>
      </c>
      <c r="DB34">
        <f t="shared" si="9"/>
        <v>667.26</v>
      </c>
      <c r="DC34">
        <f t="shared" si="10"/>
        <v>388.85</v>
      </c>
      <c r="DD34" t="s">
        <v>3</v>
      </c>
      <c r="DE34" t="s">
        <v>3</v>
      </c>
      <c r="DF34">
        <f t="shared" si="7"/>
        <v>0</v>
      </c>
      <c r="DG34">
        <f t="shared" ref="DG34:DG46" si="13">ROUND(ROUND(AF34,2)*CX34,2)</f>
        <v>2669.05</v>
      </c>
      <c r="DH34">
        <f t="shared" si="11"/>
        <v>1555.42</v>
      </c>
      <c r="DI34">
        <f t="shared" si="12"/>
        <v>0</v>
      </c>
      <c r="DJ34">
        <f>DG34+DH34</f>
        <v>4224.47</v>
      </c>
      <c r="DK34">
        <v>1</v>
      </c>
      <c r="DL34" t="s">
        <v>265</v>
      </c>
      <c r="DM34">
        <v>4</v>
      </c>
      <c r="DN34" t="s">
        <v>247</v>
      </c>
      <c r="DO34">
        <v>1</v>
      </c>
    </row>
    <row r="35" spans="1:119" x14ac:dyDescent="0.2">
      <c r="A35">
        <f>ROW(Source!A35)</f>
        <v>35</v>
      </c>
      <c r="B35">
        <v>50253415</v>
      </c>
      <c r="C35">
        <v>50253603</v>
      </c>
      <c r="D35">
        <v>49262889</v>
      </c>
      <c r="E35">
        <v>1</v>
      </c>
      <c r="F35">
        <v>1</v>
      </c>
      <c r="G35">
        <v>1</v>
      </c>
      <c r="H35">
        <v>3</v>
      </c>
      <c r="I35" t="s">
        <v>312</v>
      </c>
      <c r="J35" t="s">
        <v>313</v>
      </c>
      <c r="K35" t="s">
        <v>314</v>
      </c>
      <c r="L35">
        <v>1383</v>
      </c>
      <c r="N35">
        <v>1013</v>
      </c>
      <c r="O35" t="s">
        <v>315</v>
      </c>
      <c r="P35" t="s">
        <v>315</v>
      </c>
      <c r="Q35">
        <v>1</v>
      </c>
      <c r="W35">
        <v>0</v>
      </c>
      <c r="X35">
        <v>1840299850</v>
      </c>
      <c r="Y35">
        <f t="shared" si="8"/>
        <v>7.4104000000000001</v>
      </c>
      <c r="AA35">
        <v>8.7899999999999991</v>
      </c>
      <c r="AB35">
        <v>0</v>
      </c>
      <c r="AC35">
        <v>0</v>
      </c>
      <c r="AD35">
        <v>0</v>
      </c>
      <c r="AE35">
        <v>8.7899999999999991</v>
      </c>
      <c r="AF35">
        <v>0</v>
      </c>
      <c r="AG35">
        <v>0</v>
      </c>
      <c r="AH35">
        <v>0</v>
      </c>
      <c r="AI35">
        <v>1</v>
      </c>
      <c r="AJ35">
        <v>1</v>
      </c>
      <c r="AK35">
        <v>1</v>
      </c>
      <c r="AL35">
        <v>1</v>
      </c>
      <c r="AM35">
        <v>-2</v>
      </c>
      <c r="AN35">
        <v>0</v>
      </c>
      <c r="AO35">
        <v>0</v>
      </c>
      <c r="AP35">
        <v>1</v>
      </c>
      <c r="AQ35">
        <v>1</v>
      </c>
      <c r="AR35">
        <v>0</v>
      </c>
      <c r="AS35" t="s">
        <v>3</v>
      </c>
      <c r="AT35">
        <v>7.4104000000000001</v>
      </c>
      <c r="AU35" t="s">
        <v>3</v>
      </c>
      <c r="AV35">
        <v>0</v>
      </c>
      <c r="AW35">
        <v>2</v>
      </c>
      <c r="AX35">
        <v>50253623</v>
      </c>
      <c r="AY35">
        <v>1</v>
      </c>
      <c r="AZ35">
        <v>0</v>
      </c>
      <c r="BA35">
        <v>35</v>
      </c>
      <c r="BB35">
        <v>1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65.137415999999988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1</v>
      </c>
      <c r="BQ35">
        <v>65.137415999999988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1</v>
      </c>
      <c r="CV35">
        <v>0</v>
      </c>
      <c r="CW35">
        <v>0</v>
      </c>
      <c r="CX35">
        <f>ROUND(Y35*Source!I35,7)</f>
        <v>29.6416</v>
      </c>
      <c r="CY35">
        <f t="shared" ref="CY35:CY43" si="14">AA35</f>
        <v>8.7899999999999991</v>
      </c>
      <c r="CZ35">
        <f t="shared" ref="CZ35:CZ43" si="15">AE35</f>
        <v>8.7899999999999991</v>
      </c>
      <c r="DA35">
        <f t="shared" ref="DA35:DA43" si="16">AI35</f>
        <v>1</v>
      </c>
      <c r="DB35">
        <f t="shared" si="9"/>
        <v>65.14</v>
      </c>
      <c r="DC35">
        <f t="shared" si="10"/>
        <v>0</v>
      </c>
      <c r="DD35" t="s">
        <v>3</v>
      </c>
      <c r="DE35" t="s">
        <v>3</v>
      </c>
      <c r="DF35">
        <f t="shared" si="7"/>
        <v>260.55</v>
      </c>
      <c r="DG35">
        <f t="shared" si="13"/>
        <v>0</v>
      </c>
      <c r="DH35">
        <f t="shared" si="11"/>
        <v>0</v>
      </c>
      <c r="DI35">
        <f t="shared" si="12"/>
        <v>0</v>
      </c>
      <c r="DJ35">
        <f t="shared" ref="DJ35:DJ43" si="17">DF35</f>
        <v>260.55</v>
      </c>
      <c r="DK35">
        <v>1</v>
      </c>
      <c r="DL35" t="s">
        <v>3</v>
      </c>
      <c r="DM35">
        <v>0</v>
      </c>
      <c r="DN35" t="s">
        <v>3</v>
      </c>
      <c r="DO35">
        <v>0</v>
      </c>
    </row>
    <row r="36" spans="1:119" x14ac:dyDescent="0.2">
      <c r="A36">
        <f>ROW(Source!A35)</f>
        <v>35</v>
      </c>
      <c r="B36">
        <v>50253415</v>
      </c>
      <c r="C36">
        <v>50253603</v>
      </c>
      <c r="D36">
        <v>49264391</v>
      </c>
      <c r="E36">
        <v>1</v>
      </c>
      <c r="F36">
        <v>1</v>
      </c>
      <c r="G36">
        <v>1</v>
      </c>
      <c r="H36">
        <v>3</v>
      </c>
      <c r="I36" t="s">
        <v>316</v>
      </c>
      <c r="J36" t="s">
        <v>317</v>
      </c>
      <c r="K36" t="s">
        <v>318</v>
      </c>
      <c r="L36">
        <v>1346</v>
      </c>
      <c r="N36">
        <v>1009</v>
      </c>
      <c r="O36" t="s">
        <v>293</v>
      </c>
      <c r="P36" t="s">
        <v>293</v>
      </c>
      <c r="Q36">
        <v>1</v>
      </c>
      <c r="W36">
        <v>0</v>
      </c>
      <c r="X36">
        <v>-1131385474</v>
      </c>
      <c r="Y36">
        <f t="shared" si="8"/>
        <v>7.28</v>
      </c>
      <c r="AA36">
        <v>199.42</v>
      </c>
      <c r="AB36">
        <v>0</v>
      </c>
      <c r="AC36">
        <v>0</v>
      </c>
      <c r="AD36">
        <v>0</v>
      </c>
      <c r="AE36">
        <v>174.93</v>
      </c>
      <c r="AF36">
        <v>0</v>
      </c>
      <c r="AG36">
        <v>0</v>
      </c>
      <c r="AH36">
        <v>0</v>
      </c>
      <c r="AI36">
        <v>1.1399999999999999</v>
      </c>
      <c r="AJ36">
        <v>1</v>
      </c>
      <c r="AK36">
        <v>1</v>
      </c>
      <c r="AL36">
        <v>1</v>
      </c>
      <c r="AM36">
        <v>2</v>
      </c>
      <c r="AN36">
        <v>0</v>
      </c>
      <c r="AO36">
        <v>0</v>
      </c>
      <c r="AP36">
        <v>1</v>
      </c>
      <c r="AQ36">
        <v>1</v>
      </c>
      <c r="AR36">
        <v>0</v>
      </c>
      <c r="AS36" t="s">
        <v>3</v>
      </c>
      <c r="AT36">
        <v>7.28</v>
      </c>
      <c r="AU36" t="s">
        <v>3</v>
      </c>
      <c r="AV36">
        <v>0</v>
      </c>
      <c r="AW36">
        <v>2</v>
      </c>
      <c r="AX36">
        <v>50253624</v>
      </c>
      <c r="AY36">
        <v>1</v>
      </c>
      <c r="AZ36">
        <v>0</v>
      </c>
      <c r="BA36">
        <v>36</v>
      </c>
      <c r="BB36">
        <v>1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1273.4904000000001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1</v>
      </c>
      <c r="BQ36">
        <v>1273.4904000000001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1</v>
      </c>
      <c r="CV36">
        <v>0</v>
      </c>
      <c r="CW36">
        <v>0</v>
      </c>
      <c r="CX36">
        <f>ROUND(Y36*Source!I35,7)</f>
        <v>29.12</v>
      </c>
      <c r="CY36">
        <f t="shared" si="14"/>
        <v>199.42</v>
      </c>
      <c r="CZ36">
        <f t="shared" si="15"/>
        <v>174.93</v>
      </c>
      <c r="DA36">
        <f t="shared" si="16"/>
        <v>1.1399999999999999</v>
      </c>
      <c r="DB36">
        <f t="shared" si="9"/>
        <v>1273.49</v>
      </c>
      <c r="DC36">
        <f t="shared" si="10"/>
        <v>0</v>
      </c>
      <c r="DD36" t="s">
        <v>3</v>
      </c>
      <c r="DE36" t="s">
        <v>3</v>
      </c>
      <c r="DF36">
        <f>ROUND(ROUND(AE36*AI36,2)*CX36,2)</f>
        <v>5807.11</v>
      </c>
      <c r="DG36">
        <f t="shared" si="13"/>
        <v>0</v>
      </c>
      <c r="DH36">
        <f t="shared" si="11"/>
        <v>0</v>
      </c>
      <c r="DI36">
        <f t="shared" si="12"/>
        <v>0</v>
      </c>
      <c r="DJ36">
        <f t="shared" si="17"/>
        <v>5807.11</v>
      </c>
      <c r="DK36">
        <v>0</v>
      </c>
      <c r="DL36" t="s">
        <v>3</v>
      </c>
      <c r="DM36">
        <v>0</v>
      </c>
      <c r="DN36" t="s">
        <v>3</v>
      </c>
      <c r="DO36">
        <v>0</v>
      </c>
    </row>
    <row r="37" spans="1:119" x14ac:dyDescent="0.2">
      <c r="A37">
        <f>ROW(Source!A35)</f>
        <v>35</v>
      </c>
      <c r="B37">
        <v>50253415</v>
      </c>
      <c r="C37">
        <v>50253603</v>
      </c>
      <c r="D37">
        <v>49264442</v>
      </c>
      <c r="E37">
        <v>1</v>
      </c>
      <c r="F37">
        <v>1</v>
      </c>
      <c r="G37">
        <v>1</v>
      </c>
      <c r="H37">
        <v>3</v>
      </c>
      <c r="I37" t="s">
        <v>319</v>
      </c>
      <c r="J37" t="s">
        <v>320</v>
      </c>
      <c r="K37" t="s">
        <v>321</v>
      </c>
      <c r="L37">
        <v>1348</v>
      </c>
      <c r="N37">
        <v>1009</v>
      </c>
      <c r="O37" t="s">
        <v>104</v>
      </c>
      <c r="P37" t="s">
        <v>104</v>
      </c>
      <c r="Q37">
        <v>1000</v>
      </c>
      <c r="W37">
        <v>0</v>
      </c>
      <c r="X37">
        <v>-1061297381</v>
      </c>
      <c r="Y37">
        <f t="shared" si="8"/>
        <v>9.7000000000000005E-4</v>
      </c>
      <c r="AA37">
        <v>84355.44</v>
      </c>
      <c r="AB37">
        <v>0</v>
      </c>
      <c r="AC37">
        <v>0</v>
      </c>
      <c r="AD37">
        <v>0</v>
      </c>
      <c r="AE37">
        <v>70296.2</v>
      </c>
      <c r="AF37">
        <v>0</v>
      </c>
      <c r="AG37">
        <v>0</v>
      </c>
      <c r="AH37">
        <v>0</v>
      </c>
      <c r="AI37">
        <v>1.2</v>
      </c>
      <c r="AJ37">
        <v>1</v>
      </c>
      <c r="AK37">
        <v>1</v>
      </c>
      <c r="AL37">
        <v>1</v>
      </c>
      <c r="AM37">
        <v>2</v>
      </c>
      <c r="AN37">
        <v>0</v>
      </c>
      <c r="AO37">
        <v>0</v>
      </c>
      <c r="AP37">
        <v>1</v>
      </c>
      <c r="AQ37">
        <v>1</v>
      </c>
      <c r="AR37">
        <v>0</v>
      </c>
      <c r="AS37" t="s">
        <v>3</v>
      </c>
      <c r="AT37">
        <v>9.7000000000000005E-4</v>
      </c>
      <c r="AU37" t="s">
        <v>3</v>
      </c>
      <c r="AV37">
        <v>0</v>
      </c>
      <c r="AW37">
        <v>2</v>
      </c>
      <c r="AX37">
        <v>50253625</v>
      </c>
      <c r="AY37">
        <v>1</v>
      </c>
      <c r="AZ37">
        <v>0</v>
      </c>
      <c r="BA37">
        <v>37</v>
      </c>
      <c r="BB37">
        <v>1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68.187314000000001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1</v>
      </c>
      <c r="BQ37">
        <v>68.187314000000001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1</v>
      </c>
      <c r="CV37">
        <v>0</v>
      </c>
      <c r="CW37">
        <v>0</v>
      </c>
      <c r="CX37">
        <f>ROUND(Y37*Source!I35,7)</f>
        <v>3.8800000000000002E-3</v>
      </c>
      <c r="CY37">
        <f t="shared" si="14"/>
        <v>84355.44</v>
      </c>
      <c r="CZ37">
        <f t="shared" si="15"/>
        <v>70296.2</v>
      </c>
      <c r="DA37">
        <f t="shared" si="16"/>
        <v>1.2</v>
      </c>
      <c r="DB37">
        <f t="shared" si="9"/>
        <v>68.19</v>
      </c>
      <c r="DC37">
        <f t="shared" si="10"/>
        <v>0</v>
      </c>
      <c r="DD37" t="s">
        <v>3</v>
      </c>
      <c r="DE37" t="s">
        <v>3</v>
      </c>
      <c r="DF37">
        <f>ROUND(ROUND(AE37*AI37,2)*CX37,2)</f>
        <v>327.3</v>
      </c>
      <c r="DG37">
        <f t="shared" si="13"/>
        <v>0</v>
      </c>
      <c r="DH37">
        <f t="shared" si="11"/>
        <v>0</v>
      </c>
      <c r="DI37">
        <f t="shared" si="12"/>
        <v>0</v>
      </c>
      <c r="DJ37">
        <f t="shared" si="17"/>
        <v>327.3</v>
      </c>
      <c r="DK37">
        <v>0</v>
      </c>
      <c r="DL37" t="s">
        <v>3</v>
      </c>
      <c r="DM37">
        <v>0</v>
      </c>
      <c r="DN37" t="s">
        <v>3</v>
      </c>
      <c r="DO37">
        <v>0</v>
      </c>
    </row>
    <row r="38" spans="1:119" x14ac:dyDescent="0.2">
      <c r="A38">
        <f>ROW(Source!A35)</f>
        <v>35</v>
      </c>
      <c r="B38">
        <v>50253415</v>
      </c>
      <c r="C38">
        <v>50253603</v>
      </c>
      <c r="D38">
        <v>49268594</v>
      </c>
      <c r="E38">
        <v>1</v>
      </c>
      <c r="F38">
        <v>1</v>
      </c>
      <c r="G38">
        <v>1</v>
      </c>
      <c r="H38">
        <v>3</v>
      </c>
      <c r="I38" t="s">
        <v>322</v>
      </c>
      <c r="J38" t="s">
        <v>323</v>
      </c>
      <c r="K38" t="s">
        <v>324</v>
      </c>
      <c r="L38">
        <v>1407</v>
      </c>
      <c r="N38">
        <v>1013</v>
      </c>
      <c r="O38" t="s">
        <v>325</v>
      </c>
      <c r="P38" t="s">
        <v>325</v>
      </c>
      <c r="Q38">
        <v>1</v>
      </c>
      <c r="W38">
        <v>0</v>
      </c>
      <c r="X38">
        <v>1551931191</v>
      </c>
      <c r="Y38">
        <f t="shared" si="8"/>
        <v>0.05</v>
      </c>
      <c r="AA38">
        <v>17616.63</v>
      </c>
      <c r="AB38">
        <v>0</v>
      </c>
      <c r="AC38">
        <v>0</v>
      </c>
      <c r="AD38">
        <v>0</v>
      </c>
      <c r="AE38">
        <v>14803.89</v>
      </c>
      <c r="AF38">
        <v>0</v>
      </c>
      <c r="AG38">
        <v>0</v>
      </c>
      <c r="AH38">
        <v>0</v>
      </c>
      <c r="AI38">
        <v>1.19</v>
      </c>
      <c r="AJ38">
        <v>1</v>
      </c>
      <c r="AK38">
        <v>1</v>
      </c>
      <c r="AL38">
        <v>1</v>
      </c>
      <c r="AM38">
        <v>2</v>
      </c>
      <c r="AN38">
        <v>0</v>
      </c>
      <c r="AO38">
        <v>0</v>
      </c>
      <c r="AP38">
        <v>1</v>
      </c>
      <c r="AQ38">
        <v>1</v>
      </c>
      <c r="AR38">
        <v>0</v>
      </c>
      <c r="AS38" t="s">
        <v>3</v>
      </c>
      <c r="AT38">
        <v>0.05</v>
      </c>
      <c r="AU38" t="s">
        <v>3</v>
      </c>
      <c r="AV38">
        <v>0</v>
      </c>
      <c r="AW38">
        <v>2</v>
      </c>
      <c r="AX38">
        <v>50253626</v>
      </c>
      <c r="AY38">
        <v>1</v>
      </c>
      <c r="AZ38">
        <v>0</v>
      </c>
      <c r="BA38">
        <v>38</v>
      </c>
      <c r="BB38">
        <v>1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740.19450000000006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1</v>
      </c>
      <c r="BQ38">
        <v>740.19450000000006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1</v>
      </c>
      <c r="CV38">
        <v>0</v>
      </c>
      <c r="CW38">
        <v>0</v>
      </c>
      <c r="CX38">
        <f>ROUND(Y38*Source!I35,7)</f>
        <v>0.2</v>
      </c>
      <c r="CY38">
        <f t="shared" si="14"/>
        <v>17616.63</v>
      </c>
      <c r="CZ38">
        <f t="shared" si="15"/>
        <v>14803.89</v>
      </c>
      <c r="DA38">
        <f t="shared" si="16"/>
        <v>1.19</v>
      </c>
      <c r="DB38">
        <f t="shared" si="9"/>
        <v>740.19</v>
      </c>
      <c r="DC38">
        <f t="shared" si="10"/>
        <v>0</v>
      </c>
      <c r="DD38" t="s">
        <v>3</v>
      </c>
      <c r="DE38" t="s">
        <v>3</v>
      </c>
      <c r="DF38">
        <f>ROUND(ROUND(AE38*AI38,2)*CX38,2)</f>
        <v>3523.33</v>
      </c>
      <c r="DG38">
        <f t="shared" si="13"/>
        <v>0</v>
      </c>
      <c r="DH38">
        <f t="shared" si="11"/>
        <v>0</v>
      </c>
      <c r="DI38">
        <f t="shared" si="12"/>
        <v>0</v>
      </c>
      <c r="DJ38">
        <f t="shared" si="17"/>
        <v>3523.33</v>
      </c>
      <c r="DK38">
        <v>0</v>
      </c>
      <c r="DL38" t="s">
        <v>3</v>
      </c>
      <c r="DM38">
        <v>0</v>
      </c>
      <c r="DN38" t="s">
        <v>3</v>
      </c>
      <c r="DO38">
        <v>0</v>
      </c>
    </row>
    <row r="39" spans="1:119" x14ac:dyDescent="0.2">
      <c r="A39">
        <f>ROW(Source!A35)</f>
        <v>35</v>
      </c>
      <c r="B39">
        <v>50253415</v>
      </c>
      <c r="C39">
        <v>50253603</v>
      </c>
      <c r="D39">
        <v>49273756</v>
      </c>
      <c r="E39">
        <v>1</v>
      </c>
      <c r="F39">
        <v>1</v>
      </c>
      <c r="G39">
        <v>1</v>
      </c>
      <c r="H39">
        <v>3</v>
      </c>
      <c r="I39" t="s">
        <v>326</v>
      </c>
      <c r="J39" t="s">
        <v>327</v>
      </c>
      <c r="K39" t="s">
        <v>328</v>
      </c>
      <c r="L39">
        <v>1339</v>
      </c>
      <c r="N39">
        <v>1007</v>
      </c>
      <c r="O39" t="s">
        <v>85</v>
      </c>
      <c r="P39" t="s">
        <v>85</v>
      </c>
      <c r="Q39">
        <v>1</v>
      </c>
      <c r="W39">
        <v>0</v>
      </c>
      <c r="X39">
        <v>-634491166</v>
      </c>
      <c r="Y39">
        <f t="shared" si="8"/>
        <v>1.37</v>
      </c>
      <c r="AA39">
        <v>6893</v>
      </c>
      <c r="AB39">
        <v>0</v>
      </c>
      <c r="AC39">
        <v>0</v>
      </c>
      <c r="AD39">
        <v>0</v>
      </c>
      <c r="AE39">
        <v>6442.06</v>
      </c>
      <c r="AF39">
        <v>0</v>
      </c>
      <c r="AG39">
        <v>0</v>
      </c>
      <c r="AH39">
        <v>0</v>
      </c>
      <c r="AI39">
        <v>1.07</v>
      </c>
      <c r="AJ39">
        <v>1</v>
      </c>
      <c r="AK39">
        <v>1</v>
      </c>
      <c r="AL39">
        <v>1</v>
      </c>
      <c r="AM39">
        <v>2</v>
      </c>
      <c r="AN39">
        <v>0</v>
      </c>
      <c r="AO39">
        <v>0</v>
      </c>
      <c r="AP39">
        <v>1</v>
      </c>
      <c r="AQ39">
        <v>1</v>
      </c>
      <c r="AR39">
        <v>0</v>
      </c>
      <c r="AS39" t="s">
        <v>3</v>
      </c>
      <c r="AT39">
        <v>1.37</v>
      </c>
      <c r="AU39" t="s">
        <v>3</v>
      </c>
      <c r="AV39">
        <v>0</v>
      </c>
      <c r="AW39">
        <v>2</v>
      </c>
      <c r="AX39">
        <v>50253627</v>
      </c>
      <c r="AY39">
        <v>1</v>
      </c>
      <c r="AZ39">
        <v>0</v>
      </c>
      <c r="BA39">
        <v>39</v>
      </c>
      <c r="BB39">
        <v>1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8825.6222000000016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1</v>
      </c>
      <c r="BQ39">
        <v>8825.6222000000016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1</v>
      </c>
      <c r="CV39">
        <v>0</v>
      </c>
      <c r="CW39">
        <v>0</v>
      </c>
      <c r="CX39">
        <f>ROUND(Y39*Source!I35,7)</f>
        <v>5.48</v>
      </c>
      <c r="CY39">
        <f t="shared" si="14"/>
        <v>6893</v>
      </c>
      <c r="CZ39">
        <f t="shared" si="15"/>
        <v>6442.06</v>
      </c>
      <c r="DA39">
        <f t="shared" si="16"/>
        <v>1.07</v>
      </c>
      <c r="DB39">
        <f t="shared" si="9"/>
        <v>8825.6200000000008</v>
      </c>
      <c r="DC39">
        <f t="shared" si="10"/>
        <v>0</v>
      </c>
      <c r="DD39" t="s">
        <v>3</v>
      </c>
      <c r="DE39" t="s">
        <v>3</v>
      </c>
      <c r="DF39">
        <f>ROUND(ROUND(AE39*AI39,2)*CX39,2)</f>
        <v>37773.64</v>
      </c>
      <c r="DG39">
        <f t="shared" si="13"/>
        <v>0</v>
      </c>
      <c r="DH39">
        <f t="shared" si="11"/>
        <v>0</v>
      </c>
      <c r="DI39">
        <f t="shared" si="12"/>
        <v>0</v>
      </c>
      <c r="DJ39">
        <f t="shared" si="17"/>
        <v>37773.64</v>
      </c>
      <c r="DK39">
        <v>0</v>
      </c>
      <c r="DL39" t="s">
        <v>3</v>
      </c>
      <c r="DM39">
        <v>0</v>
      </c>
      <c r="DN39" t="s">
        <v>3</v>
      </c>
      <c r="DO39">
        <v>0</v>
      </c>
    </row>
    <row r="40" spans="1:119" x14ac:dyDescent="0.2">
      <c r="A40">
        <f>ROW(Source!A35)</f>
        <v>35</v>
      </c>
      <c r="B40">
        <v>50253415</v>
      </c>
      <c r="C40">
        <v>50253603</v>
      </c>
      <c r="D40">
        <v>49191620</v>
      </c>
      <c r="E40">
        <v>117</v>
      </c>
      <c r="F40">
        <v>1</v>
      </c>
      <c r="G40">
        <v>1</v>
      </c>
      <c r="H40">
        <v>3</v>
      </c>
      <c r="I40" t="s">
        <v>83</v>
      </c>
      <c r="J40" t="s">
        <v>3</v>
      </c>
      <c r="K40" t="s">
        <v>84</v>
      </c>
      <c r="L40">
        <v>1339</v>
      </c>
      <c r="N40">
        <v>1007</v>
      </c>
      <c r="O40" t="s">
        <v>85</v>
      </c>
      <c r="P40" t="s">
        <v>85</v>
      </c>
      <c r="Q40">
        <v>1</v>
      </c>
      <c r="W40">
        <v>0</v>
      </c>
      <c r="X40">
        <v>758329700</v>
      </c>
      <c r="Y40">
        <f t="shared" si="8"/>
        <v>1.01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1</v>
      </c>
      <c r="AJ40">
        <v>1</v>
      </c>
      <c r="AK40">
        <v>1</v>
      </c>
      <c r="AL40">
        <v>1</v>
      </c>
      <c r="AM40">
        <v>0</v>
      </c>
      <c r="AN40">
        <v>0</v>
      </c>
      <c r="AO40">
        <v>0</v>
      </c>
      <c r="AP40">
        <v>1</v>
      </c>
      <c r="AQ40">
        <v>0</v>
      </c>
      <c r="AR40">
        <v>0</v>
      </c>
      <c r="AS40" t="s">
        <v>3</v>
      </c>
      <c r="AT40">
        <v>1.01</v>
      </c>
      <c r="AU40" t="s">
        <v>3</v>
      </c>
      <c r="AV40">
        <v>0</v>
      </c>
      <c r="AW40">
        <v>2</v>
      </c>
      <c r="AX40">
        <v>50253628</v>
      </c>
      <c r="AY40">
        <v>1</v>
      </c>
      <c r="AZ40">
        <v>0</v>
      </c>
      <c r="BA40">
        <v>40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V40">
        <v>0</v>
      </c>
      <c r="CW40">
        <v>0</v>
      </c>
      <c r="CX40">
        <f>ROUND(Y40*Source!I35,7)</f>
        <v>4.04</v>
      </c>
      <c r="CY40">
        <f t="shared" si="14"/>
        <v>0</v>
      </c>
      <c r="CZ40">
        <f t="shared" si="15"/>
        <v>0</v>
      </c>
      <c r="DA40">
        <f t="shared" si="16"/>
        <v>1</v>
      </c>
      <c r="DB40">
        <f t="shared" si="9"/>
        <v>0</v>
      </c>
      <c r="DC40">
        <f t="shared" si="10"/>
        <v>0</v>
      </c>
      <c r="DD40" t="s">
        <v>3</v>
      </c>
      <c r="DE40" t="s">
        <v>3</v>
      </c>
      <c r="DF40">
        <f>ROUND(ROUND(AE40,2)*CX40,2)</f>
        <v>0</v>
      </c>
      <c r="DG40">
        <f t="shared" si="13"/>
        <v>0</v>
      </c>
      <c r="DH40">
        <f t="shared" si="11"/>
        <v>0</v>
      </c>
      <c r="DI40">
        <f t="shared" si="12"/>
        <v>0</v>
      </c>
      <c r="DJ40">
        <f t="shared" si="17"/>
        <v>0</v>
      </c>
      <c r="DK40">
        <v>0</v>
      </c>
      <c r="DL40" t="s">
        <v>3</v>
      </c>
      <c r="DM40">
        <v>0</v>
      </c>
      <c r="DN40" t="s">
        <v>3</v>
      </c>
      <c r="DO40">
        <v>0</v>
      </c>
    </row>
    <row r="41" spans="1:119" x14ac:dyDescent="0.2">
      <c r="A41">
        <f>ROW(Source!A35)</f>
        <v>35</v>
      </c>
      <c r="B41">
        <v>50253415</v>
      </c>
      <c r="C41">
        <v>50253603</v>
      </c>
      <c r="D41">
        <v>49191823</v>
      </c>
      <c r="E41">
        <v>117</v>
      </c>
      <c r="F41">
        <v>1</v>
      </c>
      <c r="G41">
        <v>1</v>
      </c>
      <c r="H41">
        <v>3</v>
      </c>
      <c r="I41" t="s">
        <v>87</v>
      </c>
      <c r="J41" t="s">
        <v>3</v>
      </c>
      <c r="K41" t="s">
        <v>88</v>
      </c>
      <c r="L41">
        <v>1327</v>
      </c>
      <c r="N41">
        <v>1005</v>
      </c>
      <c r="O41" t="s">
        <v>89</v>
      </c>
      <c r="P41" t="s">
        <v>89</v>
      </c>
      <c r="Q41">
        <v>1</v>
      </c>
      <c r="W41">
        <v>0</v>
      </c>
      <c r="X41">
        <v>1510392584</v>
      </c>
      <c r="Y41">
        <f t="shared" si="8"/>
        <v>100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1</v>
      </c>
      <c r="AJ41">
        <v>1</v>
      </c>
      <c r="AK41">
        <v>1</v>
      </c>
      <c r="AL41">
        <v>1</v>
      </c>
      <c r="AM41">
        <v>0</v>
      </c>
      <c r="AN41">
        <v>0</v>
      </c>
      <c r="AO41">
        <v>0</v>
      </c>
      <c r="AP41">
        <v>1</v>
      </c>
      <c r="AQ41">
        <v>0</v>
      </c>
      <c r="AR41">
        <v>0</v>
      </c>
      <c r="AS41" t="s">
        <v>3</v>
      </c>
      <c r="AT41">
        <v>100</v>
      </c>
      <c r="AU41" t="s">
        <v>3</v>
      </c>
      <c r="AV41">
        <v>0</v>
      </c>
      <c r="AW41">
        <v>2</v>
      </c>
      <c r="AX41">
        <v>50253629</v>
      </c>
      <c r="AY41">
        <v>1</v>
      </c>
      <c r="AZ41">
        <v>0</v>
      </c>
      <c r="BA41">
        <v>41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V41">
        <v>0</v>
      </c>
      <c r="CW41">
        <v>0</v>
      </c>
      <c r="CX41">
        <f>ROUND(Y41*Source!I35,7)</f>
        <v>400</v>
      </c>
      <c r="CY41">
        <f t="shared" si="14"/>
        <v>0</v>
      </c>
      <c r="CZ41">
        <f t="shared" si="15"/>
        <v>0</v>
      </c>
      <c r="DA41">
        <f t="shared" si="16"/>
        <v>1</v>
      </c>
      <c r="DB41">
        <f t="shared" si="9"/>
        <v>0</v>
      </c>
      <c r="DC41">
        <f t="shared" si="10"/>
        <v>0</v>
      </c>
      <c r="DD41" t="s">
        <v>3</v>
      </c>
      <c r="DE41" t="s">
        <v>3</v>
      </c>
      <c r="DF41">
        <f>ROUND(ROUND(AE41,2)*CX41,2)</f>
        <v>0</v>
      </c>
      <c r="DG41">
        <f t="shared" si="13"/>
        <v>0</v>
      </c>
      <c r="DH41">
        <f t="shared" si="11"/>
        <v>0</v>
      </c>
      <c r="DI41">
        <f t="shared" si="12"/>
        <v>0</v>
      </c>
      <c r="DJ41">
        <f t="shared" si="17"/>
        <v>0</v>
      </c>
      <c r="DK41">
        <v>0</v>
      </c>
      <c r="DL41" t="s">
        <v>3</v>
      </c>
      <c r="DM41">
        <v>0</v>
      </c>
      <c r="DN41" t="s">
        <v>3</v>
      </c>
      <c r="DO41">
        <v>0</v>
      </c>
    </row>
    <row r="42" spans="1:119" x14ac:dyDescent="0.2">
      <c r="A42">
        <f>ROW(Source!A35)</f>
        <v>35</v>
      </c>
      <c r="B42">
        <v>50253415</v>
      </c>
      <c r="C42">
        <v>50253603</v>
      </c>
      <c r="D42">
        <v>49281307</v>
      </c>
      <c r="E42">
        <v>1</v>
      </c>
      <c r="F42">
        <v>1</v>
      </c>
      <c r="G42">
        <v>1</v>
      </c>
      <c r="H42">
        <v>3</v>
      </c>
      <c r="I42" t="s">
        <v>329</v>
      </c>
      <c r="J42" t="s">
        <v>330</v>
      </c>
      <c r="K42" t="s">
        <v>331</v>
      </c>
      <c r="L42">
        <v>1348</v>
      </c>
      <c r="N42">
        <v>1009</v>
      </c>
      <c r="O42" t="s">
        <v>104</v>
      </c>
      <c r="P42" t="s">
        <v>104</v>
      </c>
      <c r="Q42">
        <v>1000</v>
      </c>
      <c r="W42">
        <v>0</v>
      </c>
      <c r="X42">
        <v>-546668924</v>
      </c>
      <c r="Y42">
        <f t="shared" si="8"/>
        <v>2.6599999999999999E-2</v>
      </c>
      <c r="AA42">
        <v>5846.53</v>
      </c>
      <c r="AB42">
        <v>0</v>
      </c>
      <c r="AC42">
        <v>0</v>
      </c>
      <c r="AD42">
        <v>0</v>
      </c>
      <c r="AE42">
        <v>10826.9</v>
      </c>
      <c r="AF42">
        <v>0</v>
      </c>
      <c r="AG42">
        <v>0</v>
      </c>
      <c r="AH42">
        <v>0</v>
      </c>
      <c r="AI42">
        <v>0.54</v>
      </c>
      <c r="AJ42">
        <v>1</v>
      </c>
      <c r="AK42">
        <v>1</v>
      </c>
      <c r="AL42">
        <v>1</v>
      </c>
      <c r="AM42">
        <v>2</v>
      </c>
      <c r="AN42">
        <v>0</v>
      </c>
      <c r="AO42">
        <v>0</v>
      </c>
      <c r="AP42">
        <v>1</v>
      </c>
      <c r="AQ42">
        <v>1</v>
      </c>
      <c r="AR42">
        <v>0</v>
      </c>
      <c r="AS42" t="s">
        <v>3</v>
      </c>
      <c r="AT42">
        <v>2.6599999999999999E-2</v>
      </c>
      <c r="AU42" t="s">
        <v>3</v>
      </c>
      <c r="AV42">
        <v>0</v>
      </c>
      <c r="AW42">
        <v>2</v>
      </c>
      <c r="AX42">
        <v>50253630</v>
      </c>
      <c r="AY42">
        <v>1</v>
      </c>
      <c r="AZ42">
        <v>0</v>
      </c>
      <c r="BA42">
        <v>42</v>
      </c>
      <c r="BB42">
        <v>1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287.99553999999995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1</v>
      </c>
      <c r="BQ42">
        <v>287.99553999999995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1</v>
      </c>
      <c r="CV42">
        <v>0</v>
      </c>
      <c r="CW42">
        <v>0</v>
      </c>
      <c r="CX42">
        <f>ROUND(Y42*Source!I35,7)</f>
        <v>0.10639999999999999</v>
      </c>
      <c r="CY42">
        <f t="shared" si="14"/>
        <v>5846.53</v>
      </c>
      <c r="CZ42">
        <f t="shared" si="15"/>
        <v>10826.9</v>
      </c>
      <c r="DA42">
        <f t="shared" si="16"/>
        <v>0.54</v>
      </c>
      <c r="DB42">
        <f t="shared" si="9"/>
        <v>288</v>
      </c>
      <c r="DC42">
        <f t="shared" si="10"/>
        <v>0</v>
      </c>
      <c r="DD42" t="s">
        <v>3</v>
      </c>
      <c r="DE42" t="s">
        <v>3</v>
      </c>
      <c r="DF42">
        <f>ROUND(ROUND(AE42*AI42,2)*CX42,2)</f>
        <v>622.07000000000005</v>
      </c>
      <c r="DG42">
        <f t="shared" si="13"/>
        <v>0</v>
      </c>
      <c r="DH42">
        <f t="shared" si="11"/>
        <v>0</v>
      </c>
      <c r="DI42">
        <f t="shared" si="12"/>
        <v>0</v>
      </c>
      <c r="DJ42">
        <f t="shared" si="17"/>
        <v>622.07000000000005</v>
      </c>
      <c r="DK42">
        <v>0</v>
      </c>
      <c r="DL42" t="s">
        <v>3</v>
      </c>
      <c r="DM42">
        <v>0</v>
      </c>
      <c r="DN42" t="s">
        <v>3</v>
      </c>
      <c r="DO42">
        <v>0</v>
      </c>
    </row>
    <row r="43" spans="1:119" x14ac:dyDescent="0.2">
      <c r="A43">
        <f>ROW(Source!A35)</f>
        <v>35</v>
      </c>
      <c r="B43">
        <v>50253415</v>
      </c>
      <c r="C43">
        <v>50253603</v>
      </c>
      <c r="D43">
        <v>49281882</v>
      </c>
      <c r="E43">
        <v>1</v>
      </c>
      <c r="F43">
        <v>1</v>
      </c>
      <c r="G43">
        <v>1</v>
      </c>
      <c r="H43">
        <v>3</v>
      </c>
      <c r="I43" t="s">
        <v>332</v>
      </c>
      <c r="J43" t="s">
        <v>333</v>
      </c>
      <c r="K43" t="s">
        <v>334</v>
      </c>
      <c r="L43">
        <v>1348</v>
      </c>
      <c r="N43">
        <v>1009</v>
      </c>
      <c r="O43" t="s">
        <v>104</v>
      </c>
      <c r="P43" t="s">
        <v>104</v>
      </c>
      <c r="Q43">
        <v>1000</v>
      </c>
      <c r="W43">
        <v>0</v>
      </c>
      <c r="X43">
        <v>-1321865125</v>
      </c>
      <c r="Y43">
        <f t="shared" si="8"/>
        <v>2.7699999999999999E-3</v>
      </c>
      <c r="AA43">
        <v>137255.4</v>
      </c>
      <c r="AB43">
        <v>0</v>
      </c>
      <c r="AC43">
        <v>0</v>
      </c>
      <c r="AD43">
        <v>0</v>
      </c>
      <c r="AE43">
        <v>98039.57</v>
      </c>
      <c r="AF43">
        <v>0</v>
      </c>
      <c r="AG43">
        <v>0</v>
      </c>
      <c r="AH43">
        <v>0</v>
      </c>
      <c r="AI43">
        <v>1.4</v>
      </c>
      <c r="AJ43">
        <v>1</v>
      </c>
      <c r="AK43">
        <v>1</v>
      </c>
      <c r="AL43">
        <v>1</v>
      </c>
      <c r="AM43">
        <v>2</v>
      </c>
      <c r="AN43">
        <v>0</v>
      </c>
      <c r="AO43">
        <v>0</v>
      </c>
      <c r="AP43">
        <v>1</v>
      </c>
      <c r="AQ43">
        <v>1</v>
      </c>
      <c r="AR43">
        <v>0</v>
      </c>
      <c r="AS43" t="s">
        <v>3</v>
      </c>
      <c r="AT43">
        <v>2.7699999999999999E-3</v>
      </c>
      <c r="AU43" t="s">
        <v>3</v>
      </c>
      <c r="AV43">
        <v>0</v>
      </c>
      <c r="AW43">
        <v>2</v>
      </c>
      <c r="AX43">
        <v>50253631</v>
      </c>
      <c r="AY43">
        <v>1</v>
      </c>
      <c r="AZ43">
        <v>0</v>
      </c>
      <c r="BA43">
        <v>43</v>
      </c>
      <c r="BB43">
        <v>1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271.56960889999999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1</v>
      </c>
      <c r="BQ43">
        <v>271.56960889999999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1</v>
      </c>
      <c r="CV43">
        <v>0</v>
      </c>
      <c r="CW43">
        <v>0</v>
      </c>
      <c r="CX43">
        <f>ROUND(Y43*Source!I35,7)</f>
        <v>1.108E-2</v>
      </c>
      <c r="CY43">
        <f t="shared" si="14"/>
        <v>137255.4</v>
      </c>
      <c r="CZ43">
        <f t="shared" si="15"/>
        <v>98039.57</v>
      </c>
      <c r="DA43">
        <f t="shared" si="16"/>
        <v>1.4</v>
      </c>
      <c r="DB43">
        <f t="shared" si="9"/>
        <v>271.57</v>
      </c>
      <c r="DC43">
        <f t="shared" si="10"/>
        <v>0</v>
      </c>
      <c r="DD43" t="s">
        <v>3</v>
      </c>
      <c r="DE43" t="s">
        <v>3</v>
      </c>
      <c r="DF43">
        <f>ROUND(ROUND(AE43*AI43,2)*CX43,2)</f>
        <v>1520.79</v>
      </c>
      <c r="DG43">
        <f t="shared" si="13"/>
        <v>0</v>
      </c>
      <c r="DH43">
        <f t="shared" si="11"/>
        <v>0</v>
      </c>
      <c r="DI43">
        <f t="shared" si="12"/>
        <v>0</v>
      </c>
      <c r="DJ43">
        <f t="shared" si="17"/>
        <v>1520.79</v>
      </c>
      <c r="DK43">
        <v>0</v>
      </c>
      <c r="DL43" t="s">
        <v>3</v>
      </c>
      <c r="DM43">
        <v>0</v>
      </c>
      <c r="DN43" t="s">
        <v>3</v>
      </c>
      <c r="DO43">
        <v>0</v>
      </c>
    </row>
    <row r="44" spans="1:119" x14ac:dyDescent="0.2">
      <c r="A44">
        <f>ROW(Source!A39)</f>
        <v>39</v>
      </c>
      <c r="B44">
        <v>50253415</v>
      </c>
      <c r="C44">
        <v>50253881</v>
      </c>
      <c r="D44">
        <v>49188537</v>
      </c>
      <c r="E44">
        <v>117</v>
      </c>
      <c r="F44">
        <v>1</v>
      </c>
      <c r="G44">
        <v>1</v>
      </c>
      <c r="H44">
        <v>1</v>
      </c>
      <c r="I44" t="s">
        <v>335</v>
      </c>
      <c r="J44" t="s">
        <v>3</v>
      </c>
      <c r="K44" t="s">
        <v>336</v>
      </c>
      <c r="L44">
        <v>1191</v>
      </c>
      <c r="N44">
        <v>1013</v>
      </c>
      <c r="O44" t="s">
        <v>247</v>
      </c>
      <c r="P44" t="s">
        <v>247</v>
      </c>
      <c r="Q44">
        <v>1</v>
      </c>
      <c r="W44">
        <v>0</v>
      </c>
      <c r="X44">
        <v>1014935341</v>
      </c>
      <c r="Y44">
        <f t="shared" si="8"/>
        <v>298</v>
      </c>
      <c r="AA44">
        <v>0</v>
      </c>
      <c r="AB44">
        <v>0</v>
      </c>
      <c r="AC44">
        <v>0</v>
      </c>
      <c r="AD44">
        <v>349.41</v>
      </c>
      <c r="AE44">
        <v>0</v>
      </c>
      <c r="AF44">
        <v>0</v>
      </c>
      <c r="AG44">
        <v>0</v>
      </c>
      <c r="AH44">
        <v>349.41</v>
      </c>
      <c r="AI44">
        <v>1</v>
      </c>
      <c r="AJ44">
        <v>1</v>
      </c>
      <c r="AK44">
        <v>1</v>
      </c>
      <c r="AL44">
        <v>1</v>
      </c>
      <c r="AM44">
        <v>-2</v>
      </c>
      <c r="AN44">
        <v>0</v>
      </c>
      <c r="AO44">
        <v>0</v>
      </c>
      <c r="AP44">
        <v>1</v>
      </c>
      <c r="AQ44">
        <v>1</v>
      </c>
      <c r="AR44">
        <v>0</v>
      </c>
      <c r="AS44" t="s">
        <v>3</v>
      </c>
      <c r="AT44">
        <v>298</v>
      </c>
      <c r="AU44" t="s">
        <v>3</v>
      </c>
      <c r="AV44">
        <v>1</v>
      </c>
      <c r="AW44">
        <v>2</v>
      </c>
      <c r="AX44">
        <v>50253882</v>
      </c>
      <c r="AY44">
        <v>1</v>
      </c>
      <c r="AZ44">
        <v>0</v>
      </c>
      <c r="BA44">
        <v>44</v>
      </c>
      <c r="BB44">
        <v>1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104124.18000000001</v>
      </c>
      <c r="BN44">
        <v>298</v>
      </c>
      <c r="BO44">
        <v>0</v>
      </c>
      <c r="BP44">
        <v>1</v>
      </c>
      <c r="BQ44">
        <v>0</v>
      </c>
      <c r="BR44">
        <v>0</v>
      </c>
      <c r="BS44">
        <v>0</v>
      </c>
      <c r="BT44">
        <v>104124.18000000001</v>
      </c>
      <c r="BU44">
        <v>298</v>
      </c>
      <c r="BV44">
        <v>0</v>
      </c>
      <c r="BW44">
        <v>1</v>
      </c>
      <c r="CU44">
        <f>ROUND(AT44*Source!I39*AH44*AL44,2)</f>
        <v>20824.84</v>
      </c>
      <c r="CV44">
        <f>ROUND(Y44*Source!I39,7)</f>
        <v>59.6</v>
      </c>
      <c r="CW44">
        <v>0</v>
      </c>
      <c r="CX44">
        <f>ROUND(Y44*Source!I39,7)</f>
        <v>59.6</v>
      </c>
      <c r="CY44">
        <f>AD44</f>
        <v>349.41</v>
      </c>
      <c r="CZ44">
        <f>AH44</f>
        <v>349.41</v>
      </c>
      <c r="DA44">
        <f>AL44</f>
        <v>1</v>
      </c>
      <c r="DB44">
        <f t="shared" si="9"/>
        <v>104124.18</v>
      </c>
      <c r="DC44">
        <f t="shared" si="10"/>
        <v>0</v>
      </c>
      <c r="DD44" t="s">
        <v>3</v>
      </c>
      <c r="DE44" t="s">
        <v>3</v>
      </c>
      <c r="DF44">
        <f t="shared" ref="DF44:DF49" si="18">ROUND(ROUND(AE44,2)*CX44,2)</f>
        <v>0</v>
      </c>
      <c r="DG44">
        <f t="shared" si="13"/>
        <v>0</v>
      </c>
      <c r="DH44">
        <f t="shared" si="11"/>
        <v>0</v>
      </c>
      <c r="DI44">
        <f t="shared" si="12"/>
        <v>20824.84</v>
      </c>
      <c r="DJ44">
        <f>DI44</f>
        <v>20824.84</v>
      </c>
      <c r="DK44">
        <v>1</v>
      </c>
      <c r="DL44" t="s">
        <v>3</v>
      </c>
      <c r="DM44">
        <v>0</v>
      </c>
      <c r="DN44" t="s">
        <v>3</v>
      </c>
      <c r="DO44">
        <v>0</v>
      </c>
    </row>
    <row r="45" spans="1:119" x14ac:dyDescent="0.2">
      <c r="A45">
        <f>ROW(Source!A39)</f>
        <v>39</v>
      </c>
      <c r="B45">
        <v>50253415</v>
      </c>
      <c r="C45">
        <v>50253881</v>
      </c>
      <c r="D45">
        <v>49188735</v>
      </c>
      <c r="E45">
        <v>117</v>
      </c>
      <c r="F45">
        <v>1</v>
      </c>
      <c r="G45">
        <v>1</v>
      </c>
      <c r="H45">
        <v>1</v>
      </c>
      <c r="I45" t="s">
        <v>245</v>
      </c>
      <c r="J45" t="s">
        <v>3</v>
      </c>
      <c r="K45" t="s">
        <v>246</v>
      </c>
      <c r="L45">
        <v>1191</v>
      </c>
      <c r="N45">
        <v>1013</v>
      </c>
      <c r="O45" t="s">
        <v>247</v>
      </c>
      <c r="P45" t="s">
        <v>247</v>
      </c>
      <c r="Q45">
        <v>1</v>
      </c>
      <c r="W45">
        <v>0</v>
      </c>
      <c r="X45">
        <v>-1417349443</v>
      </c>
      <c r="Y45">
        <f t="shared" si="8"/>
        <v>18.489999999999998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1</v>
      </c>
      <c r="AJ45">
        <v>1</v>
      </c>
      <c r="AK45">
        <v>1</v>
      </c>
      <c r="AL45">
        <v>1</v>
      </c>
      <c r="AM45">
        <v>-2</v>
      </c>
      <c r="AN45">
        <v>0</v>
      </c>
      <c r="AO45">
        <v>0</v>
      </c>
      <c r="AP45">
        <v>1</v>
      </c>
      <c r="AQ45">
        <v>1</v>
      </c>
      <c r="AR45">
        <v>0</v>
      </c>
      <c r="AS45" t="s">
        <v>3</v>
      </c>
      <c r="AT45">
        <v>18.489999999999998</v>
      </c>
      <c r="AU45" t="s">
        <v>3</v>
      </c>
      <c r="AV45">
        <v>2</v>
      </c>
      <c r="AW45">
        <v>2</v>
      </c>
      <c r="AX45">
        <v>50253883</v>
      </c>
      <c r="AY45">
        <v>1</v>
      </c>
      <c r="AZ45">
        <v>0</v>
      </c>
      <c r="BA45">
        <v>45</v>
      </c>
      <c r="BB45">
        <v>1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V45">
        <v>0</v>
      </c>
      <c r="CW45">
        <v>0</v>
      </c>
      <c r="CX45">
        <f>ROUND(Y45*Source!I39,7)</f>
        <v>3.698</v>
      </c>
      <c r="CY45">
        <f>AD45</f>
        <v>0</v>
      </c>
      <c r="CZ45">
        <f>AH45</f>
        <v>0</v>
      </c>
      <c r="DA45">
        <f>AL45</f>
        <v>1</v>
      </c>
      <c r="DB45">
        <f t="shared" si="9"/>
        <v>0</v>
      </c>
      <c r="DC45">
        <f t="shared" si="10"/>
        <v>0</v>
      </c>
      <c r="DD45" t="s">
        <v>3</v>
      </c>
      <c r="DE45" t="s">
        <v>3</v>
      </c>
      <c r="DF45">
        <f t="shared" si="18"/>
        <v>0</v>
      </c>
      <c r="DG45">
        <f t="shared" si="13"/>
        <v>0</v>
      </c>
      <c r="DH45">
        <f t="shared" si="11"/>
        <v>0</v>
      </c>
      <c r="DI45">
        <f t="shared" si="12"/>
        <v>0</v>
      </c>
      <c r="DJ45">
        <f>DI45</f>
        <v>0</v>
      </c>
      <c r="DK45">
        <v>0</v>
      </c>
      <c r="DL45" t="s">
        <v>3</v>
      </c>
      <c r="DM45">
        <v>0</v>
      </c>
      <c r="DN45" t="s">
        <v>3</v>
      </c>
      <c r="DO45">
        <v>0</v>
      </c>
    </row>
    <row r="46" spans="1:119" x14ac:dyDescent="0.2">
      <c r="A46">
        <f>ROW(Source!A39)</f>
        <v>39</v>
      </c>
      <c r="B46">
        <v>50253415</v>
      </c>
      <c r="C46">
        <v>50253881</v>
      </c>
      <c r="D46">
        <v>49195224</v>
      </c>
      <c r="E46">
        <v>1</v>
      </c>
      <c r="F46">
        <v>1</v>
      </c>
      <c r="G46">
        <v>1</v>
      </c>
      <c r="H46">
        <v>2</v>
      </c>
      <c r="I46" t="s">
        <v>274</v>
      </c>
      <c r="J46" t="s">
        <v>275</v>
      </c>
      <c r="K46" t="s">
        <v>276</v>
      </c>
      <c r="L46">
        <v>1368</v>
      </c>
      <c r="N46">
        <v>1011</v>
      </c>
      <c r="O46" t="s">
        <v>251</v>
      </c>
      <c r="P46" t="s">
        <v>251</v>
      </c>
      <c r="Q46">
        <v>1</v>
      </c>
      <c r="W46">
        <v>0</v>
      </c>
      <c r="X46">
        <v>639918019</v>
      </c>
      <c r="Y46">
        <f t="shared" si="8"/>
        <v>17.53</v>
      </c>
      <c r="AA46">
        <v>0</v>
      </c>
      <c r="AB46">
        <v>1720.97</v>
      </c>
      <c r="AC46">
        <v>533</v>
      </c>
      <c r="AD46">
        <v>0</v>
      </c>
      <c r="AE46">
        <v>0</v>
      </c>
      <c r="AF46">
        <v>1720.97</v>
      </c>
      <c r="AG46">
        <v>533</v>
      </c>
      <c r="AH46">
        <v>0</v>
      </c>
      <c r="AI46">
        <v>1</v>
      </c>
      <c r="AJ46">
        <v>1</v>
      </c>
      <c r="AK46">
        <v>1</v>
      </c>
      <c r="AL46">
        <v>1</v>
      </c>
      <c r="AM46">
        <v>-2</v>
      </c>
      <c r="AN46">
        <v>0</v>
      </c>
      <c r="AO46">
        <v>0</v>
      </c>
      <c r="AP46">
        <v>1</v>
      </c>
      <c r="AQ46">
        <v>1</v>
      </c>
      <c r="AR46">
        <v>0</v>
      </c>
      <c r="AS46" t="s">
        <v>3</v>
      </c>
      <c r="AT46">
        <v>17.53</v>
      </c>
      <c r="AU46" t="s">
        <v>3</v>
      </c>
      <c r="AV46">
        <v>1</v>
      </c>
      <c r="AW46">
        <v>2</v>
      </c>
      <c r="AX46">
        <v>50253884</v>
      </c>
      <c r="AY46">
        <v>1</v>
      </c>
      <c r="AZ46">
        <v>0</v>
      </c>
      <c r="BA46">
        <v>46</v>
      </c>
      <c r="BB46">
        <v>1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30168.604100000004</v>
      </c>
      <c r="BL46">
        <v>9343.49</v>
      </c>
      <c r="BM46">
        <v>0</v>
      </c>
      <c r="BN46">
        <v>0</v>
      </c>
      <c r="BO46">
        <v>17.53</v>
      </c>
      <c r="BP46">
        <v>1</v>
      </c>
      <c r="BQ46">
        <v>0</v>
      </c>
      <c r="BR46">
        <v>30168.604100000004</v>
      </c>
      <c r="BS46">
        <v>9343.49</v>
      </c>
      <c r="BT46">
        <v>0</v>
      </c>
      <c r="BU46">
        <v>0</v>
      </c>
      <c r="BV46">
        <v>17.53</v>
      </c>
      <c r="BW46">
        <v>1</v>
      </c>
      <c r="CV46">
        <v>0</v>
      </c>
      <c r="CW46">
        <f>ROUND(Y46*Source!I39*DO46,7)</f>
        <v>3.5059999999999998</v>
      </c>
      <c r="CX46">
        <f>ROUND(Y46*Source!I39,7)</f>
        <v>3.5059999999999998</v>
      </c>
      <c r="CY46">
        <f>AB46</f>
        <v>1720.97</v>
      </c>
      <c r="CZ46">
        <f>AF46</f>
        <v>1720.97</v>
      </c>
      <c r="DA46">
        <f>AJ46</f>
        <v>1</v>
      </c>
      <c r="DB46">
        <f t="shared" si="9"/>
        <v>30168.6</v>
      </c>
      <c r="DC46">
        <f t="shared" si="10"/>
        <v>9343.49</v>
      </c>
      <c r="DD46" t="s">
        <v>3</v>
      </c>
      <c r="DE46" t="s">
        <v>3</v>
      </c>
      <c r="DF46">
        <f t="shared" si="18"/>
        <v>0</v>
      </c>
      <c r="DG46">
        <f t="shared" si="13"/>
        <v>6033.72</v>
      </c>
      <c r="DH46">
        <f t="shared" si="11"/>
        <v>1868.7</v>
      </c>
      <c r="DI46">
        <f t="shared" si="12"/>
        <v>0</v>
      </c>
      <c r="DJ46">
        <f>DG46+DH46</f>
        <v>7902.42</v>
      </c>
      <c r="DK46">
        <v>1</v>
      </c>
      <c r="DL46" t="s">
        <v>252</v>
      </c>
      <c r="DM46">
        <v>6</v>
      </c>
      <c r="DN46" t="s">
        <v>247</v>
      </c>
      <c r="DO46">
        <v>1</v>
      </c>
    </row>
    <row r="47" spans="1:119" x14ac:dyDescent="0.2">
      <c r="A47">
        <f>ROW(Source!A39)</f>
        <v>39</v>
      </c>
      <c r="B47">
        <v>50253415</v>
      </c>
      <c r="C47">
        <v>50253881</v>
      </c>
      <c r="D47">
        <v>49195593</v>
      </c>
      <c r="E47">
        <v>1</v>
      </c>
      <c r="F47">
        <v>1</v>
      </c>
      <c r="G47">
        <v>1</v>
      </c>
      <c r="H47">
        <v>2</v>
      </c>
      <c r="I47" t="s">
        <v>309</v>
      </c>
      <c r="J47" t="s">
        <v>310</v>
      </c>
      <c r="K47" t="s">
        <v>311</v>
      </c>
      <c r="L47">
        <v>1368</v>
      </c>
      <c r="N47">
        <v>1011</v>
      </c>
      <c r="O47" t="s">
        <v>251</v>
      </c>
      <c r="P47" t="s">
        <v>251</v>
      </c>
      <c r="Q47">
        <v>1</v>
      </c>
      <c r="W47">
        <v>0</v>
      </c>
      <c r="X47">
        <v>1291464883</v>
      </c>
      <c r="Y47">
        <f t="shared" si="8"/>
        <v>1.0900000000000001</v>
      </c>
      <c r="AA47">
        <v>0</v>
      </c>
      <c r="AB47">
        <v>153.35</v>
      </c>
      <c r="AC47">
        <v>0</v>
      </c>
      <c r="AD47">
        <v>0</v>
      </c>
      <c r="AE47">
        <v>0</v>
      </c>
      <c r="AF47">
        <v>95.25</v>
      </c>
      <c r="AG47">
        <v>0</v>
      </c>
      <c r="AH47">
        <v>0</v>
      </c>
      <c r="AI47">
        <v>1</v>
      </c>
      <c r="AJ47">
        <v>1.61</v>
      </c>
      <c r="AK47">
        <v>1</v>
      </c>
      <c r="AL47">
        <v>1</v>
      </c>
      <c r="AM47">
        <v>2</v>
      </c>
      <c r="AN47">
        <v>0</v>
      </c>
      <c r="AO47">
        <v>0</v>
      </c>
      <c r="AP47">
        <v>1</v>
      </c>
      <c r="AQ47">
        <v>1</v>
      </c>
      <c r="AR47">
        <v>0</v>
      </c>
      <c r="AS47" t="s">
        <v>3</v>
      </c>
      <c r="AT47">
        <v>1.0900000000000001</v>
      </c>
      <c r="AU47" t="s">
        <v>3</v>
      </c>
      <c r="AV47">
        <v>1</v>
      </c>
      <c r="AW47">
        <v>2</v>
      </c>
      <c r="AX47">
        <v>50253885</v>
      </c>
      <c r="AY47">
        <v>1</v>
      </c>
      <c r="AZ47">
        <v>0</v>
      </c>
      <c r="BA47">
        <v>47</v>
      </c>
      <c r="BB47">
        <v>1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103.82250000000001</v>
      </c>
      <c r="BL47">
        <v>0</v>
      </c>
      <c r="BM47">
        <v>0</v>
      </c>
      <c r="BN47">
        <v>0</v>
      </c>
      <c r="BO47">
        <v>0</v>
      </c>
      <c r="BP47">
        <v>1</v>
      </c>
      <c r="BQ47">
        <v>0</v>
      </c>
      <c r="BR47">
        <v>103.82250000000001</v>
      </c>
      <c r="BS47">
        <v>0</v>
      </c>
      <c r="BT47">
        <v>0</v>
      </c>
      <c r="BU47">
        <v>0</v>
      </c>
      <c r="BV47">
        <v>0</v>
      </c>
      <c r="BW47">
        <v>1</v>
      </c>
      <c r="CV47">
        <v>0</v>
      </c>
      <c r="CW47">
        <f>ROUND(Y47*Source!I39*DO47,7)</f>
        <v>0</v>
      </c>
      <c r="CX47">
        <f>ROUND(Y47*Source!I39,7)</f>
        <v>0.218</v>
      </c>
      <c r="CY47">
        <f>AB47</f>
        <v>153.35</v>
      </c>
      <c r="CZ47">
        <f>AF47</f>
        <v>95.25</v>
      </c>
      <c r="DA47">
        <f>AJ47</f>
        <v>1.61</v>
      </c>
      <c r="DB47">
        <f t="shared" si="9"/>
        <v>103.82</v>
      </c>
      <c r="DC47">
        <f t="shared" si="10"/>
        <v>0</v>
      </c>
      <c r="DD47" t="s">
        <v>3</v>
      </c>
      <c r="DE47" t="s">
        <v>3</v>
      </c>
      <c r="DF47">
        <f t="shared" si="18"/>
        <v>0</v>
      </c>
      <c r="DG47">
        <f>ROUND(ROUND(AF47*AJ47,2)*CX47,2)</f>
        <v>33.43</v>
      </c>
      <c r="DH47">
        <f t="shared" si="11"/>
        <v>0</v>
      </c>
      <c r="DI47">
        <f t="shared" si="12"/>
        <v>0</v>
      </c>
      <c r="DJ47">
        <f>DG47+DH47</f>
        <v>33.43</v>
      </c>
      <c r="DK47">
        <v>0</v>
      </c>
      <c r="DL47" t="s">
        <v>3</v>
      </c>
      <c r="DM47">
        <v>0</v>
      </c>
      <c r="DN47" t="s">
        <v>3</v>
      </c>
      <c r="DO47">
        <v>0</v>
      </c>
    </row>
    <row r="48" spans="1:119" x14ac:dyDescent="0.2">
      <c r="A48">
        <f>ROW(Source!A39)</f>
        <v>39</v>
      </c>
      <c r="B48">
        <v>50253415</v>
      </c>
      <c r="C48">
        <v>50253881</v>
      </c>
      <c r="D48">
        <v>49196119</v>
      </c>
      <c r="E48">
        <v>1</v>
      </c>
      <c r="F48">
        <v>1</v>
      </c>
      <c r="G48">
        <v>1</v>
      </c>
      <c r="H48">
        <v>2</v>
      </c>
      <c r="I48" t="s">
        <v>262</v>
      </c>
      <c r="J48" t="s">
        <v>263</v>
      </c>
      <c r="K48" t="s">
        <v>264</v>
      </c>
      <c r="L48">
        <v>1368</v>
      </c>
      <c r="N48">
        <v>1011</v>
      </c>
      <c r="O48" t="s">
        <v>251</v>
      </c>
      <c r="P48" t="s">
        <v>251</v>
      </c>
      <c r="Q48">
        <v>1</v>
      </c>
      <c r="W48">
        <v>0</v>
      </c>
      <c r="X48">
        <v>-849950259</v>
      </c>
      <c r="Y48">
        <f t="shared" si="8"/>
        <v>0.96</v>
      </c>
      <c r="AA48">
        <v>0</v>
      </c>
      <c r="AB48">
        <v>680.88</v>
      </c>
      <c r="AC48">
        <v>396.79</v>
      </c>
      <c r="AD48">
        <v>0</v>
      </c>
      <c r="AE48">
        <v>0</v>
      </c>
      <c r="AF48">
        <v>680.88</v>
      </c>
      <c r="AG48">
        <v>396.79</v>
      </c>
      <c r="AH48">
        <v>0</v>
      </c>
      <c r="AI48">
        <v>1</v>
      </c>
      <c r="AJ48">
        <v>1</v>
      </c>
      <c r="AK48">
        <v>1</v>
      </c>
      <c r="AL48">
        <v>1</v>
      </c>
      <c r="AM48">
        <v>-2</v>
      </c>
      <c r="AN48">
        <v>0</v>
      </c>
      <c r="AO48">
        <v>0</v>
      </c>
      <c r="AP48">
        <v>1</v>
      </c>
      <c r="AQ48">
        <v>1</v>
      </c>
      <c r="AR48">
        <v>0</v>
      </c>
      <c r="AS48" t="s">
        <v>3</v>
      </c>
      <c r="AT48">
        <v>0.96</v>
      </c>
      <c r="AU48" t="s">
        <v>3</v>
      </c>
      <c r="AV48">
        <v>1</v>
      </c>
      <c r="AW48">
        <v>2</v>
      </c>
      <c r="AX48">
        <v>50253886</v>
      </c>
      <c r="AY48">
        <v>1</v>
      </c>
      <c r="AZ48">
        <v>0</v>
      </c>
      <c r="BA48">
        <v>48</v>
      </c>
      <c r="BB48">
        <v>1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653.64479999999992</v>
      </c>
      <c r="BL48">
        <v>380.91840000000002</v>
      </c>
      <c r="BM48">
        <v>0</v>
      </c>
      <c r="BN48">
        <v>0</v>
      </c>
      <c r="BO48">
        <v>0.96</v>
      </c>
      <c r="BP48">
        <v>1</v>
      </c>
      <c r="BQ48">
        <v>0</v>
      </c>
      <c r="BR48">
        <v>653.64479999999992</v>
      </c>
      <c r="BS48">
        <v>380.91840000000002</v>
      </c>
      <c r="BT48">
        <v>0</v>
      </c>
      <c r="BU48">
        <v>0</v>
      </c>
      <c r="BV48">
        <v>0.96</v>
      </c>
      <c r="BW48">
        <v>1</v>
      </c>
      <c r="CV48">
        <v>0</v>
      </c>
      <c r="CW48">
        <f>ROUND(Y48*Source!I39*DO48,7)</f>
        <v>0.192</v>
      </c>
      <c r="CX48">
        <f>ROUND(Y48*Source!I39,7)</f>
        <v>0.192</v>
      </c>
      <c r="CY48">
        <f>AB48</f>
        <v>680.88</v>
      </c>
      <c r="CZ48">
        <f>AF48</f>
        <v>680.88</v>
      </c>
      <c r="DA48">
        <f>AJ48</f>
        <v>1</v>
      </c>
      <c r="DB48">
        <f t="shared" si="9"/>
        <v>653.64</v>
      </c>
      <c r="DC48">
        <f t="shared" si="10"/>
        <v>380.92</v>
      </c>
      <c r="DD48" t="s">
        <v>3</v>
      </c>
      <c r="DE48" t="s">
        <v>3</v>
      </c>
      <c r="DF48">
        <f t="shared" si="18"/>
        <v>0</v>
      </c>
      <c r="DG48">
        <f t="shared" ref="DG48:DG58" si="19">ROUND(ROUND(AF48,2)*CX48,2)</f>
        <v>130.72999999999999</v>
      </c>
      <c r="DH48">
        <f t="shared" si="11"/>
        <v>76.180000000000007</v>
      </c>
      <c r="DI48">
        <f t="shared" si="12"/>
        <v>0</v>
      </c>
      <c r="DJ48">
        <f>DG48+DH48</f>
        <v>206.91</v>
      </c>
      <c r="DK48">
        <v>1</v>
      </c>
      <c r="DL48" t="s">
        <v>265</v>
      </c>
      <c r="DM48">
        <v>4</v>
      </c>
      <c r="DN48" t="s">
        <v>247</v>
      </c>
      <c r="DO48">
        <v>1</v>
      </c>
    </row>
    <row r="49" spans="1:119" x14ac:dyDescent="0.2">
      <c r="A49">
        <f>ROW(Source!A39)</f>
        <v>39</v>
      </c>
      <c r="B49">
        <v>50253415</v>
      </c>
      <c r="C49">
        <v>50253881</v>
      </c>
      <c r="D49">
        <v>49262889</v>
      </c>
      <c r="E49">
        <v>1</v>
      </c>
      <c r="F49">
        <v>1</v>
      </c>
      <c r="G49">
        <v>1</v>
      </c>
      <c r="H49">
        <v>3</v>
      </c>
      <c r="I49" t="s">
        <v>312</v>
      </c>
      <c r="J49" t="s">
        <v>313</v>
      </c>
      <c r="K49" t="s">
        <v>314</v>
      </c>
      <c r="L49">
        <v>1383</v>
      </c>
      <c r="N49">
        <v>1013</v>
      </c>
      <c r="O49" t="s">
        <v>315</v>
      </c>
      <c r="P49" t="s">
        <v>315</v>
      </c>
      <c r="Q49">
        <v>1</v>
      </c>
      <c r="W49">
        <v>0</v>
      </c>
      <c r="X49">
        <v>1840299850</v>
      </c>
      <c r="Y49">
        <f t="shared" si="8"/>
        <v>20.393999999999998</v>
      </c>
      <c r="AA49">
        <v>8.7899999999999991</v>
      </c>
      <c r="AB49">
        <v>0</v>
      </c>
      <c r="AC49">
        <v>0</v>
      </c>
      <c r="AD49">
        <v>0</v>
      </c>
      <c r="AE49">
        <v>8.7899999999999991</v>
      </c>
      <c r="AF49">
        <v>0</v>
      </c>
      <c r="AG49">
        <v>0</v>
      </c>
      <c r="AH49">
        <v>0</v>
      </c>
      <c r="AI49">
        <v>1</v>
      </c>
      <c r="AJ49">
        <v>1</v>
      </c>
      <c r="AK49">
        <v>1</v>
      </c>
      <c r="AL49">
        <v>1</v>
      </c>
      <c r="AM49">
        <v>-2</v>
      </c>
      <c r="AN49">
        <v>0</v>
      </c>
      <c r="AO49">
        <v>0</v>
      </c>
      <c r="AP49">
        <v>1</v>
      </c>
      <c r="AQ49">
        <v>1</v>
      </c>
      <c r="AR49">
        <v>0</v>
      </c>
      <c r="AS49" t="s">
        <v>3</v>
      </c>
      <c r="AT49">
        <v>20.393999999999998</v>
      </c>
      <c r="AU49" t="s">
        <v>3</v>
      </c>
      <c r="AV49">
        <v>0</v>
      </c>
      <c r="AW49">
        <v>2</v>
      </c>
      <c r="AX49">
        <v>50253887</v>
      </c>
      <c r="AY49">
        <v>1</v>
      </c>
      <c r="AZ49">
        <v>0</v>
      </c>
      <c r="BA49">
        <v>49</v>
      </c>
      <c r="BB49">
        <v>1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179.26325999999997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1</v>
      </c>
      <c r="BQ49">
        <v>179.26325999999997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1</v>
      </c>
      <c r="CV49">
        <v>0</v>
      </c>
      <c r="CW49">
        <v>0</v>
      </c>
      <c r="CX49">
        <f>ROUND(Y49*Source!I39,7)</f>
        <v>4.0788000000000002</v>
      </c>
      <c r="CY49">
        <f t="shared" ref="CY49:CY58" si="20">AA49</f>
        <v>8.7899999999999991</v>
      </c>
      <c r="CZ49">
        <f t="shared" ref="CZ49:CZ58" si="21">AE49</f>
        <v>8.7899999999999991</v>
      </c>
      <c r="DA49">
        <f t="shared" ref="DA49:DA58" si="22">AI49</f>
        <v>1</v>
      </c>
      <c r="DB49">
        <f t="shared" si="9"/>
        <v>179.26</v>
      </c>
      <c r="DC49">
        <f t="shared" si="10"/>
        <v>0</v>
      </c>
      <c r="DD49" t="s">
        <v>3</v>
      </c>
      <c r="DE49" t="s">
        <v>3</v>
      </c>
      <c r="DF49">
        <f t="shared" si="18"/>
        <v>35.85</v>
      </c>
      <c r="DG49">
        <f t="shared" si="19"/>
        <v>0</v>
      </c>
      <c r="DH49">
        <f t="shared" si="11"/>
        <v>0</v>
      </c>
      <c r="DI49">
        <f t="shared" si="12"/>
        <v>0</v>
      </c>
      <c r="DJ49">
        <f t="shared" ref="DJ49:DJ58" si="23">DF49</f>
        <v>35.85</v>
      </c>
      <c r="DK49">
        <v>1</v>
      </c>
      <c r="DL49" t="s">
        <v>3</v>
      </c>
      <c r="DM49">
        <v>0</v>
      </c>
      <c r="DN49" t="s">
        <v>3</v>
      </c>
      <c r="DO49">
        <v>0</v>
      </c>
    </row>
    <row r="50" spans="1:119" x14ac:dyDescent="0.2">
      <c r="A50">
        <f>ROW(Source!A39)</f>
        <v>39</v>
      </c>
      <c r="B50">
        <v>50253415</v>
      </c>
      <c r="C50">
        <v>50253881</v>
      </c>
      <c r="D50">
        <v>49264391</v>
      </c>
      <c r="E50">
        <v>1</v>
      </c>
      <c r="F50">
        <v>1</v>
      </c>
      <c r="G50">
        <v>1</v>
      </c>
      <c r="H50">
        <v>3</v>
      </c>
      <c r="I50" t="s">
        <v>316</v>
      </c>
      <c r="J50" t="s">
        <v>317</v>
      </c>
      <c r="K50" t="s">
        <v>318</v>
      </c>
      <c r="L50">
        <v>1346</v>
      </c>
      <c r="N50">
        <v>1009</v>
      </c>
      <c r="O50" t="s">
        <v>293</v>
      </c>
      <c r="P50" t="s">
        <v>293</v>
      </c>
      <c r="Q50">
        <v>1</v>
      </c>
      <c r="W50">
        <v>0</v>
      </c>
      <c r="X50">
        <v>-1131385474</v>
      </c>
      <c r="Y50">
        <f t="shared" si="8"/>
        <v>35.1</v>
      </c>
      <c r="AA50">
        <v>199.42</v>
      </c>
      <c r="AB50">
        <v>0</v>
      </c>
      <c r="AC50">
        <v>0</v>
      </c>
      <c r="AD50">
        <v>0</v>
      </c>
      <c r="AE50">
        <v>174.93</v>
      </c>
      <c r="AF50">
        <v>0</v>
      </c>
      <c r="AG50">
        <v>0</v>
      </c>
      <c r="AH50">
        <v>0</v>
      </c>
      <c r="AI50">
        <v>1.1399999999999999</v>
      </c>
      <c r="AJ50">
        <v>1</v>
      </c>
      <c r="AK50">
        <v>1</v>
      </c>
      <c r="AL50">
        <v>1</v>
      </c>
      <c r="AM50">
        <v>2</v>
      </c>
      <c r="AN50">
        <v>0</v>
      </c>
      <c r="AO50">
        <v>0</v>
      </c>
      <c r="AP50">
        <v>1</v>
      </c>
      <c r="AQ50">
        <v>1</v>
      </c>
      <c r="AR50">
        <v>0</v>
      </c>
      <c r="AS50" t="s">
        <v>3</v>
      </c>
      <c r="AT50">
        <v>35.1</v>
      </c>
      <c r="AU50" t="s">
        <v>3</v>
      </c>
      <c r="AV50">
        <v>0</v>
      </c>
      <c r="AW50">
        <v>2</v>
      </c>
      <c r="AX50">
        <v>50253888</v>
      </c>
      <c r="AY50">
        <v>1</v>
      </c>
      <c r="AZ50">
        <v>0</v>
      </c>
      <c r="BA50">
        <v>50</v>
      </c>
      <c r="BB50">
        <v>1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6140.0430000000006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1</v>
      </c>
      <c r="BQ50">
        <v>6140.0430000000006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1</v>
      </c>
      <c r="CV50">
        <v>0</v>
      </c>
      <c r="CW50">
        <v>0</v>
      </c>
      <c r="CX50">
        <f>ROUND(Y50*Source!I39,7)</f>
        <v>7.02</v>
      </c>
      <c r="CY50">
        <f t="shared" si="20"/>
        <v>199.42</v>
      </c>
      <c r="CZ50">
        <f t="shared" si="21"/>
        <v>174.93</v>
      </c>
      <c r="DA50">
        <f t="shared" si="22"/>
        <v>1.1399999999999999</v>
      </c>
      <c r="DB50">
        <f t="shared" si="9"/>
        <v>6140.04</v>
      </c>
      <c r="DC50">
        <f t="shared" si="10"/>
        <v>0</v>
      </c>
      <c r="DD50" t="s">
        <v>3</v>
      </c>
      <c r="DE50" t="s">
        <v>3</v>
      </c>
      <c r="DF50">
        <f>ROUND(ROUND(AE50*AI50,2)*CX50,2)</f>
        <v>1399.93</v>
      </c>
      <c r="DG50">
        <f t="shared" si="19"/>
        <v>0</v>
      </c>
      <c r="DH50">
        <f t="shared" si="11"/>
        <v>0</v>
      </c>
      <c r="DI50">
        <f t="shared" si="12"/>
        <v>0</v>
      </c>
      <c r="DJ50">
        <f t="shared" si="23"/>
        <v>1399.93</v>
      </c>
      <c r="DK50">
        <v>0</v>
      </c>
      <c r="DL50" t="s">
        <v>3</v>
      </c>
      <c r="DM50">
        <v>0</v>
      </c>
      <c r="DN50" t="s">
        <v>3</v>
      </c>
      <c r="DO50">
        <v>0</v>
      </c>
    </row>
    <row r="51" spans="1:119" x14ac:dyDescent="0.2">
      <c r="A51">
        <f>ROW(Source!A39)</f>
        <v>39</v>
      </c>
      <c r="B51">
        <v>50253415</v>
      </c>
      <c r="C51">
        <v>50253881</v>
      </c>
      <c r="D51">
        <v>49264442</v>
      </c>
      <c r="E51">
        <v>1</v>
      </c>
      <c r="F51">
        <v>1</v>
      </c>
      <c r="G51">
        <v>1</v>
      </c>
      <c r="H51">
        <v>3</v>
      </c>
      <c r="I51" t="s">
        <v>319</v>
      </c>
      <c r="J51" t="s">
        <v>320</v>
      </c>
      <c r="K51" t="s">
        <v>321</v>
      </c>
      <c r="L51">
        <v>1348</v>
      </c>
      <c r="N51">
        <v>1009</v>
      </c>
      <c r="O51" t="s">
        <v>104</v>
      </c>
      <c r="P51" t="s">
        <v>104</v>
      </c>
      <c r="Q51">
        <v>1000</v>
      </c>
      <c r="W51">
        <v>0</v>
      </c>
      <c r="X51">
        <v>-1061297381</v>
      </c>
      <c r="Y51">
        <f t="shared" si="8"/>
        <v>3.5999999999999999E-3</v>
      </c>
      <c r="AA51">
        <v>84355.44</v>
      </c>
      <c r="AB51">
        <v>0</v>
      </c>
      <c r="AC51">
        <v>0</v>
      </c>
      <c r="AD51">
        <v>0</v>
      </c>
      <c r="AE51">
        <v>70296.2</v>
      </c>
      <c r="AF51">
        <v>0</v>
      </c>
      <c r="AG51">
        <v>0</v>
      </c>
      <c r="AH51">
        <v>0</v>
      </c>
      <c r="AI51">
        <v>1.2</v>
      </c>
      <c r="AJ51">
        <v>1</v>
      </c>
      <c r="AK51">
        <v>1</v>
      </c>
      <c r="AL51">
        <v>1</v>
      </c>
      <c r="AM51">
        <v>2</v>
      </c>
      <c r="AN51">
        <v>0</v>
      </c>
      <c r="AO51">
        <v>0</v>
      </c>
      <c r="AP51">
        <v>1</v>
      </c>
      <c r="AQ51">
        <v>1</v>
      </c>
      <c r="AR51">
        <v>0</v>
      </c>
      <c r="AS51" t="s">
        <v>3</v>
      </c>
      <c r="AT51">
        <v>3.5999999999999999E-3</v>
      </c>
      <c r="AU51" t="s">
        <v>3</v>
      </c>
      <c r="AV51">
        <v>0</v>
      </c>
      <c r="AW51">
        <v>2</v>
      </c>
      <c r="AX51">
        <v>50253889</v>
      </c>
      <c r="AY51">
        <v>1</v>
      </c>
      <c r="AZ51">
        <v>0</v>
      </c>
      <c r="BA51">
        <v>51</v>
      </c>
      <c r="BB51">
        <v>1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253.06631999999999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1</v>
      </c>
      <c r="BQ51">
        <v>253.06631999999999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1</v>
      </c>
      <c r="CV51">
        <v>0</v>
      </c>
      <c r="CW51">
        <v>0</v>
      </c>
      <c r="CX51">
        <f>ROUND(Y51*Source!I39,7)</f>
        <v>7.2000000000000005E-4</v>
      </c>
      <c r="CY51">
        <f t="shared" si="20"/>
        <v>84355.44</v>
      </c>
      <c r="CZ51">
        <f t="shared" si="21"/>
        <v>70296.2</v>
      </c>
      <c r="DA51">
        <f t="shared" si="22"/>
        <v>1.2</v>
      </c>
      <c r="DB51">
        <f t="shared" si="9"/>
        <v>253.07</v>
      </c>
      <c r="DC51">
        <f t="shared" si="10"/>
        <v>0</v>
      </c>
      <c r="DD51" t="s">
        <v>3</v>
      </c>
      <c r="DE51" t="s">
        <v>3</v>
      </c>
      <c r="DF51">
        <f>ROUND(ROUND(AE51*AI51,2)*CX51,2)</f>
        <v>60.74</v>
      </c>
      <c r="DG51">
        <f t="shared" si="19"/>
        <v>0</v>
      </c>
      <c r="DH51">
        <f t="shared" si="11"/>
        <v>0</v>
      </c>
      <c r="DI51">
        <f t="shared" si="12"/>
        <v>0</v>
      </c>
      <c r="DJ51">
        <f t="shared" si="23"/>
        <v>60.74</v>
      </c>
      <c r="DK51">
        <v>0</v>
      </c>
      <c r="DL51" t="s">
        <v>3</v>
      </c>
      <c r="DM51">
        <v>0</v>
      </c>
      <c r="DN51" t="s">
        <v>3</v>
      </c>
      <c r="DO51">
        <v>0</v>
      </c>
    </row>
    <row r="52" spans="1:119" x14ac:dyDescent="0.2">
      <c r="A52">
        <f>ROW(Source!A39)</f>
        <v>39</v>
      </c>
      <c r="B52">
        <v>50253415</v>
      </c>
      <c r="C52">
        <v>50253881</v>
      </c>
      <c r="D52">
        <v>49268594</v>
      </c>
      <c r="E52">
        <v>1</v>
      </c>
      <c r="F52">
        <v>1</v>
      </c>
      <c r="G52">
        <v>1</v>
      </c>
      <c r="H52">
        <v>3</v>
      </c>
      <c r="I52" t="s">
        <v>322</v>
      </c>
      <c r="J52" t="s">
        <v>323</v>
      </c>
      <c r="K52" t="s">
        <v>324</v>
      </c>
      <c r="L52">
        <v>1407</v>
      </c>
      <c r="N52">
        <v>1013</v>
      </c>
      <c r="O52" t="s">
        <v>325</v>
      </c>
      <c r="P52" t="s">
        <v>325</v>
      </c>
      <c r="Q52">
        <v>1</v>
      </c>
      <c r="W52">
        <v>0</v>
      </c>
      <c r="X52">
        <v>1551931191</v>
      </c>
      <c r="Y52">
        <f t="shared" si="8"/>
        <v>8.5999999999999993E-2</v>
      </c>
      <c r="AA52">
        <v>17616.63</v>
      </c>
      <c r="AB52">
        <v>0</v>
      </c>
      <c r="AC52">
        <v>0</v>
      </c>
      <c r="AD52">
        <v>0</v>
      </c>
      <c r="AE52">
        <v>14803.89</v>
      </c>
      <c r="AF52">
        <v>0</v>
      </c>
      <c r="AG52">
        <v>0</v>
      </c>
      <c r="AH52">
        <v>0</v>
      </c>
      <c r="AI52">
        <v>1.19</v>
      </c>
      <c r="AJ52">
        <v>1</v>
      </c>
      <c r="AK52">
        <v>1</v>
      </c>
      <c r="AL52">
        <v>1</v>
      </c>
      <c r="AM52">
        <v>2</v>
      </c>
      <c r="AN52">
        <v>0</v>
      </c>
      <c r="AO52">
        <v>0</v>
      </c>
      <c r="AP52">
        <v>1</v>
      </c>
      <c r="AQ52">
        <v>1</v>
      </c>
      <c r="AR52">
        <v>0</v>
      </c>
      <c r="AS52" t="s">
        <v>3</v>
      </c>
      <c r="AT52">
        <v>8.5999999999999993E-2</v>
      </c>
      <c r="AU52" t="s">
        <v>3</v>
      </c>
      <c r="AV52">
        <v>0</v>
      </c>
      <c r="AW52">
        <v>2</v>
      </c>
      <c r="AX52">
        <v>50253890</v>
      </c>
      <c r="AY52">
        <v>1</v>
      </c>
      <c r="AZ52">
        <v>0</v>
      </c>
      <c r="BA52">
        <v>52</v>
      </c>
      <c r="BB52">
        <v>1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1273.1345399999998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1</v>
      </c>
      <c r="BQ52">
        <v>1273.1345399999998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1</v>
      </c>
      <c r="CV52">
        <v>0</v>
      </c>
      <c r="CW52">
        <v>0</v>
      </c>
      <c r="CX52">
        <f>ROUND(Y52*Source!I39,7)</f>
        <v>1.72E-2</v>
      </c>
      <c r="CY52">
        <f t="shared" si="20"/>
        <v>17616.63</v>
      </c>
      <c r="CZ52">
        <f t="shared" si="21"/>
        <v>14803.89</v>
      </c>
      <c r="DA52">
        <f t="shared" si="22"/>
        <v>1.19</v>
      </c>
      <c r="DB52">
        <f t="shared" si="9"/>
        <v>1273.1300000000001</v>
      </c>
      <c r="DC52">
        <f t="shared" si="10"/>
        <v>0</v>
      </c>
      <c r="DD52" t="s">
        <v>3</v>
      </c>
      <c r="DE52" t="s">
        <v>3</v>
      </c>
      <c r="DF52">
        <f>ROUND(ROUND(AE52*AI52,2)*CX52,2)</f>
        <v>303.01</v>
      </c>
      <c r="DG52">
        <f t="shared" si="19"/>
        <v>0</v>
      </c>
      <c r="DH52">
        <f t="shared" si="11"/>
        <v>0</v>
      </c>
      <c r="DI52">
        <f t="shared" si="12"/>
        <v>0</v>
      </c>
      <c r="DJ52">
        <f t="shared" si="23"/>
        <v>303.01</v>
      </c>
      <c r="DK52">
        <v>0</v>
      </c>
      <c r="DL52" t="s">
        <v>3</v>
      </c>
      <c r="DM52">
        <v>0</v>
      </c>
      <c r="DN52" t="s">
        <v>3</v>
      </c>
      <c r="DO52">
        <v>0</v>
      </c>
    </row>
    <row r="53" spans="1:119" x14ac:dyDescent="0.2">
      <c r="A53">
        <f>ROW(Source!A39)</f>
        <v>39</v>
      </c>
      <c r="B53">
        <v>50253415</v>
      </c>
      <c r="C53">
        <v>50253881</v>
      </c>
      <c r="D53">
        <v>49270310</v>
      </c>
      <c r="E53">
        <v>1</v>
      </c>
      <c r="F53">
        <v>1</v>
      </c>
      <c r="G53">
        <v>1</v>
      </c>
      <c r="H53">
        <v>3</v>
      </c>
      <c r="I53" t="s">
        <v>102</v>
      </c>
      <c r="J53" t="s">
        <v>105</v>
      </c>
      <c r="K53" t="s">
        <v>103</v>
      </c>
      <c r="L53">
        <v>1348</v>
      </c>
      <c r="N53">
        <v>1009</v>
      </c>
      <c r="O53" t="s">
        <v>104</v>
      </c>
      <c r="P53" t="s">
        <v>104</v>
      </c>
      <c r="Q53">
        <v>1000</v>
      </c>
      <c r="W53">
        <v>0</v>
      </c>
      <c r="X53">
        <v>-1856565771</v>
      </c>
      <c r="Y53">
        <f t="shared" si="8"/>
        <v>0</v>
      </c>
      <c r="AA53">
        <v>76021.52</v>
      </c>
      <c r="AB53">
        <v>0</v>
      </c>
      <c r="AC53">
        <v>0</v>
      </c>
      <c r="AD53">
        <v>0</v>
      </c>
      <c r="AE53">
        <v>55898.18</v>
      </c>
      <c r="AF53">
        <v>0</v>
      </c>
      <c r="AG53">
        <v>0</v>
      </c>
      <c r="AH53">
        <v>0</v>
      </c>
      <c r="AI53">
        <v>1.36</v>
      </c>
      <c r="AJ53">
        <v>1</v>
      </c>
      <c r="AK53">
        <v>1</v>
      </c>
      <c r="AL53">
        <v>1</v>
      </c>
      <c r="AM53">
        <v>0</v>
      </c>
      <c r="AN53">
        <v>1</v>
      </c>
      <c r="AO53">
        <v>0</v>
      </c>
      <c r="AP53">
        <v>1</v>
      </c>
      <c r="AQ53">
        <v>0</v>
      </c>
      <c r="AR53">
        <v>0</v>
      </c>
      <c r="AS53" t="s">
        <v>3</v>
      </c>
      <c r="AT53">
        <v>0</v>
      </c>
      <c r="AU53" t="s">
        <v>3</v>
      </c>
      <c r="AV53">
        <v>0</v>
      </c>
      <c r="AW53">
        <v>2</v>
      </c>
      <c r="AX53">
        <v>50253891</v>
      </c>
      <c r="AY53">
        <v>1</v>
      </c>
      <c r="AZ53">
        <v>0</v>
      </c>
      <c r="BA53">
        <v>53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V53">
        <v>0</v>
      </c>
      <c r="CW53">
        <v>0</v>
      </c>
      <c r="CX53">
        <f>ROUND(Y53*Source!I39,7)</f>
        <v>0</v>
      </c>
      <c r="CY53">
        <f t="shared" si="20"/>
        <v>76021.52</v>
      </c>
      <c r="CZ53">
        <f t="shared" si="21"/>
        <v>55898.18</v>
      </c>
      <c r="DA53">
        <f t="shared" si="22"/>
        <v>1.36</v>
      </c>
      <c r="DB53">
        <f t="shared" si="9"/>
        <v>0</v>
      </c>
      <c r="DC53">
        <f t="shared" si="10"/>
        <v>0</v>
      </c>
      <c r="DD53" t="s">
        <v>3</v>
      </c>
      <c r="DE53" t="s">
        <v>3</v>
      </c>
      <c r="DF53">
        <f>ROUND(ROUND(AE53*AI53,2)*CX53,2)</f>
        <v>0</v>
      </c>
      <c r="DG53">
        <f t="shared" si="19"/>
        <v>0</v>
      </c>
      <c r="DH53">
        <f t="shared" si="11"/>
        <v>0</v>
      </c>
      <c r="DI53">
        <f t="shared" si="12"/>
        <v>0</v>
      </c>
      <c r="DJ53">
        <f t="shared" si="23"/>
        <v>0</v>
      </c>
      <c r="DK53">
        <v>0</v>
      </c>
      <c r="DL53" t="s">
        <v>3</v>
      </c>
      <c r="DM53">
        <v>0</v>
      </c>
      <c r="DN53" t="s">
        <v>3</v>
      </c>
      <c r="DO53">
        <v>0</v>
      </c>
    </row>
    <row r="54" spans="1:119" x14ac:dyDescent="0.2">
      <c r="A54">
        <f>ROW(Source!A39)</f>
        <v>39</v>
      </c>
      <c r="B54">
        <v>50253415</v>
      </c>
      <c r="C54">
        <v>50253881</v>
      </c>
      <c r="D54">
        <v>49273756</v>
      </c>
      <c r="E54">
        <v>1</v>
      </c>
      <c r="F54">
        <v>1</v>
      </c>
      <c r="G54">
        <v>1</v>
      </c>
      <c r="H54">
        <v>3</v>
      </c>
      <c r="I54" t="s">
        <v>326</v>
      </c>
      <c r="J54" t="s">
        <v>327</v>
      </c>
      <c r="K54" t="s">
        <v>328</v>
      </c>
      <c r="L54">
        <v>1339</v>
      </c>
      <c r="N54">
        <v>1007</v>
      </c>
      <c r="O54" t="s">
        <v>85</v>
      </c>
      <c r="P54" t="s">
        <v>85</v>
      </c>
      <c r="Q54">
        <v>1</v>
      </c>
      <c r="W54">
        <v>0</v>
      </c>
      <c r="X54">
        <v>-634491166</v>
      </c>
      <c r="Y54">
        <f t="shared" si="8"/>
        <v>2.0099999999999998</v>
      </c>
      <c r="AA54">
        <v>6893</v>
      </c>
      <c r="AB54">
        <v>0</v>
      </c>
      <c r="AC54">
        <v>0</v>
      </c>
      <c r="AD54">
        <v>0</v>
      </c>
      <c r="AE54">
        <v>6442.06</v>
      </c>
      <c r="AF54">
        <v>0</v>
      </c>
      <c r="AG54">
        <v>0</v>
      </c>
      <c r="AH54">
        <v>0</v>
      </c>
      <c r="AI54">
        <v>1.07</v>
      </c>
      <c r="AJ54">
        <v>1</v>
      </c>
      <c r="AK54">
        <v>1</v>
      </c>
      <c r="AL54">
        <v>1</v>
      </c>
      <c r="AM54">
        <v>2</v>
      </c>
      <c r="AN54">
        <v>0</v>
      </c>
      <c r="AO54">
        <v>0</v>
      </c>
      <c r="AP54">
        <v>1</v>
      </c>
      <c r="AQ54">
        <v>1</v>
      </c>
      <c r="AR54">
        <v>0</v>
      </c>
      <c r="AS54" t="s">
        <v>3</v>
      </c>
      <c r="AT54">
        <v>2.0099999999999998</v>
      </c>
      <c r="AU54" t="s">
        <v>3</v>
      </c>
      <c r="AV54">
        <v>0</v>
      </c>
      <c r="AW54">
        <v>2</v>
      </c>
      <c r="AX54">
        <v>50253892</v>
      </c>
      <c r="AY54">
        <v>1</v>
      </c>
      <c r="AZ54">
        <v>0</v>
      </c>
      <c r="BA54">
        <v>54</v>
      </c>
      <c r="BB54">
        <v>1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12948.5406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1</v>
      </c>
      <c r="BQ54">
        <v>12948.5406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1</v>
      </c>
      <c r="CV54">
        <v>0</v>
      </c>
      <c r="CW54">
        <v>0</v>
      </c>
      <c r="CX54">
        <f>ROUND(Y54*Source!I39,7)</f>
        <v>0.40200000000000002</v>
      </c>
      <c r="CY54">
        <f t="shared" si="20"/>
        <v>6893</v>
      </c>
      <c r="CZ54">
        <f t="shared" si="21"/>
        <v>6442.06</v>
      </c>
      <c r="DA54">
        <f t="shared" si="22"/>
        <v>1.07</v>
      </c>
      <c r="DB54">
        <f t="shared" si="9"/>
        <v>12948.54</v>
      </c>
      <c r="DC54">
        <f t="shared" si="10"/>
        <v>0</v>
      </c>
      <c r="DD54" t="s">
        <v>3</v>
      </c>
      <c r="DE54" t="s">
        <v>3</v>
      </c>
      <c r="DF54">
        <f>ROUND(ROUND(AE54*AI54,2)*CX54,2)</f>
        <v>2770.99</v>
      </c>
      <c r="DG54">
        <f t="shared" si="19"/>
        <v>0</v>
      </c>
      <c r="DH54">
        <f t="shared" si="11"/>
        <v>0</v>
      </c>
      <c r="DI54">
        <f t="shared" si="12"/>
        <v>0</v>
      </c>
      <c r="DJ54">
        <f t="shared" si="23"/>
        <v>2770.99</v>
      </c>
      <c r="DK54">
        <v>0</v>
      </c>
      <c r="DL54" t="s">
        <v>3</v>
      </c>
      <c r="DM54">
        <v>0</v>
      </c>
      <c r="DN54" t="s">
        <v>3</v>
      </c>
      <c r="DO54">
        <v>0</v>
      </c>
    </row>
    <row r="55" spans="1:119" x14ac:dyDescent="0.2">
      <c r="A55">
        <f>ROW(Source!A39)</f>
        <v>39</v>
      </c>
      <c r="B55">
        <v>50253415</v>
      </c>
      <c r="C55">
        <v>50253881</v>
      </c>
      <c r="D55">
        <v>49191624</v>
      </c>
      <c r="E55">
        <v>117</v>
      </c>
      <c r="F55">
        <v>1</v>
      </c>
      <c r="G55">
        <v>1</v>
      </c>
      <c r="H55">
        <v>3</v>
      </c>
      <c r="I55" t="s">
        <v>83</v>
      </c>
      <c r="J55" t="s">
        <v>3</v>
      </c>
      <c r="K55" t="s">
        <v>84</v>
      </c>
      <c r="L55">
        <v>1339</v>
      </c>
      <c r="N55">
        <v>1007</v>
      </c>
      <c r="O55" t="s">
        <v>85</v>
      </c>
      <c r="P55" t="s">
        <v>85</v>
      </c>
      <c r="Q55">
        <v>1</v>
      </c>
      <c r="W55">
        <v>0</v>
      </c>
      <c r="X55">
        <v>758329700</v>
      </c>
      <c r="Y55">
        <f t="shared" si="8"/>
        <v>2.54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1</v>
      </c>
      <c r="AJ55">
        <v>1</v>
      </c>
      <c r="AK55">
        <v>1</v>
      </c>
      <c r="AL55">
        <v>1</v>
      </c>
      <c r="AM55">
        <v>0</v>
      </c>
      <c r="AN55">
        <v>0</v>
      </c>
      <c r="AO55">
        <v>0</v>
      </c>
      <c r="AP55">
        <v>1</v>
      </c>
      <c r="AQ55">
        <v>0</v>
      </c>
      <c r="AR55">
        <v>0</v>
      </c>
      <c r="AS55" t="s">
        <v>3</v>
      </c>
      <c r="AT55">
        <v>2.54</v>
      </c>
      <c r="AU55" t="s">
        <v>3</v>
      </c>
      <c r="AV55">
        <v>0</v>
      </c>
      <c r="AW55">
        <v>2</v>
      </c>
      <c r="AX55">
        <v>50253893</v>
      </c>
      <c r="AY55">
        <v>1</v>
      </c>
      <c r="AZ55">
        <v>0</v>
      </c>
      <c r="BA55">
        <v>55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V55">
        <v>0</v>
      </c>
      <c r="CW55">
        <v>0</v>
      </c>
      <c r="CX55">
        <f>ROUND(Y55*Source!I39,7)</f>
        <v>0.50800000000000001</v>
      </c>
      <c r="CY55">
        <f t="shared" si="20"/>
        <v>0</v>
      </c>
      <c r="CZ55">
        <f t="shared" si="21"/>
        <v>0</v>
      </c>
      <c r="DA55">
        <f t="shared" si="22"/>
        <v>1</v>
      </c>
      <c r="DB55">
        <f t="shared" si="9"/>
        <v>0</v>
      </c>
      <c r="DC55">
        <f t="shared" si="10"/>
        <v>0</v>
      </c>
      <c r="DD55" t="s">
        <v>3</v>
      </c>
      <c r="DE55" t="s">
        <v>3</v>
      </c>
      <c r="DF55">
        <f>ROUND(ROUND(AE55,2)*CX55,2)</f>
        <v>0</v>
      </c>
      <c r="DG55">
        <f t="shared" si="19"/>
        <v>0</v>
      </c>
      <c r="DH55">
        <f t="shared" si="11"/>
        <v>0</v>
      </c>
      <c r="DI55">
        <f t="shared" si="12"/>
        <v>0</v>
      </c>
      <c r="DJ55">
        <f t="shared" si="23"/>
        <v>0</v>
      </c>
      <c r="DK55">
        <v>0</v>
      </c>
      <c r="DL55" t="s">
        <v>3</v>
      </c>
      <c r="DM55">
        <v>0</v>
      </c>
      <c r="DN55" t="s">
        <v>3</v>
      </c>
      <c r="DO55">
        <v>0</v>
      </c>
    </row>
    <row r="56" spans="1:119" x14ac:dyDescent="0.2">
      <c r="A56">
        <f>ROW(Source!A39)</f>
        <v>39</v>
      </c>
      <c r="B56">
        <v>50253415</v>
      </c>
      <c r="C56">
        <v>50253881</v>
      </c>
      <c r="D56">
        <v>49273843</v>
      </c>
      <c r="E56">
        <v>1</v>
      </c>
      <c r="F56">
        <v>1</v>
      </c>
      <c r="G56">
        <v>1</v>
      </c>
      <c r="H56">
        <v>3</v>
      </c>
      <c r="I56" t="s">
        <v>337</v>
      </c>
      <c r="J56" t="s">
        <v>338</v>
      </c>
      <c r="K56" t="s">
        <v>339</v>
      </c>
      <c r="L56">
        <v>1339</v>
      </c>
      <c r="N56">
        <v>1007</v>
      </c>
      <c r="O56" t="s">
        <v>85</v>
      </c>
      <c r="P56" t="s">
        <v>85</v>
      </c>
      <c r="Q56">
        <v>1</v>
      </c>
      <c r="W56">
        <v>0</v>
      </c>
      <c r="X56">
        <v>-1366764304</v>
      </c>
      <c r="Y56">
        <f t="shared" si="8"/>
        <v>-2.0999999999999996</v>
      </c>
      <c r="AA56">
        <v>8185.48</v>
      </c>
      <c r="AB56">
        <v>0</v>
      </c>
      <c r="AC56">
        <v>0</v>
      </c>
      <c r="AD56">
        <v>0</v>
      </c>
      <c r="AE56">
        <v>5764.42</v>
      </c>
      <c r="AF56">
        <v>0</v>
      </c>
      <c r="AG56">
        <v>0</v>
      </c>
      <c r="AH56">
        <v>0</v>
      </c>
      <c r="AI56">
        <v>1.42</v>
      </c>
      <c r="AJ56">
        <v>1</v>
      </c>
      <c r="AK56">
        <v>1</v>
      </c>
      <c r="AL56">
        <v>1</v>
      </c>
      <c r="AM56">
        <v>2</v>
      </c>
      <c r="AN56">
        <v>0</v>
      </c>
      <c r="AO56">
        <v>0</v>
      </c>
      <c r="AP56">
        <v>1</v>
      </c>
      <c r="AQ56">
        <v>1</v>
      </c>
      <c r="AR56">
        <v>0</v>
      </c>
      <c r="AS56" t="s">
        <v>3</v>
      </c>
      <c r="AT56">
        <v>-2.0999999999999996</v>
      </c>
      <c r="AU56" t="s">
        <v>3</v>
      </c>
      <c r="AV56">
        <v>0</v>
      </c>
      <c r="AW56">
        <v>2</v>
      </c>
      <c r="AX56">
        <v>50253894</v>
      </c>
      <c r="AY56">
        <v>1</v>
      </c>
      <c r="AZ56">
        <v>6144</v>
      </c>
      <c r="BA56">
        <v>56</v>
      </c>
      <c r="BB56">
        <v>1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-12105.281999999997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1</v>
      </c>
      <c r="BQ56">
        <v>-12105.281999999997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1</v>
      </c>
      <c r="CV56">
        <v>0</v>
      </c>
      <c r="CW56">
        <v>0</v>
      </c>
      <c r="CX56">
        <f>ROUND(Y56*Source!I39,7)</f>
        <v>-0.42</v>
      </c>
      <c r="CY56">
        <f t="shared" si="20"/>
        <v>8185.48</v>
      </c>
      <c r="CZ56">
        <f t="shared" si="21"/>
        <v>5764.42</v>
      </c>
      <c r="DA56">
        <f t="shared" si="22"/>
        <v>1.42</v>
      </c>
      <c r="DB56">
        <f t="shared" si="9"/>
        <v>-12105.28</v>
      </c>
      <c r="DC56">
        <f t="shared" si="10"/>
        <v>0</v>
      </c>
      <c r="DD56" t="s">
        <v>3</v>
      </c>
      <c r="DE56" t="s">
        <v>3</v>
      </c>
      <c r="DF56">
        <f>ROUND(ROUND(AE56*AI56,2)*CX56,2)</f>
        <v>-3437.9</v>
      </c>
      <c r="DG56">
        <f t="shared" si="19"/>
        <v>0</v>
      </c>
      <c r="DH56">
        <f t="shared" si="11"/>
        <v>0</v>
      </c>
      <c r="DI56">
        <f t="shared" si="12"/>
        <v>0</v>
      </c>
      <c r="DJ56">
        <f t="shared" si="23"/>
        <v>-3437.9</v>
      </c>
      <c r="DK56">
        <v>0</v>
      </c>
      <c r="DL56" t="s">
        <v>3</v>
      </c>
      <c r="DM56">
        <v>0</v>
      </c>
      <c r="DN56" t="s">
        <v>3</v>
      </c>
      <c r="DO56">
        <v>0</v>
      </c>
    </row>
    <row r="57" spans="1:119" x14ac:dyDescent="0.2">
      <c r="A57">
        <f>ROW(Source!A39)</f>
        <v>39</v>
      </c>
      <c r="B57">
        <v>50253415</v>
      </c>
      <c r="C57">
        <v>50253881</v>
      </c>
      <c r="D57">
        <v>49281307</v>
      </c>
      <c r="E57">
        <v>1</v>
      </c>
      <c r="F57">
        <v>1</v>
      </c>
      <c r="G57">
        <v>1</v>
      </c>
      <c r="H57">
        <v>3</v>
      </c>
      <c r="I57" t="s">
        <v>329</v>
      </c>
      <c r="J57" t="s">
        <v>330</v>
      </c>
      <c r="K57" t="s">
        <v>331</v>
      </c>
      <c r="L57">
        <v>1348</v>
      </c>
      <c r="N57">
        <v>1009</v>
      </c>
      <c r="O57" t="s">
        <v>104</v>
      </c>
      <c r="P57" t="s">
        <v>104</v>
      </c>
      <c r="Q57">
        <v>1000</v>
      </c>
      <c r="W57">
        <v>0</v>
      </c>
      <c r="X57">
        <v>-546668924</v>
      </c>
      <c r="Y57">
        <f t="shared" si="8"/>
        <v>0.03</v>
      </c>
      <c r="AA57">
        <v>5846.53</v>
      </c>
      <c r="AB57">
        <v>0</v>
      </c>
      <c r="AC57">
        <v>0</v>
      </c>
      <c r="AD57">
        <v>0</v>
      </c>
      <c r="AE57">
        <v>10826.9</v>
      </c>
      <c r="AF57">
        <v>0</v>
      </c>
      <c r="AG57">
        <v>0</v>
      </c>
      <c r="AH57">
        <v>0</v>
      </c>
      <c r="AI57">
        <v>0.54</v>
      </c>
      <c r="AJ57">
        <v>1</v>
      </c>
      <c r="AK57">
        <v>1</v>
      </c>
      <c r="AL57">
        <v>1</v>
      </c>
      <c r="AM57">
        <v>2</v>
      </c>
      <c r="AN57">
        <v>0</v>
      </c>
      <c r="AO57">
        <v>0</v>
      </c>
      <c r="AP57">
        <v>1</v>
      </c>
      <c r="AQ57">
        <v>1</v>
      </c>
      <c r="AR57">
        <v>0</v>
      </c>
      <c r="AS57" t="s">
        <v>3</v>
      </c>
      <c r="AT57">
        <v>0.03</v>
      </c>
      <c r="AU57" t="s">
        <v>3</v>
      </c>
      <c r="AV57">
        <v>0</v>
      </c>
      <c r="AW57">
        <v>2</v>
      </c>
      <c r="AX57">
        <v>50253895</v>
      </c>
      <c r="AY57">
        <v>1</v>
      </c>
      <c r="AZ57">
        <v>0</v>
      </c>
      <c r="BA57">
        <v>57</v>
      </c>
      <c r="BB57">
        <v>1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324.80699999999996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1</v>
      </c>
      <c r="BQ57">
        <v>324.80699999999996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1</v>
      </c>
      <c r="CV57">
        <v>0</v>
      </c>
      <c r="CW57">
        <v>0</v>
      </c>
      <c r="CX57">
        <f>ROUND(Y57*Source!I39,7)</f>
        <v>6.0000000000000001E-3</v>
      </c>
      <c r="CY57">
        <f t="shared" si="20"/>
        <v>5846.53</v>
      </c>
      <c r="CZ57">
        <f t="shared" si="21"/>
        <v>10826.9</v>
      </c>
      <c r="DA57">
        <f t="shared" si="22"/>
        <v>0.54</v>
      </c>
      <c r="DB57">
        <f t="shared" si="9"/>
        <v>324.81</v>
      </c>
      <c r="DC57">
        <f t="shared" si="10"/>
        <v>0</v>
      </c>
      <c r="DD57" t="s">
        <v>3</v>
      </c>
      <c r="DE57" t="s">
        <v>3</v>
      </c>
      <c r="DF57">
        <f>ROUND(ROUND(AE57*AI57,2)*CX57,2)</f>
        <v>35.08</v>
      </c>
      <c r="DG57">
        <f t="shared" si="19"/>
        <v>0</v>
      </c>
      <c r="DH57">
        <f t="shared" si="11"/>
        <v>0</v>
      </c>
      <c r="DI57">
        <f t="shared" si="12"/>
        <v>0</v>
      </c>
      <c r="DJ57">
        <f t="shared" si="23"/>
        <v>35.08</v>
      </c>
      <c r="DK57">
        <v>0</v>
      </c>
      <c r="DL57" t="s">
        <v>3</v>
      </c>
      <c r="DM57">
        <v>0</v>
      </c>
      <c r="DN57" t="s">
        <v>3</v>
      </c>
      <c r="DO57">
        <v>0</v>
      </c>
    </row>
    <row r="58" spans="1:119" x14ac:dyDescent="0.2">
      <c r="A58">
        <f>ROW(Source!A39)</f>
        <v>39</v>
      </c>
      <c r="B58">
        <v>50253415</v>
      </c>
      <c r="C58">
        <v>50253881</v>
      </c>
      <c r="D58">
        <v>49281882</v>
      </c>
      <c r="E58">
        <v>1</v>
      </c>
      <c r="F58">
        <v>1</v>
      </c>
      <c r="G58">
        <v>1</v>
      </c>
      <c r="H58">
        <v>3</v>
      </c>
      <c r="I58" t="s">
        <v>332</v>
      </c>
      <c r="J58" t="s">
        <v>333</v>
      </c>
      <c r="K58" t="s">
        <v>334</v>
      </c>
      <c r="L58">
        <v>1348</v>
      </c>
      <c r="N58">
        <v>1009</v>
      </c>
      <c r="O58" t="s">
        <v>104</v>
      </c>
      <c r="P58" t="s">
        <v>104</v>
      </c>
      <c r="Q58">
        <v>1000</v>
      </c>
      <c r="W58">
        <v>0</v>
      </c>
      <c r="X58">
        <v>-1321865125</v>
      </c>
      <c r="Y58">
        <f t="shared" si="8"/>
        <v>5.7000000000000002E-3</v>
      </c>
      <c r="AA58">
        <v>137255.4</v>
      </c>
      <c r="AB58">
        <v>0</v>
      </c>
      <c r="AC58">
        <v>0</v>
      </c>
      <c r="AD58">
        <v>0</v>
      </c>
      <c r="AE58">
        <v>98039.57</v>
      </c>
      <c r="AF58">
        <v>0</v>
      </c>
      <c r="AG58">
        <v>0</v>
      </c>
      <c r="AH58">
        <v>0</v>
      </c>
      <c r="AI58">
        <v>1.4</v>
      </c>
      <c r="AJ58">
        <v>1</v>
      </c>
      <c r="AK58">
        <v>1</v>
      </c>
      <c r="AL58">
        <v>1</v>
      </c>
      <c r="AM58">
        <v>2</v>
      </c>
      <c r="AN58">
        <v>0</v>
      </c>
      <c r="AO58">
        <v>0</v>
      </c>
      <c r="AP58">
        <v>1</v>
      </c>
      <c r="AQ58">
        <v>1</v>
      </c>
      <c r="AR58">
        <v>0</v>
      </c>
      <c r="AS58" t="s">
        <v>3</v>
      </c>
      <c r="AT58">
        <v>5.7000000000000002E-3</v>
      </c>
      <c r="AU58" t="s">
        <v>3</v>
      </c>
      <c r="AV58">
        <v>0</v>
      </c>
      <c r="AW58">
        <v>2</v>
      </c>
      <c r="AX58">
        <v>50253896</v>
      </c>
      <c r="AY58">
        <v>1</v>
      </c>
      <c r="AZ58">
        <v>0</v>
      </c>
      <c r="BA58">
        <v>58</v>
      </c>
      <c r="BB58">
        <v>1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558.82554900000002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1</v>
      </c>
      <c r="BQ58">
        <v>558.82554900000002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1</v>
      </c>
      <c r="CV58">
        <v>0</v>
      </c>
      <c r="CW58">
        <v>0</v>
      </c>
      <c r="CX58">
        <f>ROUND(Y58*Source!I39,7)</f>
        <v>1.14E-3</v>
      </c>
      <c r="CY58">
        <f t="shared" si="20"/>
        <v>137255.4</v>
      </c>
      <c r="CZ58">
        <f t="shared" si="21"/>
        <v>98039.57</v>
      </c>
      <c r="DA58">
        <f t="shared" si="22"/>
        <v>1.4</v>
      </c>
      <c r="DB58">
        <f t="shared" si="9"/>
        <v>558.83000000000004</v>
      </c>
      <c r="DC58">
        <f t="shared" si="10"/>
        <v>0</v>
      </c>
      <c r="DD58" t="s">
        <v>3</v>
      </c>
      <c r="DE58" t="s">
        <v>3</v>
      </c>
      <c r="DF58">
        <f>ROUND(ROUND(AE58*AI58,2)*CX58,2)</f>
        <v>156.47</v>
      </c>
      <c r="DG58">
        <f t="shared" si="19"/>
        <v>0</v>
      </c>
      <c r="DH58">
        <f t="shared" si="11"/>
        <v>0</v>
      </c>
      <c r="DI58">
        <f t="shared" si="12"/>
        <v>0</v>
      </c>
      <c r="DJ58">
        <f t="shared" si="23"/>
        <v>156.47</v>
      </c>
      <c r="DK58">
        <v>0</v>
      </c>
      <c r="DL58" t="s">
        <v>3</v>
      </c>
      <c r="DM58">
        <v>0</v>
      </c>
      <c r="DN58" t="s">
        <v>3</v>
      </c>
      <c r="DO58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8"/>
  <sheetViews>
    <sheetView workbookViewId="0"/>
  </sheetViews>
  <sheetFormatPr defaultColWidth="9.125" defaultRowHeight="12.85" x14ac:dyDescent="0.2"/>
  <cols>
    <col min="1" max="256" width="9.125" customWidth="1"/>
  </cols>
  <sheetData>
    <row r="1" spans="1:44" x14ac:dyDescent="0.2">
      <c r="A1">
        <f>ROW(Source!A28)</f>
        <v>28</v>
      </c>
      <c r="B1">
        <v>50253542</v>
      </c>
      <c r="C1">
        <v>50253538</v>
      </c>
      <c r="D1">
        <v>49188735</v>
      </c>
      <c r="E1">
        <v>117</v>
      </c>
      <c r="F1">
        <v>1</v>
      </c>
      <c r="G1">
        <v>1</v>
      </c>
      <c r="H1">
        <v>1</v>
      </c>
      <c r="I1" t="s">
        <v>245</v>
      </c>
      <c r="J1" t="s">
        <v>3</v>
      </c>
      <c r="K1" t="s">
        <v>246</v>
      </c>
      <c r="L1">
        <v>1191</v>
      </c>
      <c r="N1">
        <v>1013</v>
      </c>
      <c r="O1" t="s">
        <v>247</v>
      </c>
      <c r="P1" t="s">
        <v>247</v>
      </c>
      <c r="Q1">
        <v>1</v>
      </c>
      <c r="X1">
        <v>0.84</v>
      </c>
      <c r="Y1">
        <v>0</v>
      </c>
      <c r="Z1">
        <v>0</v>
      </c>
      <c r="AA1">
        <v>0</v>
      </c>
      <c r="AB1">
        <v>0</v>
      </c>
      <c r="AC1">
        <v>0</v>
      </c>
      <c r="AD1">
        <v>1</v>
      </c>
      <c r="AE1">
        <v>2</v>
      </c>
      <c r="AF1" t="s">
        <v>3</v>
      </c>
      <c r="AG1">
        <v>0.84</v>
      </c>
      <c r="AH1">
        <v>2</v>
      </c>
      <c r="AI1">
        <v>50253539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ROW(Source!A28)</f>
        <v>28</v>
      </c>
      <c r="B2">
        <v>50253543</v>
      </c>
      <c r="C2">
        <v>50253538</v>
      </c>
      <c r="D2">
        <v>49194793</v>
      </c>
      <c r="E2">
        <v>1</v>
      </c>
      <c r="F2">
        <v>1</v>
      </c>
      <c r="G2">
        <v>1</v>
      </c>
      <c r="H2">
        <v>2</v>
      </c>
      <c r="I2" t="s">
        <v>248</v>
      </c>
      <c r="J2" t="s">
        <v>249</v>
      </c>
      <c r="K2" t="s">
        <v>250</v>
      </c>
      <c r="L2">
        <v>1368</v>
      </c>
      <c r="N2">
        <v>1011</v>
      </c>
      <c r="O2" t="s">
        <v>251</v>
      </c>
      <c r="P2" t="s">
        <v>251</v>
      </c>
      <c r="Q2">
        <v>1</v>
      </c>
      <c r="X2">
        <v>0.5</v>
      </c>
      <c r="Y2">
        <v>0</v>
      </c>
      <c r="Z2">
        <v>887.54</v>
      </c>
      <c r="AA2">
        <v>533</v>
      </c>
      <c r="AB2">
        <v>0</v>
      </c>
      <c r="AC2">
        <v>0</v>
      </c>
      <c r="AD2">
        <v>1</v>
      </c>
      <c r="AE2">
        <v>0</v>
      </c>
      <c r="AF2" t="s">
        <v>3</v>
      </c>
      <c r="AG2">
        <v>0.5</v>
      </c>
      <c r="AH2">
        <v>2</v>
      </c>
      <c r="AI2">
        <v>50253540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ROW(Source!A28)</f>
        <v>28</v>
      </c>
      <c r="B3">
        <v>50253544</v>
      </c>
      <c r="C3">
        <v>50253538</v>
      </c>
      <c r="D3">
        <v>49194804</v>
      </c>
      <c r="E3">
        <v>1</v>
      </c>
      <c r="F3">
        <v>1</v>
      </c>
      <c r="G3">
        <v>1</v>
      </c>
      <c r="H3">
        <v>2</v>
      </c>
      <c r="I3" t="s">
        <v>253</v>
      </c>
      <c r="J3" t="s">
        <v>254</v>
      </c>
      <c r="K3" t="s">
        <v>255</v>
      </c>
      <c r="L3">
        <v>1368</v>
      </c>
      <c r="N3">
        <v>1011</v>
      </c>
      <c r="O3" t="s">
        <v>251</v>
      </c>
      <c r="P3" t="s">
        <v>251</v>
      </c>
      <c r="Q3">
        <v>1</v>
      </c>
      <c r="X3">
        <v>0.34</v>
      </c>
      <c r="Y3">
        <v>0</v>
      </c>
      <c r="Z3">
        <v>1933</v>
      </c>
      <c r="AA3">
        <v>533</v>
      </c>
      <c r="AB3">
        <v>0</v>
      </c>
      <c r="AC3">
        <v>0</v>
      </c>
      <c r="AD3">
        <v>1</v>
      </c>
      <c r="AE3">
        <v>0</v>
      </c>
      <c r="AF3" t="s">
        <v>3</v>
      </c>
      <c r="AG3">
        <v>0.34</v>
      </c>
      <c r="AH3">
        <v>2</v>
      </c>
      <c r="AI3">
        <v>50253541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ROW(Source!A29)</f>
        <v>29</v>
      </c>
      <c r="B4">
        <v>50253550</v>
      </c>
      <c r="C4">
        <v>50253545</v>
      </c>
      <c r="D4">
        <v>49188551</v>
      </c>
      <c r="E4">
        <v>117</v>
      </c>
      <c r="F4">
        <v>1</v>
      </c>
      <c r="G4">
        <v>1</v>
      </c>
      <c r="H4">
        <v>1</v>
      </c>
      <c r="I4" t="s">
        <v>256</v>
      </c>
      <c r="J4" t="s">
        <v>3</v>
      </c>
      <c r="K4" t="s">
        <v>257</v>
      </c>
      <c r="L4">
        <v>1191</v>
      </c>
      <c r="N4">
        <v>1013</v>
      </c>
      <c r="O4" t="s">
        <v>247</v>
      </c>
      <c r="P4" t="s">
        <v>247</v>
      </c>
      <c r="Q4">
        <v>1</v>
      </c>
      <c r="X4">
        <v>0.81</v>
      </c>
      <c r="Y4">
        <v>0</v>
      </c>
      <c r="Z4">
        <v>0</v>
      </c>
      <c r="AA4">
        <v>0</v>
      </c>
      <c r="AB4">
        <v>374.58</v>
      </c>
      <c r="AC4">
        <v>0</v>
      </c>
      <c r="AD4">
        <v>1</v>
      </c>
      <c r="AE4">
        <v>1</v>
      </c>
      <c r="AF4" t="s">
        <v>3</v>
      </c>
      <c r="AG4">
        <v>0.81</v>
      </c>
      <c r="AH4">
        <v>2</v>
      </c>
      <c r="AI4">
        <v>50253546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ROW(Source!A29)</f>
        <v>29</v>
      </c>
      <c r="B5">
        <v>50253551</v>
      </c>
      <c r="C5">
        <v>50253545</v>
      </c>
      <c r="D5">
        <v>49188735</v>
      </c>
      <c r="E5">
        <v>117</v>
      </c>
      <c r="F5">
        <v>1</v>
      </c>
      <c r="G5">
        <v>1</v>
      </c>
      <c r="H5">
        <v>1</v>
      </c>
      <c r="I5" t="s">
        <v>245</v>
      </c>
      <c r="J5" t="s">
        <v>3</v>
      </c>
      <c r="K5" t="s">
        <v>246</v>
      </c>
      <c r="L5">
        <v>1191</v>
      </c>
      <c r="N5">
        <v>1013</v>
      </c>
      <c r="O5" t="s">
        <v>247</v>
      </c>
      <c r="P5" t="s">
        <v>247</v>
      </c>
      <c r="Q5">
        <v>1</v>
      </c>
      <c r="X5">
        <v>0.48</v>
      </c>
      <c r="Y5">
        <v>0</v>
      </c>
      <c r="Z5">
        <v>0</v>
      </c>
      <c r="AA5">
        <v>0</v>
      </c>
      <c r="AB5">
        <v>0</v>
      </c>
      <c r="AC5">
        <v>0</v>
      </c>
      <c r="AD5">
        <v>1</v>
      </c>
      <c r="AE5">
        <v>2</v>
      </c>
      <c r="AF5" t="s">
        <v>3</v>
      </c>
      <c r="AG5">
        <v>0.48</v>
      </c>
      <c r="AH5">
        <v>2</v>
      </c>
      <c r="AI5">
        <v>50253547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ROW(Source!A29)</f>
        <v>29</v>
      </c>
      <c r="B6">
        <v>50253552</v>
      </c>
      <c r="C6">
        <v>50253545</v>
      </c>
      <c r="D6">
        <v>49195111</v>
      </c>
      <c r="E6">
        <v>1</v>
      </c>
      <c r="F6">
        <v>1</v>
      </c>
      <c r="G6">
        <v>1</v>
      </c>
      <c r="H6">
        <v>2</v>
      </c>
      <c r="I6" t="s">
        <v>258</v>
      </c>
      <c r="J6" t="s">
        <v>259</v>
      </c>
      <c r="K6" t="s">
        <v>260</v>
      </c>
      <c r="L6">
        <v>1368</v>
      </c>
      <c r="N6">
        <v>1011</v>
      </c>
      <c r="O6" t="s">
        <v>251</v>
      </c>
      <c r="P6" t="s">
        <v>251</v>
      </c>
      <c r="Q6">
        <v>1</v>
      </c>
      <c r="X6">
        <v>0.44</v>
      </c>
      <c r="Y6">
        <v>0</v>
      </c>
      <c r="Z6">
        <v>2088.77</v>
      </c>
      <c r="AA6">
        <v>456.01</v>
      </c>
      <c r="AB6">
        <v>0</v>
      </c>
      <c r="AC6">
        <v>0</v>
      </c>
      <c r="AD6">
        <v>1</v>
      </c>
      <c r="AE6">
        <v>0</v>
      </c>
      <c r="AF6" t="s">
        <v>3</v>
      </c>
      <c r="AG6">
        <v>0.44</v>
      </c>
      <c r="AH6">
        <v>2</v>
      </c>
      <c r="AI6">
        <v>50253548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ROW(Source!A29)</f>
        <v>29</v>
      </c>
      <c r="B7">
        <v>50253553</v>
      </c>
      <c r="C7">
        <v>50253545</v>
      </c>
      <c r="D7">
        <v>49196119</v>
      </c>
      <c r="E7">
        <v>1</v>
      </c>
      <c r="F7">
        <v>1</v>
      </c>
      <c r="G7">
        <v>1</v>
      </c>
      <c r="H7">
        <v>2</v>
      </c>
      <c r="I7" t="s">
        <v>262</v>
      </c>
      <c r="J7" t="s">
        <v>263</v>
      </c>
      <c r="K7" t="s">
        <v>264</v>
      </c>
      <c r="L7">
        <v>1368</v>
      </c>
      <c r="N7">
        <v>1011</v>
      </c>
      <c r="O7" t="s">
        <v>251</v>
      </c>
      <c r="P7" t="s">
        <v>251</v>
      </c>
      <c r="Q7">
        <v>1</v>
      </c>
      <c r="X7">
        <v>0.04</v>
      </c>
      <c r="Y7">
        <v>0</v>
      </c>
      <c r="Z7">
        <v>680.88</v>
      </c>
      <c r="AA7">
        <v>396.79</v>
      </c>
      <c r="AB7">
        <v>0</v>
      </c>
      <c r="AC7">
        <v>0</v>
      </c>
      <c r="AD7">
        <v>1</v>
      </c>
      <c r="AE7">
        <v>0</v>
      </c>
      <c r="AF7" t="s">
        <v>3</v>
      </c>
      <c r="AG7">
        <v>0.04</v>
      </c>
      <c r="AH7">
        <v>2</v>
      </c>
      <c r="AI7">
        <v>50253549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ROW(Source!A30)</f>
        <v>30</v>
      </c>
      <c r="B8">
        <v>50253558</v>
      </c>
      <c r="C8">
        <v>50253554</v>
      </c>
      <c r="D8">
        <v>49188501</v>
      </c>
      <c r="E8">
        <v>117</v>
      </c>
      <c r="F8">
        <v>1</v>
      </c>
      <c r="G8">
        <v>1</v>
      </c>
      <c r="H8">
        <v>1</v>
      </c>
      <c r="I8" t="s">
        <v>266</v>
      </c>
      <c r="J8" t="s">
        <v>3</v>
      </c>
      <c r="K8" t="s">
        <v>267</v>
      </c>
      <c r="L8">
        <v>1191</v>
      </c>
      <c r="N8">
        <v>1013</v>
      </c>
      <c r="O8" t="s">
        <v>247</v>
      </c>
      <c r="P8" t="s">
        <v>247</v>
      </c>
      <c r="Q8">
        <v>1</v>
      </c>
      <c r="X8">
        <v>9.64</v>
      </c>
      <c r="Y8">
        <v>0</v>
      </c>
      <c r="Z8">
        <v>0</v>
      </c>
      <c r="AA8">
        <v>0</v>
      </c>
      <c r="AB8">
        <v>322.76</v>
      </c>
      <c r="AC8">
        <v>0</v>
      </c>
      <c r="AD8">
        <v>1</v>
      </c>
      <c r="AE8">
        <v>1</v>
      </c>
      <c r="AF8" t="s">
        <v>3</v>
      </c>
      <c r="AG8">
        <v>9.64</v>
      </c>
      <c r="AH8">
        <v>2</v>
      </c>
      <c r="AI8">
        <v>50253555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ROW(Source!A30)</f>
        <v>30</v>
      </c>
      <c r="B9">
        <v>50253559</v>
      </c>
      <c r="C9">
        <v>50253554</v>
      </c>
      <c r="D9">
        <v>49188735</v>
      </c>
      <c r="E9">
        <v>117</v>
      </c>
      <c r="F9">
        <v>1</v>
      </c>
      <c r="G9">
        <v>1</v>
      </c>
      <c r="H9">
        <v>1</v>
      </c>
      <c r="I9" t="s">
        <v>245</v>
      </c>
      <c r="J9" t="s">
        <v>3</v>
      </c>
      <c r="K9" t="s">
        <v>246</v>
      </c>
      <c r="L9">
        <v>1191</v>
      </c>
      <c r="N9">
        <v>1013</v>
      </c>
      <c r="O9" t="s">
        <v>247</v>
      </c>
      <c r="P9" t="s">
        <v>247</v>
      </c>
      <c r="Q9">
        <v>1</v>
      </c>
      <c r="X9">
        <v>0.01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>
        <v>2</v>
      </c>
      <c r="AF9" t="s">
        <v>3</v>
      </c>
      <c r="AG9">
        <v>0.01</v>
      </c>
      <c r="AH9">
        <v>2</v>
      </c>
      <c r="AI9">
        <v>50253556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ROW(Source!A30)</f>
        <v>30</v>
      </c>
      <c r="B10">
        <v>50253560</v>
      </c>
      <c r="C10">
        <v>50253554</v>
      </c>
      <c r="D10">
        <v>49195411</v>
      </c>
      <c r="E10">
        <v>1</v>
      </c>
      <c r="F10">
        <v>1</v>
      </c>
      <c r="G10">
        <v>1</v>
      </c>
      <c r="H10">
        <v>2</v>
      </c>
      <c r="I10" t="s">
        <v>268</v>
      </c>
      <c r="J10" t="s">
        <v>269</v>
      </c>
      <c r="K10" t="s">
        <v>270</v>
      </c>
      <c r="L10">
        <v>1368</v>
      </c>
      <c r="N10">
        <v>1011</v>
      </c>
      <c r="O10" t="s">
        <v>251</v>
      </c>
      <c r="P10" t="s">
        <v>251</v>
      </c>
      <c r="Q10">
        <v>1</v>
      </c>
      <c r="X10">
        <v>0.01</v>
      </c>
      <c r="Y10">
        <v>0</v>
      </c>
      <c r="Z10">
        <v>37.32</v>
      </c>
      <c r="AA10">
        <v>352.37</v>
      </c>
      <c r="AB10">
        <v>0</v>
      </c>
      <c r="AC10">
        <v>0</v>
      </c>
      <c r="AD10">
        <v>1</v>
      </c>
      <c r="AE10">
        <v>0</v>
      </c>
      <c r="AF10" t="s">
        <v>3</v>
      </c>
      <c r="AG10">
        <v>0.01</v>
      </c>
      <c r="AH10">
        <v>2</v>
      </c>
      <c r="AI10">
        <v>50253557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ROW(Source!A31)</f>
        <v>31</v>
      </c>
      <c r="B11">
        <v>50253573</v>
      </c>
      <c r="C11">
        <v>50253561</v>
      </c>
      <c r="D11">
        <v>49188559</v>
      </c>
      <c r="E11">
        <v>117</v>
      </c>
      <c r="F11">
        <v>1</v>
      </c>
      <c r="G11">
        <v>1</v>
      </c>
      <c r="H11">
        <v>1</v>
      </c>
      <c r="I11" t="s">
        <v>272</v>
      </c>
      <c r="J11" t="s">
        <v>3</v>
      </c>
      <c r="K11" t="s">
        <v>273</v>
      </c>
      <c r="L11">
        <v>1191</v>
      </c>
      <c r="N11">
        <v>1013</v>
      </c>
      <c r="O11" t="s">
        <v>247</v>
      </c>
      <c r="P11" t="s">
        <v>247</v>
      </c>
      <c r="Q11">
        <v>1</v>
      </c>
      <c r="X11">
        <v>9.2799999999999994</v>
      </c>
      <c r="Y11">
        <v>0</v>
      </c>
      <c r="Z11">
        <v>0</v>
      </c>
      <c r="AA11">
        <v>0</v>
      </c>
      <c r="AB11">
        <v>387.9</v>
      </c>
      <c r="AC11">
        <v>0</v>
      </c>
      <c r="AD11">
        <v>1</v>
      </c>
      <c r="AE11">
        <v>1</v>
      </c>
      <c r="AF11" t="s">
        <v>3</v>
      </c>
      <c r="AG11">
        <v>9.2799999999999994</v>
      </c>
      <c r="AH11">
        <v>2</v>
      </c>
      <c r="AI11">
        <v>50253562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ROW(Source!A31)</f>
        <v>31</v>
      </c>
      <c r="B12">
        <v>50253574</v>
      </c>
      <c r="C12">
        <v>50253561</v>
      </c>
      <c r="D12">
        <v>49188735</v>
      </c>
      <c r="E12">
        <v>117</v>
      </c>
      <c r="F12">
        <v>1</v>
      </c>
      <c r="G12">
        <v>1</v>
      </c>
      <c r="H12">
        <v>1</v>
      </c>
      <c r="I12" t="s">
        <v>245</v>
      </c>
      <c r="J12" t="s">
        <v>3</v>
      </c>
      <c r="K12" t="s">
        <v>246</v>
      </c>
      <c r="L12">
        <v>1191</v>
      </c>
      <c r="N12">
        <v>1013</v>
      </c>
      <c r="O12" t="s">
        <v>247</v>
      </c>
      <c r="P12" t="s">
        <v>247</v>
      </c>
      <c r="Q12">
        <v>1</v>
      </c>
      <c r="X12">
        <v>0.4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2</v>
      </c>
      <c r="AF12" t="s">
        <v>3</v>
      </c>
      <c r="AG12">
        <v>0.4</v>
      </c>
      <c r="AH12">
        <v>2</v>
      </c>
      <c r="AI12">
        <v>50253563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ROW(Source!A31)</f>
        <v>31</v>
      </c>
      <c r="B13">
        <v>50253575</v>
      </c>
      <c r="C13">
        <v>50253561</v>
      </c>
      <c r="D13">
        <v>49195224</v>
      </c>
      <c r="E13">
        <v>1</v>
      </c>
      <c r="F13">
        <v>1</v>
      </c>
      <c r="G13">
        <v>1</v>
      </c>
      <c r="H13">
        <v>2</v>
      </c>
      <c r="I13" t="s">
        <v>274</v>
      </c>
      <c r="J13" t="s">
        <v>275</v>
      </c>
      <c r="K13" t="s">
        <v>276</v>
      </c>
      <c r="L13">
        <v>1368</v>
      </c>
      <c r="N13">
        <v>1011</v>
      </c>
      <c r="O13" t="s">
        <v>251</v>
      </c>
      <c r="P13" t="s">
        <v>251</v>
      </c>
      <c r="Q13">
        <v>1</v>
      </c>
      <c r="X13">
        <v>0.2</v>
      </c>
      <c r="Y13">
        <v>0</v>
      </c>
      <c r="Z13">
        <v>1720.97</v>
      </c>
      <c r="AA13">
        <v>533</v>
      </c>
      <c r="AB13">
        <v>0</v>
      </c>
      <c r="AC13">
        <v>0</v>
      </c>
      <c r="AD13">
        <v>1</v>
      </c>
      <c r="AE13">
        <v>0</v>
      </c>
      <c r="AF13" t="s">
        <v>3</v>
      </c>
      <c r="AG13">
        <v>0.2</v>
      </c>
      <c r="AH13">
        <v>2</v>
      </c>
      <c r="AI13">
        <v>50253564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ROW(Source!A31)</f>
        <v>31</v>
      </c>
      <c r="B14">
        <v>50253576</v>
      </c>
      <c r="C14">
        <v>50253561</v>
      </c>
      <c r="D14">
        <v>49195321</v>
      </c>
      <c r="E14">
        <v>1</v>
      </c>
      <c r="F14">
        <v>1</v>
      </c>
      <c r="G14">
        <v>1</v>
      </c>
      <c r="H14">
        <v>2</v>
      </c>
      <c r="I14" t="s">
        <v>277</v>
      </c>
      <c r="J14" t="s">
        <v>278</v>
      </c>
      <c r="K14" t="s">
        <v>279</v>
      </c>
      <c r="L14">
        <v>1368</v>
      </c>
      <c r="N14">
        <v>1011</v>
      </c>
      <c r="O14" t="s">
        <v>251</v>
      </c>
      <c r="P14" t="s">
        <v>251</v>
      </c>
      <c r="Q14">
        <v>1</v>
      </c>
      <c r="X14">
        <v>2.2000000000000002</v>
      </c>
      <c r="Y14">
        <v>0</v>
      </c>
      <c r="Z14">
        <v>1.75</v>
      </c>
      <c r="AA14">
        <v>0</v>
      </c>
      <c r="AB14">
        <v>0</v>
      </c>
      <c r="AC14">
        <v>0</v>
      </c>
      <c r="AD14">
        <v>1</v>
      </c>
      <c r="AE14">
        <v>0</v>
      </c>
      <c r="AF14" t="s">
        <v>3</v>
      </c>
      <c r="AG14">
        <v>2.2000000000000002</v>
      </c>
      <c r="AH14">
        <v>2</v>
      </c>
      <c r="AI14">
        <v>50253565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ROW(Source!A31)</f>
        <v>31</v>
      </c>
      <c r="B15">
        <v>50253577</v>
      </c>
      <c r="C15">
        <v>50253561</v>
      </c>
      <c r="D15">
        <v>49195364</v>
      </c>
      <c r="E15">
        <v>1</v>
      </c>
      <c r="F15">
        <v>1</v>
      </c>
      <c r="G15">
        <v>1</v>
      </c>
      <c r="H15">
        <v>2</v>
      </c>
      <c r="I15" t="s">
        <v>280</v>
      </c>
      <c r="J15" t="s">
        <v>281</v>
      </c>
      <c r="K15" t="s">
        <v>282</v>
      </c>
      <c r="L15">
        <v>1368</v>
      </c>
      <c r="N15">
        <v>1011</v>
      </c>
      <c r="O15" t="s">
        <v>251</v>
      </c>
      <c r="P15" t="s">
        <v>251</v>
      </c>
      <c r="Q15">
        <v>1</v>
      </c>
      <c r="X15">
        <v>2.2000000000000002</v>
      </c>
      <c r="Y15">
        <v>0</v>
      </c>
      <c r="Z15">
        <v>8.84</v>
      </c>
      <c r="AA15">
        <v>0</v>
      </c>
      <c r="AB15">
        <v>0</v>
      </c>
      <c r="AC15">
        <v>0</v>
      </c>
      <c r="AD15">
        <v>1</v>
      </c>
      <c r="AE15">
        <v>0</v>
      </c>
      <c r="AF15" t="s">
        <v>3</v>
      </c>
      <c r="AG15">
        <v>2.2000000000000002</v>
      </c>
      <c r="AH15">
        <v>2</v>
      </c>
      <c r="AI15">
        <v>50253566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ROW(Source!A31)</f>
        <v>31</v>
      </c>
      <c r="B16">
        <v>50253578</v>
      </c>
      <c r="C16">
        <v>50253561</v>
      </c>
      <c r="D16">
        <v>49196119</v>
      </c>
      <c r="E16">
        <v>1</v>
      </c>
      <c r="F16">
        <v>1</v>
      </c>
      <c r="G16">
        <v>1</v>
      </c>
      <c r="H16">
        <v>2</v>
      </c>
      <c r="I16" t="s">
        <v>262</v>
      </c>
      <c r="J16" t="s">
        <v>263</v>
      </c>
      <c r="K16" t="s">
        <v>264</v>
      </c>
      <c r="L16">
        <v>1368</v>
      </c>
      <c r="N16">
        <v>1011</v>
      </c>
      <c r="O16" t="s">
        <v>251</v>
      </c>
      <c r="P16" t="s">
        <v>251</v>
      </c>
      <c r="Q16">
        <v>1</v>
      </c>
      <c r="X16">
        <v>0.2</v>
      </c>
      <c r="Y16">
        <v>0</v>
      </c>
      <c r="Z16">
        <v>680.88</v>
      </c>
      <c r="AA16">
        <v>396.79</v>
      </c>
      <c r="AB16">
        <v>0</v>
      </c>
      <c r="AC16">
        <v>0</v>
      </c>
      <c r="AD16">
        <v>1</v>
      </c>
      <c r="AE16">
        <v>0</v>
      </c>
      <c r="AF16" t="s">
        <v>3</v>
      </c>
      <c r="AG16">
        <v>0.2</v>
      </c>
      <c r="AH16">
        <v>2</v>
      </c>
      <c r="AI16">
        <v>50253567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">
      <c r="A17">
        <f>ROW(Source!A31)</f>
        <v>31</v>
      </c>
      <c r="B17">
        <v>50253579</v>
      </c>
      <c r="C17">
        <v>50253561</v>
      </c>
      <c r="D17">
        <v>49263062</v>
      </c>
      <c r="E17">
        <v>1</v>
      </c>
      <c r="F17">
        <v>1</v>
      </c>
      <c r="G17">
        <v>1</v>
      </c>
      <c r="H17">
        <v>3</v>
      </c>
      <c r="I17" t="s">
        <v>283</v>
      </c>
      <c r="J17" t="s">
        <v>284</v>
      </c>
      <c r="K17" t="s">
        <v>285</v>
      </c>
      <c r="L17">
        <v>1302</v>
      </c>
      <c r="N17">
        <v>1003</v>
      </c>
      <c r="O17" t="s">
        <v>286</v>
      </c>
      <c r="P17" t="s">
        <v>286</v>
      </c>
      <c r="Q17">
        <v>10</v>
      </c>
      <c r="X17">
        <v>0.245</v>
      </c>
      <c r="Y17">
        <v>37.71</v>
      </c>
      <c r="Z17">
        <v>0</v>
      </c>
      <c r="AA17">
        <v>0</v>
      </c>
      <c r="AB17">
        <v>0</v>
      </c>
      <c r="AC17">
        <v>0</v>
      </c>
      <c r="AD17">
        <v>1</v>
      </c>
      <c r="AE17">
        <v>0</v>
      </c>
      <c r="AF17" t="s">
        <v>3</v>
      </c>
      <c r="AG17">
        <v>0.245</v>
      </c>
      <c r="AH17">
        <v>2</v>
      </c>
      <c r="AI17">
        <v>50253568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ROW(Source!A31)</f>
        <v>31</v>
      </c>
      <c r="B18">
        <v>50253580</v>
      </c>
      <c r="C18">
        <v>50253561</v>
      </c>
      <c r="D18">
        <v>49264736</v>
      </c>
      <c r="E18">
        <v>1</v>
      </c>
      <c r="F18">
        <v>1</v>
      </c>
      <c r="G18">
        <v>1</v>
      </c>
      <c r="H18">
        <v>3</v>
      </c>
      <c r="I18" t="s">
        <v>287</v>
      </c>
      <c r="J18" t="s">
        <v>288</v>
      </c>
      <c r="K18" t="s">
        <v>289</v>
      </c>
      <c r="L18">
        <v>1348</v>
      </c>
      <c r="N18">
        <v>1009</v>
      </c>
      <c r="O18" t="s">
        <v>104</v>
      </c>
      <c r="P18" t="s">
        <v>104</v>
      </c>
      <c r="Q18">
        <v>1000</v>
      </c>
      <c r="X18">
        <v>1.1E-4</v>
      </c>
      <c r="Y18">
        <v>99190.96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0</v>
      </c>
      <c r="AF18" t="s">
        <v>3</v>
      </c>
      <c r="AG18">
        <v>1.1E-4</v>
      </c>
      <c r="AH18">
        <v>2</v>
      </c>
      <c r="AI18">
        <v>50253569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ROW(Source!A31)</f>
        <v>31</v>
      </c>
      <c r="B19">
        <v>50253581</v>
      </c>
      <c r="C19">
        <v>50253561</v>
      </c>
      <c r="D19">
        <v>49273402</v>
      </c>
      <c r="E19">
        <v>1</v>
      </c>
      <c r="F19">
        <v>1</v>
      </c>
      <c r="G19">
        <v>1</v>
      </c>
      <c r="H19">
        <v>3</v>
      </c>
      <c r="I19" t="s">
        <v>290</v>
      </c>
      <c r="J19" t="s">
        <v>291</v>
      </c>
      <c r="K19" t="s">
        <v>292</v>
      </c>
      <c r="L19">
        <v>1346</v>
      </c>
      <c r="N19">
        <v>1009</v>
      </c>
      <c r="O19" t="s">
        <v>293</v>
      </c>
      <c r="P19" t="s">
        <v>293</v>
      </c>
      <c r="Q19">
        <v>1</v>
      </c>
      <c r="X19">
        <v>0.26</v>
      </c>
      <c r="Y19">
        <v>931.11</v>
      </c>
      <c r="Z19">
        <v>0</v>
      </c>
      <c r="AA19">
        <v>0</v>
      </c>
      <c r="AB19">
        <v>0</v>
      </c>
      <c r="AC19">
        <v>0</v>
      </c>
      <c r="AD19">
        <v>1</v>
      </c>
      <c r="AE19">
        <v>0</v>
      </c>
      <c r="AF19" t="s">
        <v>3</v>
      </c>
      <c r="AG19">
        <v>0.26</v>
      </c>
      <c r="AH19">
        <v>2</v>
      </c>
      <c r="AI19">
        <v>50253570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ROW(Source!A31)</f>
        <v>31</v>
      </c>
      <c r="B20">
        <v>50253582</v>
      </c>
      <c r="C20">
        <v>50253561</v>
      </c>
      <c r="D20">
        <v>49281613</v>
      </c>
      <c r="E20">
        <v>1</v>
      </c>
      <c r="F20">
        <v>1</v>
      </c>
      <c r="G20">
        <v>1</v>
      </c>
      <c r="H20">
        <v>3</v>
      </c>
      <c r="I20" t="s">
        <v>294</v>
      </c>
      <c r="J20" t="s">
        <v>295</v>
      </c>
      <c r="K20" t="s">
        <v>296</v>
      </c>
      <c r="L20">
        <v>1348</v>
      </c>
      <c r="N20">
        <v>1009</v>
      </c>
      <c r="O20" t="s">
        <v>104</v>
      </c>
      <c r="P20" t="s">
        <v>104</v>
      </c>
      <c r="Q20">
        <v>1000</v>
      </c>
      <c r="X20">
        <v>7.2000000000000005E-4</v>
      </c>
      <c r="Y20">
        <v>82698.14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0</v>
      </c>
      <c r="AF20" t="s">
        <v>3</v>
      </c>
      <c r="AG20">
        <v>7.2000000000000005E-4</v>
      </c>
      <c r="AH20">
        <v>2</v>
      </c>
      <c r="AI20">
        <v>50253571</v>
      </c>
      <c r="AJ20">
        <v>20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ROW(Source!A31)</f>
        <v>31</v>
      </c>
      <c r="B21">
        <v>50253583</v>
      </c>
      <c r="C21">
        <v>50253561</v>
      </c>
      <c r="D21">
        <v>49194569</v>
      </c>
      <c r="E21">
        <v>117</v>
      </c>
      <c r="F21">
        <v>1</v>
      </c>
      <c r="G21">
        <v>1</v>
      </c>
      <c r="H21">
        <v>3</v>
      </c>
      <c r="I21" t="s">
        <v>58</v>
      </c>
      <c r="J21" t="s">
        <v>3</v>
      </c>
      <c r="K21" t="s">
        <v>59</v>
      </c>
      <c r="L21">
        <v>3277935</v>
      </c>
      <c r="N21">
        <v>1013</v>
      </c>
      <c r="O21" t="s">
        <v>60</v>
      </c>
      <c r="P21" t="s">
        <v>60</v>
      </c>
      <c r="Q21">
        <v>1</v>
      </c>
      <c r="X21">
        <v>2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 t="s">
        <v>3</v>
      </c>
      <c r="AG21">
        <v>2</v>
      </c>
      <c r="AH21">
        <v>2</v>
      </c>
      <c r="AI21">
        <v>50253572</v>
      </c>
      <c r="AJ21">
        <v>21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ROW(Source!A33)</f>
        <v>33</v>
      </c>
      <c r="B22">
        <v>50253590</v>
      </c>
      <c r="C22">
        <v>50253585</v>
      </c>
      <c r="D22">
        <v>49188531</v>
      </c>
      <c r="E22">
        <v>117</v>
      </c>
      <c r="F22">
        <v>1</v>
      </c>
      <c r="G22">
        <v>1</v>
      </c>
      <c r="H22">
        <v>1</v>
      </c>
      <c r="I22" t="s">
        <v>297</v>
      </c>
      <c r="J22" t="s">
        <v>3</v>
      </c>
      <c r="K22" t="s">
        <v>298</v>
      </c>
      <c r="L22">
        <v>1191</v>
      </c>
      <c r="N22">
        <v>1013</v>
      </c>
      <c r="O22" t="s">
        <v>247</v>
      </c>
      <c r="P22" t="s">
        <v>247</v>
      </c>
      <c r="Q22">
        <v>1</v>
      </c>
      <c r="X22">
        <v>57.76</v>
      </c>
      <c r="Y22">
        <v>0</v>
      </c>
      <c r="Z22">
        <v>0</v>
      </c>
      <c r="AA22">
        <v>0</v>
      </c>
      <c r="AB22">
        <v>343.49</v>
      </c>
      <c r="AC22">
        <v>0</v>
      </c>
      <c r="AD22">
        <v>1</v>
      </c>
      <c r="AE22">
        <v>1</v>
      </c>
      <c r="AF22" t="s">
        <v>3</v>
      </c>
      <c r="AG22">
        <v>57.76</v>
      </c>
      <c r="AH22">
        <v>2</v>
      </c>
      <c r="AI22">
        <v>50253586</v>
      </c>
      <c r="AJ22">
        <v>22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ROW(Source!A33)</f>
        <v>33</v>
      </c>
      <c r="B23">
        <v>50253591</v>
      </c>
      <c r="C23">
        <v>50253585</v>
      </c>
      <c r="D23">
        <v>49188735</v>
      </c>
      <c r="E23">
        <v>117</v>
      </c>
      <c r="F23">
        <v>1</v>
      </c>
      <c r="G23">
        <v>1</v>
      </c>
      <c r="H23">
        <v>1</v>
      </c>
      <c r="I23" t="s">
        <v>245</v>
      </c>
      <c r="J23" t="s">
        <v>3</v>
      </c>
      <c r="K23" t="s">
        <v>246</v>
      </c>
      <c r="L23">
        <v>1191</v>
      </c>
      <c r="N23">
        <v>1013</v>
      </c>
      <c r="O23" t="s">
        <v>247</v>
      </c>
      <c r="P23" t="s">
        <v>247</v>
      </c>
      <c r="Q23">
        <v>1</v>
      </c>
      <c r="X23">
        <v>15.7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2</v>
      </c>
      <c r="AF23" t="s">
        <v>3</v>
      </c>
      <c r="AG23">
        <v>15.7</v>
      </c>
      <c r="AH23">
        <v>2</v>
      </c>
      <c r="AI23">
        <v>50253587</v>
      </c>
      <c r="AJ23">
        <v>23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ROW(Source!A33)</f>
        <v>33</v>
      </c>
      <c r="B24">
        <v>50253592</v>
      </c>
      <c r="C24">
        <v>50253585</v>
      </c>
      <c r="D24">
        <v>49196327</v>
      </c>
      <c r="E24">
        <v>1</v>
      </c>
      <c r="F24">
        <v>1</v>
      </c>
      <c r="G24">
        <v>1</v>
      </c>
      <c r="H24">
        <v>2</v>
      </c>
      <c r="I24" t="s">
        <v>299</v>
      </c>
      <c r="J24" t="s">
        <v>300</v>
      </c>
      <c r="K24" t="s">
        <v>301</v>
      </c>
      <c r="L24">
        <v>1368</v>
      </c>
      <c r="N24">
        <v>1011</v>
      </c>
      <c r="O24" t="s">
        <v>251</v>
      </c>
      <c r="P24" t="s">
        <v>251</v>
      </c>
      <c r="Q24">
        <v>1</v>
      </c>
      <c r="X24">
        <v>15.7</v>
      </c>
      <c r="Y24">
        <v>0</v>
      </c>
      <c r="Z24">
        <v>426.27</v>
      </c>
      <c r="AA24">
        <v>396.79</v>
      </c>
      <c r="AB24">
        <v>0</v>
      </c>
      <c r="AC24">
        <v>0</v>
      </c>
      <c r="AD24">
        <v>1</v>
      </c>
      <c r="AE24">
        <v>0</v>
      </c>
      <c r="AF24" t="s">
        <v>3</v>
      </c>
      <c r="AG24">
        <v>15.7</v>
      </c>
      <c r="AH24">
        <v>2</v>
      </c>
      <c r="AI24">
        <v>50253588</v>
      </c>
      <c r="AJ24">
        <v>24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">
      <c r="A25">
        <f>ROW(Source!A33)</f>
        <v>33</v>
      </c>
      <c r="B25">
        <v>50253593</v>
      </c>
      <c r="C25">
        <v>50253585</v>
      </c>
      <c r="D25">
        <v>49196724</v>
      </c>
      <c r="E25">
        <v>1</v>
      </c>
      <c r="F25">
        <v>1</v>
      </c>
      <c r="G25">
        <v>1</v>
      </c>
      <c r="H25">
        <v>2</v>
      </c>
      <c r="I25" t="s">
        <v>302</v>
      </c>
      <c r="J25" t="s">
        <v>303</v>
      </c>
      <c r="K25" t="s">
        <v>304</v>
      </c>
      <c r="L25">
        <v>1368</v>
      </c>
      <c r="N25">
        <v>1011</v>
      </c>
      <c r="O25" t="s">
        <v>251</v>
      </c>
      <c r="P25" t="s">
        <v>251</v>
      </c>
      <c r="Q25">
        <v>1</v>
      </c>
      <c r="X25">
        <v>47.1</v>
      </c>
      <c r="Y25">
        <v>0</v>
      </c>
      <c r="Z25">
        <v>2.11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47.1</v>
      </c>
      <c r="AH25">
        <v>2</v>
      </c>
      <c r="AI25">
        <v>50253589</v>
      </c>
      <c r="AJ25">
        <v>25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ROW(Source!A34)</f>
        <v>34</v>
      </c>
      <c r="B26">
        <v>50253599</v>
      </c>
      <c r="C26">
        <v>50253594</v>
      </c>
      <c r="D26">
        <v>49188543</v>
      </c>
      <c r="E26">
        <v>117</v>
      </c>
      <c r="F26">
        <v>1</v>
      </c>
      <c r="G26">
        <v>1</v>
      </c>
      <c r="H26">
        <v>1</v>
      </c>
      <c r="I26" t="s">
        <v>305</v>
      </c>
      <c r="J26" t="s">
        <v>3</v>
      </c>
      <c r="K26" t="s">
        <v>306</v>
      </c>
      <c r="L26">
        <v>1191</v>
      </c>
      <c r="N26">
        <v>1013</v>
      </c>
      <c r="O26" t="s">
        <v>247</v>
      </c>
      <c r="P26" t="s">
        <v>247</v>
      </c>
      <c r="Q26">
        <v>1</v>
      </c>
      <c r="X26">
        <v>68.260000000000005</v>
      </c>
      <c r="Y26">
        <v>0</v>
      </c>
      <c r="Z26">
        <v>0</v>
      </c>
      <c r="AA26">
        <v>0</v>
      </c>
      <c r="AB26">
        <v>356.81</v>
      </c>
      <c r="AC26">
        <v>0</v>
      </c>
      <c r="AD26">
        <v>1</v>
      </c>
      <c r="AE26">
        <v>1</v>
      </c>
      <c r="AF26" t="s">
        <v>3</v>
      </c>
      <c r="AG26">
        <v>68.260000000000005</v>
      </c>
      <c r="AH26">
        <v>2</v>
      </c>
      <c r="AI26">
        <v>50253595</v>
      </c>
      <c r="AJ26">
        <v>26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ROW(Source!A34)</f>
        <v>34</v>
      </c>
      <c r="B27">
        <v>50253600</v>
      </c>
      <c r="C27">
        <v>50253594</v>
      </c>
      <c r="D27">
        <v>49188735</v>
      </c>
      <c r="E27">
        <v>117</v>
      </c>
      <c r="F27">
        <v>1</v>
      </c>
      <c r="G27">
        <v>1</v>
      </c>
      <c r="H27">
        <v>1</v>
      </c>
      <c r="I27" t="s">
        <v>245</v>
      </c>
      <c r="J27" t="s">
        <v>3</v>
      </c>
      <c r="K27" t="s">
        <v>246</v>
      </c>
      <c r="L27">
        <v>1191</v>
      </c>
      <c r="N27">
        <v>1013</v>
      </c>
      <c r="O27" t="s">
        <v>247</v>
      </c>
      <c r="P27" t="s">
        <v>247</v>
      </c>
      <c r="Q27">
        <v>1</v>
      </c>
      <c r="X27">
        <v>9.4</v>
      </c>
      <c r="Y27">
        <v>0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2</v>
      </c>
      <c r="AF27" t="s">
        <v>3</v>
      </c>
      <c r="AG27">
        <v>9.4</v>
      </c>
      <c r="AH27">
        <v>2</v>
      </c>
      <c r="AI27">
        <v>50253596</v>
      </c>
      <c r="AJ27">
        <v>27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ROW(Source!A34)</f>
        <v>34</v>
      </c>
      <c r="B28">
        <v>50253601</v>
      </c>
      <c r="C28">
        <v>50253594</v>
      </c>
      <c r="D28">
        <v>49196327</v>
      </c>
      <c r="E28">
        <v>1</v>
      </c>
      <c r="F28">
        <v>1</v>
      </c>
      <c r="G28">
        <v>1</v>
      </c>
      <c r="H28">
        <v>2</v>
      </c>
      <c r="I28" t="s">
        <v>299</v>
      </c>
      <c r="J28" t="s">
        <v>300</v>
      </c>
      <c r="K28" t="s">
        <v>301</v>
      </c>
      <c r="L28">
        <v>1368</v>
      </c>
      <c r="N28">
        <v>1011</v>
      </c>
      <c r="O28" t="s">
        <v>251</v>
      </c>
      <c r="P28" t="s">
        <v>251</v>
      </c>
      <c r="Q28">
        <v>1</v>
      </c>
      <c r="X28">
        <v>9.4</v>
      </c>
      <c r="Y28">
        <v>0</v>
      </c>
      <c r="Z28">
        <v>426.27</v>
      </c>
      <c r="AA28">
        <v>396.79</v>
      </c>
      <c r="AB28">
        <v>0</v>
      </c>
      <c r="AC28">
        <v>0</v>
      </c>
      <c r="AD28">
        <v>1</v>
      </c>
      <c r="AE28">
        <v>0</v>
      </c>
      <c r="AF28" t="s">
        <v>3</v>
      </c>
      <c r="AG28">
        <v>9.4</v>
      </c>
      <c r="AH28">
        <v>2</v>
      </c>
      <c r="AI28">
        <v>50253597</v>
      </c>
      <c r="AJ28">
        <v>28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ROW(Source!A34)</f>
        <v>34</v>
      </c>
      <c r="B29">
        <v>50253602</v>
      </c>
      <c r="C29">
        <v>50253594</v>
      </c>
      <c r="D29">
        <v>49196724</v>
      </c>
      <c r="E29">
        <v>1</v>
      </c>
      <c r="F29">
        <v>1</v>
      </c>
      <c r="G29">
        <v>1</v>
      </c>
      <c r="H29">
        <v>2</v>
      </c>
      <c r="I29" t="s">
        <v>302</v>
      </c>
      <c r="J29" t="s">
        <v>303</v>
      </c>
      <c r="K29" t="s">
        <v>304</v>
      </c>
      <c r="L29">
        <v>1368</v>
      </c>
      <c r="N29">
        <v>1011</v>
      </c>
      <c r="O29" t="s">
        <v>251</v>
      </c>
      <c r="P29" t="s">
        <v>251</v>
      </c>
      <c r="Q29">
        <v>1</v>
      </c>
      <c r="X29">
        <v>28.2</v>
      </c>
      <c r="Y29">
        <v>0</v>
      </c>
      <c r="Z29">
        <v>2.11</v>
      </c>
      <c r="AA29">
        <v>0</v>
      </c>
      <c r="AB29">
        <v>0</v>
      </c>
      <c r="AC29">
        <v>0</v>
      </c>
      <c r="AD29">
        <v>1</v>
      </c>
      <c r="AE29">
        <v>0</v>
      </c>
      <c r="AF29" t="s">
        <v>3</v>
      </c>
      <c r="AG29">
        <v>28.2</v>
      </c>
      <c r="AH29">
        <v>2</v>
      </c>
      <c r="AI29">
        <v>50253598</v>
      </c>
      <c r="AJ29">
        <v>29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">
      <c r="A30">
        <f>ROW(Source!A35)</f>
        <v>35</v>
      </c>
      <c r="B30">
        <v>50253618</v>
      </c>
      <c r="C30">
        <v>50253603</v>
      </c>
      <c r="D30">
        <v>49188535</v>
      </c>
      <c r="E30">
        <v>117</v>
      </c>
      <c r="F30">
        <v>1</v>
      </c>
      <c r="G30">
        <v>1</v>
      </c>
      <c r="H30">
        <v>1</v>
      </c>
      <c r="I30" t="s">
        <v>307</v>
      </c>
      <c r="J30" t="s">
        <v>3</v>
      </c>
      <c r="K30" t="s">
        <v>308</v>
      </c>
      <c r="L30">
        <v>1191</v>
      </c>
      <c r="N30">
        <v>1013</v>
      </c>
      <c r="O30" t="s">
        <v>247</v>
      </c>
      <c r="P30" t="s">
        <v>247</v>
      </c>
      <c r="Q30">
        <v>1</v>
      </c>
      <c r="X30">
        <v>54.1</v>
      </c>
      <c r="Y30">
        <v>0</v>
      </c>
      <c r="Z30">
        <v>0</v>
      </c>
      <c r="AA30">
        <v>0</v>
      </c>
      <c r="AB30">
        <v>346.45</v>
      </c>
      <c r="AC30">
        <v>0</v>
      </c>
      <c r="AD30">
        <v>1</v>
      </c>
      <c r="AE30">
        <v>1</v>
      </c>
      <c r="AF30" t="s">
        <v>3</v>
      </c>
      <c r="AG30">
        <v>54.1</v>
      </c>
      <c r="AH30">
        <v>2</v>
      </c>
      <c r="AI30">
        <v>50253604</v>
      </c>
      <c r="AJ30">
        <v>30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2">
      <c r="A31">
        <f>ROW(Source!A35)</f>
        <v>35</v>
      </c>
      <c r="B31">
        <v>50253619</v>
      </c>
      <c r="C31">
        <v>50253603</v>
      </c>
      <c r="D31">
        <v>49188735</v>
      </c>
      <c r="E31">
        <v>117</v>
      </c>
      <c r="F31">
        <v>1</v>
      </c>
      <c r="G31">
        <v>1</v>
      </c>
      <c r="H31">
        <v>1</v>
      </c>
      <c r="I31" t="s">
        <v>245</v>
      </c>
      <c r="J31" t="s">
        <v>3</v>
      </c>
      <c r="K31" t="s">
        <v>246</v>
      </c>
      <c r="L31">
        <v>1191</v>
      </c>
      <c r="N31">
        <v>1013</v>
      </c>
      <c r="O31" t="s">
        <v>247</v>
      </c>
      <c r="P31" t="s">
        <v>247</v>
      </c>
      <c r="Q31">
        <v>1</v>
      </c>
      <c r="X31">
        <v>6.72</v>
      </c>
      <c r="Y31">
        <v>0</v>
      </c>
      <c r="Z31">
        <v>0</v>
      </c>
      <c r="AA31">
        <v>0</v>
      </c>
      <c r="AB31">
        <v>0</v>
      </c>
      <c r="AC31">
        <v>0</v>
      </c>
      <c r="AD31">
        <v>1</v>
      </c>
      <c r="AE31">
        <v>2</v>
      </c>
      <c r="AF31" t="s">
        <v>3</v>
      </c>
      <c r="AG31">
        <v>6.72</v>
      </c>
      <c r="AH31">
        <v>2</v>
      </c>
      <c r="AI31">
        <v>50253605</v>
      </c>
      <c r="AJ31">
        <v>31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 x14ac:dyDescent="0.2">
      <c r="A32">
        <f>ROW(Source!A35)</f>
        <v>35</v>
      </c>
      <c r="B32">
        <v>50253620</v>
      </c>
      <c r="C32">
        <v>50253603</v>
      </c>
      <c r="D32">
        <v>49195224</v>
      </c>
      <c r="E32">
        <v>1</v>
      </c>
      <c r="F32">
        <v>1</v>
      </c>
      <c r="G32">
        <v>1</v>
      </c>
      <c r="H32">
        <v>2</v>
      </c>
      <c r="I32" t="s">
        <v>274</v>
      </c>
      <c r="J32" t="s">
        <v>275</v>
      </c>
      <c r="K32" t="s">
        <v>276</v>
      </c>
      <c r="L32">
        <v>1368</v>
      </c>
      <c r="N32">
        <v>1011</v>
      </c>
      <c r="O32" t="s">
        <v>251</v>
      </c>
      <c r="P32" t="s">
        <v>251</v>
      </c>
      <c r="Q32">
        <v>1</v>
      </c>
      <c r="X32">
        <v>5.74</v>
      </c>
      <c r="Y32">
        <v>0</v>
      </c>
      <c r="Z32">
        <v>1720.97</v>
      </c>
      <c r="AA32">
        <v>533</v>
      </c>
      <c r="AB32">
        <v>0</v>
      </c>
      <c r="AC32">
        <v>0</v>
      </c>
      <c r="AD32">
        <v>1</v>
      </c>
      <c r="AE32">
        <v>0</v>
      </c>
      <c r="AF32" t="s">
        <v>3</v>
      </c>
      <c r="AG32">
        <v>5.74</v>
      </c>
      <c r="AH32">
        <v>2</v>
      </c>
      <c r="AI32">
        <v>50253606</v>
      </c>
      <c r="AJ32">
        <v>32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 x14ac:dyDescent="0.2">
      <c r="A33">
        <f>ROW(Source!A35)</f>
        <v>35</v>
      </c>
      <c r="B33">
        <v>50253621</v>
      </c>
      <c r="C33">
        <v>50253603</v>
      </c>
      <c r="D33">
        <v>49195593</v>
      </c>
      <c r="E33">
        <v>1</v>
      </c>
      <c r="F33">
        <v>1</v>
      </c>
      <c r="G33">
        <v>1</v>
      </c>
      <c r="H33">
        <v>2</v>
      </c>
      <c r="I33" t="s">
        <v>309</v>
      </c>
      <c r="J33" t="s">
        <v>310</v>
      </c>
      <c r="K33" t="s">
        <v>311</v>
      </c>
      <c r="L33">
        <v>1368</v>
      </c>
      <c r="N33">
        <v>1011</v>
      </c>
      <c r="O33" t="s">
        <v>251</v>
      </c>
      <c r="P33" t="s">
        <v>251</v>
      </c>
      <c r="Q33">
        <v>1</v>
      </c>
      <c r="X33">
        <v>0.98</v>
      </c>
      <c r="Y33">
        <v>0</v>
      </c>
      <c r="Z33">
        <v>95.25</v>
      </c>
      <c r="AA33">
        <v>0</v>
      </c>
      <c r="AB33">
        <v>0</v>
      </c>
      <c r="AC33">
        <v>0</v>
      </c>
      <c r="AD33">
        <v>1</v>
      </c>
      <c r="AE33">
        <v>0</v>
      </c>
      <c r="AF33" t="s">
        <v>3</v>
      </c>
      <c r="AG33">
        <v>0.98</v>
      </c>
      <c r="AH33">
        <v>2</v>
      </c>
      <c r="AI33">
        <v>50253607</v>
      </c>
      <c r="AJ33">
        <v>33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 x14ac:dyDescent="0.2">
      <c r="A34">
        <f>ROW(Source!A35)</f>
        <v>35</v>
      </c>
      <c r="B34">
        <v>50253622</v>
      </c>
      <c r="C34">
        <v>50253603</v>
      </c>
      <c r="D34">
        <v>49196119</v>
      </c>
      <c r="E34">
        <v>1</v>
      </c>
      <c r="F34">
        <v>1</v>
      </c>
      <c r="G34">
        <v>1</v>
      </c>
      <c r="H34">
        <v>2</v>
      </c>
      <c r="I34" t="s">
        <v>262</v>
      </c>
      <c r="J34" t="s">
        <v>263</v>
      </c>
      <c r="K34" t="s">
        <v>264</v>
      </c>
      <c r="L34">
        <v>1368</v>
      </c>
      <c r="N34">
        <v>1011</v>
      </c>
      <c r="O34" t="s">
        <v>251</v>
      </c>
      <c r="P34" t="s">
        <v>251</v>
      </c>
      <c r="Q34">
        <v>1</v>
      </c>
      <c r="X34">
        <v>0.98</v>
      </c>
      <c r="Y34">
        <v>0</v>
      </c>
      <c r="Z34">
        <v>680.88</v>
      </c>
      <c r="AA34">
        <v>396.79</v>
      </c>
      <c r="AB34">
        <v>0</v>
      </c>
      <c r="AC34">
        <v>0</v>
      </c>
      <c r="AD34">
        <v>1</v>
      </c>
      <c r="AE34">
        <v>0</v>
      </c>
      <c r="AF34" t="s">
        <v>3</v>
      </c>
      <c r="AG34">
        <v>0.98</v>
      </c>
      <c r="AH34">
        <v>2</v>
      </c>
      <c r="AI34">
        <v>50253608</v>
      </c>
      <c r="AJ34">
        <v>34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 x14ac:dyDescent="0.2">
      <c r="A35">
        <f>ROW(Source!A35)</f>
        <v>35</v>
      </c>
      <c r="B35">
        <v>50253623</v>
      </c>
      <c r="C35">
        <v>50253603</v>
      </c>
      <c r="D35">
        <v>49262889</v>
      </c>
      <c r="E35">
        <v>1</v>
      </c>
      <c r="F35">
        <v>1</v>
      </c>
      <c r="G35">
        <v>1</v>
      </c>
      <c r="H35">
        <v>3</v>
      </c>
      <c r="I35" t="s">
        <v>312</v>
      </c>
      <c r="J35" t="s">
        <v>313</v>
      </c>
      <c r="K35" t="s">
        <v>314</v>
      </c>
      <c r="L35">
        <v>1383</v>
      </c>
      <c r="N35">
        <v>1013</v>
      </c>
      <c r="O35" t="s">
        <v>315</v>
      </c>
      <c r="P35" t="s">
        <v>315</v>
      </c>
      <c r="Q35">
        <v>1</v>
      </c>
      <c r="X35">
        <v>7.4104000000000001</v>
      </c>
      <c r="Y35">
        <v>8.7899999999999991</v>
      </c>
      <c r="Z35">
        <v>0</v>
      </c>
      <c r="AA35">
        <v>0</v>
      </c>
      <c r="AB35">
        <v>0</v>
      </c>
      <c r="AC35">
        <v>0</v>
      </c>
      <c r="AD35">
        <v>1</v>
      </c>
      <c r="AE35">
        <v>0</v>
      </c>
      <c r="AF35" t="s">
        <v>3</v>
      </c>
      <c r="AG35">
        <v>7.4104000000000001</v>
      </c>
      <c r="AH35">
        <v>2</v>
      </c>
      <c r="AI35">
        <v>50253609</v>
      </c>
      <c r="AJ35">
        <v>35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 x14ac:dyDescent="0.2">
      <c r="A36">
        <f>ROW(Source!A35)</f>
        <v>35</v>
      </c>
      <c r="B36">
        <v>50253624</v>
      </c>
      <c r="C36">
        <v>50253603</v>
      </c>
      <c r="D36">
        <v>49264391</v>
      </c>
      <c r="E36">
        <v>1</v>
      </c>
      <c r="F36">
        <v>1</v>
      </c>
      <c r="G36">
        <v>1</v>
      </c>
      <c r="H36">
        <v>3</v>
      </c>
      <c r="I36" t="s">
        <v>316</v>
      </c>
      <c r="J36" t="s">
        <v>317</v>
      </c>
      <c r="K36" t="s">
        <v>318</v>
      </c>
      <c r="L36">
        <v>1346</v>
      </c>
      <c r="N36">
        <v>1009</v>
      </c>
      <c r="O36" t="s">
        <v>293</v>
      </c>
      <c r="P36" t="s">
        <v>293</v>
      </c>
      <c r="Q36">
        <v>1</v>
      </c>
      <c r="X36">
        <v>7.28</v>
      </c>
      <c r="Y36">
        <v>174.93</v>
      </c>
      <c r="Z36">
        <v>0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3</v>
      </c>
      <c r="AG36">
        <v>7.28</v>
      </c>
      <c r="AH36">
        <v>2</v>
      </c>
      <c r="AI36">
        <v>50253610</v>
      </c>
      <c r="AJ36">
        <v>36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 x14ac:dyDescent="0.2">
      <c r="A37">
        <f>ROW(Source!A35)</f>
        <v>35</v>
      </c>
      <c r="B37">
        <v>50253625</v>
      </c>
      <c r="C37">
        <v>50253603</v>
      </c>
      <c r="D37">
        <v>49264442</v>
      </c>
      <c r="E37">
        <v>1</v>
      </c>
      <c r="F37">
        <v>1</v>
      </c>
      <c r="G37">
        <v>1</v>
      </c>
      <c r="H37">
        <v>3</v>
      </c>
      <c r="I37" t="s">
        <v>319</v>
      </c>
      <c r="J37" t="s">
        <v>320</v>
      </c>
      <c r="K37" t="s">
        <v>321</v>
      </c>
      <c r="L37">
        <v>1348</v>
      </c>
      <c r="N37">
        <v>1009</v>
      </c>
      <c r="O37" t="s">
        <v>104</v>
      </c>
      <c r="P37" t="s">
        <v>104</v>
      </c>
      <c r="Q37">
        <v>1000</v>
      </c>
      <c r="X37">
        <v>9.7000000000000005E-4</v>
      </c>
      <c r="Y37">
        <v>70296.2</v>
      </c>
      <c r="Z37">
        <v>0</v>
      </c>
      <c r="AA37">
        <v>0</v>
      </c>
      <c r="AB37">
        <v>0</v>
      </c>
      <c r="AC37">
        <v>0</v>
      </c>
      <c r="AD37">
        <v>1</v>
      </c>
      <c r="AE37">
        <v>0</v>
      </c>
      <c r="AF37" t="s">
        <v>3</v>
      </c>
      <c r="AG37">
        <v>9.7000000000000005E-4</v>
      </c>
      <c r="AH37">
        <v>2</v>
      </c>
      <c r="AI37">
        <v>50253611</v>
      </c>
      <c r="AJ37">
        <v>37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 x14ac:dyDescent="0.2">
      <c r="A38">
        <f>ROW(Source!A35)</f>
        <v>35</v>
      </c>
      <c r="B38">
        <v>50253626</v>
      </c>
      <c r="C38">
        <v>50253603</v>
      </c>
      <c r="D38">
        <v>49268594</v>
      </c>
      <c r="E38">
        <v>1</v>
      </c>
      <c r="F38">
        <v>1</v>
      </c>
      <c r="G38">
        <v>1</v>
      </c>
      <c r="H38">
        <v>3</v>
      </c>
      <c r="I38" t="s">
        <v>322</v>
      </c>
      <c r="J38" t="s">
        <v>323</v>
      </c>
      <c r="K38" t="s">
        <v>324</v>
      </c>
      <c r="L38">
        <v>1407</v>
      </c>
      <c r="N38">
        <v>1013</v>
      </c>
      <c r="O38" t="s">
        <v>325</v>
      </c>
      <c r="P38" t="s">
        <v>325</v>
      </c>
      <c r="Q38">
        <v>1</v>
      </c>
      <c r="X38">
        <v>0.05</v>
      </c>
      <c r="Y38">
        <v>14803.89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0</v>
      </c>
      <c r="AF38" t="s">
        <v>3</v>
      </c>
      <c r="AG38">
        <v>0.05</v>
      </c>
      <c r="AH38">
        <v>2</v>
      </c>
      <c r="AI38">
        <v>50253612</v>
      </c>
      <c r="AJ38">
        <v>38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 x14ac:dyDescent="0.2">
      <c r="A39">
        <f>ROW(Source!A35)</f>
        <v>35</v>
      </c>
      <c r="B39">
        <v>50253627</v>
      </c>
      <c r="C39">
        <v>50253603</v>
      </c>
      <c r="D39">
        <v>49273756</v>
      </c>
      <c r="E39">
        <v>1</v>
      </c>
      <c r="F39">
        <v>1</v>
      </c>
      <c r="G39">
        <v>1</v>
      </c>
      <c r="H39">
        <v>3</v>
      </c>
      <c r="I39" t="s">
        <v>326</v>
      </c>
      <c r="J39" t="s">
        <v>327</v>
      </c>
      <c r="K39" t="s">
        <v>328</v>
      </c>
      <c r="L39">
        <v>1339</v>
      </c>
      <c r="N39">
        <v>1007</v>
      </c>
      <c r="O39" t="s">
        <v>85</v>
      </c>
      <c r="P39" t="s">
        <v>85</v>
      </c>
      <c r="Q39">
        <v>1</v>
      </c>
      <c r="X39">
        <v>1.37</v>
      </c>
      <c r="Y39">
        <v>6442.06</v>
      </c>
      <c r="Z39">
        <v>0</v>
      </c>
      <c r="AA39">
        <v>0</v>
      </c>
      <c r="AB39">
        <v>0</v>
      </c>
      <c r="AC39">
        <v>0</v>
      </c>
      <c r="AD39">
        <v>1</v>
      </c>
      <c r="AE39">
        <v>0</v>
      </c>
      <c r="AF39" t="s">
        <v>3</v>
      </c>
      <c r="AG39">
        <v>1.37</v>
      </c>
      <c r="AH39">
        <v>2</v>
      </c>
      <c r="AI39">
        <v>50253613</v>
      </c>
      <c r="AJ39">
        <v>39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 x14ac:dyDescent="0.2">
      <c r="A40">
        <f>ROW(Source!A35)</f>
        <v>35</v>
      </c>
      <c r="B40">
        <v>50253628</v>
      </c>
      <c r="C40">
        <v>50253603</v>
      </c>
      <c r="D40">
        <v>49191620</v>
      </c>
      <c r="E40">
        <v>117</v>
      </c>
      <c r="F40">
        <v>1</v>
      </c>
      <c r="G40">
        <v>1</v>
      </c>
      <c r="H40">
        <v>3</v>
      </c>
      <c r="I40" t="s">
        <v>83</v>
      </c>
      <c r="J40" t="s">
        <v>3</v>
      </c>
      <c r="K40" t="s">
        <v>84</v>
      </c>
      <c r="L40">
        <v>1339</v>
      </c>
      <c r="N40">
        <v>1007</v>
      </c>
      <c r="O40" t="s">
        <v>85</v>
      </c>
      <c r="P40" t="s">
        <v>85</v>
      </c>
      <c r="Q40">
        <v>1</v>
      </c>
      <c r="X40">
        <v>1.01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 t="s">
        <v>3</v>
      </c>
      <c r="AG40">
        <v>1.01</v>
      </c>
      <c r="AH40">
        <v>2</v>
      </c>
      <c r="AI40">
        <v>50253614</v>
      </c>
      <c r="AJ40">
        <v>40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 x14ac:dyDescent="0.2">
      <c r="A41">
        <f>ROW(Source!A35)</f>
        <v>35</v>
      </c>
      <c r="B41">
        <v>50253629</v>
      </c>
      <c r="C41">
        <v>50253603</v>
      </c>
      <c r="D41">
        <v>49191823</v>
      </c>
      <c r="E41">
        <v>117</v>
      </c>
      <c r="F41">
        <v>1</v>
      </c>
      <c r="G41">
        <v>1</v>
      </c>
      <c r="H41">
        <v>3</v>
      </c>
      <c r="I41" t="s">
        <v>87</v>
      </c>
      <c r="J41" t="s">
        <v>3</v>
      </c>
      <c r="K41" t="s">
        <v>88</v>
      </c>
      <c r="L41">
        <v>1327</v>
      </c>
      <c r="N41">
        <v>1005</v>
      </c>
      <c r="O41" t="s">
        <v>89</v>
      </c>
      <c r="P41" t="s">
        <v>89</v>
      </c>
      <c r="Q41">
        <v>1</v>
      </c>
      <c r="X41">
        <v>100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 t="s">
        <v>3</v>
      </c>
      <c r="AG41">
        <v>100</v>
      </c>
      <c r="AH41">
        <v>2</v>
      </c>
      <c r="AI41">
        <v>50253615</v>
      </c>
      <c r="AJ41">
        <v>41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 x14ac:dyDescent="0.2">
      <c r="A42">
        <f>ROW(Source!A35)</f>
        <v>35</v>
      </c>
      <c r="B42">
        <v>50253630</v>
      </c>
      <c r="C42">
        <v>50253603</v>
      </c>
      <c r="D42">
        <v>49281307</v>
      </c>
      <c r="E42">
        <v>1</v>
      </c>
      <c r="F42">
        <v>1</v>
      </c>
      <c r="G42">
        <v>1</v>
      </c>
      <c r="H42">
        <v>3</v>
      </c>
      <c r="I42" t="s">
        <v>329</v>
      </c>
      <c r="J42" t="s">
        <v>330</v>
      </c>
      <c r="K42" t="s">
        <v>331</v>
      </c>
      <c r="L42">
        <v>1348</v>
      </c>
      <c r="N42">
        <v>1009</v>
      </c>
      <c r="O42" t="s">
        <v>104</v>
      </c>
      <c r="P42" t="s">
        <v>104</v>
      </c>
      <c r="Q42">
        <v>1000</v>
      </c>
      <c r="X42">
        <v>2.6599999999999999E-2</v>
      </c>
      <c r="Y42">
        <v>10826.9</v>
      </c>
      <c r="Z42">
        <v>0</v>
      </c>
      <c r="AA42">
        <v>0</v>
      </c>
      <c r="AB42">
        <v>0</v>
      </c>
      <c r="AC42">
        <v>0</v>
      </c>
      <c r="AD42">
        <v>1</v>
      </c>
      <c r="AE42">
        <v>0</v>
      </c>
      <c r="AF42" t="s">
        <v>3</v>
      </c>
      <c r="AG42">
        <v>2.6599999999999999E-2</v>
      </c>
      <c r="AH42">
        <v>2</v>
      </c>
      <c r="AI42">
        <v>50253616</v>
      </c>
      <c r="AJ42">
        <v>42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 x14ac:dyDescent="0.2">
      <c r="A43">
        <f>ROW(Source!A35)</f>
        <v>35</v>
      </c>
      <c r="B43">
        <v>50253631</v>
      </c>
      <c r="C43">
        <v>50253603</v>
      </c>
      <c r="D43">
        <v>49281882</v>
      </c>
      <c r="E43">
        <v>1</v>
      </c>
      <c r="F43">
        <v>1</v>
      </c>
      <c r="G43">
        <v>1</v>
      </c>
      <c r="H43">
        <v>3</v>
      </c>
      <c r="I43" t="s">
        <v>332</v>
      </c>
      <c r="J43" t="s">
        <v>333</v>
      </c>
      <c r="K43" t="s">
        <v>334</v>
      </c>
      <c r="L43">
        <v>1348</v>
      </c>
      <c r="N43">
        <v>1009</v>
      </c>
      <c r="O43" t="s">
        <v>104</v>
      </c>
      <c r="P43" t="s">
        <v>104</v>
      </c>
      <c r="Q43">
        <v>1000</v>
      </c>
      <c r="X43">
        <v>2.7699999999999999E-3</v>
      </c>
      <c r="Y43">
        <v>98039.57</v>
      </c>
      <c r="Z43">
        <v>0</v>
      </c>
      <c r="AA43">
        <v>0</v>
      </c>
      <c r="AB43">
        <v>0</v>
      </c>
      <c r="AC43">
        <v>0</v>
      </c>
      <c r="AD43">
        <v>1</v>
      </c>
      <c r="AE43">
        <v>0</v>
      </c>
      <c r="AF43" t="s">
        <v>3</v>
      </c>
      <c r="AG43">
        <v>2.7699999999999999E-3</v>
      </c>
      <c r="AH43">
        <v>2</v>
      </c>
      <c r="AI43">
        <v>50253617</v>
      </c>
      <c r="AJ43">
        <v>43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 x14ac:dyDescent="0.2">
      <c r="A44">
        <f>ROW(Source!A39)</f>
        <v>39</v>
      </c>
      <c r="B44">
        <v>50253882</v>
      </c>
      <c r="C44">
        <v>50253881</v>
      </c>
      <c r="D44">
        <v>49188537</v>
      </c>
      <c r="E44">
        <v>117</v>
      </c>
      <c r="F44">
        <v>1</v>
      </c>
      <c r="G44">
        <v>1</v>
      </c>
      <c r="H44">
        <v>1</v>
      </c>
      <c r="I44" t="s">
        <v>335</v>
      </c>
      <c r="J44" t="s">
        <v>3</v>
      </c>
      <c r="K44" t="s">
        <v>336</v>
      </c>
      <c r="L44">
        <v>1191</v>
      </c>
      <c r="N44">
        <v>1013</v>
      </c>
      <c r="O44" t="s">
        <v>247</v>
      </c>
      <c r="P44" t="s">
        <v>247</v>
      </c>
      <c r="Q44">
        <v>1</v>
      </c>
      <c r="X44">
        <v>298</v>
      </c>
      <c r="Y44">
        <v>0</v>
      </c>
      <c r="Z44">
        <v>0</v>
      </c>
      <c r="AA44">
        <v>0</v>
      </c>
      <c r="AB44">
        <v>349.41</v>
      </c>
      <c r="AC44">
        <v>0</v>
      </c>
      <c r="AD44">
        <v>1</v>
      </c>
      <c r="AE44">
        <v>1</v>
      </c>
      <c r="AF44" t="s">
        <v>3</v>
      </c>
      <c r="AG44">
        <v>298</v>
      </c>
      <c r="AH44">
        <v>2</v>
      </c>
      <c r="AI44">
        <v>50253882</v>
      </c>
      <c r="AJ44">
        <v>44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 x14ac:dyDescent="0.2">
      <c r="A45">
        <f>ROW(Source!A39)</f>
        <v>39</v>
      </c>
      <c r="B45">
        <v>50253883</v>
      </c>
      <c r="C45">
        <v>50253881</v>
      </c>
      <c r="D45">
        <v>49188735</v>
      </c>
      <c r="E45">
        <v>117</v>
      </c>
      <c r="F45">
        <v>1</v>
      </c>
      <c r="G45">
        <v>1</v>
      </c>
      <c r="H45">
        <v>1</v>
      </c>
      <c r="I45" t="s">
        <v>245</v>
      </c>
      <c r="J45" t="s">
        <v>3</v>
      </c>
      <c r="K45" t="s">
        <v>246</v>
      </c>
      <c r="L45">
        <v>1191</v>
      </c>
      <c r="N45">
        <v>1013</v>
      </c>
      <c r="O45" t="s">
        <v>247</v>
      </c>
      <c r="P45" t="s">
        <v>247</v>
      </c>
      <c r="Q45">
        <v>1</v>
      </c>
      <c r="X45">
        <v>18.489999999999998</v>
      </c>
      <c r="Y45">
        <v>0</v>
      </c>
      <c r="Z45">
        <v>0</v>
      </c>
      <c r="AA45">
        <v>0</v>
      </c>
      <c r="AB45">
        <v>0</v>
      </c>
      <c r="AC45">
        <v>0</v>
      </c>
      <c r="AD45">
        <v>1</v>
      </c>
      <c r="AE45">
        <v>2</v>
      </c>
      <c r="AF45" t="s">
        <v>3</v>
      </c>
      <c r="AG45">
        <v>18.489999999999998</v>
      </c>
      <c r="AH45">
        <v>2</v>
      </c>
      <c r="AI45">
        <v>50253883</v>
      </c>
      <c r="AJ45">
        <v>45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 x14ac:dyDescent="0.2">
      <c r="A46">
        <f>ROW(Source!A39)</f>
        <v>39</v>
      </c>
      <c r="B46">
        <v>50253884</v>
      </c>
      <c r="C46">
        <v>50253881</v>
      </c>
      <c r="D46">
        <v>49195224</v>
      </c>
      <c r="E46">
        <v>1</v>
      </c>
      <c r="F46">
        <v>1</v>
      </c>
      <c r="G46">
        <v>1</v>
      </c>
      <c r="H46">
        <v>2</v>
      </c>
      <c r="I46" t="s">
        <v>274</v>
      </c>
      <c r="J46" t="s">
        <v>275</v>
      </c>
      <c r="K46" t="s">
        <v>276</v>
      </c>
      <c r="L46">
        <v>1368</v>
      </c>
      <c r="N46">
        <v>1011</v>
      </c>
      <c r="O46" t="s">
        <v>251</v>
      </c>
      <c r="P46" t="s">
        <v>251</v>
      </c>
      <c r="Q46">
        <v>1</v>
      </c>
      <c r="X46">
        <v>17.53</v>
      </c>
      <c r="Y46">
        <v>0</v>
      </c>
      <c r="Z46">
        <v>1720.97</v>
      </c>
      <c r="AA46">
        <v>533</v>
      </c>
      <c r="AB46">
        <v>0</v>
      </c>
      <c r="AC46">
        <v>0</v>
      </c>
      <c r="AD46">
        <v>1</v>
      </c>
      <c r="AE46">
        <v>0</v>
      </c>
      <c r="AF46" t="s">
        <v>3</v>
      </c>
      <c r="AG46">
        <v>17.53</v>
      </c>
      <c r="AH46">
        <v>2</v>
      </c>
      <c r="AI46">
        <v>50253884</v>
      </c>
      <c r="AJ46">
        <v>46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 x14ac:dyDescent="0.2">
      <c r="A47">
        <f>ROW(Source!A39)</f>
        <v>39</v>
      </c>
      <c r="B47">
        <v>50253885</v>
      </c>
      <c r="C47">
        <v>50253881</v>
      </c>
      <c r="D47">
        <v>49195593</v>
      </c>
      <c r="E47">
        <v>1</v>
      </c>
      <c r="F47">
        <v>1</v>
      </c>
      <c r="G47">
        <v>1</v>
      </c>
      <c r="H47">
        <v>2</v>
      </c>
      <c r="I47" t="s">
        <v>309</v>
      </c>
      <c r="J47" t="s">
        <v>310</v>
      </c>
      <c r="K47" t="s">
        <v>311</v>
      </c>
      <c r="L47">
        <v>1368</v>
      </c>
      <c r="N47">
        <v>1011</v>
      </c>
      <c r="O47" t="s">
        <v>251</v>
      </c>
      <c r="P47" t="s">
        <v>251</v>
      </c>
      <c r="Q47">
        <v>1</v>
      </c>
      <c r="X47">
        <v>1.0900000000000001</v>
      </c>
      <c r="Y47">
        <v>0</v>
      </c>
      <c r="Z47">
        <v>95.25</v>
      </c>
      <c r="AA47">
        <v>0</v>
      </c>
      <c r="AB47">
        <v>0</v>
      </c>
      <c r="AC47">
        <v>0</v>
      </c>
      <c r="AD47">
        <v>1</v>
      </c>
      <c r="AE47">
        <v>0</v>
      </c>
      <c r="AF47" t="s">
        <v>3</v>
      </c>
      <c r="AG47">
        <v>1.0900000000000001</v>
      </c>
      <c r="AH47">
        <v>2</v>
      </c>
      <c r="AI47">
        <v>50253885</v>
      </c>
      <c r="AJ47">
        <v>47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 x14ac:dyDescent="0.2">
      <c r="A48">
        <f>ROW(Source!A39)</f>
        <v>39</v>
      </c>
      <c r="B48">
        <v>50253886</v>
      </c>
      <c r="C48">
        <v>50253881</v>
      </c>
      <c r="D48">
        <v>49196119</v>
      </c>
      <c r="E48">
        <v>1</v>
      </c>
      <c r="F48">
        <v>1</v>
      </c>
      <c r="G48">
        <v>1</v>
      </c>
      <c r="H48">
        <v>2</v>
      </c>
      <c r="I48" t="s">
        <v>262</v>
      </c>
      <c r="J48" t="s">
        <v>263</v>
      </c>
      <c r="K48" t="s">
        <v>264</v>
      </c>
      <c r="L48">
        <v>1368</v>
      </c>
      <c r="N48">
        <v>1011</v>
      </c>
      <c r="O48" t="s">
        <v>251</v>
      </c>
      <c r="P48" t="s">
        <v>251</v>
      </c>
      <c r="Q48">
        <v>1</v>
      </c>
      <c r="X48">
        <v>0.96</v>
      </c>
      <c r="Y48">
        <v>0</v>
      </c>
      <c r="Z48">
        <v>680.88</v>
      </c>
      <c r="AA48">
        <v>396.79</v>
      </c>
      <c r="AB48">
        <v>0</v>
      </c>
      <c r="AC48">
        <v>0</v>
      </c>
      <c r="AD48">
        <v>1</v>
      </c>
      <c r="AE48">
        <v>0</v>
      </c>
      <c r="AF48" t="s">
        <v>3</v>
      </c>
      <c r="AG48">
        <v>0.96</v>
      </c>
      <c r="AH48">
        <v>2</v>
      </c>
      <c r="AI48">
        <v>50253886</v>
      </c>
      <c r="AJ48">
        <v>48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 x14ac:dyDescent="0.2">
      <c r="A49">
        <f>ROW(Source!A39)</f>
        <v>39</v>
      </c>
      <c r="B49">
        <v>50253887</v>
      </c>
      <c r="C49">
        <v>50253881</v>
      </c>
      <c r="D49">
        <v>49262889</v>
      </c>
      <c r="E49">
        <v>1</v>
      </c>
      <c r="F49">
        <v>1</v>
      </c>
      <c r="G49">
        <v>1</v>
      </c>
      <c r="H49">
        <v>3</v>
      </c>
      <c r="I49" t="s">
        <v>312</v>
      </c>
      <c r="J49" t="s">
        <v>313</v>
      </c>
      <c r="K49" t="s">
        <v>314</v>
      </c>
      <c r="L49">
        <v>1383</v>
      </c>
      <c r="N49">
        <v>1013</v>
      </c>
      <c r="O49" t="s">
        <v>315</v>
      </c>
      <c r="P49" t="s">
        <v>315</v>
      </c>
      <c r="Q49">
        <v>1</v>
      </c>
      <c r="X49">
        <v>20.393999999999998</v>
      </c>
      <c r="Y49">
        <v>8.7899999999999991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0</v>
      </c>
      <c r="AF49" t="s">
        <v>3</v>
      </c>
      <c r="AG49">
        <v>20.393999999999998</v>
      </c>
      <c r="AH49">
        <v>2</v>
      </c>
      <c r="AI49">
        <v>50253887</v>
      </c>
      <c r="AJ49">
        <v>49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 x14ac:dyDescent="0.2">
      <c r="A50">
        <f>ROW(Source!A39)</f>
        <v>39</v>
      </c>
      <c r="B50">
        <v>50253888</v>
      </c>
      <c r="C50">
        <v>50253881</v>
      </c>
      <c r="D50">
        <v>49264391</v>
      </c>
      <c r="E50">
        <v>1</v>
      </c>
      <c r="F50">
        <v>1</v>
      </c>
      <c r="G50">
        <v>1</v>
      </c>
      <c r="H50">
        <v>3</v>
      </c>
      <c r="I50" t="s">
        <v>316</v>
      </c>
      <c r="J50" t="s">
        <v>317</v>
      </c>
      <c r="K50" t="s">
        <v>318</v>
      </c>
      <c r="L50">
        <v>1346</v>
      </c>
      <c r="N50">
        <v>1009</v>
      </c>
      <c r="O50" t="s">
        <v>293</v>
      </c>
      <c r="P50" t="s">
        <v>293</v>
      </c>
      <c r="Q50">
        <v>1</v>
      </c>
      <c r="X50">
        <v>35.1</v>
      </c>
      <c r="Y50">
        <v>174.93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0</v>
      </c>
      <c r="AF50" t="s">
        <v>3</v>
      </c>
      <c r="AG50">
        <v>35.1</v>
      </c>
      <c r="AH50">
        <v>2</v>
      </c>
      <c r="AI50">
        <v>50253888</v>
      </c>
      <c r="AJ50">
        <v>50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 x14ac:dyDescent="0.2">
      <c r="A51">
        <f>ROW(Source!A39)</f>
        <v>39</v>
      </c>
      <c r="B51">
        <v>50253889</v>
      </c>
      <c r="C51">
        <v>50253881</v>
      </c>
      <c r="D51">
        <v>49264442</v>
      </c>
      <c r="E51">
        <v>1</v>
      </c>
      <c r="F51">
        <v>1</v>
      </c>
      <c r="G51">
        <v>1</v>
      </c>
      <c r="H51">
        <v>3</v>
      </c>
      <c r="I51" t="s">
        <v>319</v>
      </c>
      <c r="J51" t="s">
        <v>320</v>
      </c>
      <c r="K51" t="s">
        <v>321</v>
      </c>
      <c r="L51">
        <v>1348</v>
      </c>
      <c r="N51">
        <v>1009</v>
      </c>
      <c r="O51" t="s">
        <v>104</v>
      </c>
      <c r="P51" t="s">
        <v>104</v>
      </c>
      <c r="Q51">
        <v>1000</v>
      </c>
      <c r="X51">
        <v>3.5999999999999999E-3</v>
      </c>
      <c r="Y51">
        <v>70296.2</v>
      </c>
      <c r="Z51">
        <v>0</v>
      </c>
      <c r="AA51">
        <v>0</v>
      </c>
      <c r="AB51">
        <v>0</v>
      </c>
      <c r="AC51">
        <v>0</v>
      </c>
      <c r="AD51">
        <v>1</v>
      </c>
      <c r="AE51">
        <v>0</v>
      </c>
      <c r="AF51" t="s">
        <v>3</v>
      </c>
      <c r="AG51">
        <v>3.5999999999999999E-3</v>
      </c>
      <c r="AH51">
        <v>2</v>
      </c>
      <c r="AI51">
        <v>50253889</v>
      </c>
      <c r="AJ51">
        <v>51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 x14ac:dyDescent="0.2">
      <c r="A52">
        <f>ROW(Source!A39)</f>
        <v>39</v>
      </c>
      <c r="B52">
        <v>50253890</v>
      </c>
      <c r="C52">
        <v>50253881</v>
      </c>
      <c r="D52">
        <v>49268594</v>
      </c>
      <c r="E52">
        <v>1</v>
      </c>
      <c r="F52">
        <v>1</v>
      </c>
      <c r="G52">
        <v>1</v>
      </c>
      <c r="H52">
        <v>3</v>
      </c>
      <c r="I52" t="s">
        <v>322</v>
      </c>
      <c r="J52" t="s">
        <v>323</v>
      </c>
      <c r="K52" t="s">
        <v>324</v>
      </c>
      <c r="L52">
        <v>1407</v>
      </c>
      <c r="N52">
        <v>1013</v>
      </c>
      <c r="O52" t="s">
        <v>325</v>
      </c>
      <c r="P52" t="s">
        <v>325</v>
      </c>
      <c r="Q52">
        <v>1</v>
      </c>
      <c r="X52">
        <v>8.5999999999999993E-2</v>
      </c>
      <c r="Y52">
        <v>14803.89</v>
      </c>
      <c r="Z52">
        <v>0</v>
      </c>
      <c r="AA52">
        <v>0</v>
      </c>
      <c r="AB52">
        <v>0</v>
      </c>
      <c r="AC52">
        <v>0</v>
      </c>
      <c r="AD52">
        <v>1</v>
      </c>
      <c r="AE52">
        <v>0</v>
      </c>
      <c r="AF52" t="s">
        <v>3</v>
      </c>
      <c r="AG52">
        <v>8.5999999999999993E-2</v>
      </c>
      <c r="AH52">
        <v>2</v>
      </c>
      <c r="AI52">
        <v>50253890</v>
      </c>
      <c r="AJ52">
        <v>52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 x14ac:dyDescent="0.2">
      <c r="A53">
        <f>ROW(Source!A39)</f>
        <v>39</v>
      </c>
      <c r="B53">
        <v>50253891</v>
      </c>
      <c r="C53">
        <v>50253881</v>
      </c>
      <c r="D53">
        <v>49270310</v>
      </c>
      <c r="E53">
        <v>1</v>
      </c>
      <c r="F53">
        <v>1</v>
      </c>
      <c r="G53">
        <v>1</v>
      </c>
      <c r="H53">
        <v>3</v>
      </c>
      <c r="I53" t="s">
        <v>102</v>
      </c>
      <c r="J53" t="s">
        <v>105</v>
      </c>
      <c r="K53" t="s">
        <v>103</v>
      </c>
      <c r="L53">
        <v>1348</v>
      </c>
      <c r="N53">
        <v>1009</v>
      </c>
      <c r="O53" t="s">
        <v>104</v>
      </c>
      <c r="P53" t="s">
        <v>104</v>
      </c>
      <c r="Q53">
        <v>1000</v>
      </c>
      <c r="X53">
        <v>0</v>
      </c>
      <c r="Y53">
        <v>55898.18</v>
      </c>
      <c r="Z53">
        <v>0</v>
      </c>
      <c r="AA53">
        <v>0</v>
      </c>
      <c r="AB53">
        <v>0</v>
      </c>
      <c r="AC53">
        <v>1</v>
      </c>
      <c r="AD53">
        <v>0</v>
      </c>
      <c r="AE53">
        <v>0</v>
      </c>
      <c r="AF53" t="s">
        <v>3</v>
      </c>
      <c r="AG53">
        <v>0</v>
      </c>
      <c r="AH53">
        <v>2</v>
      </c>
      <c r="AI53">
        <v>50253891</v>
      </c>
      <c r="AJ53">
        <v>53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 x14ac:dyDescent="0.2">
      <c r="A54">
        <f>ROW(Source!A39)</f>
        <v>39</v>
      </c>
      <c r="B54">
        <v>50253892</v>
      </c>
      <c r="C54">
        <v>50253881</v>
      </c>
      <c r="D54">
        <v>49273756</v>
      </c>
      <c r="E54">
        <v>1</v>
      </c>
      <c r="F54">
        <v>1</v>
      </c>
      <c r="G54">
        <v>1</v>
      </c>
      <c r="H54">
        <v>3</v>
      </c>
      <c r="I54" t="s">
        <v>326</v>
      </c>
      <c r="J54" t="s">
        <v>327</v>
      </c>
      <c r="K54" t="s">
        <v>328</v>
      </c>
      <c r="L54">
        <v>1339</v>
      </c>
      <c r="N54">
        <v>1007</v>
      </c>
      <c r="O54" t="s">
        <v>85</v>
      </c>
      <c r="P54" t="s">
        <v>85</v>
      </c>
      <c r="Q54">
        <v>1</v>
      </c>
      <c r="X54">
        <v>2.0099999999999998</v>
      </c>
      <c r="Y54">
        <v>6442.06</v>
      </c>
      <c r="Z54">
        <v>0</v>
      </c>
      <c r="AA54">
        <v>0</v>
      </c>
      <c r="AB54">
        <v>0</v>
      </c>
      <c r="AC54">
        <v>0</v>
      </c>
      <c r="AD54">
        <v>1</v>
      </c>
      <c r="AE54">
        <v>0</v>
      </c>
      <c r="AF54" t="s">
        <v>3</v>
      </c>
      <c r="AG54">
        <v>2.0099999999999998</v>
      </c>
      <c r="AH54">
        <v>2</v>
      </c>
      <c r="AI54">
        <v>50253892</v>
      </c>
      <c r="AJ54">
        <v>54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 x14ac:dyDescent="0.2">
      <c r="A55">
        <f>ROW(Source!A39)</f>
        <v>39</v>
      </c>
      <c r="B55">
        <v>50253893</v>
      </c>
      <c r="C55">
        <v>50253881</v>
      </c>
      <c r="D55">
        <v>49191624</v>
      </c>
      <c r="E55">
        <v>117</v>
      </c>
      <c r="F55">
        <v>1</v>
      </c>
      <c r="G55">
        <v>1</v>
      </c>
      <c r="H55">
        <v>3</v>
      </c>
      <c r="I55" t="s">
        <v>83</v>
      </c>
      <c r="J55" t="s">
        <v>3</v>
      </c>
      <c r="K55" t="s">
        <v>84</v>
      </c>
      <c r="L55">
        <v>1339</v>
      </c>
      <c r="N55">
        <v>1007</v>
      </c>
      <c r="O55" t="s">
        <v>85</v>
      </c>
      <c r="P55" t="s">
        <v>85</v>
      </c>
      <c r="Q55">
        <v>1</v>
      </c>
      <c r="X55">
        <v>2.54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 t="s">
        <v>3</v>
      </c>
      <c r="AG55">
        <v>2.54</v>
      </c>
      <c r="AH55">
        <v>2</v>
      </c>
      <c r="AI55">
        <v>50253893</v>
      </c>
      <c r="AJ55">
        <v>55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 x14ac:dyDescent="0.2">
      <c r="A56">
        <f>ROW(Source!A39)</f>
        <v>39</v>
      </c>
      <c r="B56">
        <v>50253894</v>
      </c>
      <c r="C56">
        <v>50253881</v>
      </c>
      <c r="D56">
        <v>49273843</v>
      </c>
      <c r="E56">
        <v>1</v>
      </c>
      <c r="F56">
        <v>1</v>
      </c>
      <c r="G56">
        <v>1</v>
      </c>
      <c r="H56">
        <v>3</v>
      </c>
      <c r="I56" t="s">
        <v>337</v>
      </c>
      <c r="J56" t="s">
        <v>338</v>
      </c>
      <c r="K56" t="s">
        <v>339</v>
      </c>
      <c r="L56">
        <v>1339</v>
      </c>
      <c r="N56">
        <v>1007</v>
      </c>
      <c r="O56" t="s">
        <v>85</v>
      </c>
      <c r="P56" t="s">
        <v>85</v>
      </c>
      <c r="Q56">
        <v>1</v>
      </c>
      <c r="X56">
        <v>2.1</v>
      </c>
      <c r="Y56">
        <v>5764.42</v>
      </c>
      <c r="Z56">
        <v>0</v>
      </c>
      <c r="AA56">
        <v>0</v>
      </c>
      <c r="AB56">
        <v>0</v>
      </c>
      <c r="AC56">
        <v>0</v>
      </c>
      <c r="AD56">
        <v>1</v>
      </c>
      <c r="AE56">
        <v>0</v>
      </c>
      <c r="AF56" t="s">
        <v>3</v>
      </c>
      <c r="AG56">
        <v>2.1</v>
      </c>
      <c r="AH56">
        <v>2</v>
      </c>
      <c r="AI56">
        <v>50253894</v>
      </c>
      <c r="AJ56">
        <v>56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 x14ac:dyDescent="0.2">
      <c r="A57">
        <f>ROW(Source!A39)</f>
        <v>39</v>
      </c>
      <c r="B57">
        <v>50253895</v>
      </c>
      <c r="C57">
        <v>50253881</v>
      </c>
      <c r="D57">
        <v>49281307</v>
      </c>
      <c r="E57">
        <v>1</v>
      </c>
      <c r="F57">
        <v>1</v>
      </c>
      <c r="G57">
        <v>1</v>
      </c>
      <c r="H57">
        <v>3</v>
      </c>
      <c r="I57" t="s">
        <v>329</v>
      </c>
      <c r="J57" t="s">
        <v>330</v>
      </c>
      <c r="K57" t="s">
        <v>331</v>
      </c>
      <c r="L57">
        <v>1348</v>
      </c>
      <c r="N57">
        <v>1009</v>
      </c>
      <c r="O57" t="s">
        <v>104</v>
      </c>
      <c r="P57" t="s">
        <v>104</v>
      </c>
      <c r="Q57">
        <v>1000</v>
      </c>
      <c r="X57">
        <v>0.03</v>
      </c>
      <c r="Y57">
        <v>10826.9</v>
      </c>
      <c r="Z57">
        <v>0</v>
      </c>
      <c r="AA57">
        <v>0</v>
      </c>
      <c r="AB57">
        <v>0</v>
      </c>
      <c r="AC57">
        <v>0</v>
      </c>
      <c r="AD57">
        <v>1</v>
      </c>
      <c r="AE57">
        <v>0</v>
      </c>
      <c r="AF57" t="s">
        <v>3</v>
      </c>
      <c r="AG57">
        <v>0.03</v>
      </c>
      <c r="AH57">
        <v>2</v>
      </c>
      <c r="AI57">
        <v>50253895</v>
      </c>
      <c r="AJ57">
        <v>57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 x14ac:dyDescent="0.2">
      <c r="A58">
        <f>ROW(Source!A39)</f>
        <v>39</v>
      </c>
      <c r="B58">
        <v>50253896</v>
      </c>
      <c r="C58">
        <v>50253881</v>
      </c>
      <c r="D58">
        <v>49281882</v>
      </c>
      <c r="E58">
        <v>1</v>
      </c>
      <c r="F58">
        <v>1</v>
      </c>
      <c r="G58">
        <v>1</v>
      </c>
      <c r="H58">
        <v>3</v>
      </c>
      <c r="I58" t="s">
        <v>332</v>
      </c>
      <c r="J58" t="s">
        <v>333</v>
      </c>
      <c r="K58" t="s">
        <v>334</v>
      </c>
      <c r="L58">
        <v>1348</v>
      </c>
      <c r="N58">
        <v>1009</v>
      </c>
      <c r="O58" t="s">
        <v>104</v>
      </c>
      <c r="P58" t="s">
        <v>104</v>
      </c>
      <c r="Q58">
        <v>1000</v>
      </c>
      <c r="X58">
        <v>5.7000000000000002E-3</v>
      </c>
      <c r="Y58">
        <v>98039.57</v>
      </c>
      <c r="Z58">
        <v>0</v>
      </c>
      <c r="AA58">
        <v>0</v>
      </c>
      <c r="AB58">
        <v>0</v>
      </c>
      <c r="AC58">
        <v>0</v>
      </c>
      <c r="AD58">
        <v>1</v>
      </c>
      <c r="AE58">
        <v>0</v>
      </c>
      <c r="AF58" t="s">
        <v>3</v>
      </c>
      <c r="AG58">
        <v>5.7000000000000002E-3</v>
      </c>
      <c r="AH58">
        <v>2</v>
      </c>
      <c r="AI58">
        <v>50253896</v>
      </c>
      <c r="AJ58">
        <v>58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25" defaultRowHeight="12.85" x14ac:dyDescent="0.2"/>
  <cols>
    <col min="1" max="256" width="9.125" customWidth="1"/>
  </cols>
  <sheetData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12"/>
  <sheetViews>
    <sheetView workbookViewId="0"/>
  </sheetViews>
  <sheetFormatPr defaultColWidth="9.125" defaultRowHeight="12.85" x14ac:dyDescent="0.2"/>
  <cols>
    <col min="1" max="256" width="9.125" customWidth="1"/>
  </cols>
  <sheetData>
    <row r="1" spans="1:10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72064</v>
      </c>
      <c r="M1">
        <v>10</v>
      </c>
      <c r="N1">
        <v>12</v>
      </c>
      <c r="O1">
        <v>0</v>
      </c>
      <c r="P1">
        <v>0</v>
      </c>
      <c r="Q1">
        <v>3</v>
      </c>
    </row>
    <row r="12" spans="1:103" x14ac:dyDescent="0.2">
      <c r="F12" t="str">
        <f>Source!F12</f>
        <v>Новый объект_(Копия)</v>
      </c>
      <c r="G12" t="str">
        <f>Source!G12</f>
        <v>МОДУЛЬ  КБ-172  пересчет 01.06.2026</v>
      </c>
      <c r="AB12" t="s">
        <v>3</v>
      </c>
      <c r="AC12" t="s">
        <v>3</v>
      </c>
      <c r="AD12" t="s">
        <v>3</v>
      </c>
      <c r="AE12" t="s">
        <v>3</v>
      </c>
      <c r="AF12" t="s">
        <v>3</v>
      </c>
      <c r="AG12" t="s">
        <v>3</v>
      </c>
      <c r="AH12" t="s">
        <v>3</v>
      </c>
      <c r="AI12" t="s">
        <v>3</v>
      </c>
      <c r="AJ12">
        <v>0</v>
      </c>
      <c r="AK12" t="s">
        <v>3</v>
      </c>
      <c r="AL12" t="s">
        <v>3</v>
      </c>
      <c r="AM12" t="s">
        <v>3</v>
      </c>
      <c r="CY12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Смета по ФСНБ 421+557прРИМ</vt:lpstr>
      <vt:lpstr>Source</vt:lpstr>
      <vt:lpstr>SourceObSm</vt:lpstr>
      <vt:lpstr>SmtRes</vt:lpstr>
      <vt:lpstr>EtalonRes</vt:lpstr>
      <vt:lpstr>SrcPoprs</vt:lpstr>
      <vt:lpstr>SrcKA</vt:lpstr>
      <vt:lpstr>'Смета по ФСНБ 421+557прРИМ'!Заголовки_для_печати</vt:lpstr>
      <vt:lpstr>'Смета по ФСНБ 421+557прРИМ'!Область_печати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Кильдеева Ольга Владимировна</dc:creator>
  <cp:lastModifiedBy>Рутковская Татьяна Сергеевна</cp:lastModifiedBy>
  <cp:lastPrinted>2026-06-03T05:08:31Z</cp:lastPrinted>
  <dcterms:created xsi:type="dcterms:W3CDTF">2026-06-03T04:58:44Z</dcterms:created>
  <dcterms:modified xsi:type="dcterms:W3CDTF">2026-06-03T05:55:24Z</dcterms:modified>
</cp:coreProperties>
</file>